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hidden" name="cal_parsed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lb" sheetId="8" r:id="rId12"/>
    <sheet state="visible" name="RR" sheetId="9" r:id="rId13"/>
    <sheet state="visible" name="RR_v2" sheetId="10" r:id="rId14"/>
    <sheet state="visible" name="J" sheetId="11" r:id="rId15"/>
    <sheet state="visible" name="J_v2" sheetId="12" r:id="rId16"/>
    <sheet state="visible" name="HH" sheetId="13" r:id="rId17"/>
    <sheet state="visible" name="HH_v2" sheetId="14" r:id="rId18"/>
    <sheet state="visible" name="BB" sheetId="15" r:id="rId19"/>
    <sheet state="visible" name="BB_v2" sheetId="16" r:id="rId20"/>
    <sheet state="visible" name="Ki" sheetId="17" r:id="rId21"/>
    <sheet state="visible" name="Ki_v2" sheetId="18" r:id="rId22"/>
    <sheet state="visible" name="NS" sheetId="19" r:id="rId23"/>
    <sheet state="visible" name="NS_v2" sheetId="20" r:id="rId24"/>
    <sheet state="visible" name="Ph" sheetId="21" r:id="rId25"/>
    <sheet state="visible" name="Ph_v2" sheetId="22" r:id="rId26"/>
    <sheet state="visible" name="F" sheetId="23" r:id="rId27"/>
    <sheet state="visible" name="F_v2" sheetId="24" r:id="rId28"/>
    <sheet state="visible" name="Race" sheetId="25" r:id="rId29"/>
    <sheet state="visible" name="Race_v2" sheetId="26" r:id="rId30"/>
    <sheet state="visible" name="TaD" sheetId="27" r:id="rId31"/>
    <sheet state="visible" name="TaD_v2" sheetId="28" r:id="rId32"/>
    <sheet state="visible" name="TE" sheetId="29" r:id="rId33"/>
    <sheet state="visible" name="RM" sheetId="30" r:id="rId34"/>
    <sheet state="hidden" name="sim_refresh" sheetId="31" r:id="rId35"/>
    <sheet state="visible" name="cal_curr" sheetId="32" r:id="rId36"/>
    <sheet state="visible" name="cal_new" sheetId="33" r:id="rId37"/>
    <sheet state="hidden" name="oldEcoGainsSim_PlybyPly" sheetId="34" r:id="rId38"/>
    <sheet state="hidden" name="EcoPackGains" sheetId="35" r:id="rId39"/>
    <sheet state="hidden" name="PackConfig" sheetId="36" r:id="rId40"/>
    <sheet state="hidden" name="AlbumConfig" sheetId="37" r:id="rId41"/>
    <sheet state="hidden" name="CardPoolConfig" sheetId="38" r:id="rId42"/>
    <sheet state="hidden" name="PlayerBehavior" sheetId="39" r:id="rId43"/>
    <sheet state="hidden" name="SimSummary" sheetId="40" r:id="rId44"/>
    <sheet state="hidden" name="SimOutput" sheetId="41" r:id="rId45"/>
    <sheet state="visible" name="Sim per Segment" sheetId="42" r:id="rId46"/>
    <sheet state="visible" name="EcoGainsSim" sheetId="43" r:id="rId47"/>
    <sheet state="visible" name="EcoGainsSim_Daily" sheetId="44" r:id="rId48"/>
    <sheet state="visible" name="EcoGainsSim_PlybyPly" sheetId="45" r:id="rId49"/>
    <sheet state="visible" name="data_gains" sheetId="46" r:id="rId50"/>
    <sheet state="visible" name="data_seg_beh" sheetId="47" r:id="rId51"/>
    <sheet state="visible" name="data_event_inst" sheetId="48" r:id="rId52"/>
    <sheet state="visible" name="data_event_accrual" sheetId="49" r:id="rId53"/>
    <sheet state="visible" name="data_event_kite_accrual" sheetId="50" r:id="rId54"/>
    <sheet state="visible" name="data_RM" sheetId="51" r:id="rId55"/>
    <sheet state="visible" name="data_streaks" sheetId="52" r:id="rId56"/>
    <sheet state="visible" name="data_econ" sheetId="53" r:id="rId57"/>
    <sheet state="visible" name="data_econ_daily" sheetId="54" r:id="rId5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<sst xmlns="http://schemas.openxmlformats.org/spreadsheetml/2006/main" count="35606" uniqueCount="2144">
  <si>
    <t>Name</t>
  </si>
  <si>
    <t>Link to old</t>
  </si>
  <si>
    <t>Link to new</t>
  </si>
  <si>
    <t>RR</t>
  </si>
  <si>
    <t>RR_v2</t>
  </si>
  <si>
    <t>NS</t>
  </si>
  <si>
    <t>NS_v2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</si>
  <si>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</si>
  <si>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</si>
  <si>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</si>
  <si>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</si>
  <si>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</si>
  <si>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</si>
  <si>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</si>
  <si>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</si>
  <si>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</si>
  <si>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</si>
  <si>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</si>
  <si>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</si>
  <si>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</si>
  <si>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</si>
  <si>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</si>
  <si>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</si>
  <si>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</si>
  <si>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</si>
  <si>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</si>
  <si>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</si>
  <si>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</si>
  <si>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</si>
  <si>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</si>
  <si>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</si>
  <si>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</si>
  <si>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</si>
  <si>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</si>
  <si>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</si>
  <si>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</si>
  <si>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</si>
  <si>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</si>
  <si>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</si>
  <si>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</si>
  <si>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</si>
  <si>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</si>
  <si>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</si>
  <si>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</si>
  <si>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</si>
  <si>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</si>
  <si>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</si>
  <si>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</si>
  <si>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</si>
  <si>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</si>
  <si>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</si>
  <si>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</si>
  <si>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</si>
  <si>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</si>
  <si>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</si>
  <si>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OLD</t>
  </si>
  <si>
    <t>0-9</t>
  </si>
  <si>
    <t>10-19</t>
  </si>
  <si>
    <t>20-39</t>
  </si>
  <si>
    <t>40-99</t>
  </si>
  <si>
    <t>100+</t>
  </si>
  <si>
    <t>all segs</t>
  </si>
  <si>
    <t>Node</t>
  </si>
  <si>
    <t>Levels Req</t>
  </si>
  <si>
    <t>HC Reward</t>
  </si>
  <si>
    <t>👁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</si>
  <si>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</si>
  <si>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</si>
  <si>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</si>
  <si>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</si>
  <si>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</si>
  <si>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</si>
  <si>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</si>
  <si>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</si>
  <si>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</si>
  <si>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</si>
  <si>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</si>
  <si>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</si>
  <si>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</si>
  <si>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</si>
  <si>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</si>
  <si>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</si>
  <si>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</si>
  <si>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</si>
  <si>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</si>
  <si>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Saga Progression - NEW</t>
  </si>
  <si>
    <t>Daily Rewards - OLD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</si>
  <si>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</si>
  <si>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</si>
  <si>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</si>
  <si>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</si>
  <si>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</si>
  <si>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</si>
  <si>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</si>
  <si>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</si>
  <si>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</si>
  <si>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</si>
  <si>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</si>
  <si>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</si>
  <si>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</si>
  <si>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</si>
  <si>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</si>
  <si>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</si>
  <si>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</si>
  <si>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</si>
  <si>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</si>
  <si>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</si>
  <si>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</si>
  <si>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</si>
  <si>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</si>
  <si>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</si>
  <si>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</si>
  <si>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</si>
  <si>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</si>
  <si>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</si>
  <si>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</si>
  <si>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</si>
  <si>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</si>
  <si>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</si>
  <si>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</si>
  <si>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</si>
  <si>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</si>
  <si>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</si>
  <si>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</si>
  <si>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</si>
  <si>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</si>
  <si>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</si>
  <si>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</si>
  <si>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</si>
  <si>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</si>
  <si>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</si>
  <si>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</si>
  <si>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</si>
  <si>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</si>
  <si>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</si>
  <si>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</si>
  <si>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</si>
  <si>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</si>
  <si>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</si>
  <si>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</si>
  <si>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</si>
  <si>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</si>
  <si>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</si>
  <si>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</si>
  <si>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</si>
  <si>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</si>
  <si>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</si>
  <si>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</si>
  <si>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</si>
  <si>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</si>
  <si>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</si>
  <si>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</si>
  <si>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</si>
  <si>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</si>
  <si>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</si>
  <si>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</si>
  <si>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</si>
  <si>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</si>
  <si>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</si>
  <si>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</si>
  <si>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</si>
  <si>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</si>
  <si>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</si>
  <si>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</si>
  <si>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</si>
  <si>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</si>
  <si>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</si>
  <si>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</si>
  <si>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</si>
  <si>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</si>
  <si>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</si>
  <si>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</si>
  <si>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</si>
  <si>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</si>
  <si>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</si>
  <si>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</si>
  <si>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</si>
  <si>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</si>
  <si>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</si>
  <si>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</si>
  <si>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</si>
  <si>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</si>
  <si>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</si>
  <si>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</si>
  <si>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</si>
  <si>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</si>
  <si>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</si>
  <si>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</si>
  <si>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</si>
  <si>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</si>
  <si>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</si>
  <si>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</si>
  <si>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</si>
  <si>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</si>
  <si>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</si>
  <si>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</si>
  <si>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</si>
  <si>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</si>
  <si>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</si>
  <si>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</si>
  <si>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</si>
  <si>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</si>
  <si>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</si>
  <si>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</si>
  <si>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</si>
  <si>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</si>
  <si>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</si>
  <si>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</si>
  <si>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</si>
  <si>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</si>
  <si>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</si>
  <si>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</si>
  <si>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</si>
  <si>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</si>
  <si>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</si>
  <si>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</si>
  <si>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</si>
  <si>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</si>
  <si>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</si>
  <si>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</si>
  <si>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</si>
  <si>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</si>
  <si>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</si>
  <si>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</si>
  <si>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</si>
  <si>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</si>
  <si>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</si>
  <si>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</si>
  <si>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</si>
  <si>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</si>
  <si>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</si>
  <si>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</si>
  <si>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</si>
  <si>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</si>
  <si>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</si>
  <si>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</si>
  <si>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</si>
  <si>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</si>
  <si>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</si>
  <si>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</si>
  <si>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</si>
  <si>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</si>
  <si>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</si>
  <si>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</si>
  <si>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</si>
  <si>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</si>
  <si>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</si>
  <si>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</si>
  <si>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</si>
  <si>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</si>
  <si>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</si>
  <si>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</si>
  <si>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</si>
  <si>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</si>
  <si>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</si>
  <si>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</si>
  <si>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</si>
  <si>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</si>
  <si>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</si>
  <si>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</si>
  <si>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</si>
  <si>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</si>
  <si>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</si>
  <si>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</si>
  <si>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</si>
  <si>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</si>
  <si>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</si>
  <si>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</si>
  <si>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</si>
  <si>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</si>
  <si>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</si>
  <si>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</si>
  <si>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</si>
  <si>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</si>
  <si>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</si>
  <si>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</si>
  <si>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</si>
  <si>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</si>
  <si>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</si>
  <si>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</si>
  <si>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</si>
  <si>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</si>
  <si>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</si>
  <si>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</si>
  <si>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</si>
  <si>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</si>
  <si>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</si>
  <si>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</si>
  <si>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</si>
  <si>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</si>
  <si>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</si>
  <si>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</si>
  <si>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</si>
  <si>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</si>
  <si>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</si>
  <si>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</si>
  <si>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</si>
  <si>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</si>
  <si>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</si>
  <si>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</si>
  <si>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</si>
  <si>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</si>
  <si>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</si>
  <si>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</si>
  <si>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</si>
  <si>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</si>
  <si>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</si>
  <si>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</si>
  <si>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</si>
  <si>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</si>
  <si>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</si>
  <si>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</si>
  <si>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</si>
  <si>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</si>
  <si>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</si>
  <si>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</si>
  <si>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</si>
  <si>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</si>
  <si>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</si>
  <si>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</si>
  <si>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</si>
  <si>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</si>
  <si>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</si>
  <si>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</si>
  <si>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</si>
  <si>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</si>
  <si>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</si>
  <si>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</si>
  <si>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</si>
  <si>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</si>
  <si>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</si>
  <si>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</si>
  <si>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</si>
  <si>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</si>
  <si>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</si>
  <si>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</si>
  <si>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</si>
  <si>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</si>
  <si>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</si>
  <si>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</si>
  <si>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</si>
  <si>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</si>
  <si>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</si>
  <si>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</si>
  <si>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</si>
  <si>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levels req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</si>
  <si>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</si>
  <si>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</si>
  <si>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</si>
  <si>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</si>
  <si>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</si>
  <si>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</si>
  <si>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</si>
  <si>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</si>
  <si>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</si>
  <si>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</si>
  <si>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</si>
  <si>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</si>
  <si>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</si>
  <si>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</si>
  <si>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</si>
  <si>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</si>
  <si>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</si>
  <si>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</si>
  <si>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</si>
  <si>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</si>
  <si>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</si>
  <si>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</si>
  <si>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</si>
  <si>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</si>
  <si>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</si>
  <si>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</si>
  <si>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</si>
  <si>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</si>
  <si>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</si>
  <si>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</si>
  <si>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</si>
  <si>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</si>
  <si>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</si>
  <si>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</si>
  <si>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</si>
  <si>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</si>
  <si>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</si>
  <si>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</si>
  <si>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</si>
  <si>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</si>
  <si>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</si>
  <si>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</si>
  <si>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</si>
  <si>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</si>
  <si>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</si>
  <si>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</si>
  <si>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</si>
  <si>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</si>
  <si>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</si>
  <si>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</si>
  <si>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</si>
  <si>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</si>
  <si>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</si>
  <si>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</si>
  <si>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</si>
  <si>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</si>
  <si>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</si>
  <si>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</si>
  <si>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</si>
  <si>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</si>
  <si>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</si>
  <si>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</si>
  <si>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</si>
  <si>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</si>
  <si>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</si>
  <si>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</si>
  <si>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</si>
  <si>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</si>
  <si>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</si>
  <si>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</si>
  <si>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</si>
  <si>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</si>
  <si>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</si>
  <si>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</si>
  <si>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</si>
  <si>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</si>
  <si>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</si>
  <si>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</si>
  <si>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</si>
  <si>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</si>
  <si>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</si>
  <si>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</si>
  <si>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</si>
  <si>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</si>
  <si>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</si>
  <si>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</si>
  <si>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</si>
  <si>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</si>
  <si>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</si>
  <si>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</si>
  <si>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</si>
  <si>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</si>
  <si>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</si>
  <si>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</si>
  <si>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</si>
  <si>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</si>
  <si>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</si>
  <si>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</si>
  <si>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</si>
  <si>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</si>
  <si>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</si>
  <si>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</si>
  <si>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</si>
  <si>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</si>
  <si>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</si>
  <si>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</si>
  <si>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</si>
  <si>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</si>
  <si>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</si>
  <si>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</si>
  <si>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</si>
  <si>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</si>
  <si>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</si>
  <si>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</si>
  <si>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</si>
  <si>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</si>
  <si>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</si>
  <si>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</si>
  <si>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</si>
  <si>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</si>
  <si>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</si>
  <si>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</si>
  <si>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</si>
  <si>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</si>
  <si>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</si>
  <si>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</si>
  <si>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</si>
  <si>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</si>
  <si>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</si>
  <si>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</si>
  <si>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</si>
  <si>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</si>
  <si>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</si>
  <si>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</si>
  <si>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</si>
  <si>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</si>
  <si>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</si>
  <si>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</si>
  <si>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</si>
  <si>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</si>
  <si>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</si>
  <si>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</si>
  <si>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</si>
  <si>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</si>
  <si>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</si>
  <si>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</si>
  <si>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</si>
  <si>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</si>
  <si>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</si>
  <si>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</si>
  <si>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</si>
  <si>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</si>
  <si>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</si>
  <si>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</si>
  <si>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</si>
  <si>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</si>
  <si>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</si>
  <si>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</si>
  <si>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</si>
  <si>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</si>
  <si>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</si>
  <si>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</si>
  <si>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</si>
  <si>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</si>
  <si>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</si>
  <si>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</si>
  <si>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</si>
  <si>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</si>
  <si>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</si>
  <si>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</si>
  <si>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</si>
  <si>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</si>
  <si>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</si>
  <si>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</si>
  <si>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</si>
  <si>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</si>
  <si>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</si>
  <si>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</si>
  <si>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</si>
  <si>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</si>
  <si>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</si>
  <si>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</si>
  <si>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</si>
  <si>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</si>
  <si>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</si>
  <si>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</si>
  <si>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</si>
  <si>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</si>
  <si>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</si>
  <si>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</si>
  <si>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</si>
  <si>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</si>
  <si>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</si>
  <si>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</si>
  <si>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</si>
  <si>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</si>
  <si>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</si>
  <si>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</si>
  <si>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</si>
  <si>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</si>
  <si>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</si>
  <si>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</si>
  <si>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</si>
  <si>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</si>
  <si>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</si>
  <si>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</si>
  <si>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</si>
  <si>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</si>
  <si>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</si>
  <si>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</si>
  <si>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</si>
  <si>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</si>
  <si>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</si>
  <si>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</si>
  <si>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</si>
  <si>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</si>
  <si>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</si>
  <si>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</si>
  <si>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</si>
  <si>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</si>
  <si>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</si>
  <si>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</si>
  <si>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</si>
  <si>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</si>
  <si>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</si>
  <si>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</si>
  <si>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</si>
  <si>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</si>
  <si>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</si>
  <si>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</si>
  <si>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</si>
  <si>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</si>
  <si>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</si>
  <si>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</si>
  <si>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</si>
  <si>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</si>
  <si>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</si>
  <si>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</si>
  <si>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</si>
  <si>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</si>
  <si>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</si>
  <si>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</si>
  <si>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</si>
  <si>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</si>
  <si>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</si>
  <si>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</si>
  <si>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</si>
  <si>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</si>
  <si>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</si>
  <si>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</si>
  <si>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</si>
  <si>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</si>
  <si>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</si>
  <si>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</si>
  <si>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</si>
  <si>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</si>
  <si>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</si>
  <si>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</si>
  <si>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</si>
  <si>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</si>
  <si>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</si>
  <si>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</si>
  <si>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</si>
  <si>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</si>
  <si>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</si>
  <si>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</si>
  <si>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</si>
  <si>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</si>
  <si>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</si>
  <si>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</si>
  <si>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</si>
  <si>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</si>
  <si>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</si>
  <si>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</si>
  <si>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</si>
  <si>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</si>
  <si>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</si>
  <si>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</si>
  <si>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</si>
  <si>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</si>
  <si>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</si>
  <si>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</si>
  <si>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</si>
  <si>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</si>
  <si>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</si>
  <si>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</si>
  <si>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</si>
  <si>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</si>
  <si>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</si>
  <si>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</si>
  <si>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</si>
  <si>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</si>
  <si>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</si>
  <si>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</si>
  <si>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</si>
  <si>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</si>
  <si>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</si>
  <si>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</si>
  <si>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</si>
  <si>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</si>
  <si>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</si>
  <si>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</si>
  <si>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</si>
  <si>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</si>
  <si>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</si>
  <si>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</si>
  <si>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</si>
  <si>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</si>
  <si>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</si>
  <si>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</si>
  <si>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</si>
  <si>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</si>
  <si>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</si>
  <si>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</si>
  <si>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</si>
  <si>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</si>
  <si>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</si>
  <si>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</si>
  <si>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</si>
  <si>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</si>
  <si>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</si>
  <si>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</si>
  <si>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</si>
  <si>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</si>
  <si>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</si>
  <si>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</si>
  <si>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</si>
  <si>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</si>
  <si>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</si>
  <si>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</si>
  <si>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</si>
  <si>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</si>
  <si>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</si>
  <si>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</si>
  <si>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</si>
  <si>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</si>
  <si>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</si>
  <si>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</si>
  <si>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</si>
  <si>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</si>
  <si>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</si>
  <si>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</si>
  <si>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</si>
  <si>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</si>
  <si>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</si>
  <si>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</si>
  <si>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</si>
  <si>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</si>
  <si>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</si>
  <si>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</si>
  <si>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</si>
  <si>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</si>
  <si>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</si>
  <si>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</si>
  <si>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</si>
  <si>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</si>
  <si>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</si>
  <si>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</si>
  <si>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</si>
  <si>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</si>
  <si>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</si>
  <si>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</si>
  <si>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</si>
  <si>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</si>
  <si>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</si>
  <si>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</si>
  <si>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</si>
  <si>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</si>
  <si>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</si>
  <si>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</si>
  <si>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</si>
  <si>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</si>
  <si>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</si>
  <si>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</si>
  <si>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</si>
  <si>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</si>
  <si>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</si>
  <si>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</si>
  <si>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</si>
  <si>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</si>
  <si>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</si>
  <si>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</si>
  <si>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</si>
  <si>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</si>
  <si>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</si>
  <si>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</si>
  <si>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</si>
  <si>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</si>
  <si>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</si>
  <si>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</si>
  <si>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</si>
  <si>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</si>
  <si>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</si>
  <si>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</si>
  <si>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</si>
  <si>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</si>
  <si>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</si>
  <si>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</si>
  <si>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</si>
  <si>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</si>
  <si>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</si>
  <si>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</si>
  <si>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</si>
  <si>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</si>
  <si>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</si>
  <si>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</si>
  <si>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</si>
  <si>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</si>
  <si>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</si>
  <si>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</si>
  <si>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</si>
  <si>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</si>
  <si>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</si>
  <si>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</si>
  <si>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</si>
  <si>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</si>
  <si>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</si>
  <si>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</si>
  <si>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</si>
  <si>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</si>
  <si>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</si>
  <si>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</si>
  <si>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</si>
  <si>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</si>
  <si>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</si>
  <si>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</si>
  <si>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</si>
  <si>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</si>
  <si>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</si>
  <si>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</si>
  <si>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</si>
  <si>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</si>
  <si>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</si>
  <si>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</si>
  <si>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</si>
  <si>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</si>
  <si>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</si>
  <si>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</si>
  <si>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</si>
  <si>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</si>
  <si>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</si>
  <si>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</si>
  <si>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</si>
  <si>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</si>
  <si>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</si>
  <si>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</si>
  <si>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</si>
  <si>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</si>
  <si>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</si>
  <si>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</si>
  <si>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</si>
  <si>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</si>
  <si>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</si>
  <si>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</si>
  <si>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</si>
  <si>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</si>
  <si>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</si>
  <si>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</si>
  <si>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</si>
  <si>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</si>
  <si>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</si>
  <si>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</si>
  <si>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</si>
  <si>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</si>
  <si>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</si>
  <si>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</si>
  <si>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</si>
  <si>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</si>
  <si>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</si>
  <si>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</si>
  <si>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</si>
  <si>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</si>
  <si>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</si>
  <si>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</si>
  <si>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</si>
  <si>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</si>
  <si>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</si>
  <si>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</si>
  <si>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</si>
  <si>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</si>
  <si>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</si>
  <si>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</si>
  <si>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</si>
  <si>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</si>
  <si>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</si>
  <si>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</si>
  <si>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</si>
  <si>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</si>
  <si>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</si>
  <si>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</si>
  <si>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</si>
  <si>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</si>
  <si>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</si>
  <si>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</si>
  <si>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</si>
  <si>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</si>
  <si>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</si>
  <si>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</si>
  <si>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</si>
  <si>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</si>
  <si>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</si>
  <si>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</si>
  <si>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</si>
  <si>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</si>
  <si>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</si>
  <si>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</si>
  <si>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</si>
  <si>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</si>
  <si>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</si>
  <si>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</si>
  <si>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</si>
  <si>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</si>
  <si>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</si>
  <si>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</si>
  <si>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</si>
  <si>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</si>
  <si>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</si>
  <si>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</si>
  <si>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</si>
  <si>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</si>
  <si>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</si>
  <si>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</si>
  <si>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</si>
  <si>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</si>
  <si>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</si>
  <si>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</si>
  <si>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</si>
  <si>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</si>
  <si>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</si>
  <si>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</si>
  <si>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</si>
  <si>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</si>
  <si>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</si>
  <si>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</si>
  <si>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</si>
  <si>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</si>
  <si>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</si>
  <si>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</si>
  <si>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</si>
  <si>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</si>
  <si>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</si>
  <si>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</si>
  <si>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</si>
  <si>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</si>
  <si>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</si>
  <si>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</si>
  <si>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</si>
  <si>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</si>
  <si>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</si>
  <si>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</si>
  <si>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</si>
  <si>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</si>
  <si>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</si>
  <si>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</si>
  <si>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</si>
  <si>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</si>
  <si>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</si>
  <si>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</si>
  <si>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</si>
  <si>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</si>
  <si>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</si>
  <si>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</si>
  <si>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</si>
  <si>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</si>
  <si>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</si>
  <si>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</si>
  <si>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</si>
  <si>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</si>
  <si>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</si>
  <si>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</si>
  <si>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</si>
  <si>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</si>
  <si>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</si>
  <si>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</si>
  <si>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</si>
  <si>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</si>
  <si>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</si>
  <si>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</si>
  <si>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</si>
  <si>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</si>
  <si>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</si>
  <si>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</si>
  <si>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</si>
  <si>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</si>
  <si>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</si>
  <si>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</si>
  <si>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</si>
  <si>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</si>
  <si>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</si>
  <si>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</si>
  <si>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</si>
  <si>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</si>
  <si>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</si>
  <si>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</si>
  <si>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</si>
  <si>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</si>
  <si>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</si>
  <si>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</si>
  <si>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</si>
  <si>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</si>
  <si>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</si>
  <si>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</si>
  <si>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</si>
  <si>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</si>
  <si>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</si>
  <si>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</si>
  <si>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</si>
  <si>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</si>
  <si>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</si>
  <si>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</si>
  <si>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</si>
  <si>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</si>
  <si>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</si>
  <si>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</si>
  <si>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</si>
  <si>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</si>
  <si>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</si>
  <si>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</si>
  <si>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</si>
  <si>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</si>
  <si>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</si>
  <si>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</si>
  <si>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</si>
  <si>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</si>
  <si>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</si>
  <si>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</si>
  <si>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</si>
  <si>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</si>
  <si>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</si>
  <si>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</si>
  <si>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</si>
  <si>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</si>
  <si>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</si>
  <si>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</si>
  <si>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</si>
  <si>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</si>
  <si>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</si>
  <si>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</si>
  <si>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</si>
  <si>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</si>
  <si>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</si>
  <si>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</si>
  <si>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</si>
  <si>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</si>
  <si>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</si>
  <si>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</si>
  <si>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</si>
  <si>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</si>
  <si>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</si>
  <si>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</si>
  <si>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</si>
  <si>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</si>
  <si>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</si>
  <si>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</si>
  <si>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</si>
  <si>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</si>
  <si>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</si>
  <si>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</si>
  <si>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</si>
  <si>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</si>
  <si>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</si>
  <si>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</si>
  <si>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</si>
  <si>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</si>
  <si>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</si>
  <si>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</si>
  <si>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</si>
  <si>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</si>
  <si>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</si>
  <si>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</si>
  <si>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</si>
  <si>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</si>
  <si>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</si>
  <si>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</si>
  <si>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</si>
  <si>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</si>
  <si>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</si>
  <si>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</si>
  <si>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</si>
  <si>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</si>
  <si>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</si>
  <si>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</si>
  <si>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</si>
  <si>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</si>
  <si>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</si>
  <si>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</si>
  <si>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</si>
  <si>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</si>
  <si>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</si>
  <si>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</si>
  <si>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</si>
  <si>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</si>
  <si>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</si>
  <si>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</si>
  <si>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</si>
  <si>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</si>
  <si>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</si>
  <si>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</si>
  <si>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</si>
  <si>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</si>
  <si>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</si>
  <si>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</si>
  <si>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</si>
  <si>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</si>
  <si>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</si>
  <si>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</si>
  <si>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</si>
  <si>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</si>
  <si>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</si>
  <si>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</si>
  <si>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</si>
  <si>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</si>
  <si>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</si>
  <si>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</si>
  <si>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</si>
  <si>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</si>
  <si>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</si>
  <si>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</si>
  <si>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</si>
  <si>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</si>
  <si>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</si>
  <si>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</si>
  <si>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</si>
  <si>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</si>
  <si>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</si>
  <si>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</si>
  <si>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</si>
  <si>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</si>
  <si>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</si>
  <si>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</si>
  <si>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</si>
  <si>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</si>
  <si>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</si>
  <si>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</si>
  <si>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</si>
  <si>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</si>
  <si>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</si>
  <si>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</si>
  <si>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</si>
  <si>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</si>
  <si>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</si>
  <si>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</si>
  <si>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</si>
  <si>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</si>
  <si>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</si>
  <si>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</si>
  <si>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</si>
  <si>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</si>
  <si>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</si>
  <si>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</si>
  <si>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</si>
  <si>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</si>
  <si>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</si>
  <si>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</si>
  <si>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</si>
  <si>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</si>
  <si>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</si>
  <si>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</si>
  <si>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</si>
  <si>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</si>
  <si>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</si>
  <si>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</si>
  <si>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</si>
  <si>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</si>
  <si>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</si>
  <si>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</si>
  <si>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</si>
  <si>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</si>
  <si>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</si>
  <si>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</si>
  <si>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</si>
  <si>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</si>
  <si>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</si>
  <si>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</si>
  <si>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</si>
  <si>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</si>
  <si>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</si>
  <si>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</si>
  <si>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</si>
  <si>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</si>
  <si>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</si>
  <si>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</si>
  <si>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</si>
  <si>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</si>
  <si>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</si>
  <si>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</si>
  <si>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</si>
  <si>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</si>
  <si>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</si>
  <si>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</si>
  <si>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</si>
  <si>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</si>
  <si>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</si>
  <si>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</si>
  <si>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</si>
  <si>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</si>
  <si>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</si>
  <si>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</si>
  <si>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</si>
  <si>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</si>
  <si>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</si>
  <si>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</si>
  <si>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</si>
  <si>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</si>
  <si>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</si>
  <si>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</si>
  <si>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</si>
  <si>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</si>
  <si>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</si>
  <si>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</si>
  <si>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</si>
  <si>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</si>
  <si>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</si>
  <si>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</si>
  <si>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</si>
  <si>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</si>
  <si>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</si>
  <si>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</si>
  <si>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</si>
  <si>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</si>
  <si>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</si>
  <si>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</si>
  <si>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</si>
  <si>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</si>
  <si>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</si>
  <si>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</si>
  <si>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</si>
  <si>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</si>
  <si>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</si>
  <si>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</si>
  <si>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</si>
  <si>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</si>
  <si>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</si>
  <si>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</si>
  <si>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</si>
  <si>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</si>
  <si>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</si>
  <si>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</si>
  <si>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</si>
  <si>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</si>
  <si>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</si>
  <si>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</si>
  <si>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</si>
  <si>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</si>
  <si>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</si>
  <si>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</si>
  <si>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</si>
  <si>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</si>
  <si>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</si>
  <si>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</si>
  <si>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</si>
  <si>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</si>
  <si>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</si>
  <si>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</si>
  <si>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</si>
  <si>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</si>
  <si>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</si>
  <si>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</si>
  <si>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</si>
  <si>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</si>
  <si>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</si>
  <si>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</si>
  <si>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</si>
  <si>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</si>
  <si>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</si>
  <si>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</si>
  <si>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</si>
  <si>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</si>
  <si>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</si>
  <si>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</si>
  <si>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</si>
  <si>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</si>
  <si>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</si>
  <si>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</si>
  <si>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</si>
  <si>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</si>
  <si>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</si>
  <si>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</si>
  <si>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</si>
  <si>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</si>
  <si>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</si>
  <si>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</si>
  <si>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</si>
  <si>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</si>
  <si>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</si>
  <si>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</si>
  <si>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</si>
  <si>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</si>
  <si>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</si>
  <si>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</si>
  <si>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</si>
  <si>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</si>
  <si>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</si>
  <si>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</si>
  <si>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</si>
  <si>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</si>
  <si>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</si>
  <si>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</si>
  <si>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</si>
  <si>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</si>
  <si>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</si>
  <si>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</si>
  <si>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</si>
  <si>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</si>
  <si>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</si>
  <si>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</si>
  <si>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</si>
  <si>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</si>
  <si>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</si>
  <si>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</si>
  <si>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</si>
  <si>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</si>
  <si>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</si>
  <si>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</si>
  <si>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</si>
  <si>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</si>
  <si>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</si>
  <si>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</si>
  <si>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</si>
  <si>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</si>
  <si>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</si>
  <si>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</si>
  <si>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</si>
  <si>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</si>
  <si>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</si>
  <si>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</si>
  <si>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</si>
  <si>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</si>
  <si>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</si>
  <si>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</si>
  <si>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</si>
  <si>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</si>
  <si>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</si>
  <si>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</si>
  <si>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</si>
  <si>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</si>
  <si>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</si>
  <si>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</si>
  <si>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</si>
  <si>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</si>
  <si>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</si>
  <si>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</si>
  <si>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</si>
  <si>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</si>
  <si>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</si>
  <si>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</si>
  <si>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</si>
  <si>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</si>
  <si>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</si>
  <si>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</si>
  <si>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</si>
  <si>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</si>
  <si>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</si>
  <si>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</si>
  <si>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</si>
  <si>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</si>
  <si>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</si>
  <si>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</si>
  <si>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</si>
  <si>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</si>
  <si>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</si>
  <si>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</si>
  <si>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</si>
  <si>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</si>
  <si>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</si>
  <si>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</si>
  <si>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</si>
  <si>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</si>
  <si>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</si>
  <si>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</si>
  <si>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</si>
  <si>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</si>
  <si>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</si>
  <si>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</si>
  <si>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</si>
  <si>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</si>
  <si>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</si>
  <si>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</si>
  <si>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</si>
  <si>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</si>
  <si>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</si>
  <si>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</si>
  <si>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</si>
  <si>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</si>
  <si>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</si>
  <si>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</si>
  <si>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</si>
  <si>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</si>
  <si>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</si>
  <si>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</si>
  <si>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</si>
  <si>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</si>
  <si>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</si>
  <si>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</si>
  <si>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</si>
  <si>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</si>
  <si>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</si>
  <si>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</si>
  <si>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</si>
  <si>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</si>
  <si>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</si>
  <si>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</si>
  <si>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</si>
  <si>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</si>
  <si>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</si>
  <si>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</si>
  <si>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</si>
  <si>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</si>
  <si>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</si>
  <si>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</si>
  <si>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</si>
  <si>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</si>
  <si>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</si>
  <si>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</si>
  <si>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</si>
  <si>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</si>
  <si>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</si>
  <si>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</si>
  <si>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</si>
  <si>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</si>
  <si>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</si>
  <si>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</si>
  <si>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</si>
  <si>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</si>
  <si>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</si>
  <si>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</si>
  <si>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</si>
  <si>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</si>
  <si>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</si>
  <si>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</si>
  <si>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</si>
  <si>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</si>
  <si>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</si>
  <si>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</si>
  <si>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</si>
  <si>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</si>
  <si>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</si>
  <si>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</si>
  <si>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</si>
  <si>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</si>
  <si>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</si>
  <si>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</si>
  <si>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</si>
  <si>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</si>
  <si>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</si>
  <si>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</si>
  <si>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</si>
  <si>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</si>
  <si>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</si>
  <si>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</si>
  <si>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</si>
  <si>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</si>
  <si>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</si>
  <si>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</si>
  <si>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</si>
  <si>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</si>
  <si>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</si>
  <si>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</si>
  <si>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</si>
  <si>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</si>
  <si>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</si>
  <si>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</si>
  <si>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</si>
  <si>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</si>
  <si>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</si>
  <si>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</si>
  <si>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</si>
  <si>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</si>
  <si>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</si>
  <si>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</si>
  <si>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</si>
  <si>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</si>
  <si>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</si>
  <si>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</si>
  <si>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</si>
  <si>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</si>
  <si>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</si>
  <si>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</si>
  <si>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</si>
  <si>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</si>
  <si>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</si>
  <si>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</si>
  <si>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</si>
  <si>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</si>
  <si>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</si>
  <si>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</si>
  <si>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</si>
  <si>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</si>
  <si>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</si>
  <si>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</si>
  <si>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</si>
  <si>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</si>
  <si>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</si>
  <si>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</si>
  <si>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</si>
  <si>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</si>
  <si>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</si>
  <si>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</si>
  <si>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</si>
  <si>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</si>
  <si>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</si>
  <si>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</si>
  <si>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</si>
  <si>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</si>
  <si>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</si>
  <si>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</si>
  <si>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</si>
  <si>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</si>
  <si>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</si>
  <si>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</si>
  <si>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</si>
  <si>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</si>
  <si>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</si>
  <si>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</si>
  <si>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</si>
  <si>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</si>
  <si>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</si>
  <si>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</si>
  <si>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</si>
  <si>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</si>
  <si>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</si>
  <si>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</si>
  <si>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</si>
  <si>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</si>
  <si>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</si>
  <si>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</si>
  <si>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</si>
  <si>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</si>
  <si>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</si>
  <si>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</si>
  <si>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</si>
  <si>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</si>
  <si>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</si>
  <si>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</si>
  <si>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</si>
  <si>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</si>
  <si>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</si>
  <si>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</si>
  <si>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</si>
  <si>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</si>
  <si>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</si>
  <si>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</si>
  <si>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</si>
  <si>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</si>
  <si>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</si>
  <si>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</si>
  <si>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</si>
  <si>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</si>
  <si>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</si>
  <si>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</si>
  <si>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</si>
  <si>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</si>
  <si>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</si>
  <si>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</si>
  <si>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</si>
  <si>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</si>
  <si>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</si>
  <si>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</si>
  <si>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</si>
  <si>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</si>
  <si>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</si>
  <si>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</si>
  <si>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</si>
  <si>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</si>
  <si>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</si>
  <si>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</si>
  <si>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</si>
  <si>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</si>
  <si>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</si>
  <si>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</si>
  <si>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</si>
  <si>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</si>
  <si>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</si>
  <si>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</si>
  <si>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</si>
  <si>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</si>
  <si>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</si>
  <si>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</si>
  <si>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</si>
  <si>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</si>
  <si>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</si>
  <si>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</si>
  <si>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</si>
  <si>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</si>
  <si>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</si>
  <si>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</si>
  <si>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</si>
  <si>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</si>
  <si>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</si>
  <si>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</si>
  <si>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</si>
  <si>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</si>
  <si>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</si>
  <si>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</si>
  <si>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</si>
  <si>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</si>
  <si>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</si>
  <si>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</si>
  <si>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</si>
  <si>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</si>
  <si>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</si>
  <si>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</si>
  <si>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</si>
  <si>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</si>
  <si>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</si>
  <si>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</si>
  <si>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</si>
  <si>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</si>
  <si>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</si>
  <si>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</si>
  <si>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</si>
  <si>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</si>
  <si>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</si>
  <si>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</si>
  <si>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</si>
  <si>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</si>
  <si>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</si>
  <si>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</si>
  <si>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</si>
  <si>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</si>
  <si>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</si>
  <si>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</si>
  <si>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</si>
  <si>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</si>
  <si>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</si>
  <si>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</si>
  <si>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</si>
  <si>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</si>
  <si>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</si>
  <si>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</si>
  <si>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</si>
  <si>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</si>
  <si>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</si>
  <si>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</si>
  <si>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</si>
  <si>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</si>
  <si>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</si>
  <si>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</si>
  <si>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</si>
  <si>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</si>
  <si>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</si>
  <si>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</si>
  <si>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</si>
  <si>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</si>
  <si>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</si>
  <si>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</si>
  <si>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</si>
  <si>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</si>
  <si>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</si>
  <si>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</si>
  <si>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</si>
  <si>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</si>
  <si>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</si>
  <si>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</si>
  <si>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</si>
  <si>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</si>
  <si>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</si>
  <si>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</si>
  <si>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</si>
  <si>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</si>
  <si>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</si>
  <si>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</si>
  <si>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</si>
  <si>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</si>
  <si>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</si>
  <si>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</si>
  <si>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</si>
  <si>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</si>
  <si>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</si>
  <si>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</si>
  <si>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</si>
  <si>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</si>
  <si>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</si>
  <si>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</si>
  <si>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</si>
  <si>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</si>
  <si>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</si>
  <si>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</si>
  <si>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</si>
  <si>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</si>
  <si>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</si>
  <si>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</si>
  <si>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</si>
  <si>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</si>
  <si>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</si>
  <si>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</si>
  <si>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</si>
  <si>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</si>
  <si>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</si>
  <si>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</si>
  <si>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</si>
  <si>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</si>
  <si>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</si>
  <si>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</si>
  <si>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</si>
  <si>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</si>
  <si>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</si>
  <si>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</si>
  <si>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</si>
  <si>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</si>
  <si>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</si>
  <si>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</si>
  <si>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</si>
  <si>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</si>
  <si>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</si>
  <si>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</si>
  <si>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</si>
  <si>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</si>
  <si>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</si>
  <si>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</si>
  <si>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</si>
  <si>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</si>
  <si>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</si>
  <si>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</si>
  <si>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</si>
  <si>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</si>
  <si>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</si>
  <si>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</si>
  <si>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</si>
  <si>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</si>
  <si>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</si>
  <si>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</si>
  <si>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</si>
  <si>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</si>
  <si>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</si>
  <si>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</si>
  <si>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</si>
  <si>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</si>
  <si>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</si>
  <si>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</si>
  <si>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</si>
  <si>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</si>
  <si>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</si>
  <si>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</si>
  <si>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</si>
  <si>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</si>
  <si>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</si>
  <si>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</si>
  <si>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</si>
  <si>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</si>
  <si>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</si>
  <si>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</si>
  <si>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</si>
  <si>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</si>
  <si>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</si>
  <si>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</si>
  <si>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</si>
  <si>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</si>
  <si>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</si>
  <si>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</si>
  <si>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</si>
  <si>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</si>
  <si>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</si>
  <si>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</si>
  <si>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</si>
  <si>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</si>
  <si>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</si>
  <si>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</si>
  <si>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</si>
  <si>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</si>
  <si>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</si>
  <si>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</si>
  <si>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</si>
  <si>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</si>
  <si>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</si>
  <si>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</si>
  <si>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</si>
  <si>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</si>
  <si>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</si>
  <si>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</si>
  <si>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</si>
  <si>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</si>
  <si>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</si>
  <si>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</si>
  <si>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</si>
  <si>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</si>
  <si>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</si>
  <si>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</si>
  <si>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</si>
  <si>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</si>
  <si>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</si>
  <si>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</si>
  <si>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</si>
  <si>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</si>
  <si>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</si>
  <si>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</si>
  <si>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</si>
  <si>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</si>
  <si>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</si>
  <si>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</si>
  <si>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</si>
  <si>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</si>
  <si>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</si>
  <si>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</si>
  <si>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</si>
  <si>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</si>
  <si>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</si>
  <si>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</si>
  <si>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</si>
  <si>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</si>
  <si>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</si>
  <si>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</si>
  <si>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</si>
  <si>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</si>
  <si>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</si>
  <si>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</si>
  <si>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</si>
  <si>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</si>
  <si>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</si>
  <si>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</si>
  <si>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</si>
  <si>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</si>
  <si>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</si>
  <si>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</si>
  <si>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</si>
  <si>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</si>
  <si>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</si>
  <si>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</si>
  <si>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</si>
  <si>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</si>
  <si>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</si>
  <si>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</si>
  <si>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</si>
  <si>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</si>
  <si>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</si>
  <si>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</si>
  <si>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</si>
  <si>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</si>
  <si>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</si>
  <si>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</si>
  <si>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</si>
  <si>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</si>
  <si>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</si>
  <si>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</si>
  <si>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</si>
  <si>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</si>
  <si>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</si>
  <si>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</si>
  <si>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</si>
  <si>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</si>
  <si>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</si>
  <si>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</si>
  <si>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</si>
  <si>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</si>
  <si>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</si>
  <si>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</si>
  <si>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</si>
  <si>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</si>
  <si>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</si>
  <si>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</si>
  <si>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</si>
  <si>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</si>
  <si>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</si>
  <si>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</si>
  <si>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</si>
  <si>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</si>
  <si>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</si>
  <si>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</si>
  <si>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</si>
  <si>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</si>
  <si>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</si>
  <si>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</si>
  <si>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</si>
  <si>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</si>
  <si>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</si>
  <si>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</si>
  <si>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</si>
  <si>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</si>
  <si>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</si>
  <si>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</si>
  <si>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</si>
  <si>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</si>
  <si>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</si>
  <si>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</si>
  <si>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</si>
  <si>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</si>
  <si>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</si>
  <si>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</si>
  <si>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</si>
  <si>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</si>
  <si>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</si>
  <si>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</si>
  <si>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</si>
  <si>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</si>
  <si>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</si>
  <si>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</si>
  <si>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</si>
  <si>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</si>
  <si>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</si>
  <si>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</si>
  <si>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</si>
  <si>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</si>
  <si>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</si>
  <si>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</si>
  <si>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</si>
  <si>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</si>
  <si>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</si>
  <si>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</si>
  <si>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</si>
  <si>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</si>
  <si>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</si>
  <si>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</si>
  <si>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</si>
  <si>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</si>
  <si>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RESOURCE GAINS + NET (33 day period)</t>
  </si>
  <si>
    <t>◆ HC</t>
  </si>
  <si>
    <t>◄ CURRENT (actuals: data + calc) ►</t>
  </si>
  <si>
    <t>◄ SIMULATED (EcoGainsSim v4) ►</t>
  </si>
  <si>
    <t>Δ</t>
  </si>
  <si>
    <t>◄ NET / earner ►</t>
  </si>
  <si>
    <t>Segment</t>
  </si>
  <si>
    <t>PAID</t>
  </si>
  <si>
    <t>ADS</t>
  </si>
  <si>
    <t>CORE</t>
  </si>
  <si>
    <t>META</t>
  </si>
  <si>
    <t>cur spend</t>
  </si>
  <si>
    <t>cur net</t>
  </si>
  <si>
    <t>new net</t>
  </si>
  <si>
    <t>net Δ</t>
  </si>
  <si>
    <t>net Δ %</t>
  </si>
  <si>
    <t>overall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</si>
  <si>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</si>
  <si>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</si>
  <si>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</si>
  <si>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</si>
  <si>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</si>
  <si>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</si>
  <si>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</si>
  <si>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</si>
  <si>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</si>
  <si>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</si>
  <si>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</si>
  <si>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</si>
  <si>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</si>
  <si>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</si>
  <si>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</si>
  <si>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</si>
  <si>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</si>
  <si>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</si>
  <si>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</si>
  <si>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</si>
  <si>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</si>
  <si>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</si>
  <si>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</si>
  <si>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</si>
  <si>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</si>
  <si>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</si>
  <si>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</si>
  <si>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</si>
  <si>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</si>
  <si>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</si>
  <si>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</si>
  <si>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</si>
  <si>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SIMULATED column = bottom-up FULL-ROLLOUT value (segment ladder x survival over data_streaks max-streak p25-p90, each x 1.25 effective-streak factor, x active days). CURRENT is A/B-diluted, so the DIFF row = ROLLOUT EFFECT (not a redesign delta).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</si>
  <si>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</si>
  <si>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</si>
  <si>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</si>
  <si>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</si>
  <si>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</si>
  <si>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</si>
  <si>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</si>
  <si>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</si>
  <si>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</si>
  <si>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</si>
  <si>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</si>
  <si>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</si>
  <si>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</si>
  <si>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</si>
  <si>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</si>
  <si>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</si>
  <si>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</si>
  <si>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</si>
  <si>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</si>
  <si>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</si>
  <si>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</si>
  <si>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</si>
  <si>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</si>
  <si>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</si>
  <si>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</si>
  <si>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</si>
  <si>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</si>
  <si>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</si>
  <si>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</si>
  <si>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</si>
  <si>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</si>
  <si>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Non-calendar sources (Ads, Teams, Season Pass,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</si>
  <si>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</si>
  <si>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(AN:CH, 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</si>
  <si>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</si>
  <si>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</si>
  <si>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</si>
  <si>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</si>
  <si>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</si>
  <si>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</si>
  <si>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</si>
  <si>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</si>
  <si>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</si>
  <si>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</si>
  <si>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</si>
  <si>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</si>
  <si>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</si>
  <si>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</si>
  <si>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</si>
  <si>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</si>
  <si>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</si>
  <si>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</si>
  <si>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</si>
  <si>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</si>
  <si>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</si>
  <si>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</si>
  <si>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</si>
  <si>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</si>
  <si>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</si>
  <si>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</si>
  <si>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</si>
  <si>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</si>
  <si>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</si>
  <si>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</si>
  <si>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</si>
  <si>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</si>
  <si>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</si>
  <si>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max streak (p50)</t>
  </si>
  <si>
    <t>Median in-day saga win-streak; sets the Night Sky milestone night (data_seg_beh)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</si>
  <si>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</si>
  <si>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</si>
  <si>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</si>
  <si>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</si>
  <si>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</si>
  <si>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</si>
  <si>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+3/5/7/10 per win (completion tier)</t>
  </si>
  <si>
    <t>m4 @ 250 -&gt; {Unlimited Lives: 30}</t>
  </si>
  <si>
    <t>target +1161</t>
  </si>
  <si>
    <t>{} (rank 27 (below ladder / pays nothing))</t>
  </si>
  <si>
    <t>target +293</t>
  </si>
  <si>
    <t>{Chuck: 1} (rank 6)</t>
  </si>
  <si>
    <t>{Coins: 50, Shuffle: 1} (rank 3)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</si>
  <si>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</si>
  <si>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</si>
  <si>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</si>
  <si>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</si>
  <si>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</si>
  <si>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</si>
  <si>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</si>
  <si>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</si>
  <si>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</si>
  <si>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</si>
  <si>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</si>
  <si>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</si>
  <si>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Night Sky pays only on its exact milestone night. Flock Flurry opt-in = 60 min Unlimited Lives (design-PDF constant).</t>
  </si>
  <si>
    <t>11. SPT / COOP Token / Avatar / star-daily rewards are outside the 11-resource universe and are not tracked.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</si>
  <si>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</si>
  <si>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</si>
  <si>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</si>
  <si>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</si>
  <si>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</si>
  <si>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</si>
  <si>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</si>
  <si>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</si>
  <si>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</si>
  <si>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</si>
  <si>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</si>
  <si>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</si>
  <si>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</si>
  <si>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</si>
  <si>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</si>
  <si>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</si>
  <si>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Kx200 Tx20</t>
  </si>
  <si>
    <t>Kx500 Tx100</t>
  </si>
  <si>
    <t>Saga node 8 at level 280 -&gt; {Bomb: 1, Unlimited Lives: 30}</t>
  </si>
  <si>
    <t>E</t>
  </si>
  <si>
    <t>day end (LB)</t>
  </si>
  <si>
    <t>Kite Festival rank 30 (below ladder / pays nothing) -&gt; {}</t>
  </si>
  <si>
    <t>Target Day rank 3 -&gt; {Coins: 10, Slingshot: 1}</t>
  </si>
  <si>
    <t>Flash Race rank 5 -&gt; {Shuffle: 1}</t>
  </si>
  <si>
    <t>Session Summary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</si>
  <si>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</si>
  <si>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</si>
  <si>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</si>
  <si>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</si>
  <si>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</si>
  <si>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</si>
  <si>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</si>
  <si>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</si>
  <si>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</si>
  <si>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</si>
  <si>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</si>
  <si>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</si>
  <si>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</si>
  <si>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</si>
  <si>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SPTx2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</si>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</sst>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#,##0.00;-#,##0.00"/>
    <numFmt numFmtId="171" formatCode="0.0"/>
  </numFmts>
  <fonts count="68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4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sz val="9.0"/>
      <color rgb="FF808080"/>
      <name val="Arial"/>
    </font>
    <font>
      <color rgb="FF990000"/>
      <name val="Arial"/>
    </font>
    <font>
      <color rgb="FF006100"/>
      <name val="Arial"/>
    </font>
    <font>
      <b/>
      <sz val="9.0"/>
      <color rgb="FF000000"/>
      <name val="Arial"/>
    </font>
    <font>
      <b/>
      <color theme="1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E9DEF3"/>
        <bgColor rgb="FFE9DEF3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5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9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3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3" fillId="0" fontId="7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5" fillId="4" fontId="10" numFmtId="0" xfId="0" applyAlignment="1" applyBorder="1" applyFill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wrapText="1"/>
    </xf>
    <xf borderId="5" fillId="3" fontId="10" numFmtId="0" xfId="0" applyAlignment="1" applyBorder="1" applyFont="1">
      <alignment horizontal="center" shrinkToFit="0" wrapText="1"/>
    </xf>
    <xf borderId="6" fillId="0" fontId="12" numFmtId="0" xfId="0" applyAlignment="1" applyBorder="1" applyFont="1">
      <alignment horizontal="center" shrinkToFit="0" vertical="center" wrapText="1"/>
    </xf>
    <xf borderId="7" fillId="5" fontId="13" numFmtId="0" xfId="0" applyAlignment="1" applyBorder="1" applyFill="1" applyFont="1">
      <alignment horizontal="center" shrinkToFit="0" vertical="center" wrapText="1"/>
    </xf>
    <xf borderId="8" fillId="5" fontId="14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shrinkToFit="0" vertical="bottom" wrapText="0"/>
    </xf>
    <xf borderId="3" fillId="0" fontId="15" numFmtId="0" xfId="0" applyAlignment="1" applyBorder="1" applyFont="1">
      <alignment horizontal="righ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right" shrinkToFit="0" vertical="bottom" wrapText="0"/>
    </xf>
    <xf borderId="4" fillId="0" fontId="15" numFmtId="0" xfId="0" applyAlignment="1" applyBorder="1" applyFont="1">
      <alignment horizontal="left" shrinkToFit="0" vertical="bottom" wrapText="0"/>
    </xf>
    <xf borderId="0" fillId="6" fontId="13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center" readingOrder="0" shrinkToFit="0" vertical="bottom" wrapText="0"/>
    </xf>
    <xf borderId="9" fillId="5" fontId="14" numFmtId="0" xfId="0" applyAlignment="1" applyBorder="1" applyFont="1">
      <alignment horizontal="center" shrinkToFit="0" vertical="bottom" wrapText="1"/>
    </xf>
    <xf borderId="10" fillId="5" fontId="14" numFmtId="0" xfId="0" applyAlignment="1" applyBorder="1" applyFont="1">
      <alignment horizontal="center" readingOrder="0" shrinkToFit="0" vertical="bottom" wrapText="1"/>
    </xf>
    <xf borderId="10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readingOrder="0" shrinkToFit="0" vertical="bottom" wrapText="1"/>
    </xf>
    <xf borderId="11" fillId="5" fontId="14" numFmtId="0" xfId="0" applyAlignment="1" applyBorder="1" applyFont="1">
      <alignment horizontal="center" shrinkToFit="0" vertical="bottom" wrapText="1"/>
    </xf>
    <xf borderId="0" fillId="7" fontId="7" numFmtId="0" xfId="0" applyAlignment="1" applyFill="1" applyFont="1">
      <alignment horizontal="center" shrinkToFit="0" vertical="bottom" wrapText="0"/>
    </xf>
    <xf borderId="0" fillId="0" fontId="5" numFmtId="0" xfId="0" applyAlignment="1" applyFont="1">
      <alignment horizontal="right" readingOrder="0"/>
    </xf>
    <xf borderId="12" fillId="0" fontId="12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4" fillId="5" fontId="14" numFmtId="0" xfId="0" applyAlignment="1" applyBorder="1" applyFont="1">
      <alignment horizontal="center" readingOrder="0" shrinkToFit="0" vertical="bottom" wrapText="1"/>
    </xf>
    <xf borderId="3" fillId="5" fontId="14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shrinkToFit="0" vertical="bottom" wrapText="1"/>
    </xf>
    <xf borderId="4" fillId="5" fontId="14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right" shrinkToFit="0" vertical="bottom" wrapText="0"/>
    </xf>
    <xf borderId="15" fillId="0" fontId="12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17" fillId="5" fontId="16" numFmtId="0" xfId="0" applyAlignment="1" applyBorder="1" applyFont="1">
      <alignment horizontal="center" readingOrder="0" shrinkToFit="0" vertical="bottom" wrapText="1"/>
    </xf>
    <xf borderId="18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shrinkToFit="0" vertical="bottom" wrapText="1"/>
    </xf>
    <xf borderId="19" fillId="5" fontId="14" numFmtId="0" xfId="0" applyAlignment="1" applyBorder="1" applyFont="1">
      <alignment horizontal="center" readingOrder="0" shrinkToFit="0" vertical="bottom" wrapText="1"/>
    </xf>
    <xf borderId="20" fillId="5" fontId="14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wrapText="1"/>
    </xf>
    <xf borderId="5" fillId="0" fontId="13" numFmtId="2" xfId="0" applyAlignment="1" applyBorder="1" applyFont="1" applyNumberFormat="1">
      <alignment horizontal="center" shrinkToFit="0" vertical="center" wrapText="1"/>
    </xf>
    <xf borderId="5" fillId="0" fontId="18" numFmtId="2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5" fillId="0" fontId="18" numFmtId="164" xfId="0" applyAlignment="1" applyBorder="1" applyFont="1" applyNumberFormat="1">
      <alignment horizontal="center" shrinkToFit="0" wrapText="1"/>
    </xf>
    <xf borderId="0" fillId="0" fontId="19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1"/>
    </xf>
    <xf borderId="3" fillId="0" fontId="15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right" shrinkToFit="0" vertical="bottom" wrapText="0"/>
    </xf>
    <xf borderId="4" fillId="0" fontId="20" numFmtId="0" xfId="0" applyAlignment="1" applyBorder="1" applyFont="1">
      <alignment horizontal="left" shrinkToFit="0" vertical="bottom" wrapText="0"/>
    </xf>
    <xf borderId="10" fillId="5" fontId="21" numFmtId="0" xfId="0" applyAlignment="1" applyBorder="1" applyFont="1">
      <alignment horizontal="center" readingOrder="0" shrinkToFit="0" vertical="bottom" wrapText="1"/>
    </xf>
    <xf borderId="0" fillId="5" fontId="16" numFmtId="0" xfId="0" applyAlignment="1" applyFont="1">
      <alignment horizontal="center" shrinkToFit="0" vertical="bottom" wrapText="1"/>
    </xf>
    <xf borderId="0" fillId="7" fontId="15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right" readingOrder="0"/>
    </xf>
    <xf borderId="12" fillId="0" fontId="13" numFmtId="0" xfId="0" applyAlignment="1" applyBorder="1" applyFont="1">
      <alignment horizontal="center" shrinkToFit="0" vertical="center" wrapText="1"/>
    </xf>
    <xf borderId="0" fillId="5" fontId="21" numFmtId="0" xfId="0" applyAlignment="1" applyFont="1">
      <alignment horizontal="center" readingOrder="0" shrinkToFit="0" vertical="bottom" wrapText="1"/>
    </xf>
    <xf borderId="14" fillId="5" fontId="23" numFmtId="0" xfId="0" applyAlignment="1" applyBorder="1" applyFont="1">
      <alignment horizontal="center" readingOrder="0" shrinkToFit="0" vertical="bottom" wrapText="1"/>
    </xf>
    <xf borderId="0" fillId="5" fontId="16" numFmtId="0" xfId="0" applyAlignment="1" applyFont="1">
      <alignment horizontal="center" readingOrder="0" shrinkToFit="0" vertical="bottom" wrapText="1"/>
    </xf>
    <xf borderId="0" fillId="5" fontId="23" numFmtId="0" xfId="0" applyAlignment="1" applyFont="1">
      <alignment horizontal="center" readingOrder="0" shrinkToFit="0" vertical="bottom" wrapText="1"/>
    </xf>
    <xf borderId="15" fillId="0" fontId="13" numFmtId="0" xfId="0" applyAlignment="1" applyBorder="1" applyFont="1">
      <alignment horizontal="center" shrinkToFit="0" vertical="center" wrapText="1"/>
    </xf>
    <xf borderId="17" fillId="5" fontId="21" numFmtId="0" xfId="0" applyAlignment="1" applyBorder="1" applyFont="1">
      <alignment horizontal="center" readingOrder="0" shrinkToFit="0" vertical="bottom" wrapText="1"/>
    </xf>
    <xf borderId="19" fillId="5" fontId="21" numFmtId="0" xfId="0" applyAlignment="1" applyBorder="1" applyFont="1">
      <alignment horizontal="center" readingOrder="0" shrinkToFit="0" vertical="bottom" wrapText="1"/>
    </xf>
    <xf borderId="19" fillId="5" fontId="16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shrinkToFit="0" wrapText="1"/>
    </xf>
    <xf borderId="5" fillId="0" fontId="24" numFmtId="2" xfId="0" applyAlignment="1" applyBorder="1" applyFont="1" applyNumberFormat="1">
      <alignment horizontal="center" shrinkToFit="0" wrapText="1"/>
    </xf>
    <xf borderId="0" fillId="0" fontId="15" numFmtId="0" xfId="0" applyAlignment="1" applyFont="1">
      <alignment vertical="bottom"/>
    </xf>
    <xf borderId="5" fillId="0" fontId="24" numFmtId="164" xfId="0" applyAlignment="1" applyBorder="1" applyFont="1" applyNumberFormat="1">
      <alignment horizontal="center" shrinkToFit="0" wrapText="1"/>
    </xf>
    <xf borderId="0" fillId="0" fontId="25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 shrinkToFit="0" vertical="bottom" wrapText="1"/>
    </xf>
    <xf borderId="0" fillId="3" fontId="2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9" fillId="0" fontId="12" numFmtId="0" xfId="0" applyAlignment="1" applyBorder="1" applyFont="1">
      <alignment horizontal="center" shrinkToFit="0" vertical="center" wrapText="1"/>
    </xf>
    <xf borderId="2" fillId="8" fontId="1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bottom" wrapText="0"/>
    </xf>
    <xf borderId="1" fillId="9" fontId="27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 shrinkToFit="0" vertical="center" wrapText="1"/>
    </xf>
    <xf borderId="21" fillId="8" fontId="13" numFmtId="0" xfId="0" applyAlignment="1" applyBorder="1" applyFont="1">
      <alignment horizontal="center" shrinkToFit="0" vertical="center" wrapText="1"/>
    </xf>
    <xf borderId="1" fillId="10" fontId="27" numFmtId="0" xfId="0" applyAlignment="1" applyBorder="1" applyFill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8" fillId="0" fontId="12" numFmtId="0" xfId="0" applyAlignment="1" applyBorder="1" applyFont="1">
      <alignment horizontal="center" shrinkToFit="0" vertical="center" wrapText="1"/>
    </xf>
    <xf borderId="22" fillId="8" fontId="13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vertical="bottom"/>
    </xf>
    <xf borderId="2" fillId="10" fontId="13" numFmtId="0" xfId="0" applyAlignment="1" applyBorder="1" applyFont="1">
      <alignment horizontal="center" shrinkToFit="0" vertical="center" wrapText="1"/>
    </xf>
    <xf borderId="0" fillId="0" fontId="22" numFmtId="0" xfId="0" applyFont="1"/>
    <xf borderId="1" fillId="9" fontId="16" numFmtId="0" xfId="0" applyAlignment="1" applyBorder="1" applyFont="1">
      <alignment horizontal="center" vertical="bottom"/>
    </xf>
    <xf borderId="21" fillId="10" fontId="13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22" fillId="10" fontId="13" numFmtId="0" xfId="0" applyAlignment="1" applyBorder="1" applyFont="1">
      <alignment horizontal="center" shrinkToFit="0" vertical="center" wrapText="1"/>
    </xf>
    <xf borderId="0" fillId="3" fontId="29" numFmtId="0" xfId="0" applyAlignment="1" applyFont="1">
      <alignment vertical="bottom"/>
    </xf>
    <xf borderId="5" fillId="0" fontId="30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0"/>
    </xf>
    <xf borderId="13" fillId="11" fontId="10" numFmtId="0" xfId="0" applyAlignment="1" applyBorder="1" applyFill="1" applyFont="1">
      <alignment horizontal="left" readingOrder="0" shrinkToFit="0" vertical="center" wrapText="0"/>
    </xf>
    <xf borderId="13" fillId="11" fontId="10" numFmtId="0" xfId="0" applyAlignment="1" applyBorder="1" applyFont="1">
      <alignment horizontal="left" shrinkToFit="0" vertical="center" wrapText="0"/>
    </xf>
    <xf borderId="13" fillId="5" fontId="27" numFmtId="0" xfId="0" applyAlignment="1" applyBorder="1" applyFont="1">
      <alignment horizontal="left" shrinkToFit="0" vertical="center" wrapText="0"/>
    </xf>
    <xf borderId="23" fillId="5" fontId="27" numFmtId="0" xfId="0" applyAlignment="1" applyBorder="1" applyFont="1">
      <alignment horizontal="left" shrinkToFit="0" vertical="center" wrapText="0"/>
    </xf>
    <xf borderId="24" fillId="5" fontId="27" numFmtId="0" xfId="0" applyAlignment="1" applyBorder="1" applyFont="1">
      <alignment horizontal="left" shrinkToFit="0" vertical="center" wrapText="0"/>
    </xf>
    <xf borderId="25" fillId="12" fontId="27" numFmtId="0" xfId="0" applyAlignment="1" applyBorder="1" applyFill="1" applyFont="1">
      <alignment horizontal="center" shrinkToFit="0" vertical="bottom" wrapText="1"/>
    </xf>
    <xf borderId="26" fillId="12" fontId="27" numFmtId="0" xfId="0" applyAlignment="1" applyBorder="1" applyFont="1">
      <alignment horizontal="center" shrinkToFit="0" vertical="bottom" wrapText="1"/>
    </xf>
    <xf borderId="27" fillId="12" fontId="27" numFmtId="0" xfId="0" applyAlignment="1" applyBorder="1" applyFont="1">
      <alignment horizontal="center" shrinkToFit="0" textRotation="180" vertical="bottom" wrapText="0"/>
    </xf>
    <xf borderId="25" fillId="12" fontId="27" numFmtId="0" xfId="0" applyAlignment="1" applyBorder="1" applyFont="1">
      <alignment horizontal="center" shrinkToFit="0" textRotation="180" vertical="bottom" wrapText="0"/>
    </xf>
    <xf borderId="26" fillId="12" fontId="27" numFmtId="0" xfId="0" applyAlignment="1" applyBorder="1" applyFont="1">
      <alignment horizontal="center" shrinkToFit="0" textRotation="180" vertical="bottom" wrapText="0"/>
    </xf>
    <xf borderId="25" fillId="0" fontId="31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center" shrinkToFit="0" vertical="center" wrapText="0"/>
    </xf>
    <xf borderId="28" fillId="0" fontId="31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25" fillId="13" fontId="27" numFmtId="0" xfId="0" applyAlignment="1" applyBorder="1" applyFill="1" applyFont="1">
      <alignment horizontal="left" shrinkToFit="0" vertical="center" wrapText="0"/>
    </xf>
    <xf borderId="25" fillId="13" fontId="27" numFmtId="0" xfId="0" applyAlignment="1" applyBorder="1" applyFont="1">
      <alignment horizontal="center" shrinkToFit="0" vertical="center" wrapText="0"/>
    </xf>
    <xf borderId="26" fillId="13" fontId="27" numFmtId="0" xfId="0" applyAlignment="1" applyBorder="1" applyFont="1">
      <alignment horizontal="center" shrinkToFit="0" vertical="center" wrapText="0"/>
    </xf>
    <xf borderId="27" fillId="13" fontId="27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shrinkToFit="0" vertical="bottom" wrapText="0"/>
    </xf>
    <xf borderId="0" fillId="11" fontId="10" numFmtId="0" xfId="0" applyAlignment="1" applyFont="1">
      <alignment horizontal="left" readingOrder="0" shrinkToFit="0" wrapText="0"/>
    </xf>
    <xf borderId="0" fillId="11" fontId="10" numFmtId="0" xfId="0" applyAlignment="1" applyFont="1">
      <alignment horizontal="left" shrinkToFit="0" wrapText="0"/>
    </xf>
    <xf borderId="0" fillId="13" fontId="27" numFmtId="0" xfId="0" applyAlignment="1" applyFont="1">
      <alignment horizontal="left" readingOrder="0" shrinkToFit="0" wrapText="0"/>
    </xf>
    <xf borderId="0" fillId="5" fontId="31" numFmtId="0" xfId="0" applyAlignment="1" applyFont="1">
      <alignment horizontal="center" readingOrder="0" shrinkToFit="0" wrapText="0"/>
    </xf>
    <xf borderId="26" fillId="12" fontId="27" numFmtId="0" xfId="0" applyAlignment="1" applyBorder="1" applyFont="1">
      <alignment horizontal="center" readingOrder="0" vertical="bottom"/>
    </xf>
    <xf borderId="27" fillId="12" fontId="27" numFmtId="0" xfId="0" applyAlignment="1" applyBorder="1" applyFont="1">
      <alignment horizontal="center" readingOrder="0" shrinkToFit="0" textRotation="180" vertical="bottom" wrapText="0"/>
    </xf>
    <xf borderId="25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left" readingOrder="0" shrinkToFit="0" wrapText="0"/>
    </xf>
    <xf borderId="27" fillId="14" fontId="31" numFmtId="0" xfId="0" applyAlignment="1" applyBorder="1" applyFill="1" applyFont="1">
      <alignment horizontal="center" readingOrder="0" shrinkToFit="0" wrapText="0"/>
    </xf>
    <xf borderId="25" fillId="0" fontId="31" numFmtId="0" xfId="0" applyAlignment="1" applyBorder="1" applyFont="1">
      <alignment horizontal="center" readingOrder="0" shrinkToFit="0" wrapText="0"/>
    </xf>
    <xf borderId="25" fillId="14" fontId="31" numFmtId="0" xfId="0" applyAlignment="1" applyBorder="1" applyFont="1">
      <alignment horizontal="center" readingOrder="0" shrinkToFit="0" wrapText="0"/>
    </xf>
    <xf borderId="26" fillId="15" fontId="31" numFmtId="0" xfId="0" applyAlignment="1" applyBorder="1" applyFill="1" applyFont="1">
      <alignment horizontal="left" readingOrder="0" shrinkToFit="0" wrapText="0"/>
    </xf>
    <xf borderId="25" fillId="15" fontId="31" numFmtId="0" xfId="0" applyAlignment="1" applyBorder="1" applyFont="1">
      <alignment horizontal="center" readingOrder="0" shrinkToFit="0" wrapText="0"/>
    </xf>
    <xf borderId="27" fillId="0" fontId="31" numFmtId="0" xfId="0" applyAlignment="1" applyBorder="1" applyFont="1">
      <alignment horizontal="center" readingOrder="0" shrinkToFit="0" wrapText="0"/>
    </xf>
    <xf borderId="27" fillId="15" fontId="31" numFmtId="0" xfId="0" applyAlignment="1" applyBorder="1" applyFont="1">
      <alignment horizontal="center" readingOrder="0" shrinkToFit="0" wrapText="0"/>
    </xf>
    <xf borderId="13" fillId="13" fontId="27" numFmtId="0" xfId="0" applyAlignment="1" applyBorder="1" applyFont="1">
      <alignment horizontal="left" shrinkToFit="0" vertical="center" wrapText="0"/>
    </xf>
    <xf borderId="13" fillId="5" fontId="31" numFmtId="0" xfId="0" applyAlignment="1" applyBorder="1" applyFont="1">
      <alignment horizontal="center" shrinkToFit="0" vertical="center" wrapText="0"/>
    </xf>
    <xf borderId="25" fillId="12" fontId="27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vertical="bottom"/>
    </xf>
    <xf borderId="27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0" fillId="0" fontId="33" numFmtId="0" xfId="0" applyFont="1"/>
    <xf borderId="5" fillId="5" fontId="33" numFmtId="0" xfId="0" applyAlignment="1" applyBorder="1" applyFont="1">
      <alignment horizontal="center" readingOrder="0"/>
    </xf>
    <xf borderId="13" fillId="13" fontId="16" numFmtId="0" xfId="0" applyAlignment="1" applyBorder="1" applyFont="1">
      <alignment horizontal="left" shrinkToFit="0" vertical="center" wrapText="0"/>
    </xf>
    <xf borderId="13" fillId="5" fontId="23" numFmtId="0" xfId="0" applyAlignment="1" applyBorder="1" applyFont="1">
      <alignment horizontal="center" readingOrder="0" shrinkToFit="0" vertical="center" wrapText="0"/>
    </xf>
    <xf borderId="13" fillId="5" fontId="14" numFmtId="0" xfId="0" applyAlignment="1" applyBorder="1" applyFont="1">
      <alignment horizontal="center" shrinkToFit="0" vertical="center" wrapText="0"/>
    </xf>
    <xf borderId="5" fillId="7" fontId="33" numFmtId="0" xfId="0" applyAlignment="1" applyBorder="1" applyFont="1">
      <alignment horizontal="center"/>
    </xf>
    <xf borderId="5" fillId="10" fontId="7" numFmtId="0" xfId="0" applyAlignment="1" applyBorder="1" applyFont="1">
      <alignment horizontal="center"/>
    </xf>
    <xf borderId="5" fillId="10" fontId="7" numFmtId="1" xfId="0" applyAlignment="1" applyBorder="1" applyFont="1" applyNumberFormat="1">
      <alignment horizontal="center"/>
    </xf>
    <xf borderId="5" fillId="10" fontId="7" numFmtId="0" xfId="0" applyAlignment="1" applyBorder="1" applyFont="1">
      <alignment horizontal="left"/>
    </xf>
    <xf borderId="25" fillId="12" fontId="16" numFmtId="0" xfId="0" applyAlignment="1" applyBorder="1" applyFont="1">
      <alignment horizontal="center" shrinkToFit="0" vertical="bottom" wrapText="1"/>
    </xf>
    <xf borderId="26" fillId="12" fontId="16" numFmtId="0" xfId="0" applyAlignment="1" applyBorder="1" applyFont="1">
      <alignment horizontal="center" shrinkToFit="0" vertical="bottom" wrapText="1"/>
    </xf>
    <xf borderId="27" fillId="12" fontId="16" numFmtId="0" xfId="0" applyAlignment="1" applyBorder="1" applyFont="1">
      <alignment horizontal="center" shrinkToFit="0" textRotation="180" vertical="bottom" wrapText="0"/>
    </xf>
    <xf borderId="25" fillId="12" fontId="16" numFmtId="0" xfId="0" applyAlignment="1" applyBorder="1" applyFont="1">
      <alignment horizontal="center" shrinkToFit="0" textRotation="180" vertical="bottom" wrapText="0"/>
    </xf>
    <xf borderId="25" fillId="0" fontId="14" numFmtId="0" xfId="0" applyAlignment="1" applyBorder="1" applyFont="1">
      <alignment horizontal="center" shrinkToFit="0" vertical="center" wrapText="0"/>
    </xf>
    <xf borderId="26" fillId="0" fontId="14" numFmtId="0" xfId="0" applyAlignment="1" applyBorder="1" applyFont="1">
      <alignment horizontal="center" shrinkToFit="0" vertical="center" wrapText="0"/>
    </xf>
    <xf borderId="27" fillId="0" fontId="14" numFmtId="0" xfId="0" applyAlignment="1" applyBorder="1" applyFont="1">
      <alignment horizontal="center" shrinkToFit="0" vertical="center" wrapText="0"/>
    </xf>
    <xf borderId="26" fillId="0" fontId="31" numFmtId="0" xfId="0" applyAlignment="1" applyBorder="1" applyFont="1">
      <alignment horizontal="left" shrinkToFit="0" vertical="center" wrapText="0"/>
    </xf>
    <xf borderId="25" fillId="0" fontId="31" numFmtId="0" xfId="0" applyAlignment="1" applyBorder="1" applyFont="1">
      <alignment horizontal="center" readingOrder="0" shrinkToFit="0" vertical="center" wrapText="0"/>
    </xf>
    <xf borderId="5" fillId="5" fontId="33" numFmtId="0" xfId="0" applyAlignment="1" applyBorder="1" applyFont="1">
      <alignment horizontal="center"/>
    </xf>
    <xf borderId="5" fillId="5" fontId="33" numFmtId="9" xfId="0" applyBorder="1" applyFont="1" applyNumberFormat="1"/>
    <xf borderId="5" fillId="7" fontId="33" numFmtId="0" xfId="0" applyBorder="1" applyFont="1"/>
    <xf borderId="5" fillId="0" fontId="7" numFmtId="0" xfId="0" applyBorder="1" applyFont="1"/>
    <xf borderId="5" fillId="5" fontId="7" numFmtId="0" xfId="0" applyBorder="1" applyFont="1"/>
    <xf borderId="5" fillId="10" fontId="7" numFmtId="165" xfId="0" applyBorder="1" applyFont="1" applyNumberFormat="1"/>
    <xf borderId="0" fillId="0" fontId="34" numFmtId="0" xfId="0" applyFont="1"/>
    <xf borderId="26" fillId="0" fontId="14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readingOrder="0" shrinkToFit="0" vertical="center" wrapText="0"/>
    </xf>
    <xf borderId="27" fillId="0" fontId="14" numFmtId="0" xfId="0" applyAlignment="1" applyBorder="1" applyFont="1">
      <alignment horizontal="center" readingOrder="0" shrinkToFit="0" vertical="center" wrapText="0"/>
    </xf>
    <xf borderId="13" fillId="5" fontId="31" numFmtId="0" xfId="0" applyAlignment="1" applyBorder="1" applyFont="1">
      <alignment horizontal="center" readingOrder="0" shrinkToFit="0" vertical="center" wrapText="0"/>
    </xf>
    <xf borderId="25" fillId="0" fontId="31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0" fillId="0" fontId="6" numFmtId="0" xfId="0" applyFont="1"/>
    <xf borderId="13" fillId="11" fontId="10" numFmtId="0" xfId="0" applyAlignment="1" applyBorder="1" applyFont="1">
      <alignment horizontal="left" vertical="center"/>
    </xf>
    <xf borderId="13" fillId="13" fontId="27" numFmtId="0" xfId="0" applyAlignment="1" applyBorder="1" applyFont="1">
      <alignment horizontal="left" vertical="center"/>
    </xf>
    <xf borderId="13" fillId="5" fontId="31" numFmtId="0" xfId="0" applyAlignment="1" applyBorder="1" applyFont="1">
      <alignment horizontal="center" vertical="center"/>
    </xf>
    <xf borderId="25" fillId="0" fontId="31" numFmtId="0" xfId="0" applyAlignment="1" applyBorder="1" applyFont="1">
      <alignment horizontal="center" vertical="center"/>
    </xf>
    <xf borderId="25" fillId="5" fontId="31" numFmtId="0" xfId="0" applyAlignment="1" applyBorder="1" applyFont="1">
      <alignment horizontal="center" vertical="center"/>
    </xf>
    <xf borderId="25" fillId="12" fontId="27" numFmtId="0" xfId="0" applyAlignment="1" applyBorder="1" applyFont="1">
      <alignment horizontal="center" textRotation="180" vertical="bottom"/>
    </xf>
    <xf borderId="0" fillId="0" fontId="5" numFmtId="0" xfId="0" applyFont="1"/>
    <xf borderId="0" fillId="0" fontId="32" numFmtId="0" xfId="0" applyFont="1"/>
    <xf borderId="13" fillId="13" fontId="16" numFmtId="0" xfId="0" applyAlignment="1" applyBorder="1" applyFont="1">
      <alignment horizontal="left" vertical="center"/>
    </xf>
    <xf borderId="13" fillId="5" fontId="14" numFmtId="0" xfId="0" applyAlignment="1" applyBorder="1" applyFont="1">
      <alignment horizontal="center" vertical="center"/>
    </xf>
    <xf borderId="13" fillId="5" fontId="23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25" fillId="5" fontId="14" numFmtId="0" xfId="0" applyAlignment="1" applyBorder="1" applyFont="1">
      <alignment horizontal="center" vertical="center"/>
    </xf>
    <xf borderId="25" fillId="12" fontId="16" numFmtId="0" xfId="0" applyAlignment="1" applyBorder="1" applyFont="1">
      <alignment horizontal="center" textRotation="180" vertical="bottom"/>
    </xf>
    <xf borderId="25" fillId="0" fontId="23" numFmtId="0" xfId="0" applyAlignment="1" applyBorder="1" applyFont="1">
      <alignment horizontal="center" vertical="center"/>
    </xf>
    <xf borderId="25" fillId="0" fontId="23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vertical="center"/>
    </xf>
    <xf borderId="0" fillId="0" fontId="5" numFmtId="2" xfId="0" applyFont="1" applyNumberFormat="1"/>
    <xf borderId="13" fillId="11" fontId="10" numFmtId="2" xfId="0" applyAlignment="1" applyBorder="1" applyFont="1" applyNumberFormat="1">
      <alignment horizontal="left" shrinkToFit="0" vertical="center" wrapText="0"/>
    </xf>
    <xf borderId="29" fillId="11" fontId="10" numFmtId="0" xfId="0" applyAlignment="1" applyBorder="1" applyFont="1">
      <alignment horizontal="left" shrinkToFit="0" vertical="center" wrapText="0"/>
    </xf>
    <xf borderId="29" fillId="11" fontId="10" numFmtId="2" xfId="0" applyAlignment="1" applyBorder="1" applyFont="1" applyNumberFormat="1">
      <alignment horizontal="left" shrinkToFit="0" vertical="center" wrapText="0"/>
    </xf>
    <xf borderId="0" fillId="16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0" fillId="12" fontId="27" numFmtId="0" xfId="0" applyAlignment="1" applyBorder="1" applyFon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vertical="bottom" wrapText="1"/>
    </xf>
    <xf borderId="30" fillId="12" fontId="27" numFmtId="2" xfId="0" applyAlignment="1" applyBorder="1" applyFont="1" applyNumberFormat="1">
      <alignment horizontal="center" shrinkToFit="0" vertical="bottom" wrapText="1"/>
    </xf>
    <xf borderId="30" fillId="12" fontId="27" numFmtId="0" xfId="0" applyAlignment="1" applyBorder="1" applyFont="1">
      <alignment horizontal="center" readingOrder="0" shrinkToFit="0" textRotation="180" vertical="bottom" wrapText="0"/>
    </xf>
    <xf borderId="30" fillId="12" fontId="27" numFmtId="0" xfId="0" applyAlignment="1" applyBorder="1" applyFont="1">
      <alignment horizontal="center" shrinkToFit="0" textRotation="180" vertical="bottom" wrapText="0"/>
    </xf>
    <xf borderId="25" fillId="0" fontId="31" numFmtId="2" xfId="0" applyAlignment="1" applyBorder="1" applyFont="1" applyNumberFormat="1">
      <alignment horizontal="center" shrinkToFit="0" vertical="center" wrapText="0"/>
    </xf>
    <xf borderId="25" fillId="12" fontId="27" numFmtId="0" xfId="0" applyAlignment="1" applyBorder="1" applyFont="1">
      <alignment horizontal="center" readingOrder="0" shrinkToFit="0" vertical="bottom" wrapText="1"/>
    </xf>
    <xf borderId="25" fillId="12" fontId="27" numFmtId="2" xfId="0" applyAlignment="1" applyBorder="1" applyFont="1" applyNumberFormat="1">
      <alignment horizontal="center" shrinkToFit="0" vertical="bottom" wrapText="1"/>
    </xf>
    <xf borderId="13" fillId="5" fontId="31" numFmtId="0" xfId="0" applyAlignment="1" applyBorder="1" applyFont="1">
      <alignment horizontal="center" shrinkToFit="0" vertical="center" wrapText="1"/>
    </xf>
    <xf borderId="31" fillId="12" fontId="27" numFmtId="0" xfId="0" applyAlignment="1" applyBorder="1" applyFont="1">
      <alignment horizontal="center" shrinkToFit="0" textRotation="180" vertical="bottom" wrapText="0"/>
    </xf>
    <xf borderId="31" fillId="0" fontId="31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vertical="bottom"/>
    </xf>
    <xf borderId="0" fillId="0" fontId="13" numFmtId="0" xfId="0" applyFont="1"/>
    <xf borderId="0" fillId="0" fontId="27" numFmtId="0" xfId="0" applyFont="1"/>
    <xf borderId="13" fillId="5" fontId="23" numFmtId="0" xfId="0" applyAlignment="1" applyBorder="1" applyFont="1">
      <alignment horizontal="center" vertical="center"/>
    </xf>
    <xf borderId="5" fillId="10" fontId="7" numFmtId="3" xfId="0" applyBorder="1" applyFont="1" applyNumberFormat="1"/>
    <xf borderId="13" fillId="5" fontId="14" numFmtId="0" xfId="0" applyAlignment="1" applyBorder="1" applyFont="1">
      <alignment horizontal="center" shrinkToFit="0" vertical="center" wrapText="1"/>
    </xf>
    <xf borderId="0" fillId="0" fontId="35" numFmtId="0" xfId="0" applyFont="1"/>
    <xf borderId="31" fillId="12" fontId="16" numFmtId="0" xfId="0" applyAlignment="1" applyBorder="1" applyFont="1">
      <alignment horizontal="center" textRotation="180" vertical="bottom"/>
    </xf>
    <xf borderId="25" fillId="0" fontId="14" numFmtId="0" xfId="0" applyAlignment="1" applyBorder="1" applyFont="1">
      <alignment horizontal="left" vertical="center"/>
    </xf>
    <xf borderId="26" fillId="0" fontId="14" numFmtId="0" xfId="0" applyAlignment="1" applyBorder="1" applyFont="1">
      <alignment horizontal="center" vertical="center"/>
    </xf>
    <xf borderId="31" fillId="0" fontId="14" numFmtId="0" xfId="0" applyAlignment="1" applyBorder="1" applyFont="1">
      <alignment horizontal="center" vertical="center"/>
    </xf>
    <xf borderId="0" fillId="0" fontId="24" numFmtId="0" xfId="0" applyFont="1"/>
    <xf borderId="5" fillId="10" fontId="36" numFmtId="0" xfId="0" applyBorder="1" applyFont="1"/>
    <xf borderId="0" fillId="0" fontId="34" numFmtId="0" xfId="0" applyAlignment="1" applyFont="1">
      <alignment readingOrder="0"/>
    </xf>
    <xf borderId="31" fillId="12" fontId="16" numFmtId="0" xfId="0" applyAlignment="1" applyBorder="1" applyFont="1">
      <alignment horizontal="center" shrinkToFit="0" textRotation="180" vertical="bottom" wrapText="0"/>
    </xf>
    <xf borderId="31" fillId="0" fontId="14" numFmtId="0" xfId="0" applyAlignment="1" applyBorder="1" applyFont="1">
      <alignment horizontal="center" shrinkToFit="0" vertical="center" wrapText="0"/>
    </xf>
    <xf borderId="13" fillId="5" fontId="14" numFmtId="0" xfId="0" applyAlignment="1" applyBorder="1" applyFont="1">
      <alignment horizontal="center" readingOrder="0" shrinkToFit="0" vertical="center" wrapText="0"/>
    </xf>
    <xf borderId="13" fillId="13" fontId="27" numFmtId="0" xfId="0" applyAlignment="1" applyBorder="1" applyFont="1">
      <alignment horizontal="left" readingOrder="0" shrinkToFit="0" vertical="center" wrapText="0"/>
    </xf>
    <xf borderId="29" fillId="11" fontId="10" numFmtId="0" xfId="0" applyAlignment="1" applyBorder="1" applyFont="1">
      <alignment horizontal="left" readingOrder="0" shrinkToFit="0" vertical="center" wrapText="0"/>
    </xf>
    <xf borderId="0" fillId="12" fontId="27" numFmtId="0" xfId="0" applyAlignment="1" applyFont="1">
      <alignment horizontal="center" readingOrder="0" shrinkToFit="0" vertical="bottom" wrapText="1"/>
    </xf>
    <xf borderId="3" fillId="12" fontId="27" numFmtId="0" xfId="0" applyAlignment="1" applyBorder="1" applyFont="1">
      <alignment horizontal="center" readingOrder="0" shrinkToFit="0" textRotation="180" vertical="bottom" wrapText="0"/>
    </xf>
    <xf borderId="0" fillId="12" fontId="27" numFmtId="0" xfId="0" applyAlignment="1" applyFont="1">
      <alignment horizontal="center" readingOrder="0" shrinkToFit="0" textRotation="180" vertical="bottom" wrapText="0"/>
    </xf>
    <xf borderId="32" fillId="12" fontId="27" numFmtId="0" xfId="0" applyAlignment="1" applyBorder="1" applyFont="1">
      <alignment horizontal="center" readingOrder="0" shrinkToFit="0" textRotation="180" vertical="bottom" wrapText="0"/>
    </xf>
    <xf borderId="0" fillId="0" fontId="31" numFmtId="0" xfId="0" applyAlignment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32" fillId="0" fontId="31" numFmtId="0" xfId="0" applyAlignment="1" applyBorder="1" applyFont="1">
      <alignment horizontal="center" readingOrder="0" shrinkToFit="0" vertical="center" wrapText="0"/>
    </xf>
    <xf borderId="26" fillId="12" fontId="27" numFmtId="0" xfId="0" applyAlignment="1" applyBorder="1" applyFont="1">
      <alignment horizontal="center" readingOrder="0" shrinkToFit="0" vertical="bottom" wrapText="1"/>
    </xf>
    <xf borderId="31" fillId="12" fontId="27" numFmtId="0" xfId="0" applyAlignment="1" applyBorder="1" applyFont="1">
      <alignment horizontal="center" readingOrder="0" shrinkToFit="0" textRotation="180" vertical="bottom" wrapText="0"/>
    </xf>
    <xf borderId="26" fillId="0" fontId="31" numFmtId="0" xfId="0" applyAlignment="1" applyBorder="1" applyFont="1">
      <alignment horizontal="center" readingOrder="0" shrinkToFit="0" vertical="center" wrapText="0"/>
    </xf>
    <xf borderId="31" fillId="0" fontId="31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readingOrder="0" shrinkToFit="0" vertical="bottom" wrapText="0"/>
    </xf>
    <xf borderId="13" fillId="13" fontId="16" numFmtId="0" xfId="0" applyAlignment="1" applyBorder="1" applyFont="1">
      <alignment horizontal="left" readingOrder="0" shrinkToFit="0" vertical="center" wrapText="0"/>
    </xf>
    <xf borderId="0" fillId="12" fontId="16" numFmtId="0" xfId="0" applyAlignment="1" applyFont="1">
      <alignment horizontal="center" readingOrder="0" shrinkToFit="0" vertical="bottom" wrapText="1"/>
    </xf>
    <xf borderId="3" fillId="12" fontId="16" numFmtId="0" xfId="0" applyAlignment="1" applyBorder="1" applyFont="1">
      <alignment horizontal="center" readingOrder="0" shrinkToFit="0" textRotation="180" vertical="bottom" wrapText="0"/>
    </xf>
    <xf borderId="0" fillId="12" fontId="16" numFmtId="0" xfId="0" applyAlignment="1" applyFont="1">
      <alignment horizontal="center" readingOrder="0" shrinkToFit="0" textRotation="180" vertical="bottom" wrapText="0"/>
    </xf>
    <xf borderId="32" fillId="12" fontId="16" numFmtId="0" xfId="0" applyAlignment="1" applyBorder="1" applyFont="1">
      <alignment horizontal="center" readingOrder="0" shrinkToFit="0" textRotation="180" vertical="bottom" wrapText="0"/>
    </xf>
    <xf borderId="25" fillId="12" fontId="16" numFmtId="0" xfId="0" applyAlignment="1" applyBorder="1" applyFont="1">
      <alignment horizontal="center" readingOrder="0" shrinkToFit="0" textRotation="180" vertical="bottom" wrapText="0"/>
    </xf>
    <xf borderId="0" fillId="0" fontId="14" numFmtId="0" xfId="0" applyAlignment="1" applyFont="1">
      <alignment horizontal="center" readingOrder="0" shrinkToFit="0" vertical="center" wrapText="0"/>
    </xf>
    <xf borderId="3" fillId="0" fontId="14" numFmtId="0" xfId="0" applyAlignment="1" applyBorder="1" applyFont="1">
      <alignment horizontal="center" readingOrder="0" shrinkToFit="0" vertical="center" wrapText="0"/>
    </xf>
    <xf borderId="32" fillId="0" fontId="14" numFmtId="0" xfId="0" applyAlignment="1" applyBorder="1" applyFont="1">
      <alignment horizontal="center" readingOrder="0" shrinkToFit="0" vertical="center" wrapText="0"/>
    </xf>
    <xf borderId="26" fillId="12" fontId="16" numFmtId="0" xfId="0" applyAlignment="1" applyBorder="1" applyFont="1">
      <alignment horizontal="center" readingOrder="0" shrinkToFit="0" vertical="bottom" wrapText="1"/>
    </xf>
    <xf borderId="31" fillId="12" fontId="16" numFmtId="0" xfId="0" applyAlignment="1" applyBorder="1" applyFont="1">
      <alignment horizontal="center" readingOrder="0" shrinkToFit="0" textRotation="180" vertical="bottom" wrapText="0"/>
    </xf>
    <xf borderId="26" fillId="0" fontId="14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31" fillId="0" fontId="14" numFmtId="0" xfId="0" applyAlignment="1" applyBorder="1" applyFont="1">
      <alignment horizontal="center" readingOrder="0" shrinkToFit="0" vertical="center" wrapText="0"/>
    </xf>
    <xf borderId="25" fillId="0" fontId="23" numFmtId="0" xfId="0" applyAlignment="1" applyBorder="1" applyFont="1">
      <alignment horizontal="center" readingOrder="0" shrinkToFit="0" vertical="center" wrapText="0"/>
    </xf>
    <xf borderId="0" fillId="11" fontId="10" numFmtId="0" xfId="0" applyAlignment="1" applyFont="1">
      <alignment horizontal="left" vertical="center"/>
    </xf>
    <xf borderId="0" fillId="13" fontId="27" numFmtId="0" xfId="0" applyAlignment="1" applyFont="1">
      <alignment horizontal="left" vertical="center"/>
    </xf>
    <xf borderId="0" fillId="5" fontId="31" numFmtId="0" xfId="0" applyAlignment="1" applyFont="1">
      <alignment horizontal="left" vertical="center"/>
    </xf>
    <xf borderId="0" fillId="5" fontId="31" numFmtId="0" xfId="0" applyAlignment="1" applyFont="1">
      <alignment horizontal="center" vertical="center"/>
    </xf>
    <xf borderId="26" fillId="12" fontId="27" numFmtId="0" xfId="0" applyAlignment="1" applyBorder="1" applyFont="1">
      <alignment horizontal="center" vertical="bottom"/>
    </xf>
    <xf borderId="31" fillId="12" fontId="27" numFmtId="0" xfId="0" applyAlignment="1" applyBorder="1" applyFont="1">
      <alignment horizontal="center" textRotation="180" vertical="bottom"/>
    </xf>
    <xf borderId="26" fillId="0" fontId="31" numFmtId="0" xfId="0" applyAlignment="1" applyBorder="1" applyFont="1">
      <alignment horizontal="center" vertical="center"/>
    </xf>
    <xf borderId="31" fillId="0" fontId="31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0" fillId="11" fontId="10" numFmtId="0" xfId="0" applyAlignment="1" applyFont="1">
      <alignment horizontal="left" readingOrder="0" vertical="center"/>
    </xf>
    <xf borderId="0" fillId="0" fontId="37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25" fillId="0" fontId="31" numFmtId="0" xfId="0" applyAlignment="1" applyBorder="1" applyFont="1">
      <alignment horizontal="center" readingOrder="0" vertical="center"/>
    </xf>
    <xf borderId="31" fillId="0" fontId="31" numFmtId="0" xfId="0" applyAlignment="1" applyBorder="1" applyFont="1">
      <alignment horizontal="center" readingOrder="0" vertical="center"/>
    </xf>
    <xf borderId="0" fillId="0" fontId="5" numFmtId="14" xfId="0" applyAlignment="1" applyFont="1" applyNumberFormat="1">
      <alignment readingOrder="0"/>
    </xf>
    <xf borderId="33" fillId="17" fontId="38" numFmtId="0" xfId="0" applyBorder="1" applyFill="1" applyFont="1"/>
    <xf borderId="34" fillId="18" fontId="39" numFmtId="0" xfId="0" applyAlignment="1" applyBorder="1" applyFill="1" applyFont="1">
      <alignment horizontal="center" shrinkToFit="0" wrapText="1"/>
    </xf>
    <xf borderId="35" fillId="0" fontId="11" numFmtId="0" xfId="0" applyBorder="1" applyFont="1"/>
    <xf borderId="36" fillId="0" fontId="11" numFmtId="0" xfId="0" applyBorder="1" applyFont="1"/>
    <xf borderId="33" fillId="19" fontId="40" numFmtId="0" xfId="0" applyAlignment="1" applyBorder="1" applyFill="1" applyFont="1">
      <alignment horizontal="center" shrinkToFit="0" wrapText="1"/>
    </xf>
    <xf borderId="33" fillId="19" fontId="41" numFmtId="0" xfId="0" applyAlignment="1" applyBorder="1" applyFont="1">
      <alignment horizontal="center" shrinkToFit="0" wrapText="1"/>
    </xf>
    <xf borderId="34" fillId="20" fontId="41" numFmtId="0" xfId="0" applyAlignment="1" applyBorder="1" applyFill="1" applyFont="1">
      <alignment horizontal="center" shrinkToFit="0" wrapText="1"/>
    </xf>
    <xf borderId="33" fillId="21" fontId="41" numFmtId="0" xfId="0" applyAlignment="1" applyBorder="1" applyFill="1" applyFont="1">
      <alignment horizontal="center" shrinkToFit="0" wrapText="1"/>
    </xf>
    <xf borderId="33" fillId="21" fontId="41" numFmtId="0" xfId="0" applyAlignment="1" applyBorder="1" applyFont="1">
      <alignment horizontal="center" shrinkToFit="0" vertical="bottom" wrapText="1"/>
    </xf>
    <xf borderId="33" fillId="17" fontId="18" numFmtId="0" xfId="0" applyAlignment="1" applyBorder="1" applyFont="1">
      <alignment vertical="bottom"/>
    </xf>
    <xf borderId="34" fillId="21" fontId="41" numFmtId="0" xfId="0" applyAlignment="1" applyBorder="1" applyFont="1">
      <alignment horizontal="center" shrinkToFit="0" wrapText="1"/>
    </xf>
    <xf borderId="33" fillId="22" fontId="41" numFmtId="0" xfId="0" applyAlignment="1" applyBorder="1" applyFill="1" applyFont="1">
      <alignment horizontal="center" shrinkToFit="0" wrapText="1"/>
    </xf>
    <xf borderId="34" fillId="23" fontId="41" numFmtId="0" xfId="0" applyAlignment="1" applyBorder="1" applyFill="1" applyFont="1">
      <alignment horizontal="center" shrinkToFit="0" wrapText="1"/>
    </xf>
    <xf borderId="34" fillId="24" fontId="41" numFmtId="0" xfId="0" applyAlignment="1" applyBorder="1" applyFill="1" applyFont="1">
      <alignment horizontal="center" shrinkToFit="0" wrapText="1"/>
    </xf>
    <xf borderId="33" fillId="23" fontId="41" numFmtId="0" xfId="0" applyAlignment="1" applyBorder="1" applyFont="1">
      <alignment horizontal="center" shrinkToFit="0" wrapText="1"/>
    </xf>
    <xf borderId="34" fillId="17" fontId="41" numFmtId="0" xfId="0" applyAlignment="1" applyBorder="1" applyFont="1">
      <alignment horizontal="center" shrinkToFit="0" wrapText="1"/>
    </xf>
    <xf borderId="33" fillId="17" fontId="41" numFmtId="0" xfId="0" applyAlignment="1" applyBorder="1" applyFont="1">
      <alignment horizontal="center" shrinkToFit="0" wrapText="1"/>
    </xf>
    <xf borderId="0" fillId="0" fontId="35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42" numFmtId="164" xfId="0" applyAlignment="1" applyFont="1" applyNumberFormat="1">
      <alignment horizontal="center" readingOrder="0"/>
    </xf>
    <xf borderId="0" fillId="0" fontId="35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32" fillId="12" fontId="27" numFmtId="0" xfId="0" applyAlignment="1" applyBorder="1" applyFont="1">
      <alignment horizontal="center" readingOrder="0" shrinkToFit="0" textRotation="0" vertical="bottom" wrapText="1"/>
    </xf>
    <xf borderId="0" fillId="0" fontId="31" numFmtId="0" xfId="0" applyAlignment="1" applyFont="1">
      <alignment horizontal="right" readingOrder="0" shrinkToFit="0" vertical="center" wrapText="0"/>
    </xf>
    <xf borderId="0" fillId="0" fontId="31" numFmtId="9" xfId="0" applyAlignment="1" applyFont="1" applyNumberFormat="1">
      <alignment horizontal="center" readingOrder="0" shrinkToFit="0" vertical="center" wrapText="0"/>
    </xf>
    <xf borderId="0" fillId="13" fontId="27" numFmtId="0" xfId="0" applyAlignment="1" applyFont="1">
      <alignment horizontal="right" readingOrder="0" vertical="center"/>
    </xf>
    <xf borderId="0" fillId="7" fontId="5" numFmtId="0" xfId="0" applyFont="1"/>
    <xf borderId="26" fillId="12" fontId="27" numFmtId="0" xfId="0" applyAlignment="1" applyBorder="1" applyFont="1">
      <alignment horizontal="center" textRotation="180" vertical="bottom"/>
    </xf>
    <xf borderId="0" fillId="0" fontId="5" numFmtId="0" xfId="0" applyAlignment="1" applyFont="1">
      <alignment horizontal="left" readingOrder="0"/>
    </xf>
    <xf borderId="23" fillId="25" fontId="39" numFmtId="0" xfId="0" applyAlignment="1" applyBorder="1" applyFill="1" applyFont="1">
      <alignment shrinkToFit="0" vertical="center" wrapText="0"/>
    </xf>
    <xf borderId="37" fillId="0" fontId="11" numFmtId="0" xfId="0" applyBorder="1" applyFont="1"/>
    <xf borderId="38" fillId="0" fontId="11" numFmtId="0" xfId="0" applyBorder="1" applyFont="1"/>
    <xf borderId="19" fillId="0" fontId="43" numFmtId="0" xfId="0" applyAlignment="1" applyBorder="1" applyFont="1">
      <alignment shrinkToFit="0" vertical="center" wrapText="1"/>
    </xf>
    <xf borderId="19" fillId="0" fontId="43" numFmtId="0" xfId="0" applyAlignment="1" applyBorder="1" applyFont="1">
      <alignment horizontal="center" shrinkToFit="0" vertical="center" wrapText="1"/>
    </xf>
    <xf borderId="19" fillId="0" fontId="43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shrinkToFit="0" vertical="center" wrapText="1"/>
    </xf>
    <xf borderId="13" fillId="26" fontId="44" numFmtId="0" xfId="0" applyAlignment="1" applyBorder="1" applyFill="1" applyFont="1">
      <alignment horizontal="center" readingOrder="0" shrinkToFit="0" vertical="center" wrapText="0"/>
    </xf>
    <xf borderId="0" fillId="0" fontId="45" numFmtId="0" xfId="0" applyAlignment="1" applyFont="1">
      <alignment shrinkToFit="0" vertical="center" wrapText="1"/>
    </xf>
    <xf borderId="39" fillId="27" fontId="46" numFmtId="0" xfId="0" applyAlignment="1" applyBorder="1" applyFill="1" applyFont="1">
      <alignment horizontal="left" shrinkToFit="0" vertical="center" wrapText="0"/>
    </xf>
    <xf borderId="0" fillId="0" fontId="45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shrinkToFit="0" vertical="center" wrapText="0"/>
    </xf>
    <xf borderId="40" fillId="25" fontId="39" numFmtId="0" xfId="0" applyAlignment="1" applyBorder="1" applyFont="1">
      <alignment readingOrder="0" shrinkToFit="0" vertical="center" wrapText="0"/>
    </xf>
    <xf borderId="41" fillId="25" fontId="39" numFmtId="0" xfId="0" applyAlignment="1" applyBorder="1" applyFont="1">
      <alignment readingOrder="0" shrinkToFit="0" vertical="center" wrapText="0"/>
    </xf>
    <xf borderId="42" fillId="25" fontId="39" numFmtId="0" xfId="0" applyAlignment="1" applyBorder="1" applyFont="1">
      <alignment readingOrder="0" shrinkToFit="0" vertical="center" wrapText="0"/>
    </xf>
    <xf borderId="19" fillId="0" fontId="43" numFmtId="0" xfId="0" applyAlignment="1" applyBorder="1" applyFont="1">
      <alignment readingOrder="0" shrinkToFit="0" vertical="center" wrapText="1"/>
    </xf>
    <xf borderId="39" fillId="28" fontId="47" numFmtId="0" xfId="0" applyAlignment="1" applyBorder="1" applyFill="1" applyFont="1">
      <alignment horizontal="center" readingOrder="0" shrinkToFit="0" vertical="center" wrapText="0"/>
    </xf>
    <xf borderId="39" fillId="26" fontId="48" numFmtId="2" xfId="0" applyAlignment="1" applyBorder="1" applyFont="1" applyNumberFormat="1">
      <alignment horizontal="center" readingOrder="0"/>
    </xf>
    <xf borderId="13" fillId="27" fontId="49" numFmtId="2" xfId="0" applyAlignment="1" applyBorder="1" applyFont="1" applyNumberFormat="1">
      <alignment horizontal="center"/>
    </xf>
    <xf borderId="13" fillId="27" fontId="46" numFmtId="2" xfId="0" applyAlignment="1" applyBorder="1" applyFont="1" applyNumberFormat="1">
      <alignment horizontal="center" shrinkToFit="0" vertical="center" wrapText="0"/>
    </xf>
    <xf borderId="13" fillId="28" fontId="47" numFmtId="0" xfId="0" applyAlignment="1" applyBorder="1" applyFont="1">
      <alignment horizontal="center" readingOrder="0" shrinkToFit="0" vertical="center" wrapText="0"/>
    </xf>
    <xf borderId="13" fillId="26" fontId="48" numFmtId="2" xfId="0" applyAlignment="1" applyBorder="1" applyFont="1" applyNumberFormat="1">
      <alignment horizontal="center" readingOrder="0"/>
    </xf>
    <xf borderId="0" fillId="0" fontId="48" numFmtId="0" xfId="0" applyAlignment="1" applyFont="1">
      <alignment shrinkToFit="0" wrapText="1"/>
    </xf>
    <xf borderId="13" fillId="28" fontId="50" numFmtId="2" xfId="0" applyAlignment="1" applyBorder="1" applyFont="1" applyNumberFormat="1">
      <alignment horizontal="center" readingOrder="0"/>
    </xf>
    <xf borderId="0" fillId="0" fontId="18" numFmtId="0" xfId="0" applyAlignment="1" applyFont="1">
      <alignment vertical="bottom"/>
    </xf>
    <xf borderId="19" fillId="0" fontId="44" numFmtId="0" xfId="0" applyAlignment="1" applyBorder="1" applyFont="1">
      <alignment readingOrder="0" shrinkToFit="0" vertical="center" wrapText="1"/>
    </xf>
    <xf borderId="16" fillId="28" fontId="47" numFmtId="0" xfId="0" applyAlignment="1" applyBorder="1" applyFont="1">
      <alignment horizontal="center" readingOrder="0" shrinkToFit="0" vertical="center" wrapText="0"/>
    </xf>
    <xf borderId="16" fillId="27" fontId="49" numFmtId="2" xfId="0" applyAlignment="1" applyBorder="1" applyFont="1" applyNumberFormat="1">
      <alignment horizontal="center"/>
    </xf>
    <xf borderId="16" fillId="27" fontId="46" numFmtId="2" xfId="0" applyAlignment="1" applyBorder="1" applyFont="1" applyNumberFormat="1">
      <alignment horizontal="center" shrinkToFit="0" vertical="center" wrapText="0"/>
    </xf>
    <xf borderId="39" fillId="27" fontId="46" numFmtId="2" xfId="0" applyAlignment="1" applyBorder="1" applyFont="1" applyNumberFormat="1">
      <alignment horizontal="center" shrinkToFit="0" vertical="center" wrapText="0"/>
    </xf>
    <xf borderId="13" fillId="26" fontId="44" numFmtId="0" xfId="0" applyAlignment="1" applyBorder="1" applyFont="1">
      <alignment horizontal="center" shrinkToFit="0" vertical="center" wrapText="0"/>
    </xf>
    <xf borderId="0" fillId="0" fontId="51" numFmtId="0" xfId="0" applyAlignment="1" applyFont="1">
      <alignment readingOrder="0"/>
    </xf>
    <xf borderId="13" fillId="26" fontId="44" numFmtId="164" xfId="0" applyAlignment="1" applyBorder="1" applyFont="1" applyNumberFormat="1">
      <alignment horizontal="center" readingOrder="0" shrinkToFit="0" vertical="center" wrapText="0"/>
    </xf>
    <xf borderId="13" fillId="26" fontId="44" numFmtId="164" xfId="0" applyAlignment="1" applyBorder="1" applyFont="1" applyNumberFormat="1">
      <alignment horizontal="center" shrinkToFit="0" vertical="center" wrapText="0"/>
    </xf>
    <xf borderId="13" fillId="27" fontId="46" numFmtId="164" xfId="0" applyAlignment="1" applyBorder="1" applyFont="1" applyNumberFormat="1">
      <alignment horizontal="center" shrinkToFit="0" vertical="center" wrapText="0"/>
    </xf>
    <xf borderId="0" fillId="0" fontId="52" numFmtId="0" xfId="0" applyAlignment="1" applyFont="1">
      <alignment readingOrder="0"/>
    </xf>
    <xf borderId="23" fillId="25" fontId="39" numFmtId="0" xfId="0" applyAlignment="1" applyBorder="1" applyFont="1">
      <alignment readingOrder="0" shrinkToFit="0" vertical="center" wrapText="0"/>
    </xf>
    <xf borderId="0" fillId="0" fontId="44" numFmtId="0" xfId="0" applyAlignment="1" applyFont="1">
      <alignment horizontal="right" shrinkToFit="0" vertical="center" wrapText="1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37" numFmtId="0" xfId="0" applyAlignment="1" applyFont="1">
      <alignment horizontal="center" readingOrder="0"/>
    </xf>
    <xf borderId="3" fillId="0" fontId="37" numFmtId="0" xfId="0" applyAlignment="1" applyBorder="1" applyFont="1">
      <alignment horizontal="center" readingOrder="0"/>
    </xf>
    <xf borderId="4" fillId="0" fontId="5" numFmtId="10" xfId="0" applyAlignment="1" applyBorder="1" applyFont="1" applyNumberFormat="1">
      <alignment horizontal="center"/>
    </xf>
    <xf borderId="3" fillId="0" fontId="5" numFmtId="0" xfId="0" applyAlignment="1" applyBorder="1" applyFont="1">
      <alignment horizontal="right"/>
    </xf>
    <xf borderId="4" fillId="0" fontId="5" numFmtId="0" xfId="0" applyBorder="1" applyFont="1"/>
    <xf borderId="4" fillId="0" fontId="37" numFmtId="10" xfId="0" applyAlignment="1" applyBorder="1" applyFont="1" applyNumberFormat="1">
      <alignment horizontal="center"/>
    </xf>
    <xf borderId="4" fillId="0" fontId="37" numFmtId="0" xfId="0" applyAlignment="1" applyBorder="1" applyFont="1">
      <alignment horizontal="center" readingOrder="0"/>
    </xf>
    <xf borderId="13" fillId="26" fontId="44" numFmtId="0" xfId="0" applyAlignment="1" applyBorder="1" applyFont="1">
      <alignment readingOrder="0" shrinkToFit="0" vertical="center" wrapText="0"/>
    </xf>
    <xf borderId="13" fillId="27" fontId="4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right"/>
    </xf>
    <xf borderId="0" fillId="5" fontId="5" numFmtId="0" xfId="0" applyAlignment="1" applyFont="1">
      <alignment horizontal="center" readingOrder="0"/>
    </xf>
    <xf borderId="3" fillId="0" fontId="5" numFmtId="0" xfId="0" applyAlignment="1" applyBorder="1" applyFont="1">
      <alignment horizontal="right" readingOrder="0"/>
    </xf>
    <xf borderId="4" fillId="5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right"/>
    </xf>
    <xf borderId="4" fillId="0" fontId="5" numFmtId="10" xfId="0" applyBorder="1" applyFont="1" applyNumberFormat="1"/>
    <xf borderId="3" fillId="0" fontId="5" numFmtId="0" xfId="0" applyBorder="1" applyFont="1"/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7" fillId="25" fontId="39" numFmtId="0" xfId="0" applyAlignment="1" applyBorder="1" applyFont="1">
      <alignment shrinkToFit="0" vertical="center" wrapText="0"/>
    </xf>
    <xf borderId="18" fillId="0" fontId="43" numFmtId="0" xfId="0" applyAlignment="1" applyBorder="1" applyFont="1">
      <alignment horizontal="right" shrinkToFit="0" vertical="center" wrapText="1"/>
    </xf>
    <xf borderId="23" fillId="26" fontId="44" numFmtId="0" xfId="0" applyAlignment="1" applyBorder="1" applyFont="1">
      <alignment horizontal="center" shrinkToFit="0" vertical="center" wrapText="0"/>
    </xf>
    <xf borderId="43" fillId="26" fontId="44" numFmtId="0" xfId="0" applyAlignment="1" applyBorder="1" applyFont="1">
      <alignment horizontal="right" shrinkToFit="0" vertical="center" wrapText="0"/>
    </xf>
    <xf borderId="37" fillId="26" fontId="44" numFmtId="0" xfId="0" applyAlignment="1" applyBorder="1" applyFont="1">
      <alignment horizontal="center" shrinkToFit="0" vertical="center" wrapText="0"/>
    </xf>
    <xf borderId="0" fillId="0" fontId="5" numFmtId="10" xfId="0" applyAlignment="1" applyFont="1" applyNumberFormat="1">
      <alignment horizontal="center"/>
    </xf>
    <xf borderId="19" fillId="0" fontId="37" numFmtId="0" xfId="0" applyAlignment="1" applyBorder="1" applyFont="1">
      <alignment horizontal="center" readingOrder="0"/>
    </xf>
    <xf borderId="0" fillId="0" fontId="5" numFmtId="0" xfId="0" applyAlignment="1" applyFont="1">
      <alignment horizontal="right"/>
    </xf>
    <xf borderId="0" fillId="10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10" fontId="5" numFmtId="10" xfId="0" applyAlignment="1" applyFont="1" applyNumberFormat="1">
      <alignment horizontal="center"/>
    </xf>
    <xf borderId="0" fillId="0" fontId="37" numFmtId="1" xfId="0" applyAlignment="1" applyFont="1" applyNumberFormat="1">
      <alignment horizontal="center" readingOrder="0"/>
    </xf>
    <xf borderId="18" fillId="0" fontId="37" numFmtId="0" xfId="0" applyAlignment="1" applyBorder="1" applyFont="1">
      <alignment horizontal="center" readingOrder="0"/>
    </xf>
    <xf borderId="20" fillId="0" fontId="37" numFmtId="10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20" fillId="0" fontId="37" numFmtId="0" xfId="0" applyAlignment="1" applyBorder="1" applyFont="1">
      <alignment horizontal="center" readingOrder="0"/>
    </xf>
    <xf borderId="4" fillId="10" fontId="5" numFmtId="0" xfId="0" applyAlignment="1" applyBorder="1" applyFont="1">
      <alignment horizontal="center"/>
    </xf>
    <xf borderId="4" fillId="10" fontId="5" numFmtId="10" xfId="0" applyAlignment="1" applyBorder="1" applyFont="1" applyNumberFormat="1">
      <alignment horizontal="center"/>
    </xf>
    <xf borderId="13" fillId="26" fontId="44" numFmtId="0" xfId="0" applyAlignment="1" applyBorder="1" applyFont="1">
      <alignment shrinkToFit="0" vertical="center" wrapText="0"/>
    </xf>
    <xf borderId="19" fillId="0" fontId="11" numFmtId="0" xfId="0" applyBorder="1" applyFont="1"/>
    <xf borderId="44" fillId="25" fontId="39" numFmtId="0" xfId="0" applyAlignment="1" applyBorder="1" applyFont="1">
      <alignment readingOrder="0" shrinkToFit="0" vertical="center" wrapText="0"/>
    </xf>
    <xf borderId="19" fillId="0" fontId="37" numFmtId="0" xfId="0" applyAlignment="1" applyBorder="1" applyFont="1">
      <alignment readingOrder="0"/>
    </xf>
    <xf borderId="0" fillId="10" fontId="5" numFmtId="0" xfId="0" applyFont="1"/>
    <xf borderId="0" fillId="0" fontId="5" numFmtId="0" xfId="0" applyAlignment="1" applyFont="1">
      <alignment shrinkToFit="0" wrapText="0"/>
    </xf>
    <xf borderId="0" fillId="25" fontId="5" numFmtId="0" xfId="0" applyFont="1"/>
    <xf borderId="19" fillId="0" fontId="18" numFmtId="0" xfId="0" applyAlignment="1" applyBorder="1" applyFont="1">
      <alignment horizontal="center" vertical="bottom"/>
    </xf>
    <xf borderId="18" fillId="0" fontId="18" numFmtId="0" xfId="0" applyAlignment="1" applyBorder="1" applyFont="1">
      <alignment horizontal="center" vertical="bottom"/>
    </xf>
    <xf borderId="15" fillId="0" fontId="18" numFmtId="0" xfId="0" applyAlignment="1" applyBorder="1" applyFont="1">
      <alignment horizontal="center" vertical="bottom"/>
    </xf>
    <xf borderId="13" fillId="27" fontId="46" numFmtId="0" xfId="0" applyAlignment="1" applyBorder="1" applyFont="1">
      <alignment horizontal="center" readingOrder="0" shrinkToFit="0" vertical="center" wrapText="0"/>
    </xf>
    <xf borderId="13" fillId="27" fontId="46" numFmtId="0" xfId="0" applyAlignment="1" applyBorder="1" applyFont="1">
      <alignment horizontal="left" readingOrder="0" shrinkToFit="0" vertical="center" wrapText="0"/>
    </xf>
    <xf borderId="13" fillId="27" fontId="46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horizontal="center" vertical="bottom"/>
    </xf>
    <xf borderId="0" fillId="0" fontId="18" numFmtId="10" xfId="0" applyAlignment="1" applyFont="1" applyNumberFormat="1">
      <alignment horizontal="center" vertical="bottom"/>
    </xf>
    <xf borderId="5" fillId="0" fontId="5" numFmtId="0" xfId="0" applyAlignment="1" applyBorder="1" applyFont="1">
      <alignment horizontal="center" readingOrder="0"/>
    </xf>
    <xf borderId="0" fillId="0" fontId="55" numFmtId="0" xfId="0" applyAlignment="1" applyFont="1">
      <alignment readingOrder="0" vertical="bottom"/>
    </xf>
    <xf borderId="0" fillId="0" fontId="18" numFmtId="0" xfId="0" applyAlignment="1" applyFont="1">
      <alignment horizontal="right" vertical="bottom"/>
    </xf>
    <xf borderId="0" fillId="0" fontId="18" numFmtId="166" xfId="0" applyAlignment="1" applyFont="1" applyNumberForma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6" numFmtId="0" xfId="0" applyFont="1"/>
    <xf borderId="13" fillId="29" fontId="10" numFmtId="0" xfId="0" applyBorder="1" applyFill="1" applyFont="1"/>
    <xf borderId="13" fillId="30" fontId="10" numFmtId="0" xfId="0" applyAlignment="1" applyBorder="1" applyFill="1" applyFont="1">
      <alignment horizontal="left"/>
    </xf>
    <xf borderId="13" fillId="30" fontId="10" numFmtId="0" xfId="0" applyAlignment="1" applyBorder="1" applyFont="1">
      <alignment horizontal="center"/>
    </xf>
    <xf borderId="13" fillId="31" fontId="10" numFmtId="0" xfId="0" applyAlignment="1" applyBorder="1" applyFill="1" applyFont="1">
      <alignment horizontal="left" readingOrder="0"/>
    </xf>
    <xf borderId="13" fillId="31" fontId="10" numFmtId="0" xfId="0" applyAlignment="1" applyBorder="1" applyFont="1">
      <alignment horizontal="center"/>
    </xf>
    <xf borderId="13" fillId="32" fontId="10" numFmtId="0" xfId="0" applyAlignment="1" applyBorder="1" applyFill="1" applyFont="1">
      <alignment horizontal="left"/>
    </xf>
    <xf borderId="13" fillId="32" fontId="10" numFmtId="0" xfId="0" applyAlignment="1" applyBorder="1" applyFont="1">
      <alignment horizontal="center"/>
    </xf>
    <xf borderId="13" fillId="33" fontId="10" numFmtId="0" xfId="0" applyAlignment="1" applyBorder="1" applyFill="1" applyFont="1">
      <alignment horizontal="left" readingOrder="0"/>
    </xf>
    <xf borderId="13" fillId="33" fontId="10" numFmtId="0" xfId="0" applyAlignment="1" applyBorder="1" applyFont="1">
      <alignment horizontal="center"/>
    </xf>
    <xf borderId="5" fillId="9" fontId="33" numFmtId="0" xfId="0" applyAlignment="1" applyBorder="1" applyFont="1">
      <alignment horizontal="center"/>
    </xf>
    <xf borderId="5" fillId="34" fontId="33" numFmtId="0" xfId="0" applyAlignment="1" applyBorder="1" applyFill="1" applyFont="1">
      <alignment horizontal="center"/>
    </xf>
    <xf borderId="5" fillId="10" fontId="33" numFmtId="0" xfId="0" applyAlignment="1" applyBorder="1" applyFont="1">
      <alignment horizontal="center"/>
    </xf>
    <xf borderId="5" fillId="35" fontId="33" numFmtId="0" xfId="0" applyAlignment="1" applyBorder="1" applyFill="1" applyFont="1">
      <alignment horizontal="center"/>
    </xf>
    <xf borderId="13" fillId="36" fontId="57" numFmtId="0" xfId="0" applyBorder="1" applyFill="1" applyFont="1"/>
    <xf borderId="0" fillId="0" fontId="31" numFmtId="0" xfId="0" applyAlignment="1" applyFont="1">
      <alignment horizontal="center"/>
    </xf>
    <xf borderId="0" fillId="0" fontId="31" numFmtId="165" xfId="0" applyAlignment="1" applyFont="1" applyNumberFormat="1">
      <alignment horizontal="center" readingOrder="0"/>
    </xf>
    <xf borderId="0" fillId="0" fontId="31" numFmtId="165" xfId="0" applyAlignment="1" applyFont="1" applyNumberFormat="1">
      <alignment horizontal="center"/>
    </xf>
    <xf borderId="0" fillId="0" fontId="31" numFmtId="167" xfId="0" applyAlignment="1" applyFont="1" applyNumberFormat="1">
      <alignment horizontal="center"/>
    </xf>
    <xf borderId="0" fillId="0" fontId="31" numFmtId="168" xfId="0" applyAlignment="1" applyFont="1" applyNumberFormat="1">
      <alignment horizontal="center" readingOrder="0"/>
    </xf>
    <xf borderId="0" fillId="0" fontId="31" numFmtId="168" xfId="0" applyAlignment="1" applyFont="1" applyNumberFormat="1">
      <alignment horizontal="center"/>
    </xf>
    <xf borderId="13" fillId="37" fontId="27" numFmtId="0" xfId="0" applyAlignment="1" applyBorder="1" applyFill="1" applyFont="1">
      <alignment horizontal="center"/>
    </xf>
    <xf borderId="13" fillId="37" fontId="31" numFmtId="165" xfId="0" applyAlignment="1" applyBorder="1" applyFont="1" applyNumberFormat="1">
      <alignment horizontal="center" readingOrder="0"/>
    </xf>
    <xf borderId="13" fillId="37" fontId="31" numFmtId="165" xfId="0" applyAlignment="1" applyBorder="1" applyFont="1" applyNumberFormat="1">
      <alignment horizontal="center"/>
    </xf>
    <xf borderId="13" fillId="37" fontId="31" numFmtId="167" xfId="0" applyAlignment="1" applyBorder="1" applyFont="1" applyNumberFormat="1">
      <alignment horizontal="center"/>
    </xf>
    <xf borderId="13" fillId="37" fontId="31" numFmtId="168" xfId="0" applyAlignment="1" applyBorder="1" applyFont="1" applyNumberFormat="1">
      <alignment horizontal="center" readingOrder="0"/>
    </xf>
    <xf borderId="13" fillId="37" fontId="31" numFmtId="168" xfId="0" applyAlignment="1" applyBorder="1" applyFont="1" applyNumberFormat="1">
      <alignment horizontal="center"/>
    </xf>
    <xf borderId="0" fillId="0" fontId="58" numFmtId="0" xfId="0" applyFont="1"/>
    <xf borderId="0" fillId="0" fontId="17" numFmtId="0" xfId="0" applyFont="1"/>
    <xf borderId="0" fillId="0" fontId="59" numFmtId="0" xfId="0" applyFont="1"/>
    <xf borderId="13" fillId="38" fontId="17" numFmtId="0" xfId="0" applyAlignment="1" applyBorder="1" applyFill="1" applyFont="1">
      <alignment horizontal="center"/>
    </xf>
    <xf borderId="13" fillId="31" fontId="10" numFmtId="0" xfId="0" applyBorder="1" applyFont="1"/>
    <xf borderId="13" fillId="32" fontId="10" numFmtId="0" xfId="0" applyBorder="1" applyFont="1"/>
    <xf borderId="5" fillId="34" fontId="33" numFmtId="0" xfId="0" applyAlignment="1" applyBorder="1" applyFont="1">
      <alignment horizontal="center" textRotation="0"/>
    </xf>
    <xf borderId="5" fillId="34" fontId="33" numFmtId="0" xfId="0" applyAlignment="1" applyBorder="1" applyFont="1">
      <alignment horizontal="center" textRotation="180"/>
    </xf>
    <xf borderId="5" fillId="10" fontId="33" numFmtId="0" xfId="0" applyAlignment="1" applyBorder="1" applyFont="1">
      <alignment horizontal="center" textRotation="180"/>
    </xf>
    <xf borderId="5" fillId="0" fontId="33" numFmtId="0" xfId="0" applyBorder="1" applyFont="1"/>
    <xf borderId="5" fillId="37" fontId="7" numFmtId="169" xfId="0" applyAlignment="1" applyBorder="1" applyFont="1" applyNumberFormat="1">
      <alignment horizontal="center" vertical="bottom"/>
    </xf>
    <xf borderId="5" fillId="37" fontId="18" numFmtId="169" xfId="0" applyAlignment="1" applyBorder="1" applyFont="1" applyNumberFormat="1">
      <alignment horizontal="right" vertical="bottom"/>
    </xf>
    <xf borderId="0" fillId="0" fontId="18" numFmtId="0" xfId="0" applyAlignment="1" applyFont="1">
      <alignment vertical="bottom"/>
    </xf>
    <xf borderId="5" fillId="0" fontId="7" numFmtId="170" xfId="0" applyAlignment="1" applyBorder="1" applyFont="1" applyNumberFormat="1">
      <alignment horizontal="center" vertical="bottom"/>
    </xf>
    <xf borderId="5" fillId="0" fontId="7" numFmtId="170" xfId="0" applyBorder="1" applyFont="1" applyNumberFormat="1"/>
    <xf borderId="5" fillId="39" fontId="33" numFmtId="0" xfId="0" applyBorder="1" applyFill="1" applyFont="1"/>
    <xf borderId="5" fillId="10" fontId="18" numFmtId="169" xfId="0" applyAlignment="1" applyBorder="1" applyFont="1" applyNumberFormat="1">
      <alignment horizontal="right" vertical="bottom"/>
    </xf>
    <xf borderId="5" fillId="39" fontId="60" numFmtId="170" xfId="0" applyAlignment="1" applyBorder="1" applyFont="1" applyNumberFormat="1">
      <alignment horizontal="right" vertical="bottom"/>
    </xf>
    <xf borderId="5" fillId="0" fontId="18" numFmtId="170" xfId="0" applyAlignment="1" applyBorder="1" applyFont="1" applyNumberFormat="1">
      <alignment horizontal="right" vertical="bottom"/>
    </xf>
    <xf borderId="5" fillId="5" fontId="33" numFmtId="0" xfId="0" applyBorder="1" applyFont="1"/>
    <xf borderId="5" fillId="40" fontId="61" numFmtId="170" xfId="0" applyAlignment="1" applyBorder="1" applyFill="1" applyFont="1" applyNumberFormat="1">
      <alignment horizontal="right" vertical="bottom"/>
    </xf>
    <xf borderId="13" fillId="31" fontId="10" numFmtId="0" xfId="0" applyAlignment="1" applyBorder="1" applyFont="1">
      <alignment vertical="bottom"/>
    </xf>
    <xf borderId="13" fillId="31" fontId="18" numFmtId="0" xfId="0" applyAlignment="1" applyBorder="1" applyFont="1">
      <alignment vertical="bottom"/>
    </xf>
    <xf borderId="13" fillId="32" fontId="10" numFmtId="0" xfId="0" applyAlignment="1" applyBorder="1" applyFont="1">
      <alignment vertical="bottom"/>
    </xf>
    <xf borderId="5" fillId="34" fontId="33" numFmtId="0" xfId="0" applyAlignment="1" applyBorder="1" applyFont="1">
      <alignment horizontal="center" textRotation="180" vertical="bottom"/>
    </xf>
    <xf borderId="5" fillId="10" fontId="33" numFmtId="0" xfId="0" applyAlignment="1" applyBorder="1" applyFont="1">
      <alignment horizontal="center" textRotation="180" vertical="bottom"/>
    </xf>
    <xf borderId="5" fillId="37" fontId="7" numFmtId="169" xfId="0" applyBorder="1" applyFont="1" applyNumberFormat="1"/>
    <xf borderId="5" fillId="10" fontId="7" numFmtId="169" xfId="0" applyBorder="1" applyFont="1" applyNumberFormat="1"/>
    <xf borderId="0" fillId="0" fontId="62" numFmtId="0" xfId="0" applyFont="1"/>
    <xf borderId="5" fillId="5" fontId="17" numFmtId="0" xfId="0" applyAlignment="1" applyBorder="1" applyFont="1">
      <alignment horizontal="center"/>
    </xf>
    <xf borderId="5" fillId="5" fontId="17" numFmtId="0" xfId="0" applyAlignment="1" applyBorder="1" applyFont="1">
      <alignment horizontal="center" readingOrder="0"/>
    </xf>
    <xf borderId="13" fillId="30" fontId="10" numFmtId="0" xfId="0" applyBorder="1" applyFont="1"/>
    <xf borderId="13" fillId="33" fontId="10" numFmtId="0" xfId="0" applyBorder="1" applyFont="1"/>
    <xf borderId="5" fillId="9" fontId="33" numFmtId="0" xfId="0" applyAlignment="1" applyBorder="1" applyFont="1">
      <alignment horizontal="center" textRotation="180"/>
    </xf>
    <xf borderId="5" fillId="35" fontId="33" numFmtId="0" xfId="0" applyAlignment="1" applyBorder="1" applyFont="1">
      <alignment horizontal="center" textRotation="180"/>
    </xf>
    <xf borderId="0" fillId="0" fontId="5" numFmtId="0" xfId="0" applyAlignment="1" applyFont="1">
      <alignment textRotation="180"/>
    </xf>
    <xf borderId="0" fillId="0" fontId="12" numFmtId="0" xfId="0" applyAlignment="1" applyFont="1">
      <alignment horizontal="center"/>
    </xf>
    <xf borderId="0" fillId="0" fontId="18" numFmtId="4" xfId="0" applyAlignment="1" applyFont="1" applyNumberForma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8" numFmtId="170" xfId="0" applyAlignment="1" applyFont="1" applyNumberFormat="1">
      <alignment horizontal="center" vertical="bottom"/>
    </xf>
    <xf borderId="0" fillId="0" fontId="7" numFmtId="170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18" numFmtId="169" xfId="0" applyAlignment="1" applyFont="1" applyNumberFormat="1">
      <alignment horizontal="center" vertical="bottom"/>
    </xf>
    <xf borderId="0" fillId="0" fontId="7" numFmtId="169" xfId="0" applyAlignment="1" applyFont="1" applyNumberFormat="1">
      <alignment horizontal="center" vertical="bottom"/>
    </xf>
    <xf borderId="0" fillId="0" fontId="12" numFmtId="170" xfId="0" applyAlignment="1" applyFont="1" applyNumberFormat="1">
      <alignment horizontal="center"/>
    </xf>
    <xf borderId="0" fillId="0" fontId="18" numFmtId="0" xfId="0" applyAlignment="1" applyFont="1">
      <alignment horizontal="center" vertical="bottom"/>
    </xf>
    <xf borderId="0" fillId="0" fontId="12" numFmtId="4" xfId="0" applyAlignment="1" applyFont="1" applyNumberFormat="1">
      <alignment horizontal="center"/>
    </xf>
    <xf borderId="0" fillId="0" fontId="12" numFmtId="169" xfId="0" applyAlignment="1" applyFont="1" applyNumberFormat="1">
      <alignment horizontal="center"/>
    </xf>
    <xf borderId="0" fillId="15" fontId="18" numFmtId="4" xfId="0" applyAlignment="1" applyFont="1" applyNumberFormat="1">
      <alignment horizontal="center" vertical="bottom"/>
    </xf>
    <xf borderId="0" fillId="15" fontId="18" numFmtId="170" xfId="0" applyAlignment="1" applyFont="1" applyNumberFormat="1">
      <alignment horizontal="center" vertical="bottom"/>
    </xf>
    <xf borderId="5" fillId="7" fontId="7" numFmtId="0" xfId="0" applyBorder="1" applyFont="1"/>
    <xf borderId="5" fillId="9" fontId="63" numFmtId="4" xfId="0" applyAlignment="1" applyBorder="1" applyFont="1" applyNumberFormat="1">
      <alignment horizontal="center" vertical="bottom"/>
    </xf>
    <xf borderId="5" fillId="34" fontId="63" numFmtId="4" xfId="0" applyAlignment="1" applyBorder="1" applyFont="1" applyNumberFormat="1">
      <alignment horizontal="center" vertical="bottom"/>
    </xf>
    <xf borderId="5" fillId="10" fontId="63" numFmtId="170" xfId="0" applyAlignment="1" applyBorder="1" applyFont="1" applyNumberFormat="1">
      <alignment horizontal="center" vertical="bottom"/>
    </xf>
    <xf borderId="5" fillId="35" fontId="17" numFmtId="4" xfId="0" applyAlignment="1" applyBorder="1" applyFont="1" applyNumberFormat="1">
      <alignment horizontal="center"/>
    </xf>
    <xf borderId="5" fillId="35" fontId="17" numFmtId="169" xfId="0" applyAlignment="1" applyBorder="1" applyFont="1" applyNumberFormat="1">
      <alignment horizontal="center"/>
    </xf>
    <xf borderId="5" fillId="10" fontId="17" numFmtId="170" xfId="0" applyAlignment="1" applyBorder="1" applyFont="1" applyNumberFormat="1">
      <alignment horizontal="center"/>
    </xf>
    <xf borderId="13" fillId="31" fontId="64" numFmtId="0" xfId="0" applyBorder="1" applyFont="1"/>
    <xf borderId="13" fillId="34" fontId="33" numFmtId="0" xfId="0" applyBorder="1" applyFont="1"/>
    <xf borderId="13" fillId="5" fontId="36" numFmtId="0" xfId="0" applyAlignment="1" applyBorder="1" applyFont="1">
      <alignment horizontal="center"/>
    </xf>
    <xf borderId="0" fillId="0" fontId="65" numFmtId="0" xfId="0" applyFont="1"/>
    <xf borderId="13" fillId="5" fontId="36" numFmtId="0" xfId="0" applyAlignment="1" applyBorder="1" applyFont="1">
      <alignment horizontal="center" readingOrder="0"/>
    </xf>
    <xf borderId="13" fillId="6" fontId="36" numFmtId="0" xfId="0" applyAlignment="1" applyBorder="1" applyFont="1">
      <alignment horizontal="center"/>
    </xf>
    <xf borderId="13" fillId="10" fontId="36" numFmtId="0" xfId="0" applyBorder="1" applyFont="1"/>
    <xf borderId="13" fillId="11" fontId="64" numFmtId="0" xfId="0" applyBorder="1" applyFont="1"/>
    <xf borderId="13" fillId="10" fontId="31" numFmtId="0" xfId="0" applyBorder="1" applyFont="1"/>
    <xf borderId="13" fillId="10" fontId="66" numFmtId="0" xfId="0" applyBorder="1" applyFont="1"/>
    <xf borderId="0" fillId="0" fontId="67" numFmtId="0" xfId="0" applyAlignment="1" applyFont="1">
      <alignment readingOrder="0" shrinkToFit="0" vertical="bottom" wrapText="1"/>
    </xf>
    <xf borderId="0" fillId="0" fontId="37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5" numFmtId="171" xfId="0" applyAlignment="1" applyFont="1" applyNumberFormat="1">
      <alignment readingOrder="0"/>
    </xf>
    <xf borderId="0" fillId="0" fontId="5" numFmtId="171" xfId="0" applyFont="1" applyNumberFormat="1"/>
    <xf borderId="0" fillId="0" fontId="37" numFmtId="0" xfId="0" applyAlignment="1" applyFont="1">
      <alignment horizontal="center" readingOrder="0" shrinkToFit="0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2B628B"/>
          <bgColor rgb="FF2B628B"/>
        </patternFill>
      </fill>
      <border/>
    </dxf>
    <dxf>
      <font/>
      <fill>
        <patternFill patternType="solid">
          <fgColor rgb="FFE6E7ED"/>
          <bgColor rgb="FFE6E7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  <tableStyles count="1">
    <tableStyle count="3" pivot="0" name="conte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9.png"/><Relationship Id="rId10" Type="http://schemas.openxmlformats.org/officeDocument/2006/relationships/image" Target="../media/image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0.png"/><Relationship Id="rId8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9.png"/><Relationship Id="rId10" Type="http://schemas.openxmlformats.org/officeDocument/2006/relationships/image" Target="../media/image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0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9.png"/><Relationship Id="rId10" Type="http://schemas.openxmlformats.org/officeDocument/2006/relationships/image" Target="../media/image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0.png"/><Relationship Id="rId8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9.png"/><Relationship Id="rId10" Type="http://schemas.openxmlformats.org/officeDocument/2006/relationships/image" Target="../media/image2.png"/><Relationship Id="rId9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0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Name" id="1"/>
    <tableColumn name="Link to old" id="2"/>
    <tableColumn name="Link to new" id="3"/>
  </tableColumns>
  <tableStyleInfo name="cont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2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3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4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5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7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3" width="15.13"/>
  </cols>
  <sheetData>
    <row r="1">
      <c r="A1" s="1" t="s">
        <v>0</v>
      </c>
      <c r="B1" s="1" t="s">
        <v>1</v>
      </c>
      <c r="C1" s="1" t="s">
        <v>2</v>
      </c>
    </row>
    <row r="2">
      <c r="A2" s="2" t="str">
        <f>RR_v2!A1</f>
        <v>River Rush</v>
      </c>
      <c r="B2" s="3" t="s">
        <v>3</v>
      </c>
      <c r="C2" s="3" t="s">
        <v>4</v>
      </c>
    </row>
    <row r="3">
      <c r="A3" s="2" t="str">
        <f>NS_v2!A1</f>
        <v>Night Sky (5 Segment)</v>
      </c>
      <c r="B3" s="3" t="s">
        <v>5</v>
      </c>
      <c r="C3" s="3" t="s">
        <v>6</v>
      </c>
    </row>
    <row r="4">
      <c r="A4" s="2" t="str">
        <f>J_v2!A1</f>
        <v>Jigsaw Puzzle</v>
      </c>
      <c r="B4" s="3" t="s">
        <v>7</v>
      </c>
      <c r="C4" s="3" t="s">
        <v>8</v>
      </c>
    </row>
    <row r="5">
      <c r="A5" s="2" t="str">
        <f>TaD_v2!A1</f>
        <v>Target Day</v>
      </c>
      <c r="B5" s="3" t="s">
        <v>9</v>
      </c>
      <c r="C5" s="3" t="s">
        <v>10</v>
      </c>
    </row>
    <row r="6">
      <c r="A6" s="2" t="str">
        <f>c_day_v2!A1</f>
        <v>Daily Rewards - NEW</v>
      </c>
      <c r="B6" s="3" t="s">
        <v>11</v>
      </c>
      <c r="C6" s="3" t="s">
        <v>12</v>
      </c>
    </row>
    <row r="7">
      <c r="A7" s="2" t="str">
        <f>c_saga_v2!A1</f>
        <v>Saga Progression - NEW</v>
      </c>
      <c r="B7" s="4" t="s">
        <v>13</v>
      </c>
      <c r="C7" s="3" t="s">
        <v>14</v>
      </c>
    </row>
    <row r="8">
      <c r="A8" s="2" t="str">
        <f>F_v2!A1</f>
        <v>Flock Flurry</v>
      </c>
      <c r="B8" s="3" t="s">
        <v>15</v>
      </c>
      <c r="C8" s="3" t="s">
        <v>16</v>
      </c>
    </row>
    <row r="9">
      <c r="A9" s="2" t="str">
        <f>Ki_v2!A1</f>
        <v>Kite Festival</v>
      </c>
      <c r="B9" s="3" t="s">
        <v>17</v>
      </c>
      <c r="C9" s="3" t="s">
        <v>18</v>
      </c>
    </row>
    <row r="10">
      <c r="A10" s="2" t="str">
        <f>BB_v2!A1</f>
        <v>Bomb's Ballet</v>
      </c>
      <c r="B10" s="3" t="s">
        <v>19</v>
      </c>
      <c r="C10" s="3" t="s">
        <v>20</v>
      </c>
    </row>
    <row r="11">
      <c r="A11" s="2" t="str">
        <f>Ph_v2!A1</f>
        <v>Photoshoot</v>
      </c>
      <c r="B11" s="3" t="s">
        <v>21</v>
      </c>
      <c r="C11" s="4" t="s">
        <v>22</v>
      </c>
    </row>
    <row r="12">
      <c r="A12" s="2" t="str">
        <f>Race_v2!A1</f>
        <v>All LB Challenges</v>
      </c>
      <c r="B12" s="3" t="s">
        <v>23</v>
      </c>
      <c r="C12" s="3" t="s">
        <v>24</v>
      </c>
    </row>
    <row r="13">
      <c r="A13" s="2" t="str">
        <f>HH_v2!A1</f>
        <v>Hatchling Hideaway</v>
      </c>
      <c r="B13" s="3" t="s">
        <v>25</v>
      </c>
      <c r="C13" s="3" t="s">
        <v>26</v>
      </c>
    </row>
  </sheetData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27</v>
      </c>
      <c r="B1" s="5" t="s">
        <v>28</v>
      </c>
      <c r="C1" s="5" t="s">
        <v>29</v>
      </c>
      <c r="D1" s="5" t="s">
        <v>30</v>
      </c>
    </row>
    <row r="2">
      <c r="A2" s="5" t="s">
        <v>31</v>
      </c>
      <c r="B2" s="5" t="s">
        <v>32</v>
      </c>
      <c r="C2" s="6">
        <v>10.0</v>
      </c>
      <c r="D2" s="6">
        <v>7.0</v>
      </c>
    </row>
    <row r="3">
      <c r="A3" s="5" t="s">
        <v>31</v>
      </c>
      <c r="B3" s="5" t="s">
        <v>32</v>
      </c>
      <c r="C3" s="6">
        <v>24.0</v>
      </c>
      <c r="D3" s="6">
        <v>7.0</v>
      </c>
    </row>
    <row r="4">
      <c r="A4" s="5" t="s">
        <v>31</v>
      </c>
      <c r="B4" s="5" t="s">
        <v>32</v>
      </c>
      <c r="C4" s="6">
        <v>1.0</v>
      </c>
      <c r="D4" s="6">
        <v>2.0</v>
      </c>
    </row>
    <row r="5">
      <c r="A5" s="5" t="s">
        <v>31</v>
      </c>
      <c r="B5" s="5" t="s">
        <v>33</v>
      </c>
      <c r="C5" s="6">
        <v>6.0</v>
      </c>
      <c r="D5" s="6">
        <v>7.0</v>
      </c>
    </row>
    <row r="6">
      <c r="A6" s="5" t="s">
        <v>31</v>
      </c>
      <c r="B6" s="5" t="s">
        <v>33</v>
      </c>
      <c r="C6" s="6">
        <v>13.0</v>
      </c>
      <c r="D6" s="6">
        <v>7.0</v>
      </c>
    </row>
    <row r="7">
      <c r="A7" s="5" t="s">
        <v>31</v>
      </c>
      <c r="B7" s="5" t="s">
        <v>33</v>
      </c>
      <c r="C7" s="6">
        <v>20.0</v>
      </c>
      <c r="D7" s="6">
        <v>7.0</v>
      </c>
    </row>
    <row r="8">
      <c r="A8" s="5" t="s">
        <v>31</v>
      </c>
      <c r="B8" s="5" t="s">
        <v>33</v>
      </c>
      <c r="C8" s="6">
        <v>27.0</v>
      </c>
      <c r="D8" s="6">
        <v>7.0</v>
      </c>
    </row>
    <row r="9">
      <c r="A9" s="5" t="s">
        <v>31</v>
      </c>
      <c r="B9" s="5" t="s">
        <v>33</v>
      </c>
      <c r="C9" s="6">
        <v>1.0</v>
      </c>
      <c r="D9" s="6">
        <v>5.0</v>
      </c>
    </row>
    <row r="10">
      <c r="A10" s="5" t="s">
        <v>31</v>
      </c>
      <c r="B10" s="5" t="s">
        <v>34</v>
      </c>
      <c r="C10" s="6">
        <v>1.0</v>
      </c>
      <c r="D10" s="6">
        <v>3.0</v>
      </c>
    </row>
    <row r="11">
      <c r="A11" s="5" t="s">
        <v>31</v>
      </c>
      <c r="B11" s="5" t="s">
        <v>34</v>
      </c>
      <c r="C11" s="6">
        <v>14.0</v>
      </c>
      <c r="D11" s="6">
        <v>4.0</v>
      </c>
    </row>
    <row r="12">
      <c r="A12" s="5" t="s">
        <v>31</v>
      </c>
      <c r="B12" s="5" t="s">
        <v>34</v>
      </c>
      <c r="C12" s="6">
        <v>28.0</v>
      </c>
      <c r="D12" s="6">
        <v>4.0</v>
      </c>
    </row>
    <row r="13">
      <c r="A13" s="5" t="s">
        <v>31</v>
      </c>
      <c r="B13" s="5" t="s">
        <v>35</v>
      </c>
      <c r="C13" s="6">
        <v>7.0</v>
      </c>
      <c r="D13" s="6">
        <v>4.0</v>
      </c>
    </row>
    <row r="14">
      <c r="A14" s="5" t="s">
        <v>31</v>
      </c>
      <c r="B14" s="5" t="s">
        <v>36</v>
      </c>
      <c r="C14" s="6">
        <v>21.0</v>
      </c>
      <c r="D14" s="6">
        <v>4.0</v>
      </c>
    </row>
    <row r="15">
      <c r="A15" s="5" t="s">
        <v>31</v>
      </c>
      <c r="B15" s="5" t="s">
        <v>37</v>
      </c>
      <c r="C15" s="6">
        <v>17.0</v>
      </c>
      <c r="D15" s="6">
        <v>3.0</v>
      </c>
    </row>
    <row r="16">
      <c r="A16" s="5" t="s">
        <v>31</v>
      </c>
      <c r="B16" s="5" t="s">
        <v>37</v>
      </c>
      <c r="C16" s="6">
        <v>24.0</v>
      </c>
      <c r="D16" s="6">
        <v>3.0</v>
      </c>
    </row>
    <row r="17">
      <c r="A17" s="5" t="s">
        <v>31</v>
      </c>
      <c r="B17" s="5" t="s">
        <v>37</v>
      </c>
      <c r="C17" s="6">
        <v>10.0</v>
      </c>
      <c r="D17" s="6">
        <v>3.0</v>
      </c>
    </row>
    <row r="18">
      <c r="A18" s="5" t="s">
        <v>31</v>
      </c>
      <c r="B18" s="5" t="s">
        <v>37</v>
      </c>
      <c r="C18" s="6">
        <v>31.0</v>
      </c>
      <c r="D18" s="6">
        <v>3.0</v>
      </c>
    </row>
    <row r="19">
      <c r="A19" s="5" t="s">
        <v>31</v>
      </c>
      <c r="B19" s="5" t="s">
        <v>37</v>
      </c>
      <c r="C19" s="6">
        <v>3.0</v>
      </c>
      <c r="D19" s="6">
        <v>3.0</v>
      </c>
    </row>
    <row r="20">
      <c r="A20" s="5" t="s">
        <v>31</v>
      </c>
      <c r="B20" s="5" t="s">
        <v>38</v>
      </c>
      <c r="C20" s="6">
        <v>1.0</v>
      </c>
      <c r="D20" s="6">
        <v>5.0</v>
      </c>
    </row>
    <row r="21">
      <c r="A21" s="5" t="s">
        <v>31</v>
      </c>
      <c r="B21" s="5" t="s">
        <v>38</v>
      </c>
      <c r="C21" s="6">
        <v>6.0</v>
      </c>
      <c r="D21" s="6">
        <v>7.0</v>
      </c>
    </row>
    <row r="22">
      <c r="A22" s="5" t="s">
        <v>31</v>
      </c>
      <c r="B22" s="5" t="s">
        <v>38</v>
      </c>
      <c r="C22" s="6">
        <v>13.0</v>
      </c>
      <c r="D22" s="6">
        <v>7.0</v>
      </c>
    </row>
    <row r="23">
      <c r="A23" s="5" t="s">
        <v>31</v>
      </c>
      <c r="B23" s="5" t="s">
        <v>38</v>
      </c>
      <c r="C23" s="6">
        <v>20.0</v>
      </c>
      <c r="D23" s="6">
        <v>7.0</v>
      </c>
    </row>
    <row r="24">
      <c r="A24" s="5" t="s">
        <v>31</v>
      </c>
      <c r="B24" s="5" t="s">
        <v>38</v>
      </c>
      <c r="C24" s="6">
        <v>27.0</v>
      </c>
      <c r="D24" s="6">
        <v>7.0</v>
      </c>
    </row>
    <row r="25">
      <c r="A25" s="5" t="s">
        <v>31</v>
      </c>
      <c r="B25" s="5" t="s">
        <v>39</v>
      </c>
      <c r="C25" s="6">
        <v>1.0</v>
      </c>
      <c r="D25" s="6">
        <v>30.0</v>
      </c>
    </row>
    <row r="26">
      <c r="A26" s="5" t="s">
        <v>31</v>
      </c>
      <c r="B26" s="5" t="s">
        <v>39</v>
      </c>
      <c r="C26" s="6">
        <v>31.0</v>
      </c>
      <c r="D26" s="6">
        <v>3.0</v>
      </c>
    </row>
    <row r="27">
      <c r="A27" s="5" t="s">
        <v>31</v>
      </c>
      <c r="B27" s="5" t="s">
        <v>40</v>
      </c>
      <c r="C27" s="6">
        <v>13.0</v>
      </c>
      <c r="D27" s="6">
        <v>4.0</v>
      </c>
    </row>
    <row r="28">
      <c r="A28" s="5" t="s">
        <v>31</v>
      </c>
      <c r="B28" s="5" t="s">
        <v>40</v>
      </c>
      <c r="C28" s="6">
        <v>20.0</v>
      </c>
      <c r="D28" s="6">
        <v>4.0</v>
      </c>
    </row>
    <row r="29">
      <c r="A29" s="5" t="s">
        <v>31</v>
      </c>
      <c r="B29" s="5" t="s">
        <v>40</v>
      </c>
      <c r="C29" s="6">
        <v>6.0</v>
      </c>
      <c r="D29" s="6">
        <v>4.0</v>
      </c>
    </row>
    <row r="30">
      <c r="A30" s="5" t="s">
        <v>31</v>
      </c>
      <c r="B30" s="5" t="s">
        <v>40</v>
      </c>
      <c r="C30" s="6">
        <v>27.0</v>
      </c>
      <c r="D30" s="6">
        <v>4.0</v>
      </c>
    </row>
    <row r="31">
      <c r="A31" s="5" t="s">
        <v>31</v>
      </c>
      <c r="B31" s="5" t="s">
        <v>40</v>
      </c>
      <c r="C31" s="6">
        <v>1.0</v>
      </c>
      <c r="D31" s="6">
        <v>2.0</v>
      </c>
    </row>
    <row r="32">
      <c r="A32" s="5" t="s">
        <v>31</v>
      </c>
      <c r="B32" s="5" t="s">
        <v>41</v>
      </c>
      <c r="C32" s="6">
        <v>13.0</v>
      </c>
      <c r="D32" s="6">
        <v>7.0</v>
      </c>
    </row>
    <row r="33">
      <c r="A33" s="5" t="s">
        <v>31</v>
      </c>
      <c r="B33" s="5" t="s">
        <v>41</v>
      </c>
      <c r="C33" s="6">
        <v>20.0</v>
      </c>
      <c r="D33" s="6">
        <v>7.0</v>
      </c>
    </row>
    <row r="34">
      <c r="A34" s="5" t="s">
        <v>31</v>
      </c>
      <c r="B34" s="5" t="s">
        <v>41</v>
      </c>
      <c r="C34" s="6">
        <v>27.0</v>
      </c>
      <c r="D34" s="6">
        <v>7.0</v>
      </c>
    </row>
    <row r="35">
      <c r="A35" s="5" t="s">
        <v>31</v>
      </c>
      <c r="B35" s="5" t="s">
        <v>41</v>
      </c>
      <c r="C35" s="6">
        <v>1.0</v>
      </c>
      <c r="D35" s="6">
        <v>5.0</v>
      </c>
    </row>
    <row r="36">
      <c r="A36" s="5" t="s">
        <v>31</v>
      </c>
      <c r="B36" s="5" t="s">
        <v>41</v>
      </c>
      <c r="C36" s="6">
        <v>6.0</v>
      </c>
      <c r="D36" s="6">
        <v>7.0</v>
      </c>
    </row>
    <row r="37">
      <c r="A37" s="5" t="s">
        <v>31</v>
      </c>
      <c r="B37" s="5" t="s">
        <v>42</v>
      </c>
      <c r="C37" s="6">
        <v>3.0</v>
      </c>
      <c r="D37" s="6">
        <v>3.0</v>
      </c>
    </row>
    <row r="38">
      <c r="A38" s="5" t="s">
        <v>31</v>
      </c>
      <c r="B38" s="5" t="s">
        <v>42</v>
      </c>
      <c r="C38" s="6">
        <v>10.0</v>
      </c>
      <c r="D38" s="6">
        <v>3.0</v>
      </c>
    </row>
    <row r="39">
      <c r="A39" s="5" t="s">
        <v>31</v>
      </c>
      <c r="B39" s="5" t="s">
        <v>42</v>
      </c>
      <c r="C39" s="6">
        <v>17.0</v>
      </c>
      <c r="D39" s="6">
        <v>3.0</v>
      </c>
    </row>
    <row r="40">
      <c r="A40" s="5" t="s">
        <v>31</v>
      </c>
      <c r="B40" s="5" t="s">
        <v>42</v>
      </c>
      <c r="C40" s="6">
        <v>24.0</v>
      </c>
      <c r="D40" s="6">
        <v>3.0</v>
      </c>
    </row>
    <row r="41">
      <c r="A41" s="5" t="s">
        <v>31</v>
      </c>
      <c r="B41" s="5" t="s">
        <v>42</v>
      </c>
      <c r="C41" s="6">
        <v>31.0</v>
      </c>
      <c r="D41" s="6">
        <v>3.0</v>
      </c>
    </row>
    <row r="42">
      <c r="A42" s="5" t="s">
        <v>31</v>
      </c>
      <c r="B42" s="5" t="s">
        <v>43</v>
      </c>
      <c r="C42" s="6">
        <v>3.0</v>
      </c>
      <c r="D42" s="6">
        <v>7.0</v>
      </c>
    </row>
    <row r="43">
      <c r="A43" s="5" t="s">
        <v>31</v>
      </c>
      <c r="B43" s="5" t="s">
        <v>43</v>
      </c>
      <c r="C43" s="6">
        <v>17.0</v>
      </c>
      <c r="D43" s="6">
        <v>7.0</v>
      </c>
    </row>
    <row r="44">
      <c r="A44" s="5" t="s">
        <v>31</v>
      </c>
      <c r="B44" s="5" t="s">
        <v>43</v>
      </c>
      <c r="C44" s="6">
        <v>31.0</v>
      </c>
      <c r="D44" s="6">
        <v>3.0</v>
      </c>
    </row>
    <row r="45">
      <c r="A45" s="5" t="s">
        <v>31</v>
      </c>
      <c r="B45" s="5" t="s">
        <v>44</v>
      </c>
      <c r="C45" s="6">
        <v>4.0</v>
      </c>
      <c r="D45" s="6">
        <v>3.0</v>
      </c>
    </row>
    <row r="46">
      <c r="A46" s="5" t="s">
        <v>31</v>
      </c>
      <c r="B46" s="5" t="s">
        <v>44</v>
      </c>
      <c r="C46" s="6">
        <v>11.0</v>
      </c>
      <c r="D46" s="6">
        <v>3.0</v>
      </c>
    </row>
    <row r="47">
      <c r="A47" s="5" t="s">
        <v>31</v>
      </c>
      <c r="B47" s="5" t="s">
        <v>44</v>
      </c>
      <c r="C47" s="6">
        <v>18.0</v>
      </c>
      <c r="D47" s="6">
        <v>3.0</v>
      </c>
    </row>
    <row r="48">
      <c r="A48" s="5" t="s">
        <v>31</v>
      </c>
      <c r="B48" s="5" t="s">
        <v>44</v>
      </c>
      <c r="C48" s="6">
        <v>25.0</v>
      </c>
      <c r="D48" s="6">
        <v>3.0</v>
      </c>
    </row>
    <row r="49">
      <c r="A49" s="5" t="s">
        <v>31</v>
      </c>
      <c r="B49" s="5" t="s">
        <v>44</v>
      </c>
      <c r="C49" s="6">
        <v>32.0</v>
      </c>
      <c r="D49" s="6">
        <v>2.0</v>
      </c>
    </row>
    <row r="50">
      <c r="A50" s="5" t="s">
        <v>31</v>
      </c>
      <c r="B50" s="5" t="s">
        <v>45</v>
      </c>
      <c r="C50" s="6">
        <v>4.0</v>
      </c>
      <c r="D50" s="6">
        <v>2.0</v>
      </c>
    </row>
    <row r="51">
      <c r="A51" s="5" t="s">
        <v>31</v>
      </c>
      <c r="B51" s="5" t="s">
        <v>45</v>
      </c>
      <c r="C51" s="6">
        <v>11.0</v>
      </c>
      <c r="D51" s="6">
        <v>2.0</v>
      </c>
    </row>
    <row r="52">
      <c r="A52" s="5" t="s">
        <v>31</v>
      </c>
      <c r="B52" s="5" t="s">
        <v>45</v>
      </c>
      <c r="C52" s="6">
        <v>18.0</v>
      </c>
      <c r="D52" s="6">
        <v>2.0</v>
      </c>
    </row>
    <row r="53">
      <c r="A53" s="5" t="s">
        <v>31</v>
      </c>
      <c r="B53" s="5" t="s">
        <v>45</v>
      </c>
      <c r="C53" s="6">
        <v>25.0</v>
      </c>
      <c r="D53" s="6">
        <v>2.0</v>
      </c>
    </row>
    <row r="54">
      <c r="A54" s="5" t="s">
        <v>31</v>
      </c>
      <c r="B54" s="5" t="s">
        <v>45</v>
      </c>
      <c r="C54" s="6">
        <v>32.0</v>
      </c>
      <c r="D54" s="6">
        <v>2.0</v>
      </c>
    </row>
    <row r="55">
      <c r="A55" s="5" t="s">
        <v>31</v>
      </c>
      <c r="B55" s="5" t="s">
        <v>46</v>
      </c>
      <c r="C55" s="6">
        <v>1.0</v>
      </c>
      <c r="D55" s="6">
        <v>1.0</v>
      </c>
    </row>
    <row r="56">
      <c r="A56" s="5" t="s">
        <v>31</v>
      </c>
      <c r="B56" s="5" t="s">
        <v>46</v>
      </c>
      <c r="C56" s="6">
        <v>3.0</v>
      </c>
      <c r="D56" s="6">
        <v>1.0</v>
      </c>
    </row>
    <row r="57">
      <c r="A57" s="5" t="s">
        <v>31</v>
      </c>
      <c r="B57" s="5" t="s">
        <v>46</v>
      </c>
      <c r="C57" s="6">
        <v>5.0</v>
      </c>
      <c r="D57" s="6">
        <v>1.0</v>
      </c>
    </row>
    <row r="58">
      <c r="A58" s="5" t="s">
        <v>31</v>
      </c>
      <c r="B58" s="5" t="s">
        <v>46</v>
      </c>
      <c r="C58" s="6">
        <v>8.0</v>
      </c>
      <c r="D58" s="6">
        <v>1.0</v>
      </c>
    </row>
    <row r="59">
      <c r="A59" s="5" t="s">
        <v>31</v>
      </c>
      <c r="B59" s="5" t="s">
        <v>46</v>
      </c>
      <c r="C59" s="6">
        <v>10.0</v>
      </c>
      <c r="D59" s="6">
        <v>1.0</v>
      </c>
    </row>
    <row r="60">
      <c r="A60" s="5" t="s">
        <v>31</v>
      </c>
      <c r="B60" s="5" t="s">
        <v>46</v>
      </c>
      <c r="C60" s="6">
        <v>12.0</v>
      </c>
      <c r="D60" s="6">
        <v>1.0</v>
      </c>
    </row>
    <row r="61">
      <c r="A61" s="5" t="s">
        <v>31</v>
      </c>
      <c r="B61" s="5" t="s">
        <v>46</v>
      </c>
      <c r="C61" s="6">
        <v>15.0</v>
      </c>
      <c r="D61" s="6">
        <v>1.0</v>
      </c>
    </row>
    <row r="62">
      <c r="A62" s="5" t="s">
        <v>31</v>
      </c>
      <c r="B62" s="5" t="s">
        <v>46</v>
      </c>
      <c r="C62" s="6">
        <v>17.0</v>
      </c>
      <c r="D62" s="6">
        <v>1.0</v>
      </c>
    </row>
    <row r="63">
      <c r="A63" s="5" t="s">
        <v>31</v>
      </c>
      <c r="B63" s="5" t="s">
        <v>46</v>
      </c>
      <c r="C63" s="6">
        <v>19.0</v>
      </c>
      <c r="D63" s="6">
        <v>1.0</v>
      </c>
    </row>
    <row r="64">
      <c r="A64" s="5" t="s">
        <v>31</v>
      </c>
      <c r="B64" s="5" t="s">
        <v>46</v>
      </c>
      <c r="C64" s="6">
        <v>22.0</v>
      </c>
      <c r="D64" s="6">
        <v>1.0</v>
      </c>
    </row>
    <row r="65">
      <c r="A65" s="5" t="s">
        <v>31</v>
      </c>
      <c r="B65" s="5" t="s">
        <v>46</v>
      </c>
      <c r="C65" s="6">
        <v>24.0</v>
      </c>
      <c r="D65" s="6">
        <v>1.0</v>
      </c>
    </row>
    <row r="66">
      <c r="A66" s="5" t="s">
        <v>31</v>
      </c>
      <c r="B66" s="5" t="s">
        <v>46</v>
      </c>
      <c r="C66" s="6">
        <v>26.0</v>
      </c>
      <c r="D66" s="6">
        <v>1.0</v>
      </c>
    </row>
    <row r="67">
      <c r="A67" s="5" t="s">
        <v>31</v>
      </c>
      <c r="B67" s="5" t="s">
        <v>46</v>
      </c>
      <c r="C67" s="6">
        <v>29.0</v>
      </c>
      <c r="D67" s="6">
        <v>1.0</v>
      </c>
    </row>
    <row r="68">
      <c r="A68" s="5" t="s">
        <v>31</v>
      </c>
      <c r="B68" s="5" t="s">
        <v>46</v>
      </c>
      <c r="C68" s="6">
        <v>31.0</v>
      </c>
      <c r="D68" s="6">
        <v>1.0</v>
      </c>
    </row>
    <row r="69">
      <c r="A69" s="5" t="s">
        <v>31</v>
      </c>
      <c r="B69" s="5" t="s">
        <v>46</v>
      </c>
      <c r="C69" s="6">
        <v>33.0</v>
      </c>
      <c r="D69" s="6">
        <v>1.0</v>
      </c>
    </row>
    <row r="70">
      <c r="A70" s="5" t="s">
        <v>31</v>
      </c>
      <c r="B70" s="5" t="s">
        <v>47</v>
      </c>
      <c r="C70" s="6">
        <v>2.0</v>
      </c>
      <c r="D70" s="6">
        <v>1.0</v>
      </c>
    </row>
    <row r="71">
      <c r="A71" s="5" t="s">
        <v>31</v>
      </c>
      <c r="B71" s="5" t="s">
        <v>47</v>
      </c>
      <c r="C71" s="6">
        <v>9.0</v>
      </c>
      <c r="D71" s="6">
        <v>1.0</v>
      </c>
    </row>
    <row r="72">
      <c r="A72" s="5" t="s">
        <v>31</v>
      </c>
      <c r="B72" s="5" t="s">
        <v>47</v>
      </c>
      <c r="C72" s="6">
        <v>16.0</v>
      </c>
      <c r="D72" s="6">
        <v>1.0</v>
      </c>
    </row>
    <row r="73">
      <c r="A73" s="5" t="s">
        <v>31</v>
      </c>
      <c r="B73" s="5" t="s">
        <v>47</v>
      </c>
      <c r="C73" s="6">
        <v>23.0</v>
      </c>
      <c r="D73" s="6">
        <v>1.0</v>
      </c>
    </row>
    <row r="74">
      <c r="A74" s="5" t="s">
        <v>31</v>
      </c>
      <c r="B74" s="5" t="s">
        <v>47</v>
      </c>
      <c r="C74" s="6">
        <v>30.0</v>
      </c>
      <c r="D74" s="6">
        <v>1.0</v>
      </c>
    </row>
    <row r="75">
      <c r="A75" s="5" t="s">
        <v>31</v>
      </c>
      <c r="B75" s="5" t="s">
        <v>48</v>
      </c>
      <c r="C75" s="6">
        <v>4.0</v>
      </c>
      <c r="D75" s="6">
        <v>1.0</v>
      </c>
    </row>
    <row r="76">
      <c r="A76" s="5" t="s">
        <v>31</v>
      </c>
      <c r="B76" s="5" t="s">
        <v>48</v>
      </c>
      <c r="C76" s="6">
        <v>13.0</v>
      </c>
      <c r="D76" s="6">
        <v>1.0</v>
      </c>
    </row>
    <row r="77">
      <c r="A77" s="5" t="s">
        <v>31</v>
      </c>
      <c r="B77" s="5" t="s">
        <v>48</v>
      </c>
      <c r="C77" s="6">
        <v>20.0</v>
      </c>
      <c r="D77" s="6">
        <v>1.0</v>
      </c>
    </row>
    <row r="78">
      <c r="A78" s="5" t="s">
        <v>31</v>
      </c>
      <c r="B78" s="5" t="s">
        <v>48</v>
      </c>
      <c r="C78" s="6">
        <v>27.0</v>
      </c>
      <c r="D78" s="6">
        <v>1.0</v>
      </c>
    </row>
    <row r="79">
      <c r="A79" s="5" t="s">
        <v>31</v>
      </c>
      <c r="B79" s="5" t="s">
        <v>49</v>
      </c>
      <c r="C79" s="6">
        <v>2.0</v>
      </c>
      <c r="D79" s="6">
        <v>1.0</v>
      </c>
    </row>
    <row r="80">
      <c r="A80" s="5" t="s">
        <v>31</v>
      </c>
      <c r="B80" s="5" t="s">
        <v>49</v>
      </c>
      <c r="C80" s="6">
        <v>4.0</v>
      </c>
      <c r="D80" s="6">
        <v>1.0</v>
      </c>
    </row>
    <row r="81">
      <c r="A81" s="5" t="s">
        <v>31</v>
      </c>
      <c r="B81" s="5" t="s">
        <v>49</v>
      </c>
      <c r="C81" s="6">
        <v>6.0</v>
      </c>
      <c r="D81" s="6">
        <v>1.0</v>
      </c>
    </row>
    <row r="82">
      <c r="A82" s="5" t="s">
        <v>31</v>
      </c>
      <c r="B82" s="5" t="s">
        <v>49</v>
      </c>
      <c r="C82" s="6">
        <v>7.0</v>
      </c>
      <c r="D82" s="6">
        <v>1.0</v>
      </c>
    </row>
    <row r="83">
      <c r="A83" s="5" t="s">
        <v>31</v>
      </c>
      <c r="B83" s="5" t="s">
        <v>49</v>
      </c>
      <c r="C83" s="6">
        <v>9.0</v>
      </c>
      <c r="D83" s="6">
        <v>1.0</v>
      </c>
    </row>
    <row r="84">
      <c r="A84" s="5" t="s">
        <v>31</v>
      </c>
      <c r="B84" s="5" t="s">
        <v>49</v>
      </c>
      <c r="C84" s="6">
        <v>11.0</v>
      </c>
      <c r="D84" s="6">
        <v>1.0</v>
      </c>
    </row>
    <row r="85">
      <c r="A85" s="5" t="s">
        <v>31</v>
      </c>
      <c r="B85" s="5" t="s">
        <v>49</v>
      </c>
      <c r="C85" s="6">
        <v>13.0</v>
      </c>
      <c r="D85" s="6">
        <v>1.0</v>
      </c>
    </row>
    <row r="86">
      <c r="A86" s="5" t="s">
        <v>31</v>
      </c>
      <c r="B86" s="5" t="s">
        <v>49</v>
      </c>
      <c r="C86" s="6">
        <v>14.0</v>
      </c>
      <c r="D86" s="6">
        <v>1.0</v>
      </c>
    </row>
    <row r="87">
      <c r="A87" s="5" t="s">
        <v>31</v>
      </c>
      <c r="B87" s="5" t="s">
        <v>49</v>
      </c>
      <c r="C87" s="6">
        <v>16.0</v>
      </c>
      <c r="D87" s="6">
        <v>1.0</v>
      </c>
    </row>
    <row r="88">
      <c r="A88" s="5" t="s">
        <v>31</v>
      </c>
      <c r="B88" s="5" t="s">
        <v>49</v>
      </c>
      <c r="C88" s="6">
        <v>18.0</v>
      </c>
      <c r="D88" s="6">
        <v>1.0</v>
      </c>
    </row>
    <row r="89">
      <c r="A89" s="5" t="s">
        <v>31</v>
      </c>
      <c r="B89" s="5" t="s">
        <v>49</v>
      </c>
      <c r="C89" s="6">
        <v>20.0</v>
      </c>
      <c r="D89" s="6">
        <v>1.0</v>
      </c>
    </row>
    <row r="90">
      <c r="A90" s="5" t="s">
        <v>31</v>
      </c>
      <c r="B90" s="5" t="s">
        <v>49</v>
      </c>
      <c r="C90" s="6">
        <v>21.0</v>
      </c>
      <c r="D90" s="6">
        <v>1.0</v>
      </c>
    </row>
    <row r="91">
      <c r="A91" s="5" t="s">
        <v>31</v>
      </c>
      <c r="B91" s="5" t="s">
        <v>49</v>
      </c>
      <c r="C91" s="6">
        <v>23.0</v>
      </c>
      <c r="D91" s="6">
        <v>1.0</v>
      </c>
    </row>
    <row r="92">
      <c r="A92" s="5" t="s">
        <v>31</v>
      </c>
      <c r="B92" s="5" t="s">
        <v>49</v>
      </c>
      <c r="C92" s="6">
        <v>25.0</v>
      </c>
      <c r="D92" s="6">
        <v>1.0</v>
      </c>
    </row>
    <row r="93">
      <c r="A93" s="5" t="s">
        <v>31</v>
      </c>
      <c r="B93" s="5" t="s">
        <v>49</v>
      </c>
      <c r="C93" s="6">
        <v>27.0</v>
      </c>
      <c r="D93" s="6">
        <v>1.0</v>
      </c>
    </row>
    <row r="94">
      <c r="A94" s="5" t="s">
        <v>31</v>
      </c>
      <c r="B94" s="5" t="s">
        <v>49</v>
      </c>
      <c r="C94" s="6">
        <v>28.0</v>
      </c>
      <c r="D94" s="6">
        <v>1.0</v>
      </c>
    </row>
    <row r="95">
      <c r="A95" s="5" t="s">
        <v>31</v>
      </c>
      <c r="B95" s="5" t="s">
        <v>49</v>
      </c>
      <c r="C95" s="6">
        <v>30.0</v>
      </c>
      <c r="D95" s="6">
        <v>1.0</v>
      </c>
    </row>
    <row r="96">
      <c r="A96" s="5" t="s">
        <v>31</v>
      </c>
      <c r="B96" s="5" t="s">
        <v>49</v>
      </c>
      <c r="C96" s="6">
        <v>32.0</v>
      </c>
      <c r="D96" s="6">
        <v>1.0</v>
      </c>
    </row>
    <row r="97">
      <c r="A97" s="5" t="s">
        <v>31</v>
      </c>
      <c r="B97" s="5" t="s">
        <v>50</v>
      </c>
      <c r="C97" s="6">
        <v>4.0</v>
      </c>
      <c r="D97" s="6">
        <v>1.0</v>
      </c>
    </row>
    <row r="98">
      <c r="A98" s="5" t="s">
        <v>31</v>
      </c>
      <c r="B98" s="5" t="s">
        <v>50</v>
      </c>
      <c r="C98" s="6">
        <v>13.0</v>
      </c>
      <c r="D98" s="6">
        <v>1.0</v>
      </c>
    </row>
    <row r="99">
      <c r="A99" s="5" t="s">
        <v>31</v>
      </c>
      <c r="B99" s="5" t="s">
        <v>50</v>
      </c>
      <c r="C99" s="6">
        <v>20.0</v>
      </c>
      <c r="D99" s="6">
        <v>1.0</v>
      </c>
    </row>
    <row r="100">
      <c r="A100" s="5" t="s">
        <v>31</v>
      </c>
      <c r="B100" s="5" t="s">
        <v>50</v>
      </c>
      <c r="C100" s="6">
        <v>27.0</v>
      </c>
      <c r="D100" s="6">
        <v>1.0</v>
      </c>
    </row>
    <row r="101">
      <c r="A101" s="5" t="s">
        <v>31</v>
      </c>
      <c r="B101" s="5" t="s">
        <v>51</v>
      </c>
      <c r="C101" s="6">
        <v>5.0</v>
      </c>
      <c r="D101" s="6">
        <v>1.0</v>
      </c>
    </row>
    <row r="102">
      <c r="A102" s="5" t="s">
        <v>31</v>
      </c>
      <c r="B102" s="5" t="s">
        <v>51</v>
      </c>
      <c r="C102" s="6">
        <v>14.0</v>
      </c>
      <c r="D102" s="6">
        <v>1.0</v>
      </c>
    </row>
    <row r="103">
      <c r="A103" s="5" t="s">
        <v>31</v>
      </c>
      <c r="B103" s="5" t="s">
        <v>51</v>
      </c>
      <c r="C103" s="6">
        <v>21.0</v>
      </c>
      <c r="D103" s="6">
        <v>1.0</v>
      </c>
    </row>
    <row r="104">
      <c r="A104" s="5" t="s">
        <v>31</v>
      </c>
      <c r="B104" s="5" t="s">
        <v>51</v>
      </c>
      <c r="C104" s="6">
        <v>28.0</v>
      </c>
      <c r="D104" s="6">
        <v>1.0</v>
      </c>
    </row>
    <row r="105">
      <c r="A105" s="5" t="s">
        <v>31</v>
      </c>
      <c r="B105" s="5" t="s">
        <v>52</v>
      </c>
      <c r="C105" s="6">
        <v>1.0</v>
      </c>
      <c r="D105" s="6">
        <v>1.0</v>
      </c>
    </row>
    <row r="106">
      <c r="A106" s="5" t="s">
        <v>31</v>
      </c>
      <c r="B106" s="5" t="s">
        <v>52</v>
      </c>
      <c r="C106" s="6">
        <v>2.0</v>
      </c>
      <c r="D106" s="6">
        <v>1.0</v>
      </c>
    </row>
    <row r="107">
      <c r="A107" s="5" t="s">
        <v>31</v>
      </c>
      <c r="B107" s="5" t="s">
        <v>52</v>
      </c>
      <c r="C107" s="6">
        <v>3.0</v>
      </c>
      <c r="D107" s="6">
        <v>1.0</v>
      </c>
    </row>
    <row r="108">
      <c r="A108" s="5" t="s">
        <v>31</v>
      </c>
      <c r="B108" s="5" t="s">
        <v>52</v>
      </c>
      <c r="C108" s="6">
        <v>4.0</v>
      </c>
      <c r="D108" s="6">
        <v>1.0</v>
      </c>
    </row>
    <row r="109">
      <c r="A109" s="5" t="s">
        <v>31</v>
      </c>
      <c r="B109" s="5" t="s">
        <v>52</v>
      </c>
      <c r="C109" s="6">
        <v>5.0</v>
      </c>
      <c r="D109" s="6">
        <v>1.0</v>
      </c>
    </row>
    <row r="110">
      <c r="A110" s="5" t="s">
        <v>31</v>
      </c>
      <c r="B110" s="5" t="s">
        <v>52</v>
      </c>
      <c r="C110" s="6">
        <v>6.0</v>
      </c>
      <c r="D110" s="6">
        <v>1.0</v>
      </c>
    </row>
    <row r="111">
      <c r="A111" s="5" t="s">
        <v>31</v>
      </c>
      <c r="B111" s="5" t="s">
        <v>52</v>
      </c>
      <c r="C111" s="6">
        <v>7.0</v>
      </c>
      <c r="D111" s="6">
        <v>1.0</v>
      </c>
    </row>
    <row r="112">
      <c r="A112" s="5" t="s">
        <v>31</v>
      </c>
      <c r="B112" s="5" t="s">
        <v>52</v>
      </c>
      <c r="C112" s="6">
        <v>8.0</v>
      </c>
      <c r="D112" s="6">
        <v>1.0</v>
      </c>
    </row>
    <row r="113">
      <c r="A113" s="5" t="s">
        <v>31</v>
      </c>
      <c r="B113" s="5" t="s">
        <v>52</v>
      </c>
      <c r="C113" s="6">
        <v>9.0</v>
      </c>
      <c r="D113" s="6">
        <v>1.0</v>
      </c>
    </row>
    <row r="114">
      <c r="A114" s="5" t="s">
        <v>31</v>
      </c>
      <c r="B114" s="5" t="s">
        <v>52</v>
      </c>
      <c r="C114" s="6">
        <v>10.0</v>
      </c>
      <c r="D114" s="6">
        <v>1.0</v>
      </c>
    </row>
    <row r="115">
      <c r="A115" s="5" t="s">
        <v>31</v>
      </c>
      <c r="B115" s="5" t="s">
        <v>52</v>
      </c>
      <c r="C115" s="6">
        <v>11.0</v>
      </c>
      <c r="D115" s="6">
        <v>1.0</v>
      </c>
    </row>
    <row r="116">
      <c r="A116" s="5" t="s">
        <v>31</v>
      </c>
      <c r="B116" s="5" t="s">
        <v>52</v>
      </c>
      <c r="C116" s="6">
        <v>12.0</v>
      </c>
      <c r="D116" s="6">
        <v>1.0</v>
      </c>
    </row>
    <row r="117">
      <c r="A117" s="5" t="s">
        <v>31</v>
      </c>
      <c r="B117" s="5" t="s">
        <v>52</v>
      </c>
      <c r="C117" s="6">
        <v>13.0</v>
      </c>
      <c r="D117" s="6">
        <v>1.0</v>
      </c>
    </row>
    <row r="118">
      <c r="A118" s="5" t="s">
        <v>31</v>
      </c>
      <c r="B118" s="5" t="s">
        <v>52</v>
      </c>
      <c r="C118" s="6">
        <v>14.0</v>
      </c>
      <c r="D118" s="6">
        <v>1.0</v>
      </c>
    </row>
    <row r="119">
      <c r="A119" s="5" t="s">
        <v>31</v>
      </c>
      <c r="B119" s="5" t="s">
        <v>52</v>
      </c>
      <c r="C119" s="6">
        <v>15.0</v>
      </c>
      <c r="D119" s="6">
        <v>1.0</v>
      </c>
    </row>
    <row r="120">
      <c r="A120" s="5" t="s">
        <v>31</v>
      </c>
      <c r="B120" s="5" t="s">
        <v>52</v>
      </c>
      <c r="C120" s="6">
        <v>16.0</v>
      </c>
      <c r="D120" s="6">
        <v>1.0</v>
      </c>
    </row>
    <row r="121">
      <c r="A121" s="5" t="s">
        <v>31</v>
      </c>
      <c r="B121" s="5" t="s">
        <v>52</v>
      </c>
      <c r="C121" s="6">
        <v>17.0</v>
      </c>
      <c r="D121" s="6">
        <v>1.0</v>
      </c>
    </row>
    <row r="122">
      <c r="A122" s="5" t="s">
        <v>31</v>
      </c>
      <c r="B122" s="5" t="s">
        <v>52</v>
      </c>
      <c r="C122" s="6">
        <v>18.0</v>
      </c>
      <c r="D122" s="6">
        <v>1.0</v>
      </c>
    </row>
    <row r="123">
      <c r="A123" s="5" t="s">
        <v>31</v>
      </c>
      <c r="B123" s="5" t="s">
        <v>52</v>
      </c>
      <c r="C123" s="6">
        <v>19.0</v>
      </c>
      <c r="D123" s="6">
        <v>1.0</v>
      </c>
    </row>
    <row r="124">
      <c r="A124" s="5" t="s">
        <v>31</v>
      </c>
      <c r="B124" s="5" t="s">
        <v>52</v>
      </c>
      <c r="C124" s="6">
        <v>20.0</v>
      </c>
      <c r="D124" s="6">
        <v>1.0</v>
      </c>
    </row>
    <row r="125">
      <c r="A125" s="5" t="s">
        <v>31</v>
      </c>
      <c r="B125" s="5" t="s">
        <v>52</v>
      </c>
      <c r="C125" s="6">
        <v>21.0</v>
      </c>
      <c r="D125" s="6">
        <v>1.0</v>
      </c>
    </row>
    <row r="126">
      <c r="A126" s="5" t="s">
        <v>31</v>
      </c>
      <c r="B126" s="5" t="s">
        <v>52</v>
      </c>
      <c r="C126" s="6">
        <v>22.0</v>
      </c>
      <c r="D126" s="6">
        <v>1.0</v>
      </c>
    </row>
    <row r="127">
      <c r="A127" s="5" t="s">
        <v>31</v>
      </c>
      <c r="B127" s="5" t="s">
        <v>52</v>
      </c>
      <c r="C127" s="6">
        <v>23.0</v>
      </c>
      <c r="D127" s="6">
        <v>1.0</v>
      </c>
    </row>
    <row r="128">
      <c r="A128" s="5" t="s">
        <v>31</v>
      </c>
      <c r="B128" s="5" t="s">
        <v>52</v>
      </c>
      <c r="C128" s="6">
        <v>24.0</v>
      </c>
      <c r="D128" s="6">
        <v>1.0</v>
      </c>
    </row>
    <row r="129">
      <c r="A129" s="5" t="s">
        <v>31</v>
      </c>
      <c r="B129" s="5" t="s">
        <v>52</v>
      </c>
      <c r="C129" s="6">
        <v>25.0</v>
      </c>
      <c r="D129" s="6">
        <v>1.0</v>
      </c>
    </row>
    <row r="130">
      <c r="A130" s="5" t="s">
        <v>31</v>
      </c>
      <c r="B130" s="5" t="s">
        <v>52</v>
      </c>
      <c r="C130" s="6">
        <v>26.0</v>
      </c>
      <c r="D130" s="6">
        <v>1.0</v>
      </c>
    </row>
    <row r="131">
      <c r="A131" s="5" t="s">
        <v>31</v>
      </c>
      <c r="B131" s="5" t="s">
        <v>52</v>
      </c>
      <c r="C131" s="6">
        <v>27.0</v>
      </c>
      <c r="D131" s="6">
        <v>1.0</v>
      </c>
    </row>
    <row r="132">
      <c r="A132" s="5" t="s">
        <v>31</v>
      </c>
      <c r="B132" s="5" t="s">
        <v>52</v>
      </c>
      <c r="C132" s="6">
        <v>28.0</v>
      </c>
      <c r="D132" s="6">
        <v>1.0</v>
      </c>
    </row>
    <row r="133">
      <c r="A133" s="5" t="s">
        <v>31</v>
      </c>
      <c r="B133" s="5" t="s">
        <v>52</v>
      </c>
      <c r="C133" s="6">
        <v>29.0</v>
      </c>
      <c r="D133" s="6">
        <v>1.0</v>
      </c>
    </row>
    <row r="134">
      <c r="A134" s="5" t="s">
        <v>31</v>
      </c>
      <c r="B134" s="5" t="s">
        <v>52</v>
      </c>
      <c r="C134" s="6">
        <v>30.0</v>
      </c>
      <c r="D134" s="6">
        <v>1.0</v>
      </c>
    </row>
    <row r="135">
      <c r="A135" s="5" t="s">
        <v>31</v>
      </c>
      <c r="B135" s="5" t="s">
        <v>52</v>
      </c>
      <c r="C135" s="6">
        <v>31.0</v>
      </c>
      <c r="D135" s="6">
        <v>1.0</v>
      </c>
    </row>
    <row r="136">
      <c r="A136" s="5" t="s">
        <v>31</v>
      </c>
      <c r="B136" s="5" t="s">
        <v>52</v>
      </c>
      <c r="C136" s="6">
        <v>32.0</v>
      </c>
      <c r="D136" s="6">
        <v>1.0</v>
      </c>
    </row>
    <row r="137">
      <c r="A137" s="5" t="s">
        <v>31</v>
      </c>
      <c r="B137" s="5" t="s">
        <v>52</v>
      </c>
      <c r="C137" s="6">
        <v>33.0</v>
      </c>
      <c r="D137" s="6">
        <v>1.0</v>
      </c>
    </row>
    <row r="138">
      <c r="A138" s="5" t="s">
        <v>53</v>
      </c>
      <c r="B138" s="5" t="s">
        <v>34</v>
      </c>
      <c r="C138" s="6">
        <v>17.0</v>
      </c>
      <c r="D138" s="6">
        <v>3.0</v>
      </c>
    </row>
    <row r="139">
      <c r="A139" s="5" t="s">
        <v>53</v>
      </c>
      <c r="B139" s="5" t="s">
        <v>34</v>
      </c>
      <c r="C139" s="6">
        <v>31.0</v>
      </c>
      <c r="D139" s="6">
        <v>3.0</v>
      </c>
    </row>
    <row r="140">
      <c r="A140" s="5" t="s">
        <v>53</v>
      </c>
      <c r="B140" s="5" t="s">
        <v>34</v>
      </c>
      <c r="C140" s="6">
        <v>3.0</v>
      </c>
      <c r="D140" s="6">
        <v>3.0</v>
      </c>
    </row>
    <row r="141">
      <c r="A141" s="5" t="s">
        <v>53</v>
      </c>
      <c r="B141" s="5" t="s">
        <v>35</v>
      </c>
      <c r="C141" s="6">
        <v>24.0</v>
      </c>
      <c r="D141" s="6">
        <v>3.0</v>
      </c>
    </row>
    <row r="142">
      <c r="A142" s="5" t="s">
        <v>53</v>
      </c>
      <c r="B142" s="5" t="s">
        <v>33</v>
      </c>
      <c r="C142" s="6">
        <v>1.0</v>
      </c>
      <c r="D142" s="6">
        <v>5.0</v>
      </c>
    </row>
    <row r="143">
      <c r="A143" s="5" t="s">
        <v>53</v>
      </c>
      <c r="B143" s="5" t="s">
        <v>33</v>
      </c>
      <c r="C143" s="6">
        <v>6.0</v>
      </c>
      <c r="D143" s="6">
        <v>7.0</v>
      </c>
    </row>
    <row r="144">
      <c r="A144" s="5" t="s">
        <v>53</v>
      </c>
      <c r="B144" s="5" t="s">
        <v>33</v>
      </c>
      <c r="C144" s="6">
        <v>13.0</v>
      </c>
      <c r="D144" s="6">
        <v>7.0</v>
      </c>
    </row>
    <row r="145">
      <c r="A145" s="5" t="s">
        <v>53</v>
      </c>
      <c r="B145" s="5" t="s">
        <v>33</v>
      </c>
      <c r="C145" s="6">
        <v>20.0</v>
      </c>
      <c r="D145" s="6">
        <v>7.0</v>
      </c>
    </row>
    <row r="146">
      <c r="A146" s="5" t="s">
        <v>53</v>
      </c>
      <c r="B146" s="5" t="s">
        <v>33</v>
      </c>
      <c r="C146" s="6">
        <v>27.0</v>
      </c>
      <c r="D146" s="6">
        <v>7.0</v>
      </c>
    </row>
    <row r="147">
      <c r="A147" s="5" t="s">
        <v>53</v>
      </c>
      <c r="B147" s="5" t="s">
        <v>36</v>
      </c>
      <c r="C147" s="6">
        <v>10.0</v>
      </c>
      <c r="D147" s="6">
        <v>3.0</v>
      </c>
    </row>
    <row r="148">
      <c r="A148" s="5" t="s">
        <v>53</v>
      </c>
      <c r="B148" s="5" t="s">
        <v>44</v>
      </c>
      <c r="C148" s="6">
        <v>20.0</v>
      </c>
      <c r="D148" s="6">
        <v>4.0</v>
      </c>
    </row>
    <row r="149">
      <c r="A149" s="5" t="s">
        <v>53</v>
      </c>
      <c r="B149" s="5" t="s">
        <v>44</v>
      </c>
      <c r="C149" s="6">
        <v>27.0</v>
      </c>
      <c r="D149" s="6">
        <v>4.0</v>
      </c>
    </row>
    <row r="150">
      <c r="A150" s="5" t="s">
        <v>53</v>
      </c>
      <c r="B150" s="5" t="s">
        <v>44</v>
      </c>
      <c r="C150" s="6">
        <v>1.0</v>
      </c>
      <c r="D150" s="6">
        <v>2.0</v>
      </c>
    </row>
    <row r="151">
      <c r="A151" s="5" t="s">
        <v>53</v>
      </c>
      <c r="B151" s="5" t="s">
        <v>44</v>
      </c>
      <c r="C151" s="6">
        <v>13.0</v>
      </c>
      <c r="D151" s="6">
        <v>4.0</v>
      </c>
    </row>
    <row r="152">
      <c r="A152" s="5" t="s">
        <v>53</v>
      </c>
      <c r="B152" s="5" t="s">
        <v>44</v>
      </c>
      <c r="C152" s="6">
        <v>6.0</v>
      </c>
      <c r="D152" s="6">
        <v>4.0</v>
      </c>
    </row>
    <row r="153">
      <c r="A153" s="5" t="s">
        <v>53</v>
      </c>
      <c r="B153" s="5" t="s">
        <v>54</v>
      </c>
      <c r="C153" s="6">
        <v>1.0</v>
      </c>
      <c r="D153" s="6">
        <v>2.0</v>
      </c>
    </row>
    <row r="154">
      <c r="A154" s="5" t="s">
        <v>53</v>
      </c>
      <c r="B154" s="5" t="s">
        <v>54</v>
      </c>
      <c r="C154" s="6">
        <v>6.0</v>
      </c>
      <c r="D154" s="6">
        <v>4.0</v>
      </c>
    </row>
    <row r="155">
      <c r="A155" s="5" t="s">
        <v>53</v>
      </c>
      <c r="B155" s="5" t="s">
        <v>54</v>
      </c>
      <c r="C155" s="6">
        <v>13.0</v>
      </c>
      <c r="D155" s="6">
        <v>4.0</v>
      </c>
    </row>
    <row r="156">
      <c r="A156" s="5" t="s">
        <v>53</v>
      </c>
      <c r="B156" s="5" t="s">
        <v>54</v>
      </c>
      <c r="C156" s="6">
        <v>20.0</v>
      </c>
      <c r="D156" s="6">
        <v>4.0</v>
      </c>
    </row>
    <row r="157">
      <c r="A157" s="5" t="s">
        <v>53</v>
      </c>
      <c r="B157" s="5" t="s">
        <v>54</v>
      </c>
      <c r="C157" s="6">
        <v>27.0</v>
      </c>
      <c r="D157" s="6">
        <v>4.0</v>
      </c>
    </row>
    <row r="158">
      <c r="A158" s="5" t="s">
        <v>53</v>
      </c>
      <c r="B158" s="5" t="s">
        <v>38</v>
      </c>
      <c r="C158" s="6">
        <v>1.0</v>
      </c>
      <c r="D158" s="6">
        <v>5.0</v>
      </c>
    </row>
    <row r="159">
      <c r="A159" s="5" t="s">
        <v>53</v>
      </c>
      <c r="B159" s="5" t="s">
        <v>38</v>
      </c>
      <c r="C159" s="6">
        <v>6.0</v>
      </c>
      <c r="D159" s="6">
        <v>7.0</v>
      </c>
    </row>
    <row r="160">
      <c r="A160" s="5" t="s">
        <v>53</v>
      </c>
      <c r="B160" s="5" t="s">
        <v>38</v>
      </c>
      <c r="C160" s="6">
        <v>13.0</v>
      </c>
      <c r="D160" s="6">
        <v>7.0</v>
      </c>
    </row>
    <row r="161">
      <c r="A161" s="5" t="s">
        <v>53</v>
      </c>
      <c r="B161" s="5" t="s">
        <v>38</v>
      </c>
      <c r="C161" s="6">
        <v>20.0</v>
      </c>
      <c r="D161" s="6">
        <v>7.0</v>
      </c>
    </row>
    <row r="162">
      <c r="A162" s="5" t="s">
        <v>53</v>
      </c>
      <c r="B162" s="5" t="s">
        <v>38</v>
      </c>
      <c r="C162" s="6">
        <v>27.0</v>
      </c>
      <c r="D162" s="6">
        <v>7.0</v>
      </c>
    </row>
    <row r="163">
      <c r="A163" s="5" t="s">
        <v>53</v>
      </c>
      <c r="B163" s="5" t="s">
        <v>37</v>
      </c>
      <c r="C163" s="6">
        <v>24.0</v>
      </c>
      <c r="D163" s="6">
        <v>3.0</v>
      </c>
    </row>
    <row r="164">
      <c r="A164" s="5" t="s">
        <v>53</v>
      </c>
      <c r="B164" s="5" t="s">
        <v>37</v>
      </c>
      <c r="C164" s="6">
        <v>3.0</v>
      </c>
      <c r="D164" s="6">
        <v>3.0</v>
      </c>
    </row>
    <row r="165">
      <c r="A165" s="5" t="s">
        <v>53</v>
      </c>
      <c r="B165" s="5" t="s">
        <v>37</v>
      </c>
      <c r="C165" s="6">
        <v>10.0</v>
      </c>
      <c r="D165" s="6">
        <v>3.0</v>
      </c>
    </row>
    <row r="166">
      <c r="A166" s="5" t="s">
        <v>53</v>
      </c>
      <c r="B166" s="5" t="s">
        <v>37</v>
      </c>
      <c r="C166" s="6">
        <v>17.0</v>
      </c>
      <c r="D166" s="6">
        <v>3.0</v>
      </c>
    </row>
    <row r="167">
      <c r="A167" s="5" t="s">
        <v>53</v>
      </c>
      <c r="B167" s="5" t="s">
        <v>37</v>
      </c>
      <c r="C167" s="6">
        <v>31.0</v>
      </c>
      <c r="D167" s="6">
        <v>3.0</v>
      </c>
    </row>
    <row r="168">
      <c r="A168" s="5" t="s">
        <v>53</v>
      </c>
      <c r="B168" s="5" t="s">
        <v>45</v>
      </c>
      <c r="C168" s="6">
        <v>25.0</v>
      </c>
      <c r="D168" s="6">
        <v>2.0</v>
      </c>
    </row>
    <row r="169">
      <c r="A169" s="5" t="s">
        <v>53</v>
      </c>
      <c r="B169" s="5" t="s">
        <v>45</v>
      </c>
      <c r="C169" s="6">
        <v>4.0</v>
      </c>
      <c r="D169" s="6">
        <v>2.0</v>
      </c>
    </row>
    <row r="170">
      <c r="A170" s="5" t="s">
        <v>53</v>
      </c>
      <c r="B170" s="5" t="s">
        <v>45</v>
      </c>
      <c r="C170" s="6">
        <v>11.0</v>
      </c>
      <c r="D170" s="6">
        <v>2.0</v>
      </c>
    </row>
    <row r="171">
      <c r="A171" s="5" t="s">
        <v>53</v>
      </c>
      <c r="B171" s="5" t="s">
        <v>45</v>
      </c>
      <c r="C171" s="6">
        <v>18.0</v>
      </c>
      <c r="D171" s="6">
        <v>2.0</v>
      </c>
    </row>
    <row r="172">
      <c r="A172" s="5" t="s">
        <v>53</v>
      </c>
      <c r="B172" s="5" t="s">
        <v>45</v>
      </c>
      <c r="C172" s="6">
        <v>32.0</v>
      </c>
      <c r="D172" s="6">
        <v>2.0</v>
      </c>
    </row>
    <row r="173">
      <c r="A173" s="5" t="s">
        <v>53</v>
      </c>
      <c r="B173" s="5" t="s">
        <v>39</v>
      </c>
      <c r="C173" s="6">
        <v>1.0</v>
      </c>
      <c r="D173" s="6">
        <v>30.0</v>
      </c>
    </row>
    <row r="174">
      <c r="A174" s="5" t="s">
        <v>53</v>
      </c>
      <c r="B174" s="5" t="s">
        <v>39</v>
      </c>
      <c r="C174" s="6">
        <v>31.0</v>
      </c>
      <c r="D174" s="6">
        <v>3.0</v>
      </c>
    </row>
    <row r="175">
      <c r="A175" s="5" t="s">
        <v>53</v>
      </c>
      <c r="B175" s="5" t="s">
        <v>40</v>
      </c>
      <c r="C175" s="6">
        <v>13.0</v>
      </c>
      <c r="D175" s="6">
        <v>4.0</v>
      </c>
    </row>
    <row r="176">
      <c r="A176" s="5" t="s">
        <v>53</v>
      </c>
      <c r="B176" s="5" t="s">
        <v>40</v>
      </c>
      <c r="C176" s="6">
        <v>20.0</v>
      </c>
      <c r="D176" s="6">
        <v>4.0</v>
      </c>
    </row>
    <row r="177">
      <c r="A177" s="5" t="s">
        <v>53</v>
      </c>
      <c r="B177" s="5" t="s">
        <v>40</v>
      </c>
      <c r="C177" s="6">
        <v>6.0</v>
      </c>
      <c r="D177" s="6">
        <v>4.0</v>
      </c>
    </row>
    <row r="178">
      <c r="A178" s="5" t="s">
        <v>53</v>
      </c>
      <c r="B178" s="5" t="s">
        <v>40</v>
      </c>
      <c r="C178" s="6">
        <v>27.0</v>
      </c>
      <c r="D178" s="6">
        <v>4.0</v>
      </c>
    </row>
    <row r="179">
      <c r="A179" s="5" t="s">
        <v>53</v>
      </c>
      <c r="B179" s="5" t="s">
        <v>40</v>
      </c>
      <c r="C179" s="6">
        <v>1.0</v>
      </c>
      <c r="D179" s="6">
        <v>2.0</v>
      </c>
    </row>
    <row r="180">
      <c r="A180" s="5" t="s">
        <v>53</v>
      </c>
      <c r="B180" s="5" t="s">
        <v>41</v>
      </c>
      <c r="C180" s="6">
        <v>13.0</v>
      </c>
      <c r="D180" s="6">
        <v>7.0</v>
      </c>
    </row>
    <row r="181">
      <c r="A181" s="5" t="s">
        <v>53</v>
      </c>
      <c r="B181" s="5" t="s">
        <v>41</v>
      </c>
      <c r="C181" s="6">
        <v>20.0</v>
      </c>
      <c r="D181" s="6">
        <v>7.0</v>
      </c>
    </row>
    <row r="182">
      <c r="A182" s="5" t="s">
        <v>53</v>
      </c>
      <c r="B182" s="5" t="s">
        <v>41</v>
      </c>
      <c r="C182" s="6">
        <v>27.0</v>
      </c>
      <c r="D182" s="6">
        <v>7.0</v>
      </c>
    </row>
    <row r="183">
      <c r="A183" s="5" t="s">
        <v>53</v>
      </c>
      <c r="B183" s="5" t="s">
        <v>41</v>
      </c>
      <c r="C183" s="6">
        <v>1.0</v>
      </c>
      <c r="D183" s="6">
        <v>5.0</v>
      </c>
    </row>
    <row r="184">
      <c r="A184" s="5" t="s">
        <v>53</v>
      </c>
      <c r="B184" s="5" t="s">
        <v>41</v>
      </c>
      <c r="C184" s="6">
        <v>6.0</v>
      </c>
      <c r="D184" s="6">
        <v>7.0</v>
      </c>
    </row>
    <row r="185">
      <c r="A185" s="5" t="s">
        <v>53</v>
      </c>
      <c r="B185" s="5" t="s">
        <v>42</v>
      </c>
      <c r="C185" s="6">
        <v>3.0</v>
      </c>
      <c r="D185" s="6">
        <v>3.0</v>
      </c>
    </row>
    <row r="186">
      <c r="A186" s="5" t="s">
        <v>53</v>
      </c>
      <c r="B186" s="5" t="s">
        <v>42</v>
      </c>
      <c r="C186" s="6">
        <v>10.0</v>
      </c>
      <c r="D186" s="6">
        <v>3.0</v>
      </c>
    </row>
    <row r="187">
      <c r="A187" s="5" t="s">
        <v>53</v>
      </c>
      <c r="B187" s="5" t="s">
        <v>42</v>
      </c>
      <c r="C187" s="6">
        <v>17.0</v>
      </c>
      <c r="D187" s="6">
        <v>3.0</v>
      </c>
    </row>
    <row r="188">
      <c r="A188" s="5" t="s">
        <v>53</v>
      </c>
      <c r="B188" s="5" t="s">
        <v>42</v>
      </c>
      <c r="C188" s="6">
        <v>24.0</v>
      </c>
      <c r="D188" s="6">
        <v>3.0</v>
      </c>
    </row>
    <row r="189">
      <c r="A189" s="5" t="s">
        <v>53</v>
      </c>
      <c r="B189" s="5" t="s">
        <v>42</v>
      </c>
      <c r="C189" s="6">
        <v>31.0</v>
      </c>
      <c r="D189" s="6">
        <v>3.0</v>
      </c>
    </row>
    <row r="190">
      <c r="A190" s="5" t="s">
        <v>53</v>
      </c>
      <c r="B190" s="5" t="s">
        <v>47</v>
      </c>
      <c r="C190" s="6">
        <v>6.0</v>
      </c>
      <c r="D190" s="6">
        <v>2.0</v>
      </c>
    </row>
    <row r="191">
      <c r="A191" s="5" t="s">
        <v>53</v>
      </c>
      <c r="B191" s="5" t="s">
        <v>47</v>
      </c>
      <c r="C191" s="6">
        <v>8.0</v>
      </c>
      <c r="D191" s="6">
        <v>2.0</v>
      </c>
    </row>
    <row r="192">
      <c r="A192" s="5" t="s">
        <v>53</v>
      </c>
      <c r="B192" s="5" t="s">
        <v>48</v>
      </c>
      <c r="C192" s="6">
        <v>13.0</v>
      </c>
      <c r="D192" s="6">
        <v>2.0</v>
      </c>
    </row>
    <row r="193">
      <c r="A193" s="5" t="s">
        <v>53</v>
      </c>
      <c r="B193" s="5" t="s">
        <v>48</v>
      </c>
      <c r="C193" s="6">
        <v>15.0</v>
      </c>
      <c r="D193" s="6">
        <v>2.0</v>
      </c>
    </row>
    <row r="194">
      <c r="A194" s="5" t="s">
        <v>53</v>
      </c>
      <c r="B194" s="5" t="s">
        <v>43</v>
      </c>
      <c r="C194" s="6">
        <v>17.0</v>
      </c>
      <c r="D194" s="6">
        <v>3.0</v>
      </c>
    </row>
    <row r="195">
      <c r="A195" s="5" t="s">
        <v>53</v>
      </c>
      <c r="B195" s="5" t="s">
        <v>43</v>
      </c>
      <c r="C195" s="6">
        <v>24.0</v>
      </c>
      <c r="D195" s="6">
        <v>3.0</v>
      </c>
    </row>
    <row r="196">
      <c r="A196" s="5" t="s">
        <v>53</v>
      </c>
      <c r="B196" s="5" t="s">
        <v>43</v>
      </c>
      <c r="C196" s="6">
        <v>31.0</v>
      </c>
      <c r="D196" s="6">
        <v>3.0</v>
      </c>
    </row>
    <row r="197">
      <c r="A197" s="5" t="s">
        <v>53</v>
      </c>
      <c r="B197" s="5" t="s">
        <v>43</v>
      </c>
      <c r="C197" s="6">
        <v>3.0</v>
      </c>
      <c r="D197" s="6">
        <v>3.0</v>
      </c>
    </row>
    <row r="198">
      <c r="A198" s="5" t="s">
        <v>53</v>
      </c>
      <c r="B198" s="5" t="s">
        <v>43</v>
      </c>
      <c r="C198" s="6">
        <v>10.0</v>
      </c>
      <c r="D198" s="6">
        <v>3.0</v>
      </c>
    </row>
    <row r="199">
      <c r="A199" s="5" t="s">
        <v>53</v>
      </c>
      <c r="B199" s="5" t="s">
        <v>50</v>
      </c>
      <c r="C199" s="6">
        <v>20.0</v>
      </c>
      <c r="D199" s="6">
        <v>2.0</v>
      </c>
    </row>
    <row r="200">
      <c r="A200" s="5" t="s">
        <v>53</v>
      </c>
      <c r="B200" s="5" t="s">
        <v>50</v>
      </c>
      <c r="C200" s="6">
        <v>22.0</v>
      </c>
      <c r="D200" s="6">
        <v>2.0</v>
      </c>
    </row>
    <row r="201">
      <c r="A201" s="5" t="s">
        <v>53</v>
      </c>
      <c r="B201" s="5" t="s">
        <v>51</v>
      </c>
      <c r="C201" s="6">
        <v>1.0</v>
      </c>
      <c r="D201" s="6">
        <v>2.0</v>
      </c>
    </row>
    <row r="202">
      <c r="A202" s="5" t="s">
        <v>53</v>
      </c>
      <c r="B202" s="5" t="s">
        <v>51</v>
      </c>
      <c r="C202" s="6">
        <v>27.0</v>
      </c>
      <c r="D202" s="6">
        <v>2.0</v>
      </c>
    </row>
    <row r="203">
      <c r="A203" s="5" t="s">
        <v>53</v>
      </c>
      <c r="B203" s="5" t="s">
        <v>51</v>
      </c>
      <c r="C203" s="6">
        <v>29.0</v>
      </c>
      <c r="D203" s="6">
        <v>2.0</v>
      </c>
    </row>
    <row r="204">
      <c r="A204" s="5" t="s">
        <v>53</v>
      </c>
      <c r="B204" s="5" t="s">
        <v>46</v>
      </c>
      <c r="C204" s="6">
        <v>3.0</v>
      </c>
      <c r="D204" s="6">
        <v>1.0</v>
      </c>
    </row>
    <row r="205">
      <c r="A205" s="5" t="s">
        <v>53</v>
      </c>
      <c r="B205" s="5" t="s">
        <v>46</v>
      </c>
      <c r="C205" s="6">
        <v>4.0</v>
      </c>
      <c r="D205" s="6">
        <v>1.0</v>
      </c>
    </row>
    <row r="206">
      <c r="A206" s="5" t="s">
        <v>53</v>
      </c>
      <c r="B206" s="5" t="s">
        <v>46</v>
      </c>
      <c r="C206" s="6">
        <v>5.0</v>
      </c>
      <c r="D206" s="6">
        <v>1.0</v>
      </c>
    </row>
    <row r="207">
      <c r="A207" s="5" t="s">
        <v>53</v>
      </c>
      <c r="B207" s="5" t="s">
        <v>46</v>
      </c>
      <c r="C207" s="6">
        <v>10.0</v>
      </c>
      <c r="D207" s="6">
        <v>1.0</v>
      </c>
    </row>
    <row r="208">
      <c r="A208" s="5" t="s">
        <v>53</v>
      </c>
      <c r="B208" s="5" t="s">
        <v>46</v>
      </c>
      <c r="C208" s="6">
        <v>11.0</v>
      </c>
      <c r="D208" s="6">
        <v>1.0</v>
      </c>
    </row>
    <row r="209">
      <c r="A209" s="5" t="s">
        <v>53</v>
      </c>
      <c r="B209" s="5" t="s">
        <v>46</v>
      </c>
      <c r="C209" s="6">
        <v>12.0</v>
      </c>
      <c r="D209" s="6">
        <v>1.0</v>
      </c>
    </row>
    <row r="210">
      <c r="A210" s="5" t="s">
        <v>53</v>
      </c>
      <c r="B210" s="5" t="s">
        <v>46</v>
      </c>
      <c r="C210" s="6">
        <v>17.0</v>
      </c>
      <c r="D210" s="6">
        <v>1.0</v>
      </c>
    </row>
    <row r="211">
      <c r="A211" s="5" t="s">
        <v>53</v>
      </c>
      <c r="B211" s="5" t="s">
        <v>46</v>
      </c>
      <c r="C211" s="6">
        <v>18.0</v>
      </c>
      <c r="D211" s="6">
        <v>1.0</v>
      </c>
    </row>
    <row r="212">
      <c r="A212" s="5" t="s">
        <v>53</v>
      </c>
      <c r="B212" s="5" t="s">
        <v>46</v>
      </c>
      <c r="C212" s="6">
        <v>19.0</v>
      </c>
      <c r="D212" s="6">
        <v>1.0</v>
      </c>
    </row>
    <row r="213">
      <c r="A213" s="5" t="s">
        <v>53</v>
      </c>
      <c r="B213" s="5" t="s">
        <v>46</v>
      </c>
      <c r="C213" s="6">
        <v>24.0</v>
      </c>
      <c r="D213" s="6">
        <v>1.0</v>
      </c>
    </row>
    <row r="214">
      <c r="A214" s="5" t="s">
        <v>53</v>
      </c>
      <c r="B214" s="5" t="s">
        <v>46</v>
      </c>
      <c r="C214" s="6">
        <v>25.0</v>
      </c>
      <c r="D214" s="6">
        <v>1.0</v>
      </c>
    </row>
    <row r="215">
      <c r="A215" s="5" t="s">
        <v>53</v>
      </c>
      <c r="B215" s="5" t="s">
        <v>46</v>
      </c>
      <c r="C215" s="6">
        <v>26.0</v>
      </c>
      <c r="D215" s="6">
        <v>1.0</v>
      </c>
    </row>
    <row r="216">
      <c r="A216" s="5" t="s">
        <v>53</v>
      </c>
      <c r="B216" s="5" t="s">
        <v>46</v>
      </c>
      <c r="C216" s="6">
        <v>31.0</v>
      </c>
      <c r="D216" s="6">
        <v>1.0</v>
      </c>
    </row>
    <row r="217">
      <c r="A217" s="5" t="s">
        <v>53</v>
      </c>
      <c r="B217" s="5" t="s">
        <v>46</v>
      </c>
      <c r="C217" s="6">
        <v>32.0</v>
      </c>
      <c r="D217" s="6">
        <v>1.0</v>
      </c>
    </row>
    <row r="218">
      <c r="A218" s="5" t="s">
        <v>53</v>
      </c>
      <c r="B218" s="5" t="s">
        <v>46</v>
      </c>
      <c r="C218" s="6">
        <v>33.0</v>
      </c>
      <c r="D218" s="6">
        <v>1.0</v>
      </c>
    </row>
    <row r="219">
      <c r="A219" s="5" t="s">
        <v>53</v>
      </c>
      <c r="B219" s="5" t="s">
        <v>49</v>
      </c>
      <c r="C219" s="6">
        <v>1.0</v>
      </c>
      <c r="D219" s="6">
        <v>1.0</v>
      </c>
    </row>
    <row r="220">
      <c r="A220" s="5" t="s">
        <v>53</v>
      </c>
      <c r="B220" s="5" t="s">
        <v>49</v>
      </c>
      <c r="C220" s="6">
        <v>2.0</v>
      </c>
      <c r="D220" s="6">
        <v>1.0</v>
      </c>
    </row>
    <row r="221">
      <c r="A221" s="5" t="s">
        <v>53</v>
      </c>
      <c r="B221" s="5" t="s">
        <v>49</v>
      </c>
      <c r="C221" s="6">
        <v>6.0</v>
      </c>
      <c r="D221" s="6">
        <v>1.0</v>
      </c>
    </row>
    <row r="222">
      <c r="A222" s="5" t="s">
        <v>53</v>
      </c>
      <c r="B222" s="5" t="s">
        <v>49</v>
      </c>
      <c r="C222" s="6">
        <v>7.0</v>
      </c>
      <c r="D222" s="6">
        <v>1.0</v>
      </c>
    </row>
    <row r="223">
      <c r="A223" s="5" t="s">
        <v>53</v>
      </c>
      <c r="B223" s="5" t="s">
        <v>49</v>
      </c>
      <c r="C223" s="6">
        <v>8.0</v>
      </c>
      <c r="D223" s="6">
        <v>1.0</v>
      </c>
    </row>
    <row r="224">
      <c r="A224" s="5" t="s">
        <v>53</v>
      </c>
      <c r="B224" s="5" t="s">
        <v>49</v>
      </c>
      <c r="C224" s="6">
        <v>9.0</v>
      </c>
      <c r="D224" s="6">
        <v>1.0</v>
      </c>
    </row>
    <row r="225">
      <c r="A225" s="5" t="s">
        <v>53</v>
      </c>
      <c r="B225" s="5" t="s">
        <v>49</v>
      </c>
      <c r="C225" s="6">
        <v>13.0</v>
      </c>
      <c r="D225" s="6">
        <v>1.0</v>
      </c>
    </row>
    <row r="226">
      <c r="A226" s="5" t="s">
        <v>53</v>
      </c>
      <c r="B226" s="5" t="s">
        <v>49</v>
      </c>
      <c r="C226" s="6">
        <v>14.0</v>
      </c>
      <c r="D226" s="6">
        <v>1.0</v>
      </c>
    </row>
    <row r="227">
      <c r="A227" s="5" t="s">
        <v>53</v>
      </c>
      <c r="B227" s="5" t="s">
        <v>49</v>
      </c>
      <c r="C227" s="6">
        <v>15.0</v>
      </c>
      <c r="D227" s="6">
        <v>1.0</v>
      </c>
    </row>
    <row r="228">
      <c r="A228" s="5" t="s">
        <v>53</v>
      </c>
      <c r="B228" s="5" t="s">
        <v>49</v>
      </c>
      <c r="C228" s="6">
        <v>16.0</v>
      </c>
      <c r="D228" s="6">
        <v>1.0</v>
      </c>
    </row>
    <row r="229">
      <c r="A229" s="5" t="s">
        <v>53</v>
      </c>
      <c r="B229" s="5" t="s">
        <v>49</v>
      </c>
      <c r="C229" s="6">
        <v>20.0</v>
      </c>
      <c r="D229" s="6">
        <v>1.0</v>
      </c>
    </row>
    <row r="230">
      <c r="A230" s="5" t="s">
        <v>53</v>
      </c>
      <c r="B230" s="5" t="s">
        <v>49</v>
      </c>
      <c r="C230" s="6">
        <v>21.0</v>
      </c>
      <c r="D230" s="6">
        <v>1.0</v>
      </c>
    </row>
    <row r="231">
      <c r="A231" s="5" t="s">
        <v>53</v>
      </c>
      <c r="B231" s="5" t="s">
        <v>49</v>
      </c>
      <c r="C231" s="6">
        <v>22.0</v>
      </c>
      <c r="D231" s="6">
        <v>1.0</v>
      </c>
    </row>
    <row r="232">
      <c r="A232" s="5" t="s">
        <v>53</v>
      </c>
      <c r="B232" s="5" t="s">
        <v>49</v>
      </c>
      <c r="C232" s="6">
        <v>23.0</v>
      </c>
      <c r="D232" s="6">
        <v>1.0</v>
      </c>
    </row>
    <row r="233">
      <c r="A233" s="5" t="s">
        <v>53</v>
      </c>
      <c r="B233" s="5" t="s">
        <v>49</v>
      </c>
      <c r="C233" s="6">
        <v>27.0</v>
      </c>
      <c r="D233" s="6">
        <v>1.0</v>
      </c>
    </row>
    <row r="234">
      <c r="A234" s="5" t="s">
        <v>53</v>
      </c>
      <c r="B234" s="5" t="s">
        <v>49</v>
      </c>
      <c r="C234" s="6">
        <v>28.0</v>
      </c>
      <c r="D234" s="6">
        <v>1.0</v>
      </c>
    </row>
    <row r="235">
      <c r="A235" s="5" t="s">
        <v>53</v>
      </c>
      <c r="B235" s="5" t="s">
        <v>49</v>
      </c>
      <c r="C235" s="6">
        <v>29.0</v>
      </c>
      <c r="D235" s="6">
        <v>1.0</v>
      </c>
    </row>
    <row r="236">
      <c r="A236" s="5" t="s">
        <v>53</v>
      </c>
      <c r="B236" s="5" t="s">
        <v>49</v>
      </c>
      <c r="C236" s="6">
        <v>30.0</v>
      </c>
      <c r="D236" s="6">
        <v>1.0</v>
      </c>
    </row>
    <row r="237">
      <c r="A237" s="5" t="s">
        <v>53</v>
      </c>
      <c r="B237" s="5" t="s">
        <v>32</v>
      </c>
      <c r="C237" s="6">
        <v>3.0</v>
      </c>
      <c r="D237" s="6">
        <v>1.0</v>
      </c>
    </row>
    <row r="238">
      <c r="A238" s="5" t="s">
        <v>53</v>
      </c>
      <c r="B238" s="5" t="s">
        <v>32</v>
      </c>
      <c r="C238" s="6">
        <v>4.0</v>
      </c>
      <c r="D238" s="6">
        <v>1.0</v>
      </c>
    </row>
    <row r="239">
      <c r="A239" s="5" t="s">
        <v>53</v>
      </c>
      <c r="B239" s="5" t="s">
        <v>32</v>
      </c>
      <c r="C239" s="6">
        <v>5.0</v>
      </c>
      <c r="D239" s="6">
        <v>1.0</v>
      </c>
    </row>
    <row r="240">
      <c r="A240" s="5" t="s">
        <v>53</v>
      </c>
      <c r="B240" s="5" t="s">
        <v>32</v>
      </c>
      <c r="C240" s="6">
        <v>10.0</v>
      </c>
      <c r="D240" s="6">
        <v>1.0</v>
      </c>
    </row>
    <row r="241">
      <c r="A241" s="5" t="s">
        <v>53</v>
      </c>
      <c r="B241" s="5" t="s">
        <v>32</v>
      </c>
      <c r="C241" s="6">
        <v>11.0</v>
      </c>
      <c r="D241" s="6">
        <v>1.0</v>
      </c>
    </row>
    <row r="242">
      <c r="A242" s="5" t="s">
        <v>53</v>
      </c>
      <c r="B242" s="5" t="s">
        <v>32</v>
      </c>
      <c r="C242" s="6">
        <v>12.0</v>
      </c>
      <c r="D242" s="6">
        <v>1.0</v>
      </c>
    </row>
    <row r="243">
      <c r="A243" s="5" t="s">
        <v>53</v>
      </c>
      <c r="B243" s="5" t="s">
        <v>32</v>
      </c>
      <c r="C243" s="6">
        <v>17.0</v>
      </c>
      <c r="D243" s="6">
        <v>1.0</v>
      </c>
    </row>
    <row r="244">
      <c r="A244" s="5" t="s">
        <v>53</v>
      </c>
      <c r="B244" s="5" t="s">
        <v>32</v>
      </c>
      <c r="C244" s="6">
        <v>18.0</v>
      </c>
      <c r="D244" s="6">
        <v>1.0</v>
      </c>
    </row>
    <row r="245">
      <c r="A245" s="5" t="s">
        <v>53</v>
      </c>
      <c r="B245" s="5" t="s">
        <v>32</v>
      </c>
      <c r="C245" s="6">
        <v>19.0</v>
      </c>
      <c r="D245" s="6">
        <v>1.0</v>
      </c>
    </row>
    <row r="246">
      <c r="A246" s="5" t="s">
        <v>53</v>
      </c>
      <c r="B246" s="5" t="s">
        <v>32</v>
      </c>
      <c r="C246" s="6">
        <v>24.0</v>
      </c>
      <c r="D246" s="6">
        <v>1.0</v>
      </c>
    </row>
    <row r="247">
      <c r="A247" s="5" t="s">
        <v>53</v>
      </c>
      <c r="B247" s="5" t="s">
        <v>32</v>
      </c>
      <c r="C247" s="6">
        <v>25.0</v>
      </c>
      <c r="D247" s="6">
        <v>1.0</v>
      </c>
    </row>
    <row r="248">
      <c r="A248" s="5" t="s">
        <v>53</v>
      </c>
      <c r="B248" s="5" t="s">
        <v>32</v>
      </c>
      <c r="C248" s="6">
        <v>26.0</v>
      </c>
      <c r="D248" s="6">
        <v>1.0</v>
      </c>
    </row>
    <row r="249">
      <c r="A249" s="5" t="s">
        <v>53</v>
      </c>
      <c r="B249" s="5" t="s">
        <v>32</v>
      </c>
      <c r="C249" s="6">
        <v>31.0</v>
      </c>
      <c r="D249" s="6">
        <v>1.0</v>
      </c>
    </row>
    <row r="250">
      <c r="A250" s="5" t="s">
        <v>53</v>
      </c>
      <c r="B250" s="5" t="s">
        <v>32</v>
      </c>
      <c r="C250" s="6">
        <v>32.0</v>
      </c>
      <c r="D250" s="6">
        <v>1.0</v>
      </c>
    </row>
    <row r="251">
      <c r="A251" s="5" t="s">
        <v>53</v>
      </c>
      <c r="B251" s="5" t="s">
        <v>32</v>
      </c>
      <c r="C251" s="6">
        <v>33.0</v>
      </c>
      <c r="D251" s="6">
        <v>1.0</v>
      </c>
    </row>
    <row r="252">
      <c r="A252" s="5" t="s">
        <v>53</v>
      </c>
      <c r="B252" s="5" t="s">
        <v>52</v>
      </c>
      <c r="C252" s="6">
        <v>1.0</v>
      </c>
      <c r="D252" s="6">
        <v>1.0</v>
      </c>
    </row>
    <row r="253">
      <c r="A253" s="5" t="s">
        <v>53</v>
      </c>
      <c r="B253" s="5" t="s">
        <v>52</v>
      </c>
      <c r="C253" s="6">
        <v>2.0</v>
      </c>
      <c r="D253" s="6">
        <v>1.0</v>
      </c>
    </row>
    <row r="254">
      <c r="A254" s="5" t="s">
        <v>53</v>
      </c>
      <c r="B254" s="5" t="s">
        <v>52</v>
      </c>
      <c r="C254" s="6">
        <v>3.0</v>
      </c>
      <c r="D254" s="6">
        <v>1.0</v>
      </c>
    </row>
    <row r="255">
      <c r="A255" s="5" t="s">
        <v>53</v>
      </c>
      <c r="B255" s="5" t="s">
        <v>52</v>
      </c>
      <c r="C255" s="6">
        <v>4.0</v>
      </c>
      <c r="D255" s="6">
        <v>1.0</v>
      </c>
    </row>
    <row r="256">
      <c r="A256" s="5" t="s">
        <v>53</v>
      </c>
      <c r="B256" s="5" t="s">
        <v>52</v>
      </c>
      <c r="C256" s="6">
        <v>5.0</v>
      </c>
      <c r="D256" s="6">
        <v>1.0</v>
      </c>
    </row>
    <row r="257">
      <c r="A257" s="5" t="s">
        <v>53</v>
      </c>
      <c r="B257" s="5" t="s">
        <v>52</v>
      </c>
      <c r="C257" s="6">
        <v>6.0</v>
      </c>
      <c r="D257" s="6">
        <v>1.0</v>
      </c>
    </row>
    <row r="258">
      <c r="A258" s="5" t="s">
        <v>53</v>
      </c>
      <c r="B258" s="5" t="s">
        <v>52</v>
      </c>
      <c r="C258" s="6">
        <v>7.0</v>
      </c>
      <c r="D258" s="6">
        <v>1.0</v>
      </c>
    </row>
    <row r="259">
      <c r="A259" s="5" t="s">
        <v>53</v>
      </c>
      <c r="B259" s="5" t="s">
        <v>52</v>
      </c>
      <c r="C259" s="6">
        <v>8.0</v>
      </c>
      <c r="D259" s="6">
        <v>1.0</v>
      </c>
    </row>
    <row r="260">
      <c r="A260" s="5" t="s">
        <v>53</v>
      </c>
      <c r="B260" s="5" t="s">
        <v>52</v>
      </c>
      <c r="C260" s="6">
        <v>9.0</v>
      </c>
      <c r="D260" s="6">
        <v>1.0</v>
      </c>
    </row>
    <row r="261">
      <c r="A261" s="5" t="s">
        <v>53</v>
      </c>
      <c r="B261" s="5" t="s">
        <v>52</v>
      </c>
      <c r="C261" s="6">
        <v>10.0</v>
      </c>
      <c r="D261" s="6">
        <v>1.0</v>
      </c>
    </row>
    <row r="262">
      <c r="A262" s="5" t="s">
        <v>53</v>
      </c>
      <c r="B262" s="5" t="s">
        <v>52</v>
      </c>
      <c r="C262" s="6">
        <v>11.0</v>
      </c>
      <c r="D262" s="6">
        <v>1.0</v>
      </c>
    </row>
    <row r="263">
      <c r="A263" s="5" t="s">
        <v>53</v>
      </c>
      <c r="B263" s="5" t="s">
        <v>52</v>
      </c>
      <c r="C263" s="6">
        <v>12.0</v>
      </c>
      <c r="D263" s="6">
        <v>1.0</v>
      </c>
    </row>
    <row r="264">
      <c r="A264" s="5" t="s">
        <v>53</v>
      </c>
      <c r="B264" s="5" t="s">
        <v>52</v>
      </c>
      <c r="C264" s="6">
        <v>13.0</v>
      </c>
      <c r="D264" s="6">
        <v>1.0</v>
      </c>
    </row>
    <row r="265">
      <c r="A265" s="5" t="s">
        <v>53</v>
      </c>
      <c r="B265" s="5" t="s">
        <v>52</v>
      </c>
      <c r="C265" s="6">
        <v>14.0</v>
      </c>
      <c r="D265" s="6">
        <v>1.0</v>
      </c>
    </row>
    <row r="266">
      <c r="A266" s="5" t="s">
        <v>53</v>
      </c>
      <c r="B266" s="5" t="s">
        <v>52</v>
      </c>
      <c r="C266" s="6">
        <v>15.0</v>
      </c>
      <c r="D266" s="6">
        <v>1.0</v>
      </c>
    </row>
    <row r="267">
      <c r="A267" s="5" t="s">
        <v>53</v>
      </c>
      <c r="B267" s="5" t="s">
        <v>52</v>
      </c>
      <c r="C267" s="6">
        <v>16.0</v>
      </c>
      <c r="D267" s="6">
        <v>1.0</v>
      </c>
    </row>
    <row r="268">
      <c r="A268" s="5" t="s">
        <v>53</v>
      </c>
      <c r="B268" s="5" t="s">
        <v>52</v>
      </c>
      <c r="C268" s="6">
        <v>17.0</v>
      </c>
      <c r="D268" s="6">
        <v>1.0</v>
      </c>
    </row>
    <row r="269">
      <c r="A269" s="5" t="s">
        <v>53</v>
      </c>
      <c r="B269" s="5" t="s">
        <v>52</v>
      </c>
      <c r="C269" s="6">
        <v>18.0</v>
      </c>
      <c r="D269" s="6">
        <v>1.0</v>
      </c>
    </row>
    <row r="270">
      <c r="A270" s="5" t="s">
        <v>53</v>
      </c>
      <c r="B270" s="5" t="s">
        <v>52</v>
      </c>
      <c r="C270" s="6">
        <v>19.0</v>
      </c>
      <c r="D270" s="6">
        <v>1.0</v>
      </c>
    </row>
    <row r="271">
      <c r="A271" s="5" t="s">
        <v>53</v>
      </c>
      <c r="B271" s="5" t="s">
        <v>52</v>
      </c>
      <c r="C271" s="6">
        <v>20.0</v>
      </c>
      <c r="D271" s="6">
        <v>1.0</v>
      </c>
    </row>
    <row r="272">
      <c r="A272" s="5" t="s">
        <v>53</v>
      </c>
      <c r="B272" s="5" t="s">
        <v>52</v>
      </c>
      <c r="C272" s="6">
        <v>21.0</v>
      </c>
      <c r="D272" s="6">
        <v>1.0</v>
      </c>
    </row>
    <row r="273">
      <c r="A273" s="5" t="s">
        <v>53</v>
      </c>
      <c r="B273" s="5" t="s">
        <v>52</v>
      </c>
      <c r="C273" s="6">
        <v>22.0</v>
      </c>
      <c r="D273" s="6">
        <v>1.0</v>
      </c>
    </row>
    <row r="274">
      <c r="A274" s="5" t="s">
        <v>53</v>
      </c>
      <c r="B274" s="5" t="s">
        <v>52</v>
      </c>
      <c r="C274" s="6">
        <v>23.0</v>
      </c>
      <c r="D274" s="6">
        <v>1.0</v>
      </c>
    </row>
    <row r="275">
      <c r="A275" s="5" t="s">
        <v>53</v>
      </c>
      <c r="B275" s="5" t="s">
        <v>52</v>
      </c>
      <c r="C275" s="6">
        <v>24.0</v>
      </c>
      <c r="D275" s="6">
        <v>1.0</v>
      </c>
    </row>
    <row r="276">
      <c r="A276" s="5" t="s">
        <v>53</v>
      </c>
      <c r="B276" s="5" t="s">
        <v>52</v>
      </c>
      <c r="C276" s="6">
        <v>25.0</v>
      </c>
      <c r="D276" s="6">
        <v>1.0</v>
      </c>
    </row>
    <row r="277">
      <c r="A277" s="5" t="s">
        <v>53</v>
      </c>
      <c r="B277" s="5" t="s">
        <v>52</v>
      </c>
      <c r="C277" s="6">
        <v>26.0</v>
      </c>
      <c r="D277" s="6">
        <v>1.0</v>
      </c>
    </row>
    <row r="278">
      <c r="A278" s="5" t="s">
        <v>53</v>
      </c>
      <c r="B278" s="5" t="s">
        <v>52</v>
      </c>
      <c r="C278" s="6">
        <v>27.0</v>
      </c>
      <c r="D278" s="6">
        <v>1.0</v>
      </c>
    </row>
    <row r="279">
      <c r="A279" s="5" t="s">
        <v>53</v>
      </c>
      <c r="B279" s="5" t="s">
        <v>52</v>
      </c>
      <c r="C279" s="6">
        <v>28.0</v>
      </c>
      <c r="D279" s="6">
        <v>1.0</v>
      </c>
    </row>
    <row r="280">
      <c r="A280" s="5" t="s">
        <v>53</v>
      </c>
      <c r="B280" s="5" t="s">
        <v>52</v>
      </c>
      <c r="C280" s="6">
        <v>29.0</v>
      </c>
      <c r="D280" s="6">
        <v>1.0</v>
      </c>
    </row>
    <row r="281">
      <c r="A281" s="5" t="s">
        <v>53</v>
      </c>
      <c r="B281" s="5" t="s">
        <v>52</v>
      </c>
      <c r="C281" s="6">
        <v>30.0</v>
      </c>
      <c r="D281" s="6">
        <v>1.0</v>
      </c>
    </row>
    <row r="282">
      <c r="A282" s="5" t="s">
        <v>53</v>
      </c>
      <c r="B282" s="5" t="s">
        <v>52</v>
      </c>
      <c r="C282" s="6">
        <v>31.0</v>
      </c>
      <c r="D282" s="6">
        <v>1.0</v>
      </c>
    </row>
    <row r="283">
      <c r="A283" s="5" t="s">
        <v>53</v>
      </c>
      <c r="B283" s="5" t="s">
        <v>52</v>
      </c>
      <c r="C283" s="6">
        <v>32.0</v>
      </c>
      <c r="D283" s="6">
        <v>1.0</v>
      </c>
    </row>
    <row r="284">
      <c r="A284" s="5" t="s">
        <v>53</v>
      </c>
      <c r="B284" s="5" t="s">
        <v>52</v>
      </c>
      <c r="C284" s="6">
        <v>33.0</v>
      </c>
      <c r="D284" s="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7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15.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ht="15.0" customHeight="1">
      <c r="A3" s="9"/>
      <c r="B3" s="10" t="s">
        <v>56</v>
      </c>
      <c r="C3" s="8"/>
      <c r="D3" s="10" t="s">
        <v>57</v>
      </c>
      <c r="E3" s="8"/>
      <c r="F3" s="10" t="s">
        <v>58</v>
      </c>
      <c r="G3" s="8"/>
      <c r="H3" s="10" t="s">
        <v>59</v>
      </c>
      <c r="I3" s="8"/>
      <c r="J3" s="10" t="s">
        <v>60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1" t="s">
        <v>61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13"/>
      <c r="M4" s="14" t="s">
        <v>65</v>
      </c>
      <c r="R4" s="15"/>
      <c r="S4" s="13"/>
      <c r="T4" s="16" t="s">
        <v>66</v>
      </c>
      <c r="U4" s="16" t="s">
        <v>67</v>
      </c>
      <c r="V4" s="8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13"/>
      <c r="AJ4" s="17" t="s">
        <v>80</v>
      </c>
      <c r="AK4" s="17" t="s">
        <v>81</v>
      </c>
      <c r="AL4" s="13"/>
    </row>
    <row r="5" ht="15.0" customHeight="1">
      <c r="A5" s="19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24">
        <f>IFERROR(__xludf.DUMMYFUNCTION("""COMPUTED_VALUE"""),1.0)</f>
        <v>1</v>
      </c>
      <c r="Q5" s="25" t="str">
        <f>IFERROR(__xludf.DUMMYFUNCTION("""COMPUTED_VALUE"""),"")</f>
        <v/>
      </c>
      <c r="R5" s="26">
        <f>IFERROR(__xludf.DUMMYFUNCTION("""COMPUTED_VALUE"""),15.0)</f>
        <v>15</v>
      </c>
      <c r="S5" s="22"/>
      <c r="T5" s="27">
        <v>15.0</v>
      </c>
      <c r="U5" s="28">
        <v>10.0</v>
      </c>
      <c r="V5" s="22"/>
      <c r="W5" s="29">
        <v>0.0</v>
      </c>
      <c r="X5" s="30">
        <v>1.0</v>
      </c>
      <c r="Y5" s="30">
        <v>0.0</v>
      </c>
      <c r="Z5" s="31">
        <v>0.0</v>
      </c>
      <c r="AA5" s="31">
        <v>0.0</v>
      </c>
      <c r="AB5" s="31">
        <v>0.0</v>
      </c>
      <c r="AC5" s="31">
        <v>0.0</v>
      </c>
      <c r="AD5" s="32">
        <v>15.0</v>
      </c>
      <c r="AE5" s="31">
        <v>0.0</v>
      </c>
      <c r="AF5" s="31">
        <v>0.0</v>
      </c>
      <c r="AG5" s="33">
        <v>0.0</v>
      </c>
      <c r="AH5" s="34">
        <f t="shared" ref="AH5:AH14" si="1">SUMPRODUCT(W5:AG5, {0,33,50,67,167,67,50,4.17,7.56,12.17,16.22})</f>
        <v>95.55</v>
      </c>
      <c r="AI5" s="8">
        <v>100.0</v>
      </c>
      <c r="AJ5" s="35" t="s">
        <v>82</v>
      </c>
      <c r="AK5" s="11"/>
      <c r="AL5" s="8">
        <f t="shared" ref="AL5:AL14" si="2">AH5-AI5</f>
        <v>-4.45</v>
      </c>
    </row>
    <row r="6" ht="15.0" customHeight="1">
      <c r="A6" s="36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24">
        <f>IFERROR(__xludf.DUMMYFUNCTION("""COMPUTED_VALUE"""),1.0)</f>
        <v>1</v>
      </c>
      <c r="Q6" s="25" t="str">
        <f>IFERROR(__xludf.DUMMYFUNCTION("""COMPUTED_VALUE"""),"")</f>
        <v/>
      </c>
      <c r="R6" s="26">
        <f>IFERROR(__xludf.DUMMYFUNCTION("""COMPUTED_VALUE"""),15.0)</f>
        <v>15</v>
      </c>
      <c r="S6" s="22"/>
      <c r="T6" s="27">
        <v>15.0</v>
      </c>
      <c r="U6" s="28">
        <v>10.0</v>
      </c>
      <c r="V6" s="22"/>
      <c r="W6" s="39">
        <v>0.0</v>
      </c>
      <c r="X6" s="32">
        <v>1.0</v>
      </c>
      <c r="Y6" s="32">
        <v>1.0</v>
      </c>
      <c r="Z6" s="32">
        <v>0.0</v>
      </c>
      <c r="AA6" s="32">
        <v>0.0</v>
      </c>
      <c r="AB6" s="40">
        <v>0.0</v>
      </c>
      <c r="AC6" s="40">
        <v>0.0</v>
      </c>
      <c r="AD6" s="32">
        <v>15.0</v>
      </c>
      <c r="AE6" s="40">
        <v>0.0</v>
      </c>
      <c r="AF6" s="40">
        <v>0.0</v>
      </c>
      <c r="AG6" s="41">
        <v>0.0</v>
      </c>
      <c r="AH6" s="34">
        <f t="shared" si="1"/>
        <v>145.55</v>
      </c>
      <c r="AI6" s="8">
        <v>112.55</v>
      </c>
      <c r="AJ6" s="42" t="str">
        <f t="array" ref="AJ6:AJ16">TRANSPOSE(W4:AG4)</f>
        <v>SPT</v>
      </c>
      <c r="AK6" s="8"/>
      <c r="AL6" s="8">
        <f t="shared" si="2"/>
        <v>33</v>
      </c>
    </row>
    <row r="7" ht="15.0" customHeight="1">
      <c r="A7" s="36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24">
        <f>IFERROR(__xludf.DUMMYFUNCTION("""COMPUTED_VALUE"""),1.0)</f>
        <v>1</v>
      </c>
      <c r="Q7" s="25" t="str">
        <f>IFERROR(__xludf.DUMMYFUNCTION("""COMPUTED_VALUE"""),"")</f>
        <v/>
      </c>
      <c r="R7" s="26">
        <f>IFERROR(__xludf.DUMMYFUNCTION("""COMPUTED_VALUE"""),15.0)</f>
        <v>15</v>
      </c>
      <c r="S7" s="22"/>
      <c r="T7" s="27">
        <v>15.0</v>
      </c>
      <c r="U7" s="28">
        <v>10.0</v>
      </c>
      <c r="V7" s="22"/>
      <c r="W7" s="39">
        <v>0.0</v>
      </c>
      <c r="X7" s="32">
        <v>0.0</v>
      </c>
      <c r="Y7" s="40">
        <v>0.0</v>
      </c>
      <c r="Z7" s="32">
        <v>1.0</v>
      </c>
      <c r="AA7" s="40">
        <v>0.0</v>
      </c>
      <c r="AB7" s="40">
        <v>0.0</v>
      </c>
      <c r="AC7" s="40">
        <v>0.0</v>
      </c>
      <c r="AD7" s="32">
        <v>15.0</v>
      </c>
      <c r="AE7" s="40">
        <v>0.0</v>
      </c>
      <c r="AF7" s="40">
        <v>0.0</v>
      </c>
      <c r="AG7" s="41">
        <v>0.0</v>
      </c>
      <c r="AH7" s="34">
        <f t="shared" si="1"/>
        <v>129.55</v>
      </c>
      <c r="AI7" s="8">
        <v>95.55</v>
      </c>
      <c r="AJ7" s="42" t="s">
        <v>69</v>
      </c>
      <c r="AK7" s="11"/>
      <c r="AL7" s="8">
        <f t="shared" si="2"/>
        <v>34</v>
      </c>
    </row>
    <row r="8">
      <c r="A8" s="36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24">
        <f>IFERROR(__xludf.DUMMYFUNCTION("""COMPUTED_VALUE"""),1.0)</f>
        <v>1</v>
      </c>
      <c r="Q8" s="25" t="str">
        <f>IFERROR(__xludf.DUMMYFUNCTION("""COMPUTED_VALUE"""),"")</f>
        <v/>
      </c>
      <c r="R8" s="26">
        <f>IFERROR(__xludf.DUMMYFUNCTION("""COMPUTED_VALUE"""),15.0)</f>
        <v>15</v>
      </c>
      <c r="S8" s="22"/>
      <c r="T8" s="27">
        <v>20.0</v>
      </c>
      <c r="U8" s="28">
        <v>10.0</v>
      </c>
      <c r="V8" s="22"/>
      <c r="W8" s="39">
        <v>0.0</v>
      </c>
      <c r="X8" s="32">
        <v>1.0</v>
      </c>
      <c r="Y8" s="40">
        <v>0.0</v>
      </c>
      <c r="Z8" s="40">
        <v>0.0</v>
      </c>
      <c r="AA8" s="40">
        <v>0.0</v>
      </c>
      <c r="AB8" s="32">
        <v>1.0</v>
      </c>
      <c r="AC8" s="40">
        <v>0.0</v>
      </c>
      <c r="AD8" s="32">
        <v>15.0</v>
      </c>
      <c r="AE8" s="40">
        <v>0.0</v>
      </c>
      <c r="AF8" s="40">
        <v>0.0</v>
      </c>
      <c r="AG8" s="41">
        <v>0.0</v>
      </c>
      <c r="AH8" s="34">
        <f t="shared" si="1"/>
        <v>162.55</v>
      </c>
      <c r="AI8" s="8">
        <v>95.55</v>
      </c>
      <c r="AJ8" s="42" t="s">
        <v>70</v>
      </c>
      <c r="AK8" s="11"/>
      <c r="AL8" s="8">
        <f t="shared" si="2"/>
        <v>67</v>
      </c>
    </row>
    <row r="9" ht="15.0" customHeight="1">
      <c r="A9" s="36">
        <v>5.0</v>
      </c>
      <c r="B9" s="37">
        <v>10.0</v>
      </c>
      <c r="C9" s="38">
        <v>10.0</v>
      </c>
      <c r="D9" s="37">
        <v>10.0</v>
      </c>
      <c r="E9" s="38">
        <v>10.0</v>
      </c>
      <c r="F9" s="37">
        <v>10.0</v>
      </c>
      <c r="G9" s="38">
        <v>10.0</v>
      </c>
      <c r="H9" s="37">
        <v>10.0</v>
      </c>
      <c r="I9" s="38">
        <v>10.0</v>
      </c>
      <c r="J9" s="37">
        <v>10.0</v>
      </c>
      <c r="K9" s="38">
        <v>10.0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24">
        <f>IFERROR(__xludf.DUMMYFUNCTION("""COMPUTED_VALUE"""),10.0)</f>
        <v>10</v>
      </c>
      <c r="O9" s="25" t="str">
        <f>IFERROR(__xludf.DUMMYFUNCTION("""COMPUTED_VALUE"""),"")</f>
        <v/>
      </c>
      <c r="P9" s="24">
        <f>IFERROR(__xludf.DUMMYFUNCTION("""COMPUTED_VALUE"""),1.0)</f>
        <v>1</v>
      </c>
      <c r="Q9" s="25" t="str">
        <f>IFERROR(__xludf.DUMMYFUNCTION("""COMPUTED_VALUE"""),"")</f>
        <v/>
      </c>
      <c r="R9" s="26">
        <f>IFERROR(__xludf.DUMMYFUNCTION("""COMPUTED_VALUE"""),15.0)</f>
        <v>15</v>
      </c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32">
        <v>0.0</v>
      </c>
      <c r="Z9" s="32">
        <v>1.0</v>
      </c>
      <c r="AA9" s="32">
        <v>0.0</v>
      </c>
      <c r="AB9" s="40">
        <v>0.0</v>
      </c>
      <c r="AC9" s="40">
        <v>0.0</v>
      </c>
      <c r="AD9" s="32">
        <v>15.0</v>
      </c>
      <c r="AE9" s="40">
        <v>0.0</v>
      </c>
      <c r="AF9" s="40">
        <v>0.0</v>
      </c>
      <c r="AG9" s="41">
        <v>0.0</v>
      </c>
      <c r="AH9" s="34">
        <f t="shared" si="1"/>
        <v>129.55</v>
      </c>
      <c r="AI9" s="8">
        <v>100.0</v>
      </c>
      <c r="AJ9" s="42" t="s">
        <v>71</v>
      </c>
      <c r="AK9" s="11"/>
      <c r="AL9" s="8">
        <f t="shared" si="2"/>
        <v>29.55</v>
      </c>
    </row>
    <row r="10" ht="15.0" customHeight="1">
      <c r="A10" s="36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24">
        <f>IFERROR(__xludf.DUMMYFUNCTION("""COMPUTED_VALUE"""),1.0)</f>
        <v>1</v>
      </c>
      <c r="Q10" s="25" t="str">
        <f>IFERROR(__xludf.DUMMYFUNCTION("""COMPUTED_VALUE"""),"")</f>
        <v/>
      </c>
      <c r="R10" s="26">
        <f>IFERROR(__xludf.DUMMYFUNCTION("""COMPUTED_VALUE"""),20.0)</f>
        <v>20</v>
      </c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32">
        <v>1.0</v>
      </c>
      <c r="Z10" s="40">
        <v>0.0</v>
      </c>
      <c r="AA10" s="32">
        <v>0.0</v>
      </c>
      <c r="AB10" s="40">
        <v>0.0</v>
      </c>
      <c r="AC10" s="32">
        <v>1.0</v>
      </c>
      <c r="AD10" s="32">
        <v>20.0</v>
      </c>
      <c r="AE10" s="40">
        <v>0.0</v>
      </c>
      <c r="AF10" s="40">
        <v>0.0</v>
      </c>
      <c r="AG10" s="41">
        <v>0.0</v>
      </c>
      <c r="AH10" s="34">
        <f t="shared" si="1"/>
        <v>183.4</v>
      </c>
      <c r="AI10" s="8">
        <v>229.55</v>
      </c>
      <c r="AJ10" s="42" t="s">
        <v>72</v>
      </c>
      <c r="AK10" s="11"/>
      <c r="AL10" s="8">
        <f t="shared" si="2"/>
        <v>-46.15</v>
      </c>
    </row>
    <row r="11" ht="15.0" customHeight="1">
      <c r="A11" s="36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24">
        <f>IFERROR(__xludf.DUMMYFUNCTION("""COMPUTED_VALUE"""),1.0)</f>
        <v>1</v>
      </c>
      <c r="Q11" s="25" t="str">
        <f>IFERROR(__xludf.DUMMYFUNCTION("""COMPUTED_VALUE"""),"")</f>
        <v/>
      </c>
      <c r="R11" s="26">
        <f>IFERROR(__xludf.DUMMYFUNCTION("""COMPUTED_VALUE"""),20.0)</f>
        <v>20</v>
      </c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32">
        <v>0.0</v>
      </c>
      <c r="Z11" s="32">
        <v>1.0</v>
      </c>
      <c r="AA11" s="32">
        <v>0.0</v>
      </c>
      <c r="AB11" s="40">
        <v>0.0</v>
      </c>
      <c r="AC11" s="40">
        <v>0.0</v>
      </c>
      <c r="AD11" s="32">
        <v>20.0</v>
      </c>
      <c r="AE11" s="40">
        <v>0.0</v>
      </c>
      <c r="AF11" s="40">
        <v>0.0</v>
      </c>
      <c r="AG11" s="41">
        <v>0.0</v>
      </c>
      <c r="AH11" s="34">
        <f t="shared" si="1"/>
        <v>150.4</v>
      </c>
      <c r="AI11" s="8">
        <v>192.1</v>
      </c>
      <c r="AJ11" s="42" t="s">
        <v>73</v>
      </c>
      <c r="AK11" s="11"/>
      <c r="AL11" s="8">
        <f t="shared" si="2"/>
        <v>-41.7</v>
      </c>
    </row>
    <row r="12">
      <c r="A12" s="36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24">
        <f>IFERROR(__xludf.DUMMYFUNCTION("""COMPUTED_VALUE"""),1.0)</f>
        <v>1</v>
      </c>
      <c r="Q12" s="25" t="str">
        <f>IFERROR(__xludf.DUMMYFUNCTION("""COMPUTED_VALUE"""),"")</f>
        <v/>
      </c>
      <c r="R12" s="26">
        <f>IFERROR(__xludf.DUMMYFUNCTION("""COMPUTED_VALUE"""),30.0)</f>
        <v>30</v>
      </c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32">
        <v>1.0</v>
      </c>
      <c r="Z12" s="40">
        <v>0.0</v>
      </c>
      <c r="AA12" s="32">
        <v>1.0</v>
      </c>
      <c r="AB12" s="40">
        <v>0.0</v>
      </c>
      <c r="AC12" s="40">
        <v>0.0</v>
      </c>
      <c r="AD12" s="32">
        <v>30.0</v>
      </c>
      <c r="AE12" s="40">
        <v>0.0</v>
      </c>
      <c r="AF12" s="40">
        <v>0.0</v>
      </c>
      <c r="AG12" s="41">
        <v>0.0</v>
      </c>
      <c r="AH12" s="34">
        <f t="shared" si="1"/>
        <v>342.1</v>
      </c>
      <c r="AI12" s="8">
        <v>217.0</v>
      </c>
      <c r="AJ12" s="42" t="s">
        <v>74</v>
      </c>
      <c r="AK12" s="11"/>
      <c r="AL12" s="8">
        <f t="shared" si="2"/>
        <v>125.1</v>
      </c>
    </row>
    <row r="13" ht="15.0" customHeight="1">
      <c r="A13" s="36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24">
        <f>IFERROR(__xludf.DUMMYFUNCTION("""COMPUTED_VALUE"""),1.0)</f>
        <v>1</v>
      </c>
      <c r="Q13" s="25" t="str">
        <f>IFERROR(__xludf.DUMMYFUNCTION("""COMPUTED_VALUE"""),"")</f>
        <v/>
      </c>
      <c r="R13" s="26">
        <f>IFERROR(__xludf.DUMMYFUNCTION("""COMPUTED_VALUE"""),60.0)</f>
        <v>60</v>
      </c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32">
        <v>0.0</v>
      </c>
      <c r="Z13" s="40">
        <v>0.0</v>
      </c>
      <c r="AA13" s="40">
        <v>0.0</v>
      </c>
      <c r="AB13" s="32">
        <v>1.0</v>
      </c>
      <c r="AC13" s="40">
        <v>0.0</v>
      </c>
      <c r="AD13" s="32">
        <v>60.0</v>
      </c>
      <c r="AE13" s="40">
        <v>0.0</v>
      </c>
      <c r="AF13" s="40">
        <v>0.0</v>
      </c>
      <c r="AG13" s="41">
        <v>0.0</v>
      </c>
      <c r="AH13" s="34">
        <f t="shared" si="1"/>
        <v>317.2</v>
      </c>
      <c r="AI13" s="8">
        <v>300.2</v>
      </c>
      <c r="AJ13" s="42" t="s">
        <v>75</v>
      </c>
      <c r="AK13" s="11"/>
      <c r="AL13" s="8">
        <f t="shared" si="2"/>
        <v>17</v>
      </c>
    </row>
    <row r="14" ht="15.0" customHeight="1">
      <c r="A14" s="43">
        <v>10.0</v>
      </c>
      <c r="B14" s="44">
        <v>10.0</v>
      </c>
      <c r="C14" s="45">
        <v>25.0</v>
      </c>
      <c r="D14" s="44">
        <v>10.0</v>
      </c>
      <c r="E14" s="45">
        <v>25.0</v>
      </c>
      <c r="F14" s="44">
        <v>10.0</v>
      </c>
      <c r="G14" s="45">
        <v>25.0</v>
      </c>
      <c r="H14" s="44">
        <v>10.0</v>
      </c>
      <c r="I14" s="45">
        <v>25.0</v>
      </c>
      <c r="J14" s="44">
        <v>10.0</v>
      </c>
      <c r="K14" s="45">
        <v>25.0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24">
        <f>IFERROR(__xludf.DUMMYFUNCTION("""COMPUTED_VALUE"""),25.0)</f>
        <v>25</v>
      </c>
      <c r="O14" s="25" t="str">
        <f>IFERROR(__xludf.DUMMYFUNCTION("""COMPUTED_VALUE"""),"")</f>
        <v/>
      </c>
      <c r="P14" s="24">
        <f>IFERROR(__xludf.DUMMYFUNCTION("""COMPUTED_VALUE"""),1.0)</f>
        <v>1</v>
      </c>
      <c r="Q14" s="25" t="str">
        <f>IFERROR(__xludf.DUMMYFUNCTION("""COMPUTED_VALUE"""),"")</f>
        <v/>
      </c>
      <c r="R14" s="26">
        <f>IFERROR(__xludf.DUMMYFUNCTION("""COMPUTED_VALUE"""),60.0)</f>
        <v>60</v>
      </c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8">
        <v>0.0</v>
      </c>
      <c r="AA14" s="47">
        <v>0.0</v>
      </c>
      <c r="AB14" s="47">
        <v>0.0</v>
      </c>
      <c r="AC14" s="48">
        <v>1.0</v>
      </c>
      <c r="AD14" s="48">
        <v>60.0</v>
      </c>
      <c r="AE14" s="47">
        <v>0.0</v>
      </c>
      <c r="AF14" s="47">
        <v>0.0</v>
      </c>
      <c r="AG14" s="49">
        <v>0.0</v>
      </c>
      <c r="AH14" s="34">
        <f t="shared" si="1"/>
        <v>300.2</v>
      </c>
      <c r="AI14" s="8">
        <v>117.0</v>
      </c>
      <c r="AJ14" s="42" t="s">
        <v>76</v>
      </c>
      <c r="AK14" s="11"/>
      <c r="AL14" s="8">
        <f t="shared" si="2"/>
        <v>183.2</v>
      </c>
    </row>
    <row r="15" ht="15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42" t="s">
        <v>77</v>
      </c>
      <c r="AK15" s="11"/>
      <c r="AL15" s="8"/>
    </row>
    <row r="16" ht="15.0" customHeight="1">
      <c r="A16" s="50" t="s">
        <v>83</v>
      </c>
      <c r="B16" s="51">
        <f t="shared" ref="B16:K16" si="3">SUM(B5:B14)</f>
        <v>100</v>
      </c>
      <c r="C16" s="51">
        <f t="shared" si="3"/>
        <v>75</v>
      </c>
      <c r="D16" s="51">
        <f t="shared" si="3"/>
        <v>100</v>
      </c>
      <c r="E16" s="51">
        <f t="shared" si="3"/>
        <v>75</v>
      </c>
      <c r="F16" s="51">
        <f t="shared" si="3"/>
        <v>100</v>
      </c>
      <c r="G16" s="51">
        <f t="shared" si="3"/>
        <v>75</v>
      </c>
      <c r="H16" s="51">
        <f t="shared" si="3"/>
        <v>100</v>
      </c>
      <c r="I16" s="51">
        <f t="shared" si="3"/>
        <v>75</v>
      </c>
      <c r="J16" s="51">
        <f t="shared" si="3"/>
        <v>100</v>
      </c>
      <c r="K16" s="51">
        <f t="shared" si="3"/>
        <v>75</v>
      </c>
      <c r="L16" s="8"/>
      <c r="M16" s="8"/>
      <c r="N16" s="8"/>
      <c r="O16" s="8"/>
      <c r="P16" s="8"/>
      <c r="Q16" s="8"/>
      <c r="R16" s="8"/>
      <c r="S16" s="8"/>
      <c r="T16" s="52">
        <f t="shared" ref="T16:U16" si="4">SUM(T5:T14)</f>
        <v>210</v>
      </c>
      <c r="U16" s="52">
        <f t="shared" si="4"/>
        <v>130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 t="s">
        <v>78</v>
      </c>
      <c r="AK16" s="11"/>
      <c r="AL16" s="8"/>
    </row>
    <row r="17" ht="15.0" customHeight="1">
      <c r="A17" s="50" t="s">
        <v>84</v>
      </c>
      <c r="B17" s="8"/>
      <c r="C17" s="53">
        <f>C16/B16</f>
        <v>0.75</v>
      </c>
      <c r="D17" s="8"/>
      <c r="E17" s="53">
        <f>E16/D16</f>
        <v>0.75</v>
      </c>
      <c r="F17" s="8"/>
      <c r="G17" s="53">
        <f>G16/F16</f>
        <v>0.75</v>
      </c>
      <c r="H17" s="8"/>
      <c r="I17" s="53">
        <f>I16/H16</f>
        <v>0.75</v>
      </c>
      <c r="J17" s="8"/>
      <c r="K17" s="53">
        <f>K16/J16</f>
        <v>0.75</v>
      </c>
      <c r="L17" s="8"/>
      <c r="M17" s="8"/>
      <c r="N17" s="8"/>
      <c r="O17" s="8"/>
      <c r="P17" s="8"/>
      <c r="Q17" s="8"/>
      <c r="R17" s="8"/>
      <c r="S17" s="8"/>
      <c r="T17" s="54">
        <f t="shared" ref="T17:U17" si="5">T16/$J$16</f>
        <v>2.1</v>
      </c>
      <c r="U17" s="54">
        <f t="shared" si="5"/>
        <v>1.3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ht="15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5"/>
      <c r="U18" s="55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56" t="str">
        <f t="shared" ref="T19:U19" si="6">T16/saga_progression_old!$C$15</f>
        <v>#REF!</v>
      </c>
      <c r="U19" s="56" t="str">
        <f t="shared" si="6"/>
        <v>#REF!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57" t="s">
        <v>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ht="15.0" customHeight="1">
      <c r="A3" s="9"/>
      <c r="B3" s="10" t="s">
        <v>56</v>
      </c>
      <c r="C3" s="22"/>
      <c r="D3" s="10" t="s">
        <v>57</v>
      </c>
      <c r="E3" s="22"/>
      <c r="F3" s="10" t="s">
        <v>58</v>
      </c>
      <c r="G3" s="22"/>
      <c r="H3" s="10" t="s">
        <v>59</v>
      </c>
      <c r="I3" s="22"/>
      <c r="J3" s="10" t="s">
        <v>60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58" t="s">
        <v>61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>
      <c r="A4" s="12" t="s">
        <v>62</v>
      </c>
      <c r="B4" s="12" t="s">
        <v>63</v>
      </c>
      <c r="C4" s="12" t="s">
        <v>64</v>
      </c>
      <c r="D4" s="12" t="s">
        <v>63</v>
      </c>
      <c r="E4" s="12" t="s">
        <v>64</v>
      </c>
      <c r="F4" s="12" t="s">
        <v>63</v>
      </c>
      <c r="G4" s="12" t="s">
        <v>64</v>
      </c>
      <c r="H4" s="12" t="s">
        <v>63</v>
      </c>
      <c r="I4" s="12" t="s">
        <v>64</v>
      </c>
      <c r="J4" s="12" t="s">
        <v>63</v>
      </c>
      <c r="K4" s="12" t="s">
        <v>64</v>
      </c>
      <c r="L4" s="59"/>
      <c r="M4" s="60" t="s">
        <v>65</v>
      </c>
      <c r="R4" s="15"/>
      <c r="S4" s="59"/>
      <c r="T4" s="16" t="s">
        <v>66</v>
      </c>
      <c r="U4" s="16" t="s">
        <v>67</v>
      </c>
      <c r="V4" s="22"/>
      <c r="W4" s="17" t="s">
        <v>68</v>
      </c>
      <c r="X4" s="17" t="s">
        <v>69</v>
      </c>
      <c r="Y4" s="17" t="s">
        <v>70</v>
      </c>
      <c r="Z4" s="17" t="s">
        <v>71</v>
      </c>
      <c r="AA4" s="17" t="s">
        <v>72</v>
      </c>
      <c r="AB4" s="17" t="s">
        <v>73</v>
      </c>
      <c r="AC4" s="17" t="s">
        <v>74</v>
      </c>
      <c r="AD4" s="18" t="s">
        <v>75</v>
      </c>
      <c r="AE4" s="17" t="s">
        <v>76</v>
      </c>
      <c r="AF4" s="17" t="s">
        <v>77</v>
      </c>
      <c r="AG4" s="17" t="s">
        <v>78</v>
      </c>
      <c r="AH4" s="18" t="s">
        <v>79</v>
      </c>
      <c r="AI4" s="59"/>
      <c r="AJ4" s="17" t="s">
        <v>80</v>
      </c>
      <c r="AK4" s="17" t="s">
        <v>81</v>
      </c>
      <c r="AL4" s="59"/>
    </row>
    <row r="5" ht="15.0" customHeight="1">
      <c r="A5" s="61">
        <v>1.0</v>
      </c>
      <c r="B5" s="20">
        <v>10.0</v>
      </c>
      <c r="C5" s="21">
        <v>10.0</v>
      </c>
      <c r="D5" s="20">
        <v>10.0</v>
      </c>
      <c r="E5" s="21">
        <v>10.0</v>
      </c>
      <c r="F5" s="20">
        <v>10.0</v>
      </c>
      <c r="G5" s="21">
        <v>10.0</v>
      </c>
      <c r="H5" s="20">
        <v>10.0</v>
      </c>
      <c r="I5" s="21">
        <v>10.0</v>
      </c>
      <c r="J5" s="20">
        <v>10.0</v>
      </c>
      <c r="K5" s="21">
        <v>10.0</v>
      </c>
      <c r="L5" s="22"/>
      <c r="M5" s="23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24">
        <f>IFERROR(__xludf.DUMMYFUNCTION("""COMPUTED_VALUE"""),10.0)</f>
        <v>10</v>
      </c>
      <c r="O5" s="25" t="str">
        <f>IFERROR(__xludf.DUMMYFUNCTION("""COMPUTED_VALUE"""),"")</f>
        <v/>
      </c>
      <c r="P5" s="62">
        <f>IFERROR(__xludf.DUMMYFUNCTION("""COMPUTED_VALUE"""),15.0)</f>
        <v>15</v>
      </c>
      <c r="Q5" s="63"/>
      <c r="R5" s="64"/>
      <c r="S5" s="22"/>
      <c r="T5" s="27">
        <v>15.0</v>
      </c>
      <c r="U5" s="28">
        <v>10.0</v>
      </c>
      <c r="V5" s="22"/>
      <c r="W5" s="29">
        <v>0.0</v>
      </c>
      <c r="X5" s="65">
        <v>0.0</v>
      </c>
      <c r="Y5" s="31">
        <v>0.0</v>
      </c>
      <c r="Z5" s="31">
        <v>0.0</v>
      </c>
      <c r="AA5" s="31">
        <v>0.0</v>
      </c>
      <c r="AB5" s="31">
        <v>0.0</v>
      </c>
      <c r="AC5" s="31">
        <v>0.0</v>
      </c>
      <c r="AD5" s="66">
        <v>15.0</v>
      </c>
      <c r="AE5" s="31">
        <v>0.0</v>
      </c>
      <c r="AF5" s="31">
        <v>0.0</v>
      </c>
      <c r="AG5" s="33">
        <v>0.0</v>
      </c>
      <c r="AH5" s="67">
        <f t="shared" ref="AH5:AH14" si="1">SUMPRODUCT(W5:AG5, {0,33,50,67,167,67,50,4.17,7.56,12.17,16.22})</f>
        <v>62.55</v>
      </c>
      <c r="AI5" s="22">
        <v>100.0</v>
      </c>
      <c r="AJ5" s="68" t="s">
        <v>82</v>
      </c>
      <c r="AK5" s="58"/>
      <c r="AL5" s="22">
        <f t="shared" ref="AL5:AL14" si="2">AH5-AI5</f>
        <v>-37.45</v>
      </c>
    </row>
    <row r="6" ht="15.0" customHeight="1">
      <c r="A6" s="69">
        <v>2.0</v>
      </c>
      <c r="B6" s="37">
        <v>10.0</v>
      </c>
      <c r="C6" s="38">
        <v>0.0</v>
      </c>
      <c r="D6" s="37">
        <v>10.0</v>
      </c>
      <c r="E6" s="38">
        <v>0.0</v>
      </c>
      <c r="F6" s="37">
        <v>10.0</v>
      </c>
      <c r="G6" s="38">
        <v>0.0</v>
      </c>
      <c r="H6" s="37">
        <v>10.0</v>
      </c>
      <c r="I6" s="38">
        <v>0.0</v>
      </c>
      <c r="J6" s="37">
        <v>10.0</v>
      </c>
      <c r="K6" s="38">
        <v>0.0</v>
      </c>
      <c r="L6" s="22"/>
      <c r="M6" s="23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24">
        <f>IFERROR(__xludf.DUMMYFUNCTION("""COMPUTED_VALUE"""),1.0)</f>
        <v>1</v>
      </c>
      <c r="O6" s="25" t="str">
        <f>IFERROR(__xludf.DUMMYFUNCTION("""COMPUTED_VALUE"""),"")</f>
        <v/>
      </c>
      <c r="P6" s="62">
        <f>IFERROR(__xludf.DUMMYFUNCTION("""COMPUTED_VALUE"""),15.0)</f>
        <v>15</v>
      </c>
      <c r="Q6" s="63"/>
      <c r="R6" s="64"/>
      <c r="S6" s="22"/>
      <c r="T6" s="27">
        <v>15.0</v>
      </c>
      <c r="U6" s="28">
        <v>10.0</v>
      </c>
      <c r="V6" s="22"/>
      <c r="W6" s="39">
        <v>0.0</v>
      </c>
      <c r="X6" s="66">
        <v>1.0</v>
      </c>
      <c r="Y6" s="70">
        <v>0.0</v>
      </c>
      <c r="Z6" s="40">
        <v>0.0</v>
      </c>
      <c r="AA6" s="40">
        <v>0.0</v>
      </c>
      <c r="AB6" s="40">
        <v>0.0</v>
      </c>
      <c r="AC6" s="40">
        <v>0.0</v>
      </c>
      <c r="AD6" s="66">
        <v>15.0</v>
      </c>
      <c r="AE6" s="40">
        <v>0.0</v>
      </c>
      <c r="AF6" s="40">
        <v>0.0</v>
      </c>
      <c r="AG6" s="41">
        <v>0.0</v>
      </c>
      <c r="AH6" s="67">
        <f t="shared" si="1"/>
        <v>95.55</v>
      </c>
      <c r="AI6" s="22">
        <v>112.55</v>
      </c>
      <c r="AJ6" s="25" t="str">
        <f t="array" ref="AJ6:AJ16">TRANSPOSE(W4:AG4)</f>
        <v>SPT</v>
      </c>
      <c r="AK6" s="22"/>
      <c r="AL6" s="22">
        <f t="shared" si="2"/>
        <v>-17</v>
      </c>
    </row>
    <row r="7" ht="15.0" customHeight="1">
      <c r="A7" s="69">
        <v>3.0</v>
      </c>
      <c r="B7" s="37">
        <v>10.0</v>
      </c>
      <c r="C7" s="38">
        <v>10.0</v>
      </c>
      <c r="D7" s="37">
        <v>10.0</v>
      </c>
      <c r="E7" s="38">
        <v>10.0</v>
      </c>
      <c r="F7" s="37">
        <v>10.0</v>
      </c>
      <c r="G7" s="38">
        <v>10.0</v>
      </c>
      <c r="H7" s="37">
        <v>10.0</v>
      </c>
      <c r="I7" s="38">
        <v>10.0</v>
      </c>
      <c r="J7" s="37">
        <v>10.0</v>
      </c>
      <c r="K7" s="38">
        <v>10.0</v>
      </c>
      <c r="L7" s="22"/>
      <c r="M7" s="23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24">
        <f>IFERROR(__xludf.DUMMYFUNCTION("""COMPUTED_VALUE"""),10.0)</f>
        <v>10</v>
      </c>
      <c r="O7" s="25" t="str">
        <f>IFERROR(__xludf.DUMMYFUNCTION("""COMPUTED_VALUE"""),"")</f>
        <v/>
      </c>
      <c r="P7" s="62">
        <f>IFERROR(__xludf.DUMMYFUNCTION("""COMPUTED_VALUE"""),15.0)</f>
        <v>15</v>
      </c>
      <c r="Q7" s="63"/>
      <c r="R7" s="64"/>
      <c r="S7" s="22"/>
      <c r="T7" s="27">
        <v>15.0</v>
      </c>
      <c r="U7" s="28">
        <v>10.0</v>
      </c>
      <c r="V7" s="22"/>
      <c r="W7" s="39">
        <v>0.0</v>
      </c>
      <c r="X7" s="40">
        <v>0.0</v>
      </c>
      <c r="Y7" s="40">
        <v>0.0</v>
      </c>
      <c r="Z7" s="70">
        <v>0.0</v>
      </c>
      <c r="AA7" s="40">
        <v>0.0</v>
      </c>
      <c r="AB7" s="40">
        <v>0.0</v>
      </c>
      <c r="AC7" s="40">
        <v>0.0</v>
      </c>
      <c r="AD7" s="66">
        <v>15.0</v>
      </c>
      <c r="AE7" s="40">
        <v>0.0</v>
      </c>
      <c r="AF7" s="40">
        <v>0.0</v>
      </c>
      <c r="AG7" s="41">
        <v>0.0</v>
      </c>
      <c r="AH7" s="67">
        <f t="shared" si="1"/>
        <v>62.55</v>
      </c>
      <c r="AI7" s="22">
        <v>95.55</v>
      </c>
      <c r="AJ7" s="25" t="s">
        <v>69</v>
      </c>
      <c r="AK7" s="58"/>
      <c r="AL7" s="22">
        <f t="shared" si="2"/>
        <v>-33</v>
      </c>
    </row>
    <row r="8">
      <c r="A8" s="69">
        <v>4.0</v>
      </c>
      <c r="B8" s="37">
        <v>10.0</v>
      </c>
      <c r="C8" s="38">
        <v>0.0</v>
      </c>
      <c r="D8" s="37">
        <v>10.0</v>
      </c>
      <c r="E8" s="38">
        <v>0.0</v>
      </c>
      <c r="F8" s="37">
        <v>10.0</v>
      </c>
      <c r="G8" s="38">
        <v>0.0</v>
      </c>
      <c r="H8" s="37">
        <v>10.0</v>
      </c>
      <c r="I8" s="38">
        <v>0.0</v>
      </c>
      <c r="J8" s="37">
        <v>10.0</v>
      </c>
      <c r="K8" s="38">
        <v>0.0</v>
      </c>
      <c r="L8" s="22"/>
      <c r="M8" s="23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24">
        <f>IFERROR(__xludf.DUMMYFUNCTION("""COMPUTED_VALUE"""),1.0)</f>
        <v>1</v>
      </c>
      <c r="O8" s="25" t="str">
        <f>IFERROR(__xludf.DUMMYFUNCTION("""COMPUTED_VALUE"""),"")</f>
        <v/>
      </c>
      <c r="P8" s="62">
        <f>IFERROR(__xludf.DUMMYFUNCTION("""COMPUTED_VALUE"""),15.0)</f>
        <v>15</v>
      </c>
      <c r="Q8" s="63"/>
      <c r="R8" s="64"/>
      <c r="S8" s="22"/>
      <c r="T8" s="27">
        <v>20.0</v>
      </c>
      <c r="U8" s="28">
        <v>10.0</v>
      </c>
      <c r="V8" s="22"/>
      <c r="W8" s="39">
        <v>0.0</v>
      </c>
      <c r="X8" s="66">
        <v>1.0</v>
      </c>
      <c r="Y8" s="40">
        <v>0.0</v>
      </c>
      <c r="Z8" s="40">
        <v>0.0</v>
      </c>
      <c r="AA8" s="40">
        <v>0.0</v>
      </c>
      <c r="AB8" s="70">
        <v>0.0</v>
      </c>
      <c r="AC8" s="40">
        <v>0.0</v>
      </c>
      <c r="AD8" s="66">
        <v>15.0</v>
      </c>
      <c r="AE8" s="40">
        <v>0.0</v>
      </c>
      <c r="AF8" s="40">
        <v>0.0</v>
      </c>
      <c r="AG8" s="41">
        <v>0.0</v>
      </c>
      <c r="AH8" s="67">
        <f t="shared" si="1"/>
        <v>95.55</v>
      </c>
      <c r="AI8" s="22">
        <v>95.55</v>
      </c>
      <c r="AJ8" s="25" t="s">
        <v>70</v>
      </c>
      <c r="AK8" s="58"/>
      <c r="AL8" s="22">
        <f t="shared" si="2"/>
        <v>0</v>
      </c>
    </row>
    <row r="9" ht="15.0" customHeight="1">
      <c r="A9" s="69">
        <v>5.0</v>
      </c>
      <c r="B9" s="37">
        <v>10.0</v>
      </c>
      <c r="C9" s="71">
        <v>0.0</v>
      </c>
      <c r="D9" s="37">
        <v>10.0</v>
      </c>
      <c r="E9" s="71">
        <v>0.0</v>
      </c>
      <c r="F9" s="37">
        <v>10.0</v>
      </c>
      <c r="G9" s="71">
        <v>0.0</v>
      </c>
      <c r="H9" s="37">
        <v>10.0</v>
      </c>
      <c r="I9" s="71">
        <v>0.0</v>
      </c>
      <c r="J9" s="37">
        <v>10.0</v>
      </c>
      <c r="K9" s="71">
        <v>0.0</v>
      </c>
      <c r="L9" s="22"/>
      <c r="M9" s="23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62">
        <f>IFERROR(__xludf.DUMMYFUNCTION("""COMPUTED_VALUE"""),1.0)</f>
        <v>1</v>
      </c>
      <c r="O9" s="25" t="str">
        <f>IFERROR(__xludf.DUMMYFUNCTION("""COMPUTED_VALUE"""),"")</f>
        <v/>
      </c>
      <c r="P9" s="62">
        <f>IFERROR(__xludf.DUMMYFUNCTION("""COMPUTED_VALUE"""),15.0)</f>
        <v>15</v>
      </c>
      <c r="Q9" s="63"/>
      <c r="R9" s="64"/>
      <c r="S9" s="22"/>
      <c r="T9" s="27">
        <v>20.0</v>
      </c>
      <c r="U9" s="28">
        <v>10.0</v>
      </c>
      <c r="V9" s="22"/>
      <c r="W9" s="39">
        <v>0.0</v>
      </c>
      <c r="X9" s="40">
        <v>0.0</v>
      </c>
      <c r="Y9" s="70">
        <v>1.0</v>
      </c>
      <c r="Z9" s="70">
        <v>0.0</v>
      </c>
      <c r="AA9" s="40">
        <v>0.0</v>
      </c>
      <c r="AB9" s="40">
        <v>0.0</v>
      </c>
      <c r="AC9" s="40">
        <v>0.0</v>
      </c>
      <c r="AD9" s="66">
        <v>15.0</v>
      </c>
      <c r="AE9" s="40">
        <v>0.0</v>
      </c>
      <c r="AF9" s="40">
        <v>0.0</v>
      </c>
      <c r="AG9" s="41">
        <v>0.0</v>
      </c>
      <c r="AH9" s="67">
        <f t="shared" si="1"/>
        <v>112.55</v>
      </c>
      <c r="AI9" s="22">
        <v>100.0</v>
      </c>
      <c r="AJ9" s="25" t="s">
        <v>71</v>
      </c>
      <c r="AK9" s="58"/>
      <c r="AL9" s="22">
        <f t="shared" si="2"/>
        <v>12.55</v>
      </c>
    </row>
    <row r="10" ht="15.0" customHeight="1">
      <c r="A10" s="69">
        <v>6.0</v>
      </c>
      <c r="B10" s="37">
        <v>10.0</v>
      </c>
      <c r="C10" s="38">
        <v>0.0</v>
      </c>
      <c r="D10" s="37">
        <v>10.0</v>
      </c>
      <c r="E10" s="38">
        <v>0.0</v>
      </c>
      <c r="F10" s="37">
        <v>10.0</v>
      </c>
      <c r="G10" s="38">
        <v>0.0</v>
      </c>
      <c r="H10" s="37">
        <v>10.0</v>
      </c>
      <c r="I10" s="38">
        <v>0.0</v>
      </c>
      <c r="J10" s="37">
        <v>10.0</v>
      </c>
      <c r="K10" s="38">
        <v>0.0</v>
      </c>
      <c r="L10" s="22"/>
      <c r="M10" s="23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24">
        <f>IFERROR(__xludf.DUMMYFUNCTION("""COMPUTED_VALUE"""),1.0)</f>
        <v>1</v>
      </c>
      <c r="O10" s="25" t="str">
        <f>IFERROR(__xludf.DUMMYFUNCTION("""COMPUTED_VALUE"""),"")</f>
        <v/>
      </c>
      <c r="P10" s="62">
        <f>IFERROR(__xludf.DUMMYFUNCTION("""COMPUTED_VALUE"""),20.0)</f>
        <v>20</v>
      </c>
      <c r="Q10" s="63"/>
      <c r="R10" s="64"/>
      <c r="S10" s="22"/>
      <c r="T10" s="27">
        <v>20.0</v>
      </c>
      <c r="U10" s="28">
        <v>15.0</v>
      </c>
      <c r="V10" s="22"/>
      <c r="W10" s="39">
        <v>0.0</v>
      </c>
      <c r="X10" s="40">
        <v>0.0</v>
      </c>
      <c r="Y10" s="72">
        <v>1.0</v>
      </c>
      <c r="Z10" s="32">
        <v>0.0</v>
      </c>
      <c r="AA10" s="40">
        <v>0.0</v>
      </c>
      <c r="AB10" s="40">
        <v>0.0</v>
      </c>
      <c r="AC10" s="70">
        <v>0.0</v>
      </c>
      <c r="AD10" s="66">
        <v>20.0</v>
      </c>
      <c r="AE10" s="40">
        <v>0.0</v>
      </c>
      <c r="AF10" s="40">
        <v>0.0</v>
      </c>
      <c r="AG10" s="41">
        <v>0.0</v>
      </c>
      <c r="AH10" s="67">
        <f t="shared" si="1"/>
        <v>133.4</v>
      </c>
      <c r="AI10" s="22">
        <v>229.55</v>
      </c>
      <c r="AJ10" s="25" t="s">
        <v>72</v>
      </c>
      <c r="AK10" s="58"/>
      <c r="AL10" s="22">
        <f t="shared" si="2"/>
        <v>-96.15</v>
      </c>
    </row>
    <row r="11" ht="15.0" customHeight="1">
      <c r="A11" s="69">
        <v>7.0</v>
      </c>
      <c r="B11" s="37">
        <v>10.0</v>
      </c>
      <c r="C11" s="38">
        <v>10.0</v>
      </c>
      <c r="D11" s="37">
        <v>10.0</v>
      </c>
      <c r="E11" s="38">
        <v>10.0</v>
      </c>
      <c r="F11" s="37">
        <v>10.0</v>
      </c>
      <c r="G11" s="38">
        <v>10.0</v>
      </c>
      <c r="H11" s="37">
        <v>10.0</v>
      </c>
      <c r="I11" s="38">
        <v>10.0</v>
      </c>
      <c r="J11" s="37">
        <v>10.0</v>
      </c>
      <c r="K11" s="38">
        <v>10.0</v>
      </c>
      <c r="L11" s="22"/>
      <c r="M11" s="23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24">
        <f>IFERROR(__xludf.DUMMYFUNCTION("""COMPUTED_VALUE"""),10.0)</f>
        <v>10</v>
      </c>
      <c r="O11" s="25" t="str">
        <f>IFERROR(__xludf.DUMMYFUNCTION("""COMPUTED_VALUE"""),"")</f>
        <v/>
      </c>
      <c r="P11" s="62">
        <f>IFERROR(__xludf.DUMMYFUNCTION("""COMPUTED_VALUE"""),20.0)</f>
        <v>20</v>
      </c>
      <c r="Q11" s="63"/>
      <c r="R11" s="64"/>
      <c r="S11" s="22"/>
      <c r="T11" s="27">
        <v>25.0</v>
      </c>
      <c r="U11" s="28">
        <v>15.0</v>
      </c>
      <c r="V11" s="22"/>
      <c r="W11" s="39">
        <v>0.0</v>
      </c>
      <c r="X11" s="40">
        <v>0.0</v>
      </c>
      <c r="Y11" s="40">
        <v>0.0</v>
      </c>
      <c r="Z11" s="70">
        <v>0.0</v>
      </c>
      <c r="AA11" s="40">
        <v>0.0</v>
      </c>
      <c r="AB11" s="40">
        <v>0.0</v>
      </c>
      <c r="AC11" s="40">
        <v>0.0</v>
      </c>
      <c r="AD11" s="66">
        <v>20.0</v>
      </c>
      <c r="AE11" s="40">
        <v>0.0</v>
      </c>
      <c r="AF11" s="40">
        <v>0.0</v>
      </c>
      <c r="AG11" s="41">
        <v>0.0</v>
      </c>
      <c r="AH11" s="67">
        <f t="shared" si="1"/>
        <v>83.4</v>
      </c>
      <c r="AI11" s="22">
        <v>192.1</v>
      </c>
      <c r="AJ11" s="25" t="s">
        <v>73</v>
      </c>
      <c r="AK11" s="58"/>
      <c r="AL11" s="22">
        <f t="shared" si="2"/>
        <v>-108.7</v>
      </c>
    </row>
    <row r="12">
      <c r="A12" s="69">
        <v>8.0</v>
      </c>
      <c r="B12" s="37">
        <v>10.0</v>
      </c>
      <c r="C12" s="38">
        <v>0.0</v>
      </c>
      <c r="D12" s="37">
        <v>10.0</v>
      </c>
      <c r="E12" s="38">
        <v>0.0</v>
      </c>
      <c r="F12" s="37">
        <v>10.0</v>
      </c>
      <c r="G12" s="38">
        <v>0.0</v>
      </c>
      <c r="H12" s="37">
        <v>10.0</v>
      </c>
      <c r="I12" s="38">
        <v>0.0</v>
      </c>
      <c r="J12" s="37">
        <v>10.0</v>
      </c>
      <c r="K12" s="38">
        <v>0.0</v>
      </c>
      <c r="L12" s="22"/>
      <c r="M12" s="23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24">
        <f>IFERROR(__xludf.DUMMYFUNCTION("""COMPUTED_VALUE"""),1.0)</f>
        <v>1</v>
      </c>
      <c r="O12" s="25" t="str">
        <f>IFERROR(__xludf.DUMMYFUNCTION("""COMPUTED_VALUE"""),"")</f>
        <v/>
      </c>
      <c r="P12" s="62">
        <f>IFERROR(__xludf.DUMMYFUNCTION("""COMPUTED_VALUE"""),30.0)</f>
        <v>30</v>
      </c>
      <c r="Q12" s="63"/>
      <c r="R12" s="64"/>
      <c r="S12" s="22"/>
      <c r="T12" s="27">
        <v>25.0</v>
      </c>
      <c r="U12" s="28">
        <v>15.0</v>
      </c>
      <c r="V12" s="22"/>
      <c r="W12" s="39">
        <v>0.0</v>
      </c>
      <c r="X12" s="40">
        <v>0.0</v>
      </c>
      <c r="Y12" s="70">
        <v>0.0</v>
      </c>
      <c r="Z12" s="73">
        <v>1.0</v>
      </c>
      <c r="AA12" s="70">
        <v>0.0</v>
      </c>
      <c r="AB12" s="40">
        <v>0.0</v>
      </c>
      <c r="AC12" s="40">
        <v>0.0</v>
      </c>
      <c r="AD12" s="66">
        <v>30.0</v>
      </c>
      <c r="AE12" s="40">
        <v>0.0</v>
      </c>
      <c r="AF12" s="40">
        <v>0.0</v>
      </c>
      <c r="AG12" s="41">
        <v>0.0</v>
      </c>
      <c r="AH12" s="67">
        <f t="shared" si="1"/>
        <v>192.1</v>
      </c>
      <c r="AI12" s="22">
        <v>217.0</v>
      </c>
      <c r="AJ12" s="25" t="s">
        <v>74</v>
      </c>
      <c r="AK12" s="58"/>
      <c r="AL12" s="22">
        <f t="shared" si="2"/>
        <v>-24.9</v>
      </c>
    </row>
    <row r="13" ht="15.0" customHeight="1">
      <c r="A13" s="69">
        <v>9.0</v>
      </c>
      <c r="B13" s="37">
        <v>10.0</v>
      </c>
      <c r="C13" s="38">
        <v>10.0</v>
      </c>
      <c r="D13" s="37">
        <v>10.0</v>
      </c>
      <c r="E13" s="38">
        <v>10.0</v>
      </c>
      <c r="F13" s="37">
        <v>10.0</v>
      </c>
      <c r="G13" s="38">
        <v>10.0</v>
      </c>
      <c r="H13" s="37">
        <v>10.0</v>
      </c>
      <c r="I13" s="38">
        <v>10.0</v>
      </c>
      <c r="J13" s="37">
        <v>10.0</v>
      </c>
      <c r="K13" s="38">
        <v>10.0</v>
      </c>
      <c r="L13" s="22"/>
      <c r="M13" s="23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24">
        <f>IFERROR(__xludf.DUMMYFUNCTION("""COMPUTED_VALUE"""),10.0)</f>
        <v>10</v>
      </c>
      <c r="O13" s="25" t="str">
        <f>IFERROR(__xludf.DUMMYFUNCTION("""COMPUTED_VALUE"""),"")</f>
        <v/>
      </c>
      <c r="P13" s="62">
        <f>IFERROR(__xludf.DUMMYFUNCTION("""COMPUTED_VALUE"""),60.0)</f>
        <v>60</v>
      </c>
      <c r="Q13" s="63"/>
      <c r="R13" s="64"/>
      <c r="S13" s="22"/>
      <c r="T13" s="27">
        <v>25.0</v>
      </c>
      <c r="U13" s="28">
        <v>15.0</v>
      </c>
      <c r="V13" s="22"/>
      <c r="W13" s="39">
        <v>0.0</v>
      </c>
      <c r="X13" s="40">
        <v>0.0</v>
      </c>
      <c r="Y13" s="40">
        <v>0.0</v>
      </c>
      <c r="Z13" s="40">
        <v>0.0</v>
      </c>
      <c r="AA13" s="40">
        <v>0.0</v>
      </c>
      <c r="AB13" s="70">
        <v>0.0</v>
      </c>
      <c r="AC13" s="40">
        <v>0.0</v>
      </c>
      <c r="AD13" s="66">
        <v>60.0</v>
      </c>
      <c r="AE13" s="40">
        <v>0.0</v>
      </c>
      <c r="AF13" s="40">
        <v>0.0</v>
      </c>
      <c r="AG13" s="41">
        <v>0.0</v>
      </c>
      <c r="AH13" s="67">
        <f t="shared" si="1"/>
        <v>250.2</v>
      </c>
      <c r="AI13" s="22">
        <v>300.2</v>
      </c>
      <c r="AJ13" s="25" t="s">
        <v>75</v>
      </c>
      <c r="AK13" s="58"/>
      <c r="AL13" s="22">
        <f t="shared" si="2"/>
        <v>-50</v>
      </c>
    </row>
    <row r="14" ht="15.0" customHeight="1">
      <c r="A14" s="74">
        <v>10.0</v>
      </c>
      <c r="B14" s="44">
        <v>10.0</v>
      </c>
      <c r="C14" s="75">
        <v>20.0</v>
      </c>
      <c r="D14" s="44">
        <v>10.0</v>
      </c>
      <c r="E14" s="75">
        <v>20.0</v>
      </c>
      <c r="F14" s="44">
        <v>10.0</v>
      </c>
      <c r="G14" s="75">
        <v>20.0</v>
      </c>
      <c r="H14" s="44">
        <v>10.0</v>
      </c>
      <c r="I14" s="75">
        <v>20.0</v>
      </c>
      <c r="J14" s="44">
        <v>10.0</v>
      </c>
      <c r="K14" s="75">
        <v>20.0</v>
      </c>
      <c r="L14" s="22"/>
      <c r="M14" s="23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62">
        <f>IFERROR(__xludf.DUMMYFUNCTION("""COMPUTED_VALUE"""),20.0)</f>
        <v>20</v>
      </c>
      <c r="O14" s="25" t="str">
        <f>IFERROR(__xludf.DUMMYFUNCTION("""COMPUTED_VALUE"""),"")</f>
        <v/>
      </c>
      <c r="P14" s="62">
        <f>IFERROR(__xludf.DUMMYFUNCTION("""COMPUTED_VALUE"""),60.0)</f>
        <v>60</v>
      </c>
      <c r="Q14" s="63"/>
      <c r="R14" s="64"/>
      <c r="S14" s="22"/>
      <c r="T14" s="27">
        <v>30.0</v>
      </c>
      <c r="U14" s="28">
        <v>20.0</v>
      </c>
      <c r="V14" s="22"/>
      <c r="W14" s="46">
        <v>0.0</v>
      </c>
      <c r="X14" s="47">
        <v>0.0</v>
      </c>
      <c r="Y14" s="47">
        <v>0.0</v>
      </c>
      <c r="Z14" s="47">
        <v>0.0</v>
      </c>
      <c r="AA14" s="47">
        <v>0.0</v>
      </c>
      <c r="AB14" s="47">
        <v>0.0</v>
      </c>
      <c r="AC14" s="76">
        <v>0.0</v>
      </c>
      <c r="AD14" s="77">
        <v>60.0</v>
      </c>
      <c r="AE14" s="47">
        <v>0.0</v>
      </c>
      <c r="AF14" s="47">
        <v>0.0</v>
      </c>
      <c r="AG14" s="49">
        <v>0.0</v>
      </c>
      <c r="AH14" s="67">
        <f t="shared" si="1"/>
        <v>250.2</v>
      </c>
      <c r="AI14" s="22">
        <v>117.0</v>
      </c>
      <c r="AJ14" s="25" t="s">
        <v>76</v>
      </c>
      <c r="AK14" s="58"/>
      <c r="AL14" s="22">
        <f t="shared" si="2"/>
        <v>133.2</v>
      </c>
    </row>
    <row r="15" ht="15.0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5" t="s">
        <v>77</v>
      </c>
      <c r="AK15" s="58"/>
      <c r="AL15" s="22"/>
    </row>
    <row r="16" ht="15.0" customHeight="1">
      <c r="A16" s="78" t="s">
        <v>83</v>
      </c>
      <c r="B16" s="51">
        <f t="shared" ref="B16:K16" si="3">SUM(B5:B14)</f>
        <v>100</v>
      </c>
      <c r="C16" s="51">
        <f t="shared" si="3"/>
        <v>60</v>
      </c>
      <c r="D16" s="51">
        <f t="shared" si="3"/>
        <v>100</v>
      </c>
      <c r="E16" s="51">
        <f t="shared" si="3"/>
        <v>60</v>
      </c>
      <c r="F16" s="51">
        <f t="shared" si="3"/>
        <v>100</v>
      </c>
      <c r="G16" s="51">
        <f t="shared" si="3"/>
        <v>60</v>
      </c>
      <c r="H16" s="51">
        <f t="shared" si="3"/>
        <v>100</v>
      </c>
      <c r="I16" s="51">
        <f t="shared" si="3"/>
        <v>60</v>
      </c>
      <c r="J16" s="51">
        <f t="shared" si="3"/>
        <v>100</v>
      </c>
      <c r="K16" s="51">
        <f t="shared" si="3"/>
        <v>60</v>
      </c>
      <c r="L16" s="22"/>
      <c r="M16" s="22"/>
      <c r="N16" s="22"/>
      <c r="O16" s="22"/>
      <c r="P16" s="22"/>
      <c r="Q16" s="22"/>
      <c r="R16" s="22"/>
      <c r="S16" s="22"/>
      <c r="T16" s="79">
        <f t="shared" ref="T16:U16" si="4">SUM(T5:T14)</f>
        <v>210</v>
      </c>
      <c r="U16" s="79">
        <f t="shared" si="4"/>
        <v>130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 t="s">
        <v>78</v>
      </c>
      <c r="AK16" s="58"/>
      <c r="AL16" s="22"/>
    </row>
    <row r="17" ht="15.0" customHeight="1">
      <c r="A17" s="78" t="s">
        <v>84</v>
      </c>
      <c r="B17" s="22"/>
      <c r="C17" s="53">
        <f>C16/B16</f>
        <v>0.6</v>
      </c>
      <c r="D17" s="22"/>
      <c r="E17" s="53">
        <f>E16/D16</f>
        <v>0.6</v>
      </c>
      <c r="F17" s="22"/>
      <c r="G17" s="53">
        <f>G16/F16</f>
        <v>0.6</v>
      </c>
      <c r="H17" s="22"/>
      <c r="I17" s="53">
        <f>I16/H16</f>
        <v>0.6</v>
      </c>
      <c r="J17" s="22"/>
      <c r="K17" s="53">
        <f>K16/J16</f>
        <v>0.6</v>
      </c>
      <c r="L17" s="22"/>
      <c r="M17" s="22"/>
      <c r="N17" s="22"/>
      <c r="O17" s="22"/>
      <c r="P17" s="22"/>
      <c r="Q17" s="22"/>
      <c r="R17" s="22"/>
      <c r="S17" s="22"/>
      <c r="T17" s="80">
        <f t="shared" ref="T17:U17" si="5">T16/$J$16</f>
        <v>2.1</v>
      </c>
      <c r="U17" s="80">
        <f t="shared" si="5"/>
        <v>1.3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ht="15.0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81"/>
      <c r="U18" s="81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15.0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82" t="str">
        <f t="shared" ref="T19:U19" si="6">T16/saga_progression_old!$C$15</f>
        <v>#REF!</v>
      </c>
      <c r="U19" s="82" t="str">
        <f t="shared" si="6"/>
        <v>#REF!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15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15.75" customHeight="1">
      <c r="A22" s="8"/>
      <c r="B22" s="8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mergeCells count="1">
    <mergeCell ref="M4:R4"/>
  </mergeCells>
  <conditionalFormatting sqref="C5:C14 E5:E14 G5:G14 I5:I14 K5:K14 W5:AG14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5.0" customHeight="1">
      <c r="A3" s="12" t="s">
        <v>87</v>
      </c>
      <c r="B3" s="12" t="s">
        <v>64</v>
      </c>
      <c r="C3" s="8"/>
      <c r="D3" s="8"/>
      <c r="E3" s="84" t="s">
        <v>65</v>
      </c>
      <c r="K3" s="8"/>
      <c r="L3" s="85" t="s">
        <v>88</v>
      </c>
      <c r="M3" s="86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"/>
      <c r="Z3" s="8"/>
      <c r="AA3" s="8"/>
      <c r="AB3" s="12" t="s">
        <v>80</v>
      </c>
      <c r="AC3" s="12" t="s">
        <v>81</v>
      </c>
      <c r="AD3" s="8"/>
      <c r="AE3" s="8"/>
      <c r="AF3" s="8"/>
    </row>
    <row r="4" ht="15.0" customHeight="1">
      <c r="A4" s="88">
        <v>1.0</v>
      </c>
      <c r="B4" s="89">
        <f>average(M5,M16,M26,M35,M45)</f>
        <v>22</v>
      </c>
      <c r="C4" s="8"/>
      <c r="D4" s="8"/>
      <c r="G4" s="42"/>
      <c r="H4" s="90"/>
      <c r="I4" s="42"/>
      <c r="J4" s="90"/>
      <c r="K4" s="8"/>
      <c r="L4" s="91" t="s">
        <v>87</v>
      </c>
      <c r="M4" s="91" t="s">
        <v>89</v>
      </c>
      <c r="N4" s="91" t="s">
        <v>68</v>
      </c>
      <c r="O4" s="91" t="s">
        <v>69</v>
      </c>
      <c r="P4" s="91" t="s">
        <v>70</v>
      </c>
      <c r="Q4" s="91" t="s">
        <v>71</v>
      </c>
      <c r="R4" s="91" t="s">
        <v>72</v>
      </c>
      <c r="S4" s="91" t="s">
        <v>73</v>
      </c>
      <c r="T4" s="91" t="s">
        <v>74</v>
      </c>
      <c r="U4" s="91" t="s">
        <v>75</v>
      </c>
      <c r="V4" s="91" t="s">
        <v>76</v>
      </c>
      <c r="W4" s="91" t="s">
        <v>77</v>
      </c>
      <c r="X4" s="91" t="s">
        <v>78</v>
      </c>
      <c r="Y4" s="8"/>
      <c r="Z4" s="8"/>
      <c r="AA4" s="8"/>
      <c r="AB4" s="11" t="s">
        <v>82</v>
      </c>
      <c r="AC4" s="11"/>
      <c r="AD4" s="8"/>
      <c r="AE4" s="8"/>
      <c r="AF4" s="8"/>
    </row>
    <row r="5" ht="15.0" customHeight="1">
      <c r="A5" s="92">
        <v>2.0</v>
      </c>
      <c r="B5" s="93">
        <v>0.0</v>
      </c>
      <c r="C5" s="8"/>
      <c r="D5" s="8"/>
      <c r="E5" s="4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0">
        <f>IFERROR(__xludf.DUMMYFUNCTION("""COMPUTED_VALUE"""),20.0)</f>
        <v>20</v>
      </c>
      <c r="G5" s="42"/>
      <c r="H5" s="90"/>
      <c r="I5" s="42"/>
      <c r="J5" s="90"/>
      <c r="K5" s="8"/>
      <c r="L5" s="94">
        <v>1.0</v>
      </c>
      <c r="M5" s="95">
        <v>20.0</v>
      </c>
      <c r="N5" s="96">
        <v>0.0</v>
      </c>
      <c r="O5" s="96">
        <v>0.0</v>
      </c>
      <c r="P5" s="96">
        <v>0.0</v>
      </c>
      <c r="Q5" s="96">
        <v>0.0</v>
      </c>
      <c r="R5" s="96">
        <v>0.0</v>
      </c>
      <c r="S5" s="96">
        <v>0.0</v>
      </c>
      <c r="T5" s="96">
        <v>0.0</v>
      </c>
      <c r="U5" s="96">
        <v>0.0</v>
      </c>
      <c r="V5" s="96">
        <v>0.0</v>
      </c>
      <c r="W5" s="96">
        <v>0.0</v>
      </c>
      <c r="X5" s="96">
        <v>0.0</v>
      </c>
      <c r="Y5" s="8"/>
      <c r="Z5" s="8"/>
      <c r="AA5" s="8"/>
      <c r="AB5" s="8" t="s">
        <v>68</v>
      </c>
      <c r="AC5" s="8"/>
      <c r="AD5" s="8"/>
      <c r="AE5" s="8"/>
      <c r="AF5" s="8"/>
    </row>
    <row r="6" ht="15.0" customHeight="1">
      <c r="A6" s="92">
        <v>3.0</v>
      </c>
      <c r="B6" s="93">
        <v>0.0</v>
      </c>
      <c r="C6" s="8"/>
      <c r="D6" s="8"/>
      <c r="E6" s="4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0">
        <f>IFERROR(__xludf.DUMMYFUNCTION("""COMPUTED_VALUE"""),15.0)</f>
        <v>15</v>
      </c>
      <c r="G6" s="42"/>
      <c r="H6" s="90"/>
      <c r="I6" s="42"/>
      <c r="J6" s="90"/>
      <c r="K6" s="8"/>
      <c r="L6" s="94">
        <v>2.0</v>
      </c>
      <c r="M6" s="96">
        <v>0.0</v>
      </c>
      <c r="N6" s="96">
        <v>0.0</v>
      </c>
      <c r="O6" s="96">
        <v>0.0</v>
      </c>
      <c r="P6" s="96">
        <v>0.0</v>
      </c>
      <c r="Q6" s="96">
        <v>0.0</v>
      </c>
      <c r="R6" s="96">
        <v>0.0</v>
      </c>
      <c r="S6" s="96">
        <v>0.0</v>
      </c>
      <c r="T6" s="96">
        <v>0.0</v>
      </c>
      <c r="U6" s="95">
        <v>15.0</v>
      </c>
      <c r="V6" s="96">
        <v>0.0</v>
      </c>
      <c r="W6" s="96">
        <v>0.0</v>
      </c>
      <c r="X6" s="96">
        <v>0.0</v>
      </c>
      <c r="Y6" s="8"/>
      <c r="Z6" s="8"/>
      <c r="AA6" s="8"/>
      <c r="AB6" s="8" t="s">
        <v>69</v>
      </c>
      <c r="AC6" s="11"/>
      <c r="AD6" s="8"/>
      <c r="AE6" s="8"/>
      <c r="AF6" s="8"/>
    </row>
    <row r="7" ht="15.0" customHeight="1">
      <c r="A7" s="92">
        <v>4.0</v>
      </c>
      <c r="B7" s="93">
        <f>mround(average(M8,M18,M28), 1)</f>
        <v>27</v>
      </c>
      <c r="C7" s="8"/>
      <c r="D7" s="8"/>
      <c r="E7" s="4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0">
        <f>IFERROR(__xludf.DUMMYFUNCTION("""COMPUTED_VALUE"""),1.0)</f>
        <v>1</v>
      </c>
      <c r="G7" s="42"/>
      <c r="H7" s="90"/>
      <c r="I7" s="42"/>
      <c r="J7" s="90"/>
      <c r="K7" s="8"/>
      <c r="L7" s="94">
        <v>3.0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5">
        <v>1.0</v>
      </c>
      <c r="S7" s="96">
        <v>0.0</v>
      </c>
      <c r="T7" s="96">
        <v>0.0</v>
      </c>
      <c r="U7" s="96">
        <v>0.0</v>
      </c>
      <c r="V7" s="96">
        <v>0.0</v>
      </c>
      <c r="W7" s="96">
        <v>0.0</v>
      </c>
      <c r="X7" s="96">
        <v>0.0</v>
      </c>
      <c r="Y7" s="8"/>
      <c r="Z7" s="8"/>
      <c r="AA7" s="8"/>
      <c r="AB7" s="8" t="s">
        <v>70</v>
      </c>
      <c r="AC7" s="11"/>
      <c r="AD7" s="8"/>
      <c r="AE7" s="8"/>
      <c r="AF7" s="8"/>
    </row>
    <row r="8" ht="15.0" customHeight="1">
      <c r="A8" s="92">
        <v>5.0</v>
      </c>
      <c r="B8" s="93">
        <v>0.0</v>
      </c>
      <c r="C8" s="8"/>
      <c r="D8" s="8"/>
      <c r="E8" s="4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0">
        <f>IFERROR(__xludf.DUMMYFUNCTION("""COMPUTED_VALUE"""),25.0)</f>
        <v>25</v>
      </c>
      <c r="G8" s="42"/>
      <c r="H8" s="90"/>
      <c r="I8" s="42"/>
      <c r="J8" s="90"/>
      <c r="K8" s="8"/>
      <c r="L8" s="94">
        <v>4.0</v>
      </c>
      <c r="M8" s="95">
        <v>25.0</v>
      </c>
      <c r="N8" s="96">
        <v>0.0</v>
      </c>
      <c r="O8" s="96">
        <v>0.0</v>
      </c>
      <c r="P8" s="96">
        <v>0.0</v>
      </c>
      <c r="Q8" s="96">
        <v>0.0</v>
      </c>
      <c r="R8" s="96">
        <v>0.0</v>
      </c>
      <c r="S8" s="96">
        <v>0.0</v>
      </c>
      <c r="T8" s="96">
        <v>0.0</v>
      </c>
      <c r="U8" s="96">
        <v>0.0</v>
      </c>
      <c r="V8" s="96">
        <v>0.0</v>
      </c>
      <c r="W8" s="96">
        <v>0.0</v>
      </c>
      <c r="X8" s="96">
        <v>0.0</v>
      </c>
      <c r="Y8" s="8"/>
      <c r="Z8" s="8"/>
      <c r="AA8" s="8"/>
      <c r="AB8" s="8" t="s">
        <v>71</v>
      </c>
      <c r="AC8" s="11"/>
      <c r="AD8" s="8"/>
      <c r="AE8" s="8"/>
      <c r="AF8" s="8"/>
    </row>
    <row r="9" ht="15.0" customHeight="1">
      <c r="A9" s="92">
        <v>6.0</v>
      </c>
      <c r="B9" s="93">
        <f>mround(AVERAGE(M10, M20, M30, M50),1)</f>
        <v>33</v>
      </c>
      <c r="C9" s="8"/>
      <c r="D9" s="8"/>
      <c r="E9" s="4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0">
        <f>IFERROR(__xludf.DUMMYFUNCTION("""COMPUTED_VALUE"""),1.0)</f>
        <v>1</v>
      </c>
      <c r="G9" s="42"/>
      <c r="H9" s="90"/>
      <c r="I9" s="42"/>
      <c r="J9" s="90"/>
      <c r="K9" s="8"/>
      <c r="L9" s="94">
        <v>5.0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6">
        <v>0.0</v>
      </c>
      <c r="S9" s="95">
        <v>1.0</v>
      </c>
      <c r="T9" s="96">
        <v>0.0</v>
      </c>
      <c r="U9" s="96">
        <v>0.0</v>
      </c>
      <c r="V9" s="96">
        <v>0.0</v>
      </c>
      <c r="W9" s="96">
        <v>0.0</v>
      </c>
      <c r="X9" s="96">
        <v>0.0</v>
      </c>
      <c r="Y9" s="8"/>
      <c r="Z9" s="8"/>
      <c r="AA9" s="8"/>
      <c r="AB9" s="8" t="s">
        <v>72</v>
      </c>
      <c r="AC9" s="11"/>
      <c r="AD9" s="8"/>
      <c r="AE9" s="8"/>
      <c r="AF9" s="8"/>
    </row>
    <row r="10" ht="15.0" customHeight="1">
      <c r="A10" s="97">
        <v>7.0</v>
      </c>
      <c r="B10" s="98">
        <v>100.0</v>
      </c>
      <c r="C10" s="8"/>
      <c r="D10" s="8"/>
      <c r="E10" s="4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0">
        <f>IFERROR(__xludf.DUMMYFUNCTION("""COMPUTED_VALUE"""),30.0)</f>
        <v>30</v>
      </c>
      <c r="G10" s="42"/>
      <c r="H10" s="90"/>
      <c r="I10" s="42"/>
      <c r="J10" s="90"/>
      <c r="K10" s="8"/>
      <c r="L10" s="94">
        <v>6.0</v>
      </c>
      <c r="M10" s="95">
        <v>30.0</v>
      </c>
      <c r="N10" s="96">
        <v>0.0</v>
      </c>
      <c r="O10" s="96">
        <v>0.0</v>
      </c>
      <c r="P10" s="96">
        <v>0.0</v>
      </c>
      <c r="Q10" s="96">
        <v>0.0</v>
      </c>
      <c r="R10" s="96">
        <v>0.0</v>
      </c>
      <c r="S10" s="96">
        <v>0.0</v>
      </c>
      <c r="T10" s="96">
        <v>0.0</v>
      </c>
      <c r="U10" s="96">
        <v>0.0</v>
      </c>
      <c r="V10" s="96">
        <v>0.0</v>
      </c>
      <c r="W10" s="96">
        <v>0.0</v>
      </c>
      <c r="X10" s="96">
        <v>0.0</v>
      </c>
      <c r="Y10" s="8"/>
      <c r="Z10" s="8"/>
      <c r="AA10" s="8"/>
      <c r="AB10" s="8" t="s">
        <v>73</v>
      </c>
      <c r="AC10" s="11"/>
      <c r="AD10" s="8"/>
      <c r="AE10" s="8"/>
      <c r="AF10" s="8"/>
    </row>
    <row r="11">
      <c r="A11" s="8"/>
      <c r="B11" s="8"/>
      <c r="C11" s="8"/>
      <c r="D11" s="8"/>
      <c r="E11" s="4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0">
        <f>IFERROR(__xludf.DUMMYFUNCTION("""COMPUTED_VALUE"""),100.0)</f>
        <v>100</v>
      </c>
      <c r="G11" s="42" t="str">
        <f>IFERROR(__xludf.DUMMYFUNCTION("""COMPUTED_VALUE"""),"")</f>
        <v/>
      </c>
      <c r="H11" s="90">
        <f>IFERROR(__xludf.DUMMYFUNCTION("""COMPUTED_VALUE"""),120.0)</f>
        <v>120</v>
      </c>
      <c r="I11" s="42" t="str">
        <f>IFERROR(__xludf.DUMMYFUNCTION("""COMPUTED_VALUE"""),"")</f>
        <v/>
      </c>
      <c r="J11" s="90">
        <f>IFERROR(__xludf.DUMMYFUNCTION("""COMPUTED_VALUE"""),60.0)</f>
        <v>60</v>
      </c>
      <c r="K11" s="8"/>
      <c r="L11" s="94">
        <v>7.0</v>
      </c>
      <c r="M11" s="95">
        <v>100.0</v>
      </c>
      <c r="N11" s="96">
        <v>0.0</v>
      </c>
      <c r="O11" s="96">
        <v>0.0</v>
      </c>
      <c r="P11" s="96">
        <v>0.0</v>
      </c>
      <c r="Q11" s="96">
        <v>0.0</v>
      </c>
      <c r="R11" s="96">
        <v>0.0</v>
      </c>
      <c r="S11" s="96">
        <v>0.0</v>
      </c>
      <c r="T11" s="96">
        <v>0.0</v>
      </c>
      <c r="U11" s="95">
        <v>120.0</v>
      </c>
      <c r="V11" s="95">
        <v>60.0</v>
      </c>
      <c r="W11" s="96">
        <v>0.0</v>
      </c>
      <c r="X11" s="96">
        <v>0.0</v>
      </c>
      <c r="Y11" s="8"/>
      <c r="Z11" s="8"/>
      <c r="AA11" s="8"/>
      <c r="AB11" s="8" t="s">
        <v>74</v>
      </c>
      <c r="AC11" s="11"/>
      <c r="AD11" s="8"/>
      <c r="AE11" s="8"/>
      <c r="AF11" s="8"/>
    </row>
    <row r="12" ht="15.0" customHeight="1">
      <c r="A12" s="50" t="s">
        <v>83</v>
      </c>
      <c r="B12" s="51">
        <f>SUM(B4:B10)</f>
        <v>182</v>
      </c>
      <c r="C12" s="8"/>
      <c r="D12" s="8"/>
      <c r="E12" s="42"/>
      <c r="F12" s="90"/>
      <c r="G12" s="42"/>
      <c r="H12" s="90"/>
      <c r="I12" s="42"/>
      <c r="J12" s="90"/>
      <c r="K12" s="8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8"/>
      <c r="Z12" s="8"/>
      <c r="AA12" s="8"/>
      <c r="AB12" s="8" t="s">
        <v>75</v>
      </c>
      <c r="AC12" s="11"/>
      <c r="AD12" s="8"/>
      <c r="AE12" s="8"/>
      <c r="AF12" s="8"/>
    </row>
    <row r="13" ht="15.0" customHeight="1">
      <c r="A13" s="50" t="s">
        <v>90</v>
      </c>
      <c r="B13" s="53">
        <f>B12/7</f>
        <v>26</v>
      </c>
      <c r="C13" s="8"/>
      <c r="D13" s="8"/>
      <c r="E13" s="42"/>
      <c r="F13" s="90"/>
      <c r="G13" s="42"/>
      <c r="H13" s="90"/>
      <c r="I13" s="42"/>
      <c r="J13" s="90"/>
      <c r="K13" s="8"/>
      <c r="L13" s="85" t="s">
        <v>91</v>
      </c>
      <c r="M13" s="86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"/>
      <c r="Z13" s="8"/>
      <c r="AA13" s="8"/>
      <c r="AB13" s="8" t="s">
        <v>76</v>
      </c>
      <c r="AC13" s="11"/>
      <c r="AD13" s="8"/>
      <c r="AE13" s="8"/>
      <c r="AF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1" t="s">
        <v>87</v>
      </c>
      <c r="M14" s="91" t="s">
        <v>89</v>
      </c>
      <c r="N14" s="91" t="s">
        <v>68</v>
      </c>
      <c r="O14" s="91" t="s">
        <v>69</v>
      </c>
      <c r="P14" s="91" t="s">
        <v>70</v>
      </c>
      <c r="Q14" s="91" t="s">
        <v>71</v>
      </c>
      <c r="R14" s="91" t="s">
        <v>72</v>
      </c>
      <c r="S14" s="91" t="s">
        <v>73</v>
      </c>
      <c r="T14" s="91" t="s">
        <v>74</v>
      </c>
      <c r="U14" s="91" t="s">
        <v>75</v>
      </c>
      <c r="V14" s="91" t="s">
        <v>76</v>
      </c>
      <c r="W14" s="91" t="s">
        <v>77</v>
      </c>
      <c r="X14" s="91" t="s">
        <v>78</v>
      </c>
      <c r="Y14" s="8"/>
      <c r="Z14" s="8"/>
      <c r="AA14" s="8"/>
      <c r="AB14" s="8" t="s">
        <v>77</v>
      </c>
      <c r="AC14" s="11"/>
      <c r="AD14" s="8"/>
      <c r="AE14" s="8"/>
      <c r="AF14" s="8"/>
    </row>
    <row r="15">
      <c r="A15" s="8"/>
      <c r="B15" s="8"/>
      <c r="C15" s="8"/>
      <c r="D15" s="8"/>
      <c r="E15" s="4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0">
        <f>IFERROR(__xludf.DUMMYFUNCTION("""COMPUTED_VALUE"""),20.0)</f>
        <v>20</v>
      </c>
      <c r="G15" s="42"/>
      <c r="H15" s="90"/>
      <c r="I15" s="42"/>
      <c r="J15" s="90"/>
      <c r="K15" s="8"/>
      <c r="L15" s="94">
        <v>1.0</v>
      </c>
      <c r="M15" s="96">
        <v>0.0</v>
      </c>
      <c r="N15" s="96">
        <v>0.0</v>
      </c>
      <c r="O15" s="96">
        <v>0.0</v>
      </c>
      <c r="P15" s="96">
        <v>0.0</v>
      </c>
      <c r="Q15" s="96">
        <v>0.0</v>
      </c>
      <c r="R15" s="96">
        <v>0.0</v>
      </c>
      <c r="S15" s="96">
        <v>0.0</v>
      </c>
      <c r="T15" s="96">
        <v>0.0</v>
      </c>
      <c r="U15" s="95">
        <v>20.0</v>
      </c>
      <c r="V15" s="96">
        <v>0.0</v>
      </c>
      <c r="W15" s="96">
        <v>0.0</v>
      </c>
      <c r="X15" s="96">
        <v>0.0</v>
      </c>
      <c r="Y15" s="8"/>
      <c r="Z15" s="8"/>
      <c r="AA15" s="8"/>
      <c r="AB15" s="8" t="s">
        <v>78</v>
      </c>
      <c r="AC15" s="11"/>
      <c r="AD15" s="8"/>
      <c r="AE15" s="8"/>
      <c r="AF15" s="8"/>
    </row>
    <row r="16">
      <c r="A16" s="8"/>
      <c r="B16" s="8"/>
      <c r="C16" s="8"/>
      <c r="D16" s="8"/>
      <c r="E16" s="4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0">
        <f>IFERROR(__xludf.DUMMYFUNCTION("""COMPUTED_VALUE"""),25.0)</f>
        <v>25</v>
      </c>
      <c r="G16" s="42"/>
      <c r="H16" s="90"/>
      <c r="I16" s="42"/>
      <c r="J16" s="90"/>
      <c r="K16" s="8"/>
      <c r="L16" s="94">
        <v>2.0</v>
      </c>
      <c r="M16" s="95">
        <v>25.0</v>
      </c>
      <c r="N16" s="96">
        <v>0.0</v>
      </c>
      <c r="O16" s="96">
        <v>0.0</v>
      </c>
      <c r="P16" s="96">
        <v>0.0</v>
      </c>
      <c r="Q16" s="96">
        <v>0.0</v>
      </c>
      <c r="R16" s="96">
        <v>0.0</v>
      </c>
      <c r="S16" s="96">
        <v>0.0</v>
      </c>
      <c r="T16" s="96">
        <v>0.0</v>
      </c>
      <c r="U16" s="96">
        <v>0.0</v>
      </c>
      <c r="V16" s="96">
        <v>0.0</v>
      </c>
      <c r="W16" s="96">
        <v>0.0</v>
      </c>
      <c r="X16" s="96">
        <v>0.0</v>
      </c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8"/>
      <c r="C17" s="8"/>
      <c r="D17" s="8"/>
      <c r="E17" s="4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0">
        <f>IFERROR(__xludf.DUMMYFUNCTION("""COMPUTED_VALUE"""),1.0)</f>
        <v>1</v>
      </c>
      <c r="G17" s="42"/>
      <c r="H17" s="90"/>
      <c r="I17" s="42"/>
      <c r="J17" s="90"/>
      <c r="K17" s="8"/>
      <c r="L17" s="94">
        <v>3.0</v>
      </c>
      <c r="M17" s="96">
        <v>0.0</v>
      </c>
      <c r="N17" s="96">
        <v>0.0</v>
      </c>
      <c r="O17" s="96">
        <v>0.0</v>
      </c>
      <c r="P17" s="96">
        <v>0.0</v>
      </c>
      <c r="Q17" s="96">
        <v>0.0</v>
      </c>
      <c r="R17" s="95">
        <v>1.0</v>
      </c>
      <c r="S17" s="96">
        <v>0.0</v>
      </c>
      <c r="T17" s="96">
        <v>0.0</v>
      </c>
      <c r="U17" s="96">
        <v>0.0</v>
      </c>
      <c r="V17" s="96">
        <v>0.0</v>
      </c>
      <c r="W17" s="96">
        <v>0.0</v>
      </c>
      <c r="X17" s="96">
        <v>0.0</v>
      </c>
      <c r="Y17" s="8"/>
      <c r="Z17" s="8"/>
      <c r="AA17" s="8"/>
      <c r="AB17" s="8"/>
      <c r="AC17" s="8"/>
      <c r="AD17" s="8"/>
      <c r="AE17" s="8"/>
      <c r="AF17" s="8"/>
    </row>
    <row r="18">
      <c r="A18" s="8"/>
      <c r="B18" s="8"/>
      <c r="C18" s="8"/>
      <c r="D18" s="8"/>
      <c r="E18" s="4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0">
        <f>IFERROR(__xludf.DUMMYFUNCTION("""COMPUTED_VALUE"""),30.0)</f>
        <v>30</v>
      </c>
      <c r="G18" s="42"/>
      <c r="H18" s="90"/>
      <c r="I18" s="42"/>
      <c r="J18" s="90"/>
      <c r="K18" s="8"/>
      <c r="L18" s="94">
        <v>4.0</v>
      </c>
      <c r="M18" s="95">
        <v>30.0</v>
      </c>
      <c r="N18" s="96">
        <v>0.0</v>
      </c>
      <c r="O18" s="96">
        <v>0.0</v>
      </c>
      <c r="P18" s="96">
        <v>0.0</v>
      </c>
      <c r="Q18" s="96">
        <v>0.0</v>
      </c>
      <c r="R18" s="96">
        <v>0.0</v>
      </c>
      <c r="S18" s="96">
        <v>0.0</v>
      </c>
      <c r="T18" s="96">
        <v>0.0</v>
      </c>
      <c r="U18" s="96">
        <v>0.0</v>
      </c>
      <c r="V18" s="96">
        <v>0.0</v>
      </c>
      <c r="W18" s="96">
        <v>0.0</v>
      </c>
      <c r="X18" s="96">
        <v>0.0</v>
      </c>
      <c r="Y18" s="8"/>
      <c r="Z18" s="8"/>
      <c r="AA18" s="8"/>
      <c r="AB18" s="8"/>
      <c r="AC18" s="8"/>
      <c r="AD18" s="8"/>
      <c r="AE18" s="8"/>
      <c r="AF18" s="8"/>
    </row>
    <row r="19">
      <c r="A19" s="8"/>
      <c r="B19" s="8"/>
      <c r="C19" s="8"/>
      <c r="D19" s="8"/>
      <c r="E19" s="4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0">
        <f>IFERROR(__xludf.DUMMYFUNCTION("""COMPUTED_VALUE"""),1.0)</f>
        <v>1</v>
      </c>
      <c r="G19" s="42"/>
      <c r="H19" s="90"/>
      <c r="I19" s="42"/>
      <c r="J19" s="90"/>
      <c r="K19" s="8"/>
      <c r="L19" s="94">
        <v>5.0</v>
      </c>
      <c r="M19" s="96">
        <v>0.0</v>
      </c>
      <c r="N19" s="96">
        <v>0.0</v>
      </c>
      <c r="O19" s="96">
        <v>0.0</v>
      </c>
      <c r="P19" s="96">
        <v>0.0</v>
      </c>
      <c r="Q19" s="96">
        <v>0.0</v>
      </c>
      <c r="R19" s="96">
        <v>0.0</v>
      </c>
      <c r="S19" s="95">
        <v>1.0</v>
      </c>
      <c r="T19" s="96">
        <v>0.0</v>
      </c>
      <c r="U19" s="96">
        <v>0.0</v>
      </c>
      <c r="V19" s="96">
        <v>0.0</v>
      </c>
      <c r="W19" s="96">
        <v>0.0</v>
      </c>
      <c r="X19" s="96">
        <v>0.0</v>
      </c>
      <c r="Y19" s="8"/>
      <c r="Z19" s="8"/>
      <c r="AA19" s="8"/>
      <c r="AB19" s="8"/>
      <c r="AC19" s="8"/>
      <c r="AD19" s="8"/>
      <c r="AE19" s="8"/>
      <c r="AF19" s="8"/>
    </row>
    <row r="20">
      <c r="A20" s="8"/>
      <c r="B20" s="8"/>
      <c r="C20" s="8"/>
      <c r="D20" s="8"/>
      <c r="E20" s="4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0">
        <f>IFERROR(__xludf.DUMMYFUNCTION("""COMPUTED_VALUE"""),35.0)</f>
        <v>35</v>
      </c>
      <c r="G20" s="42"/>
      <c r="H20" s="90"/>
      <c r="I20" s="42"/>
      <c r="J20" s="90"/>
      <c r="K20" s="8"/>
      <c r="L20" s="94">
        <v>6.0</v>
      </c>
      <c r="M20" s="95">
        <v>35.0</v>
      </c>
      <c r="N20" s="96">
        <v>0.0</v>
      </c>
      <c r="O20" s="96">
        <v>0.0</v>
      </c>
      <c r="P20" s="96">
        <v>0.0</v>
      </c>
      <c r="Q20" s="96">
        <v>0.0</v>
      </c>
      <c r="R20" s="96">
        <v>0.0</v>
      </c>
      <c r="S20" s="96">
        <v>0.0</v>
      </c>
      <c r="T20" s="96">
        <v>0.0</v>
      </c>
      <c r="U20" s="96">
        <v>0.0</v>
      </c>
      <c r="V20" s="96">
        <v>0.0</v>
      </c>
      <c r="W20" s="96">
        <v>0.0</v>
      </c>
      <c r="X20" s="96">
        <v>0.0</v>
      </c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8"/>
      <c r="B21" s="8"/>
      <c r="C21" s="8"/>
      <c r="D21" s="8"/>
      <c r="E21" s="4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0">
        <f>IFERROR(__xludf.DUMMYFUNCTION("""COMPUTED_VALUE"""),100.0)</f>
        <v>100</v>
      </c>
      <c r="G21" s="42" t="str">
        <f>IFERROR(__xludf.DUMMYFUNCTION("""COMPUTED_VALUE"""),"")</f>
        <v/>
      </c>
      <c r="H21" s="90">
        <f>IFERROR(__xludf.DUMMYFUNCTION("""COMPUTED_VALUE"""),120.0)</f>
        <v>120</v>
      </c>
      <c r="I21" s="42" t="str">
        <f>IFERROR(__xludf.DUMMYFUNCTION("""COMPUTED_VALUE"""),"")</f>
        <v/>
      </c>
      <c r="J21" s="90">
        <f>IFERROR(__xludf.DUMMYFUNCTION("""COMPUTED_VALUE"""),60.0)</f>
        <v>60</v>
      </c>
      <c r="K21" s="8"/>
      <c r="L21" s="94">
        <v>7.0</v>
      </c>
      <c r="M21" s="95">
        <v>100.0</v>
      </c>
      <c r="N21" s="96">
        <v>0.0</v>
      </c>
      <c r="O21" s="96">
        <v>0.0</v>
      </c>
      <c r="P21" s="96">
        <v>0.0</v>
      </c>
      <c r="Q21" s="96">
        <v>0.0</v>
      </c>
      <c r="R21" s="96">
        <v>0.0</v>
      </c>
      <c r="S21" s="96">
        <v>0.0</v>
      </c>
      <c r="T21" s="96">
        <v>0.0</v>
      </c>
      <c r="U21" s="95">
        <v>120.0</v>
      </c>
      <c r="V21" s="96">
        <v>0.0</v>
      </c>
      <c r="W21" s="95">
        <v>60.0</v>
      </c>
      <c r="X21" s="96">
        <v>0.0</v>
      </c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5" t="s">
        <v>92</v>
      </c>
      <c r="M23" s="86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1" t="s">
        <v>87</v>
      </c>
      <c r="M24" s="91" t="s">
        <v>89</v>
      </c>
      <c r="N24" s="91" t="s">
        <v>68</v>
      </c>
      <c r="O24" s="91" t="s">
        <v>69</v>
      </c>
      <c r="P24" s="91" t="s">
        <v>70</v>
      </c>
      <c r="Q24" s="91" t="s">
        <v>71</v>
      </c>
      <c r="R24" s="91" t="s">
        <v>72</v>
      </c>
      <c r="S24" s="91" t="s">
        <v>73</v>
      </c>
      <c r="T24" s="91" t="s">
        <v>74</v>
      </c>
      <c r="U24" s="91" t="s">
        <v>75</v>
      </c>
      <c r="V24" s="91" t="s">
        <v>76</v>
      </c>
      <c r="W24" s="91" t="s">
        <v>77</v>
      </c>
      <c r="X24" s="91" t="s">
        <v>78</v>
      </c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8"/>
      <c r="B25" s="8"/>
      <c r="C25" s="8"/>
      <c r="D25" s="8"/>
      <c r="E25" s="4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0">
        <f>IFERROR(__xludf.DUMMYFUNCTION("""COMPUTED_VALUE"""),15.0)</f>
        <v>15</v>
      </c>
      <c r="G25" s="42"/>
      <c r="H25" s="90"/>
      <c r="I25" s="42"/>
      <c r="J25" s="90"/>
      <c r="K25" s="8"/>
      <c r="L25" s="94">
        <v>1.0</v>
      </c>
      <c r="M25" s="96">
        <v>0.0</v>
      </c>
      <c r="N25" s="96">
        <v>0.0</v>
      </c>
      <c r="O25" s="96">
        <v>0.0</v>
      </c>
      <c r="P25" s="96">
        <v>0.0</v>
      </c>
      <c r="Q25" s="96">
        <v>0.0</v>
      </c>
      <c r="R25" s="96">
        <v>0.0</v>
      </c>
      <c r="S25" s="96">
        <v>0.0</v>
      </c>
      <c r="T25" s="96">
        <v>0.0</v>
      </c>
      <c r="U25" s="95">
        <v>15.0</v>
      </c>
      <c r="V25" s="96">
        <v>0.0</v>
      </c>
      <c r="W25" s="96">
        <v>0.0</v>
      </c>
      <c r="X25" s="96">
        <v>0.0</v>
      </c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8"/>
      <c r="B26" s="8"/>
      <c r="C26" s="8"/>
      <c r="D26" s="8"/>
      <c r="E26" s="4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0">
        <f>IFERROR(__xludf.DUMMYFUNCTION("""COMPUTED_VALUE"""),20.0)</f>
        <v>20</v>
      </c>
      <c r="G26" s="42"/>
      <c r="H26" s="90"/>
      <c r="I26" s="42"/>
      <c r="J26" s="90"/>
      <c r="K26" s="8"/>
      <c r="L26" s="94">
        <v>2.0</v>
      </c>
      <c r="M26" s="95">
        <v>20.0</v>
      </c>
      <c r="N26" s="96">
        <v>0.0</v>
      </c>
      <c r="O26" s="96">
        <v>0.0</v>
      </c>
      <c r="P26" s="96">
        <v>0.0</v>
      </c>
      <c r="Q26" s="96">
        <v>0.0</v>
      </c>
      <c r="R26" s="96">
        <v>0.0</v>
      </c>
      <c r="S26" s="96">
        <v>0.0</v>
      </c>
      <c r="T26" s="96">
        <v>0.0</v>
      </c>
      <c r="U26" s="96">
        <v>0.0</v>
      </c>
      <c r="V26" s="96">
        <v>0.0</v>
      </c>
      <c r="W26" s="96">
        <v>0.0</v>
      </c>
      <c r="X26" s="96">
        <v>0.0</v>
      </c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8"/>
      <c r="B27" s="8"/>
      <c r="C27" s="8"/>
      <c r="D27" s="8"/>
      <c r="E27" s="4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0">
        <f>IFERROR(__xludf.DUMMYFUNCTION("""COMPUTED_VALUE"""),1.0)</f>
        <v>1</v>
      </c>
      <c r="G27" s="42"/>
      <c r="H27" s="90"/>
      <c r="I27" s="42"/>
      <c r="J27" s="90"/>
      <c r="K27" s="8"/>
      <c r="L27" s="94">
        <v>3.0</v>
      </c>
      <c r="M27" s="96">
        <v>0.0</v>
      </c>
      <c r="N27" s="96">
        <v>0.0</v>
      </c>
      <c r="O27" s="96">
        <v>0.0</v>
      </c>
      <c r="P27" s="96">
        <v>0.0</v>
      </c>
      <c r="Q27" s="96">
        <v>0.0</v>
      </c>
      <c r="R27" s="95">
        <v>1.0</v>
      </c>
      <c r="S27" s="96">
        <v>0.0</v>
      </c>
      <c r="T27" s="96">
        <v>0.0</v>
      </c>
      <c r="U27" s="96">
        <v>0.0</v>
      </c>
      <c r="V27" s="96">
        <v>0.0</v>
      </c>
      <c r="W27" s="96">
        <v>0.0</v>
      </c>
      <c r="X27" s="96">
        <v>0.0</v>
      </c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8"/>
      <c r="B28" s="8"/>
      <c r="C28" s="8"/>
      <c r="D28" s="8"/>
      <c r="E28" s="4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0">
        <f>IFERROR(__xludf.DUMMYFUNCTION("""COMPUTED_VALUE"""),25.0)</f>
        <v>25</v>
      </c>
      <c r="G28" s="42"/>
      <c r="H28" s="90"/>
      <c r="I28" s="42"/>
      <c r="J28" s="90"/>
      <c r="K28" s="8"/>
      <c r="L28" s="94">
        <v>4.0</v>
      </c>
      <c r="M28" s="95">
        <v>25.0</v>
      </c>
      <c r="N28" s="96">
        <v>0.0</v>
      </c>
      <c r="O28" s="96">
        <v>0.0</v>
      </c>
      <c r="P28" s="96">
        <v>0.0</v>
      </c>
      <c r="Q28" s="96">
        <v>0.0</v>
      </c>
      <c r="R28" s="96">
        <v>0.0</v>
      </c>
      <c r="S28" s="96">
        <v>0.0</v>
      </c>
      <c r="T28" s="96">
        <v>0.0</v>
      </c>
      <c r="U28" s="96">
        <v>0.0</v>
      </c>
      <c r="V28" s="96">
        <v>0.0</v>
      </c>
      <c r="W28" s="96">
        <v>0.0</v>
      </c>
      <c r="X28" s="96">
        <v>0.0</v>
      </c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8"/>
      <c r="B29" s="8"/>
      <c r="C29" s="8"/>
      <c r="D29" s="8"/>
      <c r="E29" s="4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0">
        <f>IFERROR(__xludf.DUMMYFUNCTION("""COMPUTED_VALUE"""),1.0)</f>
        <v>1</v>
      </c>
      <c r="G29" s="42"/>
      <c r="H29" s="90"/>
      <c r="I29" s="42"/>
      <c r="J29" s="90"/>
      <c r="K29" s="8"/>
      <c r="L29" s="94">
        <v>5.0</v>
      </c>
      <c r="M29" s="96">
        <v>0.0</v>
      </c>
      <c r="N29" s="96">
        <v>0.0</v>
      </c>
      <c r="O29" s="96">
        <v>0.0</v>
      </c>
      <c r="P29" s="96">
        <v>0.0</v>
      </c>
      <c r="Q29" s="96">
        <v>0.0</v>
      </c>
      <c r="R29" s="96">
        <v>0.0</v>
      </c>
      <c r="S29" s="95">
        <v>1.0</v>
      </c>
      <c r="T29" s="96">
        <v>0.0</v>
      </c>
      <c r="U29" s="96">
        <v>0.0</v>
      </c>
      <c r="V29" s="96">
        <v>0.0</v>
      </c>
      <c r="W29" s="96">
        <v>0.0</v>
      </c>
      <c r="X29" s="96">
        <v>0.0</v>
      </c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/>
      <c r="B30" s="8"/>
      <c r="C30" s="8"/>
      <c r="D30" s="8"/>
      <c r="E30" s="4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0">
        <f>IFERROR(__xludf.DUMMYFUNCTION("""COMPUTED_VALUE"""),30.0)</f>
        <v>30</v>
      </c>
      <c r="G30" s="42"/>
      <c r="H30" s="90"/>
      <c r="I30" s="42"/>
      <c r="J30" s="90"/>
      <c r="K30" s="8"/>
      <c r="L30" s="94">
        <v>6.0</v>
      </c>
      <c r="M30" s="95">
        <v>30.0</v>
      </c>
      <c r="N30" s="96">
        <v>0.0</v>
      </c>
      <c r="O30" s="96">
        <v>0.0</v>
      </c>
      <c r="P30" s="96">
        <v>0.0</v>
      </c>
      <c r="Q30" s="96">
        <v>0.0</v>
      </c>
      <c r="R30" s="96">
        <v>0.0</v>
      </c>
      <c r="S30" s="96">
        <v>0.0</v>
      </c>
      <c r="T30" s="96">
        <v>0.0</v>
      </c>
      <c r="U30" s="96">
        <v>0.0</v>
      </c>
      <c r="V30" s="96">
        <v>0.0</v>
      </c>
      <c r="W30" s="96">
        <v>0.0</v>
      </c>
      <c r="X30" s="96">
        <v>0.0</v>
      </c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/>
      <c r="B31" s="8"/>
      <c r="C31" s="8"/>
      <c r="D31" s="8"/>
      <c r="E31" s="4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0">
        <f>IFERROR(__xludf.DUMMYFUNCTION("""COMPUTED_VALUE"""),100.0)</f>
        <v>100</v>
      </c>
      <c r="G31" s="42" t="str">
        <f>IFERROR(__xludf.DUMMYFUNCTION("""COMPUTED_VALUE"""),"")</f>
        <v/>
      </c>
      <c r="H31" s="90">
        <f>IFERROR(__xludf.DUMMYFUNCTION("""COMPUTED_VALUE"""),120.0)</f>
        <v>120</v>
      </c>
      <c r="I31" s="42" t="str">
        <f>IFERROR(__xludf.DUMMYFUNCTION("""COMPUTED_VALUE"""),"")</f>
        <v/>
      </c>
      <c r="J31" s="90">
        <f>IFERROR(__xludf.DUMMYFUNCTION("""COMPUTED_VALUE"""),30.0)</f>
        <v>30</v>
      </c>
      <c r="K31" s="8"/>
      <c r="L31" s="94">
        <v>7.0</v>
      </c>
      <c r="M31" s="95">
        <v>100.0</v>
      </c>
      <c r="N31" s="96">
        <v>0.0</v>
      </c>
      <c r="O31" s="96">
        <v>0.0</v>
      </c>
      <c r="P31" s="96">
        <v>0.0</v>
      </c>
      <c r="Q31" s="96">
        <v>0.0</v>
      </c>
      <c r="R31" s="96">
        <v>0.0</v>
      </c>
      <c r="S31" s="96">
        <v>0.0</v>
      </c>
      <c r="T31" s="96">
        <v>0.0</v>
      </c>
      <c r="U31" s="95">
        <v>120.0</v>
      </c>
      <c r="V31" s="96">
        <v>0.0</v>
      </c>
      <c r="W31" s="96">
        <v>0.0</v>
      </c>
      <c r="X31" s="95">
        <v>30.0</v>
      </c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5" t="s">
        <v>93</v>
      </c>
      <c r="M33" s="86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1" t="s">
        <v>87</v>
      </c>
      <c r="M34" s="91" t="s">
        <v>89</v>
      </c>
      <c r="N34" s="91" t="s">
        <v>68</v>
      </c>
      <c r="O34" s="91" t="s">
        <v>69</v>
      </c>
      <c r="P34" s="91" t="s">
        <v>70</v>
      </c>
      <c r="Q34" s="91" t="s">
        <v>71</v>
      </c>
      <c r="R34" s="91" t="s">
        <v>72</v>
      </c>
      <c r="S34" s="91" t="s">
        <v>73</v>
      </c>
      <c r="T34" s="91" t="s">
        <v>74</v>
      </c>
      <c r="U34" s="91" t="s">
        <v>75</v>
      </c>
      <c r="V34" s="91" t="s">
        <v>76</v>
      </c>
      <c r="W34" s="91" t="s">
        <v>77</v>
      </c>
      <c r="X34" s="91" t="s">
        <v>78</v>
      </c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/>
      <c r="B35" s="8"/>
      <c r="C35" s="8"/>
      <c r="D35" s="8"/>
      <c r="E35" s="4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0">
        <f>IFERROR(__xludf.DUMMYFUNCTION("""COMPUTED_VALUE"""),25.0)</f>
        <v>25</v>
      </c>
      <c r="G35" s="42"/>
      <c r="H35" s="90"/>
      <c r="I35" s="42"/>
      <c r="J35" s="90"/>
      <c r="K35" s="8"/>
      <c r="L35" s="94">
        <v>1.0</v>
      </c>
      <c r="M35" s="95">
        <v>25.0</v>
      </c>
      <c r="N35" s="96">
        <v>0.0</v>
      </c>
      <c r="O35" s="96">
        <v>0.0</v>
      </c>
      <c r="P35" s="96">
        <v>0.0</v>
      </c>
      <c r="Q35" s="96">
        <v>0.0</v>
      </c>
      <c r="R35" s="96">
        <v>0.0</v>
      </c>
      <c r="S35" s="96">
        <v>0.0</v>
      </c>
      <c r="T35" s="96">
        <v>0.0</v>
      </c>
      <c r="U35" s="96">
        <v>0.0</v>
      </c>
      <c r="V35" s="96">
        <v>0.0</v>
      </c>
      <c r="W35" s="96">
        <v>0.0</v>
      </c>
      <c r="X35" s="96">
        <v>0.0</v>
      </c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/>
      <c r="B36" s="8"/>
      <c r="C36" s="8"/>
      <c r="D36" s="8"/>
      <c r="E36" s="4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0">
        <f>IFERROR(__xludf.DUMMYFUNCTION("""COMPUTED_VALUE"""),30.0)</f>
        <v>30</v>
      </c>
      <c r="G36" s="42"/>
      <c r="H36" s="90"/>
      <c r="I36" s="42"/>
      <c r="J36" s="90"/>
      <c r="K36" s="8"/>
      <c r="L36" s="94">
        <v>2.0</v>
      </c>
      <c r="M36" s="96">
        <v>0.0</v>
      </c>
      <c r="N36" s="96">
        <v>0.0</v>
      </c>
      <c r="O36" s="96">
        <v>0.0</v>
      </c>
      <c r="P36" s="96">
        <v>0.0</v>
      </c>
      <c r="Q36" s="96">
        <v>0.0</v>
      </c>
      <c r="R36" s="96">
        <v>0.0</v>
      </c>
      <c r="S36" s="96">
        <v>0.0</v>
      </c>
      <c r="T36" s="96">
        <v>0.0</v>
      </c>
      <c r="U36" s="95">
        <v>30.0</v>
      </c>
      <c r="V36" s="96">
        <v>0.0</v>
      </c>
      <c r="W36" s="96">
        <v>0.0</v>
      </c>
      <c r="X36" s="96">
        <v>0.0</v>
      </c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/>
      <c r="B37" s="8"/>
      <c r="C37" s="8"/>
      <c r="D37" s="8"/>
      <c r="E37" s="4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0">
        <f>IFERROR(__xludf.DUMMYFUNCTION("""COMPUTED_VALUE"""),1.0)</f>
        <v>1</v>
      </c>
      <c r="G37" s="42"/>
      <c r="H37" s="90"/>
      <c r="I37" s="42"/>
      <c r="J37" s="90"/>
      <c r="K37" s="8"/>
      <c r="L37" s="94">
        <v>3.0</v>
      </c>
      <c r="M37" s="96">
        <v>0.0</v>
      </c>
      <c r="N37" s="96">
        <v>0.0</v>
      </c>
      <c r="O37" s="96">
        <v>0.0</v>
      </c>
      <c r="P37" s="96">
        <v>0.0</v>
      </c>
      <c r="Q37" s="96">
        <v>0.0</v>
      </c>
      <c r="R37" s="96">
        <v>0.0</v>
      </c>
      <c r="S37" s="95">
        <v>1.0</v>
      </c>
      <c r="T37" s="96">
        <v>0.0</v>
      </c>
      <c r="U37" s="96">
        <v>0.0</v>
      </c>
      <c r="V37" s="96">
        <v>0.0</v>
      </c>
      <c r="W37" s="96">
        <v>0.0</v>
      </c>
      <c r="X37" s="96">
        <v>0.0</v>
      </c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/>
      <c r="B38" s="8"/>
      <c r="C38" s="8"/>
      <c r="D38" s="8"/>
      <c r="E38" s="4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0">
        <f>IFERROR(__xludf.DUMMYFUNCTION("""COMPUTED_VALUE"""),1.0)</f>
        <v>1</v>
      </c>
      <c r="G38" s="42"/>
      <c r="H38" s="90"/>
      <c r="I38" s="42"/>
      <c r="J38" s="90"/>
      <c r="K38" s="8"/>
      <c r="L38" s="94">
        <v>4.0</v>
      </c>
      <c r="M38" s="96">
        <v>0.0</v>
      </c>
      <c r="N38" s="96">
        <v>0.0</v>
      </c>
      <c r="O38" s="96">
        <v>0.0</v>
      </c>
      <c r="P38" s="96">
        <v>0.0</v>
      </c>
      <c r="Q38" s="96">
        <v>0.0</v>
      </c>
      <c r="R38" s="95">
        <v>1.0</v>
      </c>
      <c r="S38" s="96">
        <v>0.0</v>
      </c>
      <c r="T38" s="96">
        <v>0.0</v>
      </c>
      <c r="U38" s="96">
        <v>0.0</v>
      </c>
      <c r="V38" s="96">
        <v>0.0</v>
      </c>
      <c r="W38" s="96">
        <v>0.0</v>
      </c>
      <c r="X38" s="96">
        <v>0.0</v>
      </c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/>
      <c r="B39" s="8"/>
      <c r="C39" s="8"/>
      <c r="D39" s="8"/>
      <c r="E39" s="4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0">
        <f>IFERROR(__xludf.DUMMYFUNCTION("""COMPUTED_VALUE"""),30.0)</f>
        <v>30</v>
      </c>
      <c r="G39" s="42"/>
      <c r="H39" s="90"/>
      <c r="I39" s="42"/>
      <c r="J39" s="90"/>
      <c r="K39" s="8"/>
      <c r="L39" s="94">
        <v>5.0</v>
      </c>
      <c r="M39" s="95">
        <v>30.0</v>
      </c>
      <c r="N39" s="96">
        <v>0.0</v>
      </c>
      <c r="O39" s="96">
        <v>0.0</v>
      </c>
      <c r="P39" s="96">
        <v>0.0</v>
      </c>
      <c r="Q39" s="96">
        <v>0.0</v>
      </c>
      <c r="R39" s="96">
        <v>0.0</v>
      </c>
      <c r="S39" s="96">
        <v>0.0</v>
      </c>
      <c r="T39" s="96">
        <v>0.0</v>
      </c>
      <c r="U39" s="96">
        <v>0.0</v>
      </c>
      <c r="V39" s="96">
        <v>0.0</v>
      </c>
      <c r="W39" s="96">
        <v>0.0</v>
      </c>
      <c r="X39" s="96">
        <v>0.0</v>
      </c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/>
      <c r="B40" s="8"/>
      <c r="C40" s="8"/>
      <c r="D40" s="8"/>
      <c r="E40" s="4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0">
        <f>IFERROR(__xludf.DUMMYFUNCTION("""COMPUTED_VALUE"""),1.0)</f>
        <v>1</v>
      </c>
      <c r="G40" s="42"/>
      <c r="H40" s="90"/>
      <c r="I40" s="42"/>
      <c r="J40" s="90"/>
      <c r="K40" s="8"/>
      <c r="L40" s="94">
        <v>6.0</v>
      </c>
      <c r="M40" s="96">
        <v>0.0</v>
      </c>
      <c r="N40" s="96">
        <v>0.0</v>
      </c>
      <c r="O40" s="96">
        <v>0.0</v>
      </c>
      <c r="P40" s="96">
        <v>0.0</v>
      </c>
      <c r="Q40" s="96">
        <v>0.0</v>
      </c>
      <c r="R40" s="95">
        <v>1.0</v>
      </c>
      <c r="S40" s="96">
        <v>0.0</v>
      </c>
      <c r="T40" s="96">
        <v>0.0</v>
      </c>
      <c r="U40" s="96">
        <v>0.0</v>
      </c>
      <c r="V40" s="96">
        <v>0.0</v>
      </c>
      <c r="W40" s="96">
        <v>0.0</v>
      </c>
      <c r="X40" s="96">
        <v>0.0</v>
      </c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/>
      <c r="B41" s="8"/>
      <c r="C41" s="8"/>
      <c r="D41" s="8"/>
      <c r="E41" s="4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0">
        <f>IFERROR(__xludf.DUMMYFUNCTION("""COMPUTED_VALUE"""),100.0)</f>
        <v>100</v>
      </c>
      <c r="G41" s="42" t="str">
        <f>IFERROR(__xludf.DUMMYFUNCTION("""COMPUTED_VALUE"""),"")</f>
        <v/>
      </c>
      <c r="H41" s="90">
        <f>IFERROR(__xludf.DUMMYFUNCTION("""COMPUTED_VALUE"""),1.0)</f>
        <v>1</v>
      </c>
      <c r="I41" s="42" t="str">
        <f>IFERROR(__xludf.DUMMYFUNCTION("""COMPUTED_VALUE"""),"")</f>
        <v/>
      </c>
      <c r="J41" s="90">
        <f>IFERROR(__xludf.DUMMYFUNCTION("""COMPUTED_VALUE"""),120.0)</f>
        <v>120</v>
      </c>
      <c r="K41" s="8"/>
      <c r="L41" s="94">
        <v>7.0</v>
      </c>
      <c r="M41" s="95">
        <v>100.0</v>
      </c>
      <c r="N41" s="96">
        <v>0.0</v>
      </c>
      <c r="O41" s="96">
        <v>0.0</v>
      </c>
      <c r="P41" s="96">
        <v>0.0</v>
      </c>
      <c r="Q41" s="96">
        <v>0.0</v>
      </c>
      <c r="R41" s="96">
        <v>0.0</v>
      </c>
      <c r="S41" s="96">
        <v>0.0</v>
      </c>
      <c r="T41" s="95">
        <v>1.0</v>
      </c>
      <c r="U41" s="95">
        <v>120.0</v>
      </c>
      <c r="V41" s="96">
        <v>0.0</v>
      </c>
      <c r="W41" s="96">
        <v>0.0</v>
      </c>
      <c r="X41" s="96">
        <v>0.0</v>
      </c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5" t="s">
        <v>94</v>
      </c>
      <c r="M43" s="86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91" t="s">
        <v>87</v>
      </c>
      <c r="M44" s="91" t="s">
        <v>89</v>
      </c>
      <c r="N44" s="91" t="s">
        <v>68</v>
      </c>
      <c r="O44" s="91" t="s">
        <v>69</v>
      </c>
      <c r="P44" s="91" t="s">
        <v>70</v>
      </c>
      <c r="Q44" s="91" t="s">
        <v>71</v>
      </c>
      <c r="R44" s="91" t="s">
        <v>72</v>
      </c>
      <c r="S44" s="91" t="s">
        <v>73</v>
      </c>
      <c r="T44" s="91" t="s">
        <v>74</v>
      </c>
      <c r="U44" s="91" t="s">
        <v>75</v>
      </c>
      <c r="V44" s="91" t="s">
        <v>76</v>
      </c>
      <c r="W44" s="91" t="s">
        <v>77</v>
      </c>
      <c r="X44" s="91" t="s">
        <v>78</v>
      </c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8"/>
      <c r="B45" s="8"/>
      <c r="C45" s="8"/>
      <c r="D45" s="8"/>
      <c r="E45" s="4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0">
        <f>IFERROR(__xludf.DUMMYFUNCTION("""COMPUTED_VALUE"""),20.0)</f>
        <v>20</v>
      </c>
      <c r="G45" s="42"/>
      <c r="H45" s="90"/>
      <c r="I45" s="42"/>
      <c r="J45" s="90"/>
      <c r="K45" s="8"/>
      <c r="L45" s="94">
        <v>1.0</v>
      </c>
      <c r="M45" s="95">
        <v>20.0</v>
      </c>
      <c r="N45" s="96">
        <v>0.0</v>
      </c>
      <c r="O45" s="96">
        <v>0.0</v>
      </c>
      <c r="P45" s="96">
        <v>0.0</v>
      </c>
      <c r="Q45" s="96">
        <v>0.0</v>
      </c>
      <c r="R45" s="96">
        <v>0.0</v>
      </c>
      <c r="S45" s="96">
        <v>0.0</v>
      </c>
      <c r="T45" s="96">
        <v>0.0</v>
      </c>
      <c r="U45" s="96">
        <v>0.0</v>
      </c>
      <c r="V45" s="96">
        <v>0.0</v>
      </c>
      <c r="W45" s="96">
        <v>0.0</v>
      </c>
      <c r="X45" s="96">
        <v>0.0</v>
      </c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/>
      <c r="B46" s="8"/>
      <c r="C46" s="8"/>
      <c r="D46" s="8"/>
      <c r="E46" s="4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0">
        <f>IFERROR(__xludf.DUMMYFUNCTION("""COMPUTED_VALUE"""),15.0)</f>
        <v>15</v>
      </c>
      <c r="G46" s="42"/>
      <c r="H46" s="90"/>
      <c r="I46" s="42"/>
      <c r="J46" s="90"/>
      <c r="K46" s="8"/>
      <c r="L46" s="94">
        <v>2.0</v>
      </c>
      <c r="M46" s="96">
        <v>0.0</v>
      </c>
      <c r="N46" s="96">
        <v>0.0</v>
      </c>
      <c r="O46" s="96">
        <v>0.0</v>
      </c>
      <c r="P46" s="96">
        <v>0.0</v>
      </c>
      <c r="Q46" s="96">
        <v>0.0</v>
      </c>
      <c r="R46" s="96">
        <v>0.0</v>
      </c>
      <c r="S46" s="96">
        <v>0.0</v>
      </c>
      <c r="T46" s="96">
        <v>0.0</v>
      </c>
      <c r="U46" s="95">
        <v>15.0</v>
      </c>
      <c r="V46" s="96">
        <v>0.0</v>
      </c>
      <c r="W46" s="96">
        <v>0.0</v>
      </c>
      <c r="X46" s="96">
        <v>0.0</v>
      </c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/>
      <c r="B47" s="8"/>
      <c r="C47" s="8"/>
      <c r="D47" s="8"/>
      <c r="E47" s="4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0">
        <f>IFERROR(__xludf.DUMMYFUNCTION("""COMPUTED_VALUE"""),1.0)</f>
        <v>1</v>
      </c>
      <c r="G47" s="42"/>
      <c r="H47" s="90"/>
      <c r="I47" s="42"/>
      <c r="J47" s="90"/>
      <c r="K47" s="8"/>
      <c r="L47" s="94">
        <v>3.0</v>
      </c>
      <c r="M47" s="96">
        <v>0.0</v>
      </c>
      <c r="N47" s="96">
        <v>0.0</v>
      </c>
      <c r="O47" s="96">
        <v>0.0</v>
      </c>
      <c r="P47" s="96">
        <v>0.0</v>
      </c>
      <c r="Q47" s="96">
        <v>0.0</v>
      </c>
      <c r="R47" s="95">
        <v>1.0</v>
      </c>
      <c r="S47" s="96">
        <v>0.0</v>
      </c>
      <c r="T47" s="96">
        <v>0.0</v>
      </c>
      <c r="U47" s="96">
        <v>0.0</v>
      </c>
      <c r="V47" s="96">
        <v>0.0</v>
      </c>
      <c r="W47" s="96">
        <v>0.0</v>
      </c>
      <c r="X47" s="96">
        <v>0.0</v>
      </c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8"/>
      <c r="B48" s="8"/>
      <c r="C48" s="8"/>
      <c r="D48" s="8"/>
      <c r="E48" s="4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0">
        <f>IFERROR(__xludf.DUMMYFUNCTION("""COMPUTED_VALUE"""),1.0)</f>
        <v>1</v>
      </c>
      <c r="G48" s="42"/>
      <c r="H48" s="90"/>
      <c r="I48" s="42"/>
      <c r="J48" s="90"/>
      <c r="K48" s="8"/>
      <c r="L48" s="94">
        <v>4.0</v>
      </c>
      <c r="M48" s="96">
        <v>0.0</v>
      </c>
      <c r="N48" s="96">
        <v>0.0</v>
      </c>
      <c r="O48" s="96">
        <v>0.0</v>
      </c>
      <c r="P48" s="96">
        <v>0.0</v>
      </c>
      <c r="Q48" s="96">
        <v>0.0</v>
      </c>
      <c r="R48" s="96">
        <v>0.0</v>
      </c>
      <c r="S48" s="95">
        <v>1.0</v>
      </c>
      <c r="T48" s="96">
        <v>0.0</v>
      </c>
      <c r="U48" s="96">
        <v>0.0</v>
      </c>
      <c r="V48" s="96">
        <v>0.0</v>
      </c>
      <c r="W48" s="96">
        <v>0.0</v>
      </c>
      <c r="X48" s="96">
        <v>0.0</v>
      </c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8"/>
      <c r="B49" s="8"/>
      <c r="C49" s="8"/>
      <c r="D49" s="8"/>
      <c r="E49" s="4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0">
        <f>IFERROR(__xludf.DUMMYFUNCTION("""COMPUTED_VALUE"""),60.0)</f>
        <v>60</v>
      </c>
      <c r="G49" s="42"/>
      <c r="H49" s="90"/>
      <c r="I49" s="42"/>
      <c r="J49" s="90"/>
      <c r="K49" s="8"/>
      <c r="L49" s="94">
        <v>5.0</v>
      </c>
      <c r="M49" s="96">
        <v>0.0</v>
      </c>
      <c r="N49" s="96">
        <v>0.0</v>
      </c>
      <c r="O49" s="96">
        <v>0.0</v>
      </c>
      <c r="P49" s="96">
        <v>0.0</v>
      </c>
      <c r="Q49" s="96">
        <v>0.0</v>
      </c>
      <c r="R49" s="96">
        <v>0.0</v>
      </c>
      <c r="S49" s="96">
        <v>0.0</v>
      </c>
      <c r="T49" s="96">
        <v>0.0</v>
      </c>
      <c r="U49" s="95">
        <v>60.0</v>
      </c>
      <c r="V49" s="96">
        <v>0.0</v>
      </c>
      <c r="W49" s="96">
        <v>0.0</v>
      </c>
      <c r="X49" s="96">
        <v>0.0</v>
      </c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8"/>
      <c r="B50" s="8"/>
      <c r="C50" s="8"/>
      <c r="D50" s="8"/>
      <c r="E50" s="4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0">
        <f>IFERROR(__xludf.DUMMYFUNCTION("""COMPUTED_VALUE"""),35.0)</f>
        <v>35</v>
      </c>
      <c r="G50" s="42"/>
      <c r="H50" s="90"/>
      <c r="I50" s="42"/>
      <c r="J50" s="90"/>
      <c r="K50" s="8"/>
      <c r="L50" s="94">
        <v>6.0</v>
      </c>
      <c r="M50" s="95">
        <v>35.0</v>
      </c>
      <c r="N50" s="96">
        <v>0.0</v>
      </c>
      <c r="O50" s="96">
        <v>0.0</v>
      </c>
      <c r="P50" s="96">
        <v>0.0</v>
      </c>
      <c r="Q50" s="96">
        <v>0.0</v>
      </c>
      <c r="R50" s="96">
        <v>0.0</v>
      </c>
      <c r="S50" s="96">
        <v>0.0</v>
      </c>
      <c r="T50" s="96">
        <v>0.0</v>
      </c>
      <c r="U50" s="96">
        <v>0.0</v>
      </c>
      <c r="V50" s="96">
        <v>0.0</v>
      </c>
      <c r="W50" s="96">
        <v>0.0</v>
      </c>
      <c r="X50" s="96">
        <v>0.0</v>
      </c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8"/>
      <c r="B51" s="8"/>
      <c r="C51" s="8"/>
      <c r="D51" s="8"/>
      <c r="E51" s="4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0">
        <f>IFERROR(__xludf.DUMMYFUNCTION("""COMPUTED_VALUE"""),100.0)</f>
        <v>100</v>
      </c>
      <c r="G51" s="42" t="str">
        <f>IFERROR(__xludf.DUMMYFUNCTION("""COMPUTED_VALUE"""),"")</f>
        <v/>
      </c>
      <c r="H51" s="90">
        <f>IFERROR(__xludf.DUMMYFUNCTION("""COMPUTED_VALUE"""),1.0)</f>
        <v>1</v>
      </c>
      <c r="I51" s="42" t="str">
        <f>IFERROR(__xludf.DUMMYFUNCTION("""COMPUTED_VALUE"""),"")</f>
        <v/>
      </c>
      <c r="J51" s="90">
        <f>IFERROR(__xludf.DUMMYFUNCTION("""COMPUTED_VALUE"""),120.0)</f>
        <v>120</v>
      </c>
      <c r="K51" s="8"/>
      <c r="L51" s="94">
        <v>7.0</v>
      </c>
      <c r="M51" s="95">
        <v>100.0</v>
      </c>
      <c r="N51" s="96">
        <v>0.0</v>
      </c>
      <c r="O51" s="96">
        <v>0.0</v>
      </c>
      <c r="P51" s="96">
        <v>0.0</v>
      </c>
      <c r="Q51" s="96">
        <v>0.0</v>
      </c>
      <c r="R51" s="95">
        <v>1.0</v>
      </c>
      <c r="S51" s="96">
        <v>0.0</v>
      </c>
      <c r="T51" s="96">
        <v>0.0</v>
      </c>
      <c r="U51" s="95">
        <v>120.0</v>
      </c>
      <c r="V51" s="96">
        <v>0.0</v>
      </c>
      <c r="W51" s="96">
        <v>0.0</v>
      </c>
      <c r="X51" s="96">
        <v>0.0</v>
      </c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1">
    <mergeCell ref="E3:J3"/>
  </mergeCells>
  <conditionalFormatting sqref="M4:X5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57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8"/>
      <c r="AE1" s="8"/>
      <c r="AF1" s="8"/>
    </row>
    <row r="2" ht="15.0" customHeight="1">
      <c r="A2" s="9"/>
      <c r="B2" s="22"/>
      <c r="C2" s="22"/>
      <c r="D2" s="22"/>
      <c r="E2" s="22"/>
      <c r="F2" s="22"/>
      <c r="G2" s="22"/>
      <c r="H2" s="22"/>
      <c r="I2" s="22"/>
      <c r="J2" s="22"/>
      <c r="K2" s="22"/>
      <c r="L2" s="99" t="s">
        <v>61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8"/>
      <c r="AE2" s="8"/>
      <c r="AF2" s="8"/>
    </row>
    <row r="3" ht="15.0" customHeight="1">
      <c r="A3" s="12" t="s">
        <v>87</v>
      </c>
      <c r="B3" s="12" t="s">
        <v>64</v>
      </c>
      <c r="C3" s="22"/>
      <c r="D3" s="22"/>
      <c r="E3" s="100" t="s">
        <v>65</v>
      </c>
      <c r="K3" s="22"/>
      <c r="L3" s="85" t="s">
        <v>88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22"/>
      <c r="Z3" s="22"/>
      <c r="AA3" s="22"/>
      <c r="AB3" s="12" t="s">
        <v>80</v>
      </c>
      <c r="AC3" s="12" t="s">
        <v>81</v>
      </c>
      <c r="AD3" s="8"/>
      <c r="AE3" s="8"/>
      <c r="AF3" s="8"/>
    </row>
    <row r="4" ht="15.0" customHeight="1">
      <c r="A4" s="61">
        <v>1.0</v>
      </c>
      <c r="B4" s="102">
        <f>average(M5,M16,M26,M35,M45)</f>
        <v>10</v>
      </c>
      <c r="C4" s="22"/>
      <c r="D4" s="22"/>
      <c r="E4" s="103"/>
      <c r="F4" s="103"/>
      <c r="G4" s="25"/>
      <c r="H4" s="24"/>
      <c r="I4" s="25"/>
      <c r="J4" s="24"/>
      <c r="K4" s="22"/>
      <c r="L4" s="104" t="s">
        <v>87</v>
      </c>
      <c r="M4" s="104" t="s">
        <v>89</v>
      </c>
      <c r="N4" s="104" t="s">
        <v>68</v>
      </c>
      <c r="O4" s="104" t="s">
        <v>69</v>
      </c>
      <c r="P4" s="104" t="s">
        <v>70</v>
      </c>
      <c r="Q4" s="104" t="s">
        <v>71</v>
      </c>
      <c r="R4" s="104" t="s">
        <v>72</v>
      </c>
      <c r="S4" s="104" t="s">
        <v>73</v>
      </c>
      <c r="T4" s="104" t="s">
        <v>74</v>
      </c>
      <c r="U4" s="104" t="s">
        <v>75</v>
      </c>
      <c r="V4" s="104" t="s">
        <v>76</v>
      </c>
      <c r="W4" s="104" t="s">
        <v>77</v>
      </c>
      <c r="X4" s="104" t="s">
        <v>78</v>
      </c>
      <c r="Y4" s="22"/>
      <c r="Z4" s="22"/>
      <c r="AA4" s="22"/>
      <c r="AB4" s="58" t="s">
        <v>82</v>
      </c>
      <c r="AC4" s="58"/>
      <c r="AD4" s="8"/>
      <c r="AE4" s="8"/>
      <c r="AF4" s="8"/>
    </row>
    <row r="5" ht="15.0" customHeight="1">
      <c r="A5" s="69">
        <v>2.0</v>
      </c>
      <c r="B5" s="105">
        <v>0.0</v>
      </c>
      <c r="C5" s="22"/>
      <c r="D5" s="22"/>
      <c r="E5" s="2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62">
        <f>IFERROR(__xludf.DUMMYFUNCTION("""COMPUTED_VALUE"""),10.0)</f>
        <v>10</v>
      </c>
      <c r="G5" s="25"/>
      <c r="H5" s="24"/>
      <c r="I5" s="25"/>
      <c r="J5" s="24"/>
      <c r="K5" s="22"/>
      <c r="L5" s="106">
        <v>1.0</v>
      </c>
      <c r="M5" s="107">
        <v>10.0</v>
      </c>
      <c r="N5" s="108">
        <v>0.0</v>
      </c>
      <c r="O5" s="108">
        <v>0.0</v>
      </c>
      <c r="P5" s="108">
        <v>0.0</v>
      </c>
      <c r="Q5" s="108">
        <v>0.0</v>
      </c>
      <c r="R5" s="108">
        <v>0.0</v>
      </c>
      <c r="S5" s="108">
        <v>0.0</v>
      </c>
      <c r="T5" s="108">
        <v>0.0</v>
      </c>
      <c r="U5" s="108">
        <v>0.0</v>
      </c>
      <c r="V5" s="108">
        <v>0.0</v>
      </c>
      <c r="W5" s="108">
        <v>0.0</v>
      </c>
      <c r="X5" s="108">
        <v>0.0</v>
      </c>
      <c r="Y5" s="22"/>
      <c r="Z5" s="22"/>
      <c r="AA5" s="22"/>
      <c r="AB5" s="22" t="s">
        <v>68</v>
      </c>
      <c r="AC5" s="22"/>
      <c r="AD5" s="8"/>
      <c r="AE5" s="8"/>
      <c r="AF5" s="8"/>
    </row>
    <row r="6" ht="15.0" customHeight="1">
      <c r="A6" s="69">
        <v>3.0</v>
      </c>
      <c r="B6" s="105">
        <v>0.0</v>
      </c>
      <c r="C6" s="22"/>
      <c r="D6" s="22"/>
      <c r="E6" s="2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24">
        <f>IFERROR(__xludf.DUMMYFUNCTION("""COMPUTED_VALUE"""),15.0)</f>
        <v>15</v>
      </c>
      <c r="G6" s="25"/>
      <c r="H6" s="24"/>
      <c r="I6" s="25"/>
      <c r="J6" s="24"/>
      <c r="K6" s="22"/>
      <c r="L6" s="106">
        <v>2.0</v>
      </c>
      <c r="M6" s="108">
        <v>0.0</v>
      </c>
      <c r="N6" s="108">
        <v>0.0</v>
      </c>
      <c r="O6" s="108">
        <v>0.0</v>
      </c>
      <c r="P6" s="108">
        <v>0.0</v>
      </c>
      <c r="Q6" s="108">
        <v>0.0</v>
      </c>
      <c r="R6" s="108">
        <v>0.0</v>
      </c>
      <c r="S6" s="108">
        <v>0.0</v>
      </c>
      <c r="T6" s="108">
        <v>0.0</v>
      </c>
      <c r="U6" s="108">
        <v>15.0</v>
      </c>
      <c r="V6" s="108">
        <v>0.0</v>
      </c>
      <c r="W6" s="108">
        <v>0.0</v>
      </c>
      <c r="X6" s="108">
        <v>0.0</v>
      </c>
      <c r="Y6" s="22"/>
      <c r="Z6" s="22"/>
      <c r="AA6" s="22"/>
      <c r="AB6" s="22" t="s">
        <v>69</v>
      </c>
      <c r="AC6" s="58"/>
      <c r="AD6" s="8"/>
      <c r="AE6" s="8"/>
      <c r="AF6" s="8"/>
    </row>
    <row r="7" ht="15.0" customHeight="1">
      <c r="A7" s="69">
        <v>4.0</v>
      </c>
      <c r="B7" s="105">
        <f>mround(average(M8,M18,M28), 1)</f>
        <v>10</v>
      </c>
      <c r="C7" s="22"/>
      <c r="D7" s="22"/>
      <c r="E7" s="2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24">
        <f>IFERROR(__xludf.DUMMYFUNCTION("""COMPUTED_VALUE"""),1.0)</f>
        <v>1</v>
      </c>
      <c r="G7" s="25"/>
      <c r="H7" s="24"/>
      <c r="I7" s="25"/>
      <c r="J7" s="24"/>
      <c r="K7" s="22"/>
      <c r="L7" s="106">
        <v>3.0</v>
      </c>
      <c r="M7" s="108">
        <v>0.0</v>
      </c>
      <c r="N7" s="108">
        <v>0.0</v>
      </c>
      <c r="O7" s="108">
        <v>0.0</v>
      </c>
      <c r="P7" s="108">
        <v>0.0</v>
      </c>
      <c r="Q7" s="108">
        <v>0.0</v>
      </c>
      <c r="R7" s="108">
        <v>1.0</v>
      </c>
      <c r="S7" s="108">
        <v>0.0</v>
      </c>
      <c r="T7" s="108">
        <v>0.0</v>
      </c>
      <c r="U7" s="108">
        <v>0.0</v>
      </c>
      <c r="V7" s="108">
        <v>0.0</v>
      </c>
      <c r="W7" s="108">
        <v>0.0</v>
      </c>
      <c r="X7" s="108">
        <v>0.0</v>
      </c>
      <c r="Y7" s="22"/>
      <c r="Z7" s="22"/>
      <c r="AA7" s="22"/>
      <c r="AB7" s="22" t="s">
        <v>70</v>
      </c>
      <c r="AC7" s="58"/>
      <c r="AD7" s="8"/>
      <c r="AE7" s="8"/>
      <c r="AF7" s="8"/>
    </row>
    <row r="8" ht="15.0" customHeight="1">
      <c r="A8" s="69">
        <v>5.0</v>
      </c>
      <c r="B8" s="105">
        <v>0.0</v>
      </c>
      <c r="C8" s="22"/>
      <c r="D8" s="22"/>
      <c r="E8" s="2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62">
        <f>IFERROR(__xludf.DUMMYFUNCTION("""COMPUTED_VALUE"""),10.0)</f>
        <v>10</v>
      </c>
      <c r="G8" s="25"/>
      <c r="H8" s="24"/>
      <c r="I8" s="25"/>
      <c r="J8" s="24"/>
      <c r="K8" s="22"/>
      <c r="L8" s="106">
        <v>4.0</v>
      </c>
      <c r="M8" s="107">
        <v>10.0</v>
      </c>
      <c r="N8" s="108">
        <v>0.0</v>
      </c>
      <c r="O8" s="108">
        <v>0.0</v>
      </c>
      <c r="P8" s="108">
        <v>0.0</v>
      </c>
      <c r="Q8" s="108">
        <v>0.0</v>
      </c>
      <c r="R8" s="108">
        <v>0.0</v>
      </c>
      <c r="S8" s="108">
        <v>0.0</v>
      </c>
      <c r="T8" s="108">
        <v>0.0</v>
      </c>
      <c r="U8" s="108">
        <v>0.0</v>
      </c>
      <c r="V8" s="108">
        <v>0.0</v>
      </c>
      <c r="W8" s="108">
        <v>0.0</v>
      </c>
      <c r="X8" s="108">
        <v>0.0</v>
      </c>
      <c r="Y8" s="22"/>
      <c r="Z8" s="22"/>
      <c r="AA8" s="22"/>
      <c r="AB8" s="22" t="s">
        <v>71</v>
      </c>
      <c r="AC8" s="58"/>
      <c r="AD8" s="8"/>
      <c r="AE8" s="8"/>
      <c r="AF8" s="8"/>
    </row>
    <row r="9" ht="15.0" customHeight="1">
      <c r="A9" s="69">
        <v>6.0</v>
      </c>
      <c r="B9" s="105">
        <f>mround(AVERAGE(M10, M20, M30, M50),1)</f>
        <v>10</v>
      </c>
      <c r="C9" s="22"/>
      <c r="D9" s="22"/>
      <c r="E9" s="2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24">
        <f>IFERROR(__xludf.DUMMYFUNCTION("""COMPUTED_VALUE"""),1.0)</f>
        <v>1</v>
      </c>
      <c r="G9" s="25"/>
      <c r="H9" s="24"/>
      <c r="I9" s="25"/>
      <c r="J9" s="24"/>
      <c r="K9" s="22"/>
      <c r="L9" s="106">
        <v>5.0</v>
      </c>
      <c r="M9" s="108">
        <v>0.0</v>
      </c>
      <c r="N9" s="108">
        <v>0.0</v>
      </c>
      <c r="O9" s="108">
        <v>0.0</v>
      </c>
      <c r="P9" s="108">
        <v>0.0</v>
      </c>
      <c r="Q9" s="108">
        <v>0.0</v>
      </c>
      <c r="R9" s="108">
        <v>0.0</v>
      </c>
      <c r="S9" s="108">
        <v>1.0</v>
      </c>
      <c r="T9" s="108">
        <v>0.0</v>
      </c>
      <c r="U9" s="108">
        <v>0.0</v>
      </c>
      <c r="V9" s="108">
        <v>0.0</v>
      </c>
      <c r="W9" s="108">
        <v>0.0</v>
      </c>
      <c r="X9" s="108">
        <v>0.0</v>
      </c>
      <c r="Y9" s="22"/>
      <c r="Z9" s="22"/>
      <c r="AA9" s="22"/>
      <c r="AB9" s="22" t="s">
        <v>72</v>
      </c>
      <c r="AC9" s="58"/>
      <c r="AD9" s="8"/>
      <c r="AE9" s="8"/>
      <c r="AF9" s="8"/>
    </row>
    <row r="10" ht="15.0" customHeight="1">
      <c r="A10" s="74">
        <v>7.0</v>
      </c>
      <c r="B10" s="109">
        <v>100.0</v>
      </c>
      <c r="C10" s="22"/>
      <c r="D10" s="22"/>
      <c r="E10" s="2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62">
        <f>IFERROR(__xludf.DUMMYFUNCTION("""COMPUTED_VALUE"""),10.0)</f>
        <v>10</v>
      </c>
      <c r="G10" s="25"/>
      <c r="H10" s="24"/>
      <c r="I10" s="25"/>
      <c r="J10" s="24"/>
      <c r="K10" s="22"/>
      <c r="L10" s="106">
        <v>6.0</v>
      </c>
      <c r="M10" s="107">
        <v>10.0</v>
      </c>
      <c r="N10" s="108">
        <v>0.0</v>
      </c>
      <c r="O10" s="108">
        <v>0.0</v>
      </c>
      <c r="P10" s="108">
        <v>0.0</v>
      </c>
      <c r="Q10" s="108">
        <v>0.0</v>
      </c>
      <c r="R10" s="108">
        <v>0.0</v>
      </c>
      <c r="S10" s="108">
        <v>0.0</v>
      </c>
      <c r="T10" s="108">
        <v>0.0</v>
      </c>
      <c r="U10" s="108">
        <v>0.0</v>
      </c>
      <c r="V10" s="108">
        <v>0.0</v>
      </c>
      <c r="W10" s="108">
        <v>0.0</v>
      </c>
      <c r="X10" s="108">
        <v>0.0</v>
      </c>
      <c r="Y10" s="22"/>
      <c r="Z10" s="22"/>
      <c r="AA10" s="22"/>
      <c r="AB10" s="22" t="s">
        <v>73</v>
      </c>
      <c r="AC10" s="58"/>
      <c r="AD10" s="8"/>
      <c r="AE10" s="8"/>
      <c r="AF10" s="8"/>
    </row>
    <row r="11">
      <c r="A11" s="22"/>
      <c r="B11" s="22"/>
      <c r="C11" s="22"/>
      <c r="D11" s="22"/>
      <c r="E11" s="2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24">
        <f>IFERROR(__xludf.DUMMYFUNCTION("""COMPUTED_VALUE"""),100.0)</f>
        <v>100</v>
      </c>
      <c r="G11" s="25" t="str">
        <f>IFERROR(__xludf.DUMMYFUNCTION("""COMPUTED_VALUE"""),"")</f>
        <v/>
      </c>
      <c r="H11" s="24">
        <f>IFERROR(__xludf.DUMMYFUNCTION("""COMPUTED_VALUE"""),120.0)</f>
        <v>120</v>
      </c>
      <c r="I11" s="25" t="str">
        <f>IFERROR(__xludf.DUMMYFUNCTION("""COMPUTED_VALUE"""),"")</f>
        <v/>
      </c>
      <c r="J11" s="24">
        <f>IFERROR(__xludf.DUMMYFUNCTION("""COMPUTED_VALUE"""),60.0)</f>
        <v>60</v>
      </c>
      <c r="K11" s="22"/>
      <c r="L11" s="106">
        <v>7.0</v>
      </c>
      <c r="M11" s="108">
        <v>100.0</v>
      </c>
      <c r="N11" s="108">
        <v>0.0</v>
      </c>
      <c r="O11" s="108">
        <v>0.0</v>
      </c>
      <c r="P11" s="108">
        <v>0.0</v>
      </c>
      <c r="Q11" s="108">
        <v>0.0</v>
      </c>
      <c r="R11" s="108">
        <v>0.0</v>
      </c>
      <c r="S11" s="108">
        <v>0.0</v>
      </c>
      <c r="T11" s="108">
        <v>0.0</v>
      </c>
      <c r="U11" s="108">
        <v>120.0</v>
      </c>
      <c r="V11" s="108">
        <v>60.0</v>
      </c>
      <c r="W11" s="108">
        <v>0.0</v>
      </c>
      <c r="X11" s="108">
        <v>0.0</v>
      </c>
      <c r="Y11" s="22"/>
      <c r="Z11" s="22"/>
      <c r="AA11" s="22"/>
      <c r="AB11" s="22" t="s">
        <v>74</v>
      </c>
      <c r="AC11" s="58"/>
      <c r="AD11" s="8"/>
      <c r="AE11" s="8"/>
      <c r="AF11" s="8"/>
    </row>
    <row r="12" ht="15.0" customHeight="1">
      <c r="A12" s="78" t="s">
        <v>83</v>
      </c>
      <c r="B12" s="51">
        <f>SUM(B4:B10)</f>
        <v>130</v>
      </c>
      <c r="C12" s="22"/>
      <c r="D12" s="22"/>
      <c r="E12" s="25"/>
      <c r="F12" s="24"/>
      <c r="G12" s="25"/>
      <c r="H12" s="24"/>
      <c r="I12" s="25"/>
      <c r="J12" s="24"/>
      <c r="K12" s="22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22"/>
      <c r="Z12" s="22"/>
      <c r="AA12" s="22"/>
      <c r="AB12" s="22" t="s">
        <v>75</v>
      </c>
      <c r="AC12" s="58"/>
      <c r="AD12" s="8"/>
      <c r="AE12" s="8"/>
      <c r="AF12" s="8"/>
    </row>
    <row r="13" ht="15.0" customHeight="1">
      <c r="A13" s="78" t="s">
        <v>90</v>
      </c>
      <c r="B13" s="53">
        <f>B12/7</f>
        <v>18.57142857</v>
      </c>
      <c r="C13" s="22"/>
      <c r="D13" s="22"/>
      <c r="E13" s="25"/>
      <c r="F13" s="24"/>
      <c r="G13" s="25"/>
      <c r="H13" s="24"/>
      <c r="I13" s="25"/>
      <c r="J13" s="24"/>
      <c r="K13" s="22"/>
      <c r="L13" s="110" t="s">
        <v>91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22"/>
      <c r="Z13" s="22"/>
      <c r="AA13" s="22"/>
      <c r="AB13" s="22" t="s">
        <v>76</v>
      </c>
      <c r="AC13" s="58"/>
      <c r="AD13" s="8"/>
      <c r="AE13" s="8"/>
      <c r="AF13" s="8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104" t="s">
        <v>87</v>
      </c>
      <c r="M14" s="104" t="s">
        <v>89</v>
      </c>
      <c r="N14" s="104" t="s">
        <v>68</v>
      </c>
      <c r="O14" s="104" t="s">
        <v>69</v>
      </c>
      <c r="P14" s="104" t="s">
        <v>70</v>
      </c>
      <c r="Q14" s="104" t="s">
        <v>71</v>
      </c>
      <c r="R14" s="104" t="s">
        <v>72</v>
      </c>
      <c r="S14" s="104" t="s">
        <v>73</v>
      </c>
      <c r="T14" s="104" t="s">
        <v>74</v>
      </c>
      <c r="U14" s="104" t="s">
        <v>75</v>
      </c>
      <c r="V14" s="104" t="s">
        <v>76</v>
      </c>
      <c r="W14" s="104" t="s">
        <v>77</v>
      </c>
      <c r="X14" s="104" t="s">
        <v>78</v>
      </c>
      <c r="Y14" s="22"/>
      <c r="Z14" s="22"/>
      <c r="AA14" s="22"/>
      <c r="AB14" s="22" t="s">
        <v>77</v>
      </c>
      <c r="AC14" s="58"/>
      <c r="AD14" s="8"/>
      <c r="AE14" s="8"/>
      <c r="AF14" s="8"/>
    </row>
    <row r="15" ht="15.0" customHeight="1">
      <c r="A15" s="111" t="s">
        <v>96</v>
      </c>
      <c r="B15" s="112">
        <f>B12/c_day!B12</f>
        <v>0.7142857143</v>
      </c>
      <c r="C15" s="22"/>
      <c r="D15" s="22"/>
      <c r="E15" s="2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24">
        <f>IFERROR(__xludf.DUMMYFUNCTION("""COMPUTED_VALUE"""),20.0)</f>
        <v>20</v>
      </c>
      <c r="G15" s="25"/>
      <c r="H15" s="24"/>
      <c r="I15" s="25"/>
      <c r="J15" s="24"/>
      <c r="K15" s="22"/>
      <c r="L15" s="106">
        <v>1.0</v>
      </c>
      <c r="M15" s="108">
        <v>0.0</v>
      </c>
      <c r="N15" s="108">
        <v>0.0</v>
      </c>
      <c r="O15" s="108">
        <v>0.0</v>
      </c>
      <c r="P15" s="108">
        <v>0.0</v>
      </c>
      <c r="Q15" s="108">
        <v>0.0</v>
      </c>
      <c r="R15" s="108">
        <v>0.0</v>
      </c>
      <c r="S15" s="108">
        <v>0.0</v>
      </c>
      <c r="T15" s="108">
        <v>0.0</v>
      </c>
      <c r="U15" s="108">
        <v>20.0</v>
      </c>
      <c r="V15" s="108">
        <v>0.0</v>
      </c>
      <c r="W15" s="108">
        <v>0.0</v>
      </c>
      <c r="X15" s="108">
        <v>0.0</v>
      </c>
      <c r="Y15" s="22"/>
      <c r="Z15" s="22"/>
      <c r="AA15" s="22"/>
      <c r="AB15" s="22" t="s">
        <v>78</v>
      </c>
      <c r="AC15" s="58"/>
      <c r="AD15" s="8"/>
      <c r="AE15" s="8"/>
      <c r="AF15" s="8"/>
    </row>
    <row r="16">
      <c r="A16" s="22"/>
      <c r="B16" s="22"/>
      <c r="C16" s="22"/>
      <c r="D16" s="22"/>
      <c r="E16" s="2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62">
        <f>IFERROR(__xludf.DUMMYFUNCTION("""COMPUTED_VALUE"""),10.0)</f>
        <v>10</v>
      </c>
      <c r="G16" s="25"/>
      <c r="H16" s="24"/>
      <c r="I16" s="25"/>
      <c r="J16" s="24"/>
      <c r="K16" s="22"/>
      <c r="L16" s="106">
        <v>2.0</v>
      </c>
      <c r="M16" s="107">
        <v>10.0</v>
      </c>
      <c r="N16" s="108">
        <v>0.0</v>
      </c>
      <c r="O16" s="108">
        <v>0.0</v>
      </c>
      <c r="P16" s="108">
        <v>0.0</v>
      </c>
      <c r="Q16" s="108">
        <v>0.0</v>
      </c>
      <c r="R16" s="108">
        <v>0.0</v>
      </c>
      <c r="S16" s="108">
        <v>0.0</v>
      </c>
      <c r="T16" s="108">
        <v>0.0</v>
      </c>
      <c r="U16" s="108">
        <v>0.0</v>
      </c>
      <c r="V16" s="108">
        <v>0.0</v>
      </c>
      <c r="W16" s="108">
        <v>0.0</v>
      </c>
      <c r="X16" s="108">
        <v>0.0</v>
      </c>
      <c r="Y16" s="22"/>
      <c r="Z16" s="22"/>
      <c r="AA16" s="22"/>
      <c r="AB16" s="22"/>
      <c r="AC16" s="22"/>
      <c r="AD16" s="8"/>
      <c r="AE16" s="8"/>
      <c r="AF16" s="8"/>
    </row>
    <row r="17">
      <c r="A17" s="22"/>
      <c r="B17" s="22"/>
      <c r="C17" s="22"/>
      <c r="D17" s="22"/>
      <c r="E17" s="2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24">
        <f>IFERROR(__xludf.DUMMYFUNCTION("""COMPUTED_VALUE"""),1.0)</f>
        <v>1</v>
      </c>
      <c r="G17" s="25"/>
      <c r="H17" s="24"/>
      <c r="I17" s="25"/>
      <c r="J17" s="24"/>
      <c r="K17" s="22"/>
      <c r="L17" s="106">
        <v>3.0</v>
      </c>
      <c r="M17" s="108">
        <v>0.0</v>
      </c>
      <c r="N17" s="108">
        <v>0.0</v>
      </c>
      <c r="O17" s="108">
        <v>0.0</v>
      </c>
      <c r="P17" s="108">
        <v>0.0</v>
      </c>
      <c r="Q17" s="108">
        <v>0.0</v>
      </c>
      <c r="R17" s="108">
        <v>1.0</v>
      </c>
      <c r="S17" s="108">
        <v>0.0</v>
      </c>
      <c r="T17" s="108">
        <v>0.0</v>
      </c>
      <c r="U17" s="108">
        <v>0.0</v>
      </c>
      <c r="V17" s="108">
        <v>0.0</v>
      </c>
      <c r="W17" s="108">
        <v>0.0</v>
      </c>
      <c r="X17" s="108">
        <v>0.0</v>
      </c>
      <c r="Y17" s="22"/>
      <c r="Z17" s="22"/>
      <c r="AA17" s="22"/>
      <c r="AB17" s="22"/>
      <c r="AC17" s="22"/>
      <c r="AD17" s="8"/>
      <c r="AE17" s="8"/>
      <c r="AF17" s="8"/>
    </row>
    <row r="18">
      <c r="A18" s="22"/>
      <c r="B18" s="22"/>
      <c r="C18" s="22"/>
      <c r="D18" s="22"/>
      <c r="E18" s="2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62">
        <f>IFERROR(__xludf.DUMMYFUNCTION("""COMPUTED_VALUE"""),10.0)</f>
        <v>10</v>
      </c>
      <c r="G18" s="25"/>
      <c r="H18" s="24"/>
      <c r="I18" s="25"/>
      <c r="J18" s="24"/>
      <c r="K18" s="22"/>
      <c r="L18" s="106">
        <v>4.0</v>
      </c>
      <c r="M18" s="107">
        <v>10.0</v>
      </c>
      <c r="N18" s="108">
        <v>0.0</v>
      </c>
      <c r="O18" s="108">
        <v>0.0</v>
      </c>
      <c r="P18" s="108">
        <v>0.0</v>
      </c>
      <c r="Q18" s="108">
        <v>0.0</v>
      </c>
      <c r="R18" s="108">
        <v>0.0</v>
      </c>
      <c r="S18" s="108">
        <v>0.0</v>
      </c>
      <c r="T18" s="108">
        <v>0.0</v>
      </c>
      <c r="U18" s="108">
        <v>0.0</v>
      </c>
      <c r="V18" s="108">
        <v>0.0</v>
      </c>
      <c r="W18" s="108">
        <v>0.0</v>
      </c>
      <c r="X18" s="108">
        <v>0.0</v>
      </c>
      <c r="Y18" s="22"/>
      <c r="Z18" s="22"/>
      <c r="AA18" s="22"/>
      <c r="AB18" s="22"/>
      <c r="AC18" s="22"/>
      <c r="AD18" s="8"/>
      <c r="AE18" s="8"/>
      <c r="AF18" s="8"/>
    </row>
    <row r="19">
      <c r="A19" s="22"/>
      <c r="B19" s="22"/>
      <c r="C19" s="22"/>
      <c r="D19" s="22"/>
      <c r="E19" s="2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24">
        <f>IFERROR(__xludf.DUMMYFUNCTION("""COMPUTED_VALUE"""),1.0)</f>
        <v>1</v>
      </c>
      <c r="G19" s="25"/>
      <c r="H19" s="24"/>
      <c r="I19" s="25"/>
      <c r="J19" s="24"/>
      <c r="K19" s="22"/>
      <c r="L19" s="106">
        <v>5.0</v>
      </c>
      <c r="M19" s="108">
        <v>0.0</v>
      </c>
      <c r="N19" s="108">
        <v>0.0</v>
      </c>
      <c r="O19" s="108">
        <v>0.0</v>
      </c>
      <c r="P19" s="108">
        <v>0.0</v>
      </c>
      <c r="Q19" s="108">
        <v>0.0</v>
      </c>
      <c r="R19" s="108">
        <v>0.0</v>
      </c>
      <c r="S19" s="108">
        <v>1.0</v>
      </c>
      <c r="T19" s="108">
        <v>0.0</v>
      </c>
      <c r="U19" s="108">
        <v>0.0</v>
      </c>
      <c r="V19" s="108">
        <v>0.0</v>
      </c>
      <c r="W19" s="108">
        <v>0.0</v>
      </c>
      <c r="X19" s="108">
        <v>0.0</v>
      </c>
      <c r="Y19" s="22"/>
      <c r="Z19" s="22"/>
      <c r="AA19" s="22"/>
      <c r="AB19" s="22"/>
      <c r="AC19" s="22"/>
      <c r="AD19" s="8"/>
      <c r="AE19" s="8"/>
      <c r="AF19" s="8"/>
    </row>
    <row r="20">
      <c r="A20" s="22"/>
      <c r="B20" s="22"/>
      <c r="C20" s="22"/>
      <c r="D20" s="22"/>
      <c r="E20" s="2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62">
        <f>IFERROR(__xludf.DUMMYFUNCTION("""COMPUTED_VALUE"""),10.0)</f>
        <v>10</v>
      </c>
      <c r="G20" s="25"/>
      <c r="H20" s="24"/>
      <c r="I20" s="25"/>
      <c r="J20" s="24"/>
      <c r="K20" s="22"/>
      <c r="L20" s="106">
        <v>6.0</v>
      </c>
      <c r="M20" s="107">
        <v>10.0</v>
      </c>
      <c r="N20" s="108">
        <v>0.0</v>
      </c>
      <c r="O20" s="108">
        <v>0.0</v>
      </c>
      <c r="P20" s="108">
        <v>0.0</v>
      </c>
      <c r="Q20" s="108">
        <v>0.0</v>
      </c>
      <c r="R20" s="108">
        <v>0.0</v>
      </c>
      <c r="S20" s="108">
        <v>0.0</v>
      </c>
      <c r="T20" s="108">
        <v>0.0</v>
      </c>
      <c r="U20" s="108">
        <v>0.0</v>
      </c>
      <c r="V20" s="108">
        <v>0.0</v>
      </c>
      <c r="W20" s="108">
        <v>0.0</v>
      </c>
      <c r="X20" s="108">
        <v>0.0</v>
      </c>
      <c r="Y20" s="22"/>
      <c r="Z20" s="22"/>
      <c r="AA20" s="22"/>
      <c r="AB20" s="22"/>
      <c r="AC20" s="22"/>
      <c r="AD20" s="8"/>
      <c r="AE20" s="8"/>
      <c r="AF20" s="8"/>
    </row>
    <row r="21" ht="15.75" customHeight="1">
      <c r="A21" s="22"/>
      <c r="B21" s="22"/>
      <c r="C21" s="22"/>
      <c r="D21" s="22"/>
      <c r="E21" s="2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24">
        <f>IFERROR(__xludf.DUMMYFUNCTION("""COMPUTED_VALUE"""),100.0)</f>
        <v>100</v>
      </c>
      <c r="G21" s="25" t="str">
        <f>IFERROR(__xludf.DUMMYFUNCTION("""COMPUTED_VALUE"""),"")</f>
        <v/>
      </c>
      <c r="H21" s="24">
        <f>IFERROR(__xludf.DUMMYFUNCTION("""COMPUTED_VALUE"""),120.0)</f>
        <v>120</v>
      </c>
      <c r="I21" s="25" t="str">
        <f>IFERROR(__xludf.DUMMYFUNCTION("""COMPUTED_VALUE"""),"")</f>
        <v/>
      </c>
      <c r="J21" s="24">
        <f>IFERROR(__xludf.DUMMYFUNCTION("""COMPUTED_VALUE"""),60.0)</f>
        <v>60</v>
      </c>
      <c r="K21" s="22"/>
      <c r="L21" s="106">
        <v>7.0</v>
      </c>
      <c r="M21" s="108">
        <v>100.0</v>
      </c>
      <c r="N21" s="108">
        <v>0.0</v>
      </c>
      <c r="O21" s="108">
        <v>0.0</v>
      </c>
      <c r="P21" s="108">
        <v>0.0</v>
      </c>
      <c r="Q21" s="108">
        <v>0.0</v>
      </c>
      <c r="R21" s="108">
        <v>0.0</v>
      </c>
      <c r="S21" s="108">
        <v>0.0</v>
      </c>
      <c r="T21" s="108">
        <v>0.0</v>
      </c>
      <c r="U21" s="108">
        <v>120.0</v>
      </c>
      <c r="V21" s="108">
        <v>0.0</v>
      </c>
      <c r="W21" s="108">
        <v>60.0</v>
      </c>
      <c r="X21" s="108">
        <v>0.0</v>
      </c>
      <c r="Y21" s="22"/>
      <c r="Z21" s="22"/>
      <c r="AA21" s="22"/>
      <c r="AB21" s="22"/>
      <c r="AC21" s="22"/>
      <c r="AD21" s="8"/>
      <c r="AE21" s="8"/>
      <c r="AF21" s="8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22"/>
      <c r="Z22" s="22"/>
      <c r="AA22" s="22"/>
      <c r="AB22" s="22"/>
      <c r="AC22" s="22"/>
      <c r="AD22" s="8"/>
      <c r="AE22" s="8"/>
      <c r="AF22" s="8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110" t="s">
        <v>92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22"/>
      <c r="Z23" s="22"/>
      <c r="AA23" s="22"/>
      <c r="AB23" s="22"/>
      <c r="AC23" s="22"/>
      <c r="AD23" s="8"/>
      <c r="AE23" s="8"/>
      <c r="AF23" s="8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104" t="s">
        <v>87</v>
      </c>
      <c r="M24" s="104" t="s">
        <v>89</v>
      </c>
      <c r="N24" s="104" t="s">
        <v>68</v>
      </c>
      <c r="O24" s="104" t="s">
        <v>69</v>
      </c>
      <c r="P24" s="104" t="s">
        <v>70</v>
      </c>
      <c r="Q24" s="104" t="s">
        <v>71</v>
      </c>
      <c r="R24" s="104" t="s">
        <v>72</v>
      </c>
      <c r="S24" s="104" t="s">
        <v>73</v>
      </c>
      <c r="T24" s="104" t="s">
        <v>74</v>
      </c>
      <c r="U24" s="104" t="s">
        <v>75</v>
      </c>
      <c r="V24" s="104" t="s">
        <v>76</v>
      </c>
      <c r="W24" s="104" t="s">
        <v>77</v>
      </c>
      <c r="X24" s="104" t="s">
        <v>78</v>
      </c>
      <c r="Y24" s="22"/>
      <c r="Z24" s="22"/>
      <c r="AA24" s="22"/>
      <c r="AB24" s="22"/>
      <c r="AC24" s="22"/>
      <c r="AD24" s="8"/>
      <c r="AE24" s="8"/>
      <c r="AF24" s="8"/>
    </row>
    <row r="25" ht="15.75" customHeight="1">
      <c r="A25" s="22"/>
      <c r="B25" s="22"/>
      <c r="C25" s="22"/>
      <c r="D25" s="22"/>
      <c r="E25" s="2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24">
        <f>IFERROR(__xludf.DUMMYFUNCTION("""COMPUTED_VALUE"""),15.0)</f>
        <v>15</v>
      </c>
      <c r="G25" s="25"/>
      <c r="H25" s="24"/>
      <c r="I25" s="25"/>
      <c r="J25" s="24"/>
      <c r="K25" s="22"/>
      <c r="L25" s="106">
        <v>1.0</v>
      </c>
      <c r="M25" s="108">
        <v>0.0</v>
      </c>
      <c r="N25" s="108">
        <v>0.0</v>
      </c>
      <c r="O25" s="108">
        <v>0.0</v>
      </c>
      <c r="P25" s="108">
        <v>0.0</v>
      </c>
      <c r="Q25" s="108">
        <v>0.0</v>
      </c>
      <c r="R25" s="108">
        <v>0.0</v>
      </c>
      <c r="S25" s="108">
        <v>0.0</v>
      </c>
      <c r="T25" s="108">
        <v>0.0</v>
      </c>
      <c r="U25" s="108">
        <v>15.0</v>
      </c>
      <c r="V25" s="108">
        <v>0.0</v>
      </c>
      <c r="W25" s="108">
        <v>0.0</v>
      </c>
      <c r="X25" s="108">
        <v>0.0</v>
      </c>
      <c r="Y25" s="22"/>
      <c r="Z25" s="22"/>
      <c r="AA25" s="22"/>
      <c r="AB25" s="22"/>
      <c r="AC25" s="22"/>
      <c r="AD25" s="8"/>
      <c r="AE25" s="8"/>
      <c r="AF25" s="8"/>
    </row>
    <row r="26" ht="15.75" customHeight="1">
      <c r="A26" s="22"/>
      <c r="B26" s="22"/>
      <c r="C26" s="22"/>
      <c r="D26" s="22"/>
      <c r="E26" s="2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62">
        <f>IFERROR(__xludf.DUMMYFUNCTION("""COMPUTED_VALUE"""),10.0)</f>
        <v>10</v>
      </c>
      <c r="G26" s="25"/>
      <c r="H26" s="24"/>
      <c r="I26" s="25"/>
      <c r="J26" s="24"/>
      <c r="K26" s="22"/>
      <c r="L26" s="106">
        <v>2.0</v>
      </c>
      <c r="M26" s="107">
        <v>10.0</v>
      </c>
      <c r="N26" s="108">
        <v>0.0</v>
      </c>
      <c r="O26" s="108">
        <v>0.0</v>
      </c>
      <c r="P26" s="108">
        <v>0.0</v>
      </c>
      <c r="Q26" s="108">
        <v>0.0</v>
      </c>
      <c r="R26" s="108">
        <v>0.0</v>
      </c>
      <c r="S26" s="108">
        <v>0.0</v>
      </c>
      <c r="T26" s="108">
        <v>0.0</v>
      </c>
      <c r="U26" s="108">
        <v>0.0</v>
      </c>
      <c r="V26" s="108">
        <v>0.0</v>
      </c>
      <c r="W26" s="108">
        <v>0.0</v>
      </c>
      <c r="X26" s="108">
        <v>0.0</v>
      </c>
      <c r="Y26" s="22"/>
      <c r="Z26" s="22"/>
      <c r="AA26" s="22"/>
      <c r="AB26" s="22"/>
      <c r="AC26" s="22"/>
      <c r="AD26" s="8"/>
      <c r="AE26" s="8"/>
      <c r="AF26" s="8"/>
    </row>
    <row r="27" ht="15.75" customHeight="1">
      <c r="A27" s="22"/>
      <c r="B27" s="22"/>
      <c r="C27" s="22"/>
      <c r="D27" s="22"/>
      <c r="E27" s="2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24">
        <f>IFERROR(__xludf.DUMMYFUNCTION("""COMPUTED_VALUE"""),1.0)</f>
        <v>1</v>
      </c>
      <c r="G27" s="25"/>
      <c r="H27" s="24"/>
      <c r="I27" s="25"/>
      <c r="J27" s="24"/>
      <c r="K27" s="22"/>
      <c r="L27" s="106">
        <v>3.0</v>
      </c>
      <c r="M27" s="108">
        <v>0.0</v>
      </c>
      <c r="N27" s="108">
        <v>0.0</v>
      </c>
      <c r="O27" s="108">
        <v>0.0</v>
      </c>
      <c r="P27" s="108">
        <v>0.0</v>
      </c>
      <c r="Q27" s="108">
        <v>0.0</v>
      </c>
      <c r="R27" s="108">
        <v>1.0</v>
      </c>
      <c r="S27" s="108">
        <v>0.0</v>
      </c>
      <c r="T27" s="108">
        <v>0.0</v>
      </c>
      <c r="U27" s="108">
        <v>0.0</v>
      </c>
      <c r="V27" s="108">
        <v>0.0</v>
      </c>
      <c r="W27" s="108">
        <v>0.0</v>
      </c>
      <c r="X27" s="108">
        <v>0.0</v>
      </c>
      <c r="Y27" s="22"/>
      <c r="Z27" s="22"/>
      <c r="AA27" s="22"/>
      <c r="AB27" s="22"/>
      <c r="AC27" s="22"/>
      <c r="AD27" s="8"/>
      <c r="AE27" s="8"/>
      <c r="AF27" s="8"/>
    </row>
    <row r="28" ht="15.75" customHeight="1">
      <c r="A28" s="22"/>
      <c r="B28" s="22"/>
      <c r="C28" s="22"/>
      <c r="D28" s="22"/>
      <c r="E28" s="2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62">
        <f>IFERROR(__xludf.DUMMYFUNCTION("""COMPUTED_VALUE"""),10.0)</f>
        <v>10</v>
      </c>
      <c r="G28" s="25"/>
      <c r="H28" s="24"/>
      <c r="I28" s="25"/>
      <c r="J28" s="24"/>
      <c r="K28" s="22"/>
      <c r="L28" s="106">
        <v>4.0</v>
      </c>
      <c r="M28" s="107">
        <v>10.0</v>
      </c>
      <c r="N28" s="108">
        <v>0.0</v>
      </c>
      <c r="O28" s="108">
        <v>0.0</v>
      </c>
      <c r="P28" s="108">
        <v>0.0</v>
      </c>
      <c r="Q28" s="108">
        <v>0.0</v>
      </c>
      <c r="R28" s="108">
        <v>0.0</v>
      </c>
      <c r="S28" s="108">
        <v>0.0</v>
      </c>
      <c r="T28" s="108">
        <v>0.0</v>
      </c>
      <c r="U28" s="108">
        <v>0.0</v>
      </c>
      <c r="V28" s="108">
        <v>0.0</v>
      </c>
      <c r="W28" s="108">
        <v>0.0</v>
      </c>
      <c r="X28" s="108">
        <v>0.0</v>
      </c>
      <c r="Y28" s="22"/>
      <c r="Z28" s="22"/>
      <c r="AA28" s="22"/>
      <c r="AB28" s="22"/>
      <c r="AC28" s="22"/>
      <c r="AD28" s="8"/>
      <c r="AE28" s="8"/>
      <c r="AF28" s="8"/>
    </row>
    <row r="29" ht="15.75" customHeight="1">
      <c r="A29" s="22"/>
      <c r="B29" s="22"/>
      <c r="C29" s="22"/>
      <c r="D29" s="22"/>
      <c r="E29" s="2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24">
        <f>IFERROR(__xludf.DUMMYFUNCTION("""COMPUTED_VALUE"""),1.0)</f>
        <v>1</v>
      </c>
      <c r="G29" s="25"/>
      <c r="H29" s="24"/>
      <c r="I29" s="25"/>
      <c r="J29" s="24"/>
      <c r="K29" s="22"/>
      <c r="L29" s="106">
        <v>5.0</v>
      </c>
      <c r="M29" s="108">
        <v>0.0</v>
      </c>
      <c r="N29" s="108">
        <v>0.0</v>
      </c>
      <c r="O29" s="108">
        <v>0.0</v>
      </c>
      <c r="P29" s="108">
        <v>0.0</v>
      </c>
      <c r="Q29" s="108">
        <v>0.0</v>
      </c>
      <c r="R29" s="108">
        <v>0.0</v>
      </c>
      <c r="S29" s="108">
        <v>1.0</v>
      </c>
      <c r="T29" s="108">
        <v>0.0</v>
      </c>
      <c r="U29" s="108">
        <v>0.0</v>
      </c>
      <c r="V29" s="108">
        <v>0.0</v>
      </c>
      <c r="W29" s="108">
        <v>0.0</v>
      </c>
      <c r="X29" s="108">
        <v>0.0</v>
      </c>
      <c r="Y29" s="22"/>
      <c r="Z29" s="22"/>
      <c r="AA29" s="22"/>
      <c r="AB29" s="22"/>
      <c r="AC29" s="22"/>
      <c r="AD29" s="8"/>
      <c r="AE29" s="8"/>
      <c r="AF29" s="8"/>
    </row>
    <row r="30" ht="15.75" customHeight="1">
      <c r="A30" s="22"/>
      <c r="B30" s="22"/>
      <c r="C30" s="22"/>
      <c r="D30" s="22"/>
      <c r="E30" s="2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62">
        <f>IFERROR(__xludf.DUMMYFUNCTION("""COMPUTED_VALUE"""),10.0)</f>
        <v>10</v>
      </c>
      <c r="G30" s="25"/>
      <c r="H30" s="24"/>
      <c r="I30" s="25"/>
      <c r="J30" s="24"/>
      <c r="K30" s="22"/>
      <c r="L30" s="106">
        <v>6.0</v>
      </c>
      <c r="M30" s="107">
        <v>10.0</v>
      </c>
      <c r="N30" s="108">
        <v>0.0</v>
      </c>
      <c r="O30" s="108">
        <v>0.0</v>
      </c>
      <c r="P30" s="108">
        <v>0.0</v>
      </c>
      <c r="Q30" s="108">
        <v>0.0</v>
      </c>
      <c r="R30" s="108">
        <v>0.0</v>
      </c>
      <c r="S30" s="108">
        <v>0.0</v>
      </c>
      <c r="T30" s="108">
        <v>0.0</v>
      </c>
      <c r="U30" s="108">
        <v>0.0</v>
      </c>
      <c r="V30" s="108">
        <v>0.0</v>
      </c>
      <c r="W30" s="108">
        <v>0.0</v>
      </c>
      <c r="X30" s="108">
        <v>0.0</v>
      </c>
      <c r="Y30" s="22"/>
      <c r="Z30" s="22"/>
      <c r="AA30" s="22"/>
      <c r="AB30" s="22"/>
      <c r="AC30" s="22"/>
      <c r="AD30" s="8"/>
      <c r="AE30" s="8"/>
      <c r="AF30" s="8"/>
    </row>
    <row r="31" ht="15.75" customHeight="1">
      <c r="A31" s="22"/>
      <c r="B31" s="22"/>
      <c r="C31" s="22"/>
      <c r="D31" s="22"/>
      <c r="E31" s="2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24">
        <f>IFERROR(__xludf.DUMMYFUNCTION("""COMPUTED_VALUE"""),100.0)</f>
        <v>100</v>
      </c>
      <c r="G31" s="25" t="str">
        <f>IFERROR(__xludf.DUMMYFUNCTION("""COMPUTED_VALUE"""),"")</f>
        <v/>
      </c>
      <c r="H31" s="24">
        <f>IFERROR(__xludf.DUMMYFUNCTION("""COMPUTED_VALUE"""),120.0)</f>
        <v>120</v>
      </c>
      <c r="I31" s="25" t="str">
        <f>IFERROR(__xludf.DUMMYFUNCTION("""COMPUTED_VALUE"""),"")</f>
        <v/>
      </c>
      <c r="J31" s="24">
        <f>IFERROR(__xludf.DUMMYFUNCTION("""COMPUTED_VALUE"""),30.0)</f>
        <v>30</v>
      </c>
      <c r="K31" s="22"/>
      <c r="L31" s="106">
        <v>7.0</v>
      </c>
      <c r="M31" s="108">
        <v>100.0</v>
      </c>
      <c r="N31" s="108">
        <v>0.0</v>
      </c>
      <c r="O31" s="108">
        <v>0.0</v>
      </c>
      <c r="P31" s="108">
        <v>0.0</v>
      </c>
      <c r="Q31" s="108">
        <v>0.0</v>
      </c>
      <c r="R31" s="108">
        <v>0.0</v>
      </c>
      <c r="S31" s="108">
        <v>0.0</v>
      </c>
      <c r="T31" s="108">
        <v>0.0</v>
      </c>
      <c r="U31" s="108">
        <v>120.0</v>
      </c>
      <c r="V31" s="108">
        <v>0.0</v>
      </c>
      <c r="W31" s="108">
        <v>0.0</v>
      </c>
      <c r="X31" s="108">
        <v>30.0</v>
      </c>
      <c r="Y31" s="22"/>
      <c r="Z31" s="22"/>
      <c r="AA31" s="22"/>
      <c r="AB31" s="22"/>
      <c r="AC31" s="22"/>
      <c r="AD31" s="8"/>
      <c r="AE31" s="8"/>
      <c r="AF31" s="8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22"/>
      <c r="Z32" s="22"/>
      <c r="AA32" s="22"/>
      <c r="AB32" s="22"/>
      <c r="AC32" s="22"/>
      <c r="AD32" s="8"/>
      <c r="AE32" s="8"/>
      <c r="AF32" s="8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110" t="s">
        <v>93</v>
      </c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22"/>
      <c r="Z33" s="22"/>
      <c r="AA33" s="22"/>
      <c r="AB33" s="22"/>
      <c r="AC33" s="22"/>
      <c r="AD33" s="8"/>
      <c r="AE33" s="8"/>
      <c r="AF33" s="8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104" t="s">
        <v>87</v>
      </c>
      <c r="M34" s="104" t="s">
        <v>89</v>
      </c>
      <c r="N34" s="104" t="s">
        <v>68</v>
      </c>
      <c r="O34" s="104" t="s">
        <v>69</v>
      </c>
      <c r="P34" s="104" t="s">
        <v>70</v>
      </c>
      <c r="Q34" s="104" t="s">
        <v>71</v>
      </c>
      <c r="R34" s="104" t="s">
        <v>72</v>
      </c>
      <c r="S34" s="104" t="s">
        <v>73</v>
      </c>
      <c r="T34" s="104" t="s">
        <v>74</v>
      </c>
      <c r="U34" s="104" t="s">
        <v>75</v>
      </c>
      <c r="V34" s="104" t="s">
        <v>76</v>
      </c>
      <c r="W34" s="104" t="s">
        <v>77</v>
      </c>
      <c r="X34" s="104" t="s">
        <v>78</v>
      </c>
      <c r="Y34" s="22"/>
      <c r="Z34" s="22"/>
      <c r="AA34" s="22"/>
      <c r="AB34" s="22"/>
      <c r="AC34" s="22"/>
      <c r="AD34" s="8"/>
      <c r="AE34" s="8"/>
      <c r="AF34" s="8"/>
    </row>
    <row r="35" ht="15.75" customHeight="1">
      <c r="A35" s="22"/>
      <c r="B35" s="22"/>
      <c r="C35" s="22"/>
      <c r="D35" s="22"/>
      <c r="E35" s="2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62">
        <f>IFERROR(__xludf.DUMMYFUNCTION("""COMPUTED_VALUE"""),10.0)</f>
        <v>10</v>
      </c>
      <c r="G35" s="25"/>
      <c r="H35" s="24"/>
      <c r="I35" s="25"/>
      <c r="J35" s="24"/>
      <c r="K35" s="22"/>
      <c r="L35" s="106">
        <v>1.0</v>
      </c>
      <c r="M35" s="107">
        <v>10.0</v>
      </c>
      <c r="N35" s="108">
        <v>0.0</v>
      </c>
      <c r="O35" s="108">
        <v>0.0</v>
      </c>
      <c r="P35" s="108">
        <v>0.0</v>
      </c>
      <c r="Q35" s="108">
        <v>0.0</v>
      </c>
      <c r="R35" s="108">
        <v>0.0</v>
      </c>
      <c r="S35" s="108">
        <v>0.0</v>
      </c>
      <c r="T35" s="108">
        <v>0.0</v>
      </c>
      <c r="U35" s="108">
        <v>0.0</v>
      </c>
      <c r="V35" s="108">
        <v>0.0</v>
      </c>
      <c r="W35" s="108">
        <v>0.0</v>
      </c>
      <c r="X35" s="108">
        <v>0.0</v>
      </c>
      <c r="Y35" s="22"/>
      <c r="Z35" s="22"/>
      <c r="AA35" s="22"/>
      <c r="AB35" s="22"/>
      <c r="AC35" s="22"/>
      <c r="AD35" s="8"/>
      <c r="AE35" s="8"/>
      <c r="AF35" s="8"/>
    </row>
    <row r="36" ht="15.75" customHeight="1">
      <c r="A36" s="22"/>
      <c r="B36" s="22"/>
      <c r="C36" s="22"/>
      <c r="D36" s="22"/>
      <c r="E36" s="2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24">
        <f>IFERROR(__xludf.DUMMYFUNCTION("""COMPUTED_VALUE"""),30.0)</f>
        <v>30</v>
      </c>
      <c r="G36" s="25"/>
      <c r="H36" s="24"/>
      <c r="I36" s="25"/>
      <c r="J36" s="24"/>
      <c r="K36" s="22"/>
      <c r="L36" s="106">
        <v>2.0</v>
      </c>
      <c r="M36" s="108">
        <v>0.0</v>
      </c>
      <c r="N36" s="108">
        <v>0.0</v>
      </c>
      <c r="O36" s="108">
        <v>0.0</v>
      </c>
      <c r="P36" s="108">
        <v>0.0</v>
      </c>
      <c r="Q36" s="108">
        <v>0.0</v>
      </c>
      <c r="R36" s="108">
        <v>0.0</v>
      </c>
      <c r="S36" s="108">
        <v>0.0</v>
      </c>
      <c r="T36" s="108">
        <v>0.0</v>
      </c>
      <c r="U36" s="108">
        <v>30.0</v>
      </c>
      <c r="V36" s="108">
        <v>0.0</v>
      </c>
      <c r="W36" s="108">
        <v>0.0</v>
      </c>
      <c r="X36" s="108">
        <v>0.0</v>
      </c>
      <c r="Y36" s="22"/>
      <c r="Z36" s="22"/>
      <c r="AA36" s="22"/>
      <c r="AB36" s="22"/>
      <c r="AC36" s="22"/>
      <c r="AD36" s="8"/>
      <c r="AE36" s="8"/>
      <c r="AF36" s="8"/>
    </row>
    <row r="37" ht="15.75" customHeight="1">
      <c r="A37" s="22"/>
      <c r="B37" s="22"/>
      <c r="C37" s="22"/>
      <c r="D37" s="22"/>
      <c r="E37" s="2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24">
        <f>IFERROR(__xludf.DUMMYFUNCTION("""COMPUTED_VALUE"""),1.0)</f>
        <v>1</v>
      </c>
      <c r="G37" s="25"/>
      <c r="H37" s="24"/>
      <c r="I37" s="25"/>
      <c r="J37" s="24"/>
      <c r="K37" s="22"/>
      <c r="L37" s="106">
        <v>3.0</v>
      </c>
      <c r="M37" s="108">
        <v>0.0</v>
      </c>
      <c r="N37" s="108">
        <v>0.0</v>
      </c>
      <c r="O37" s="108">
        <v>0.0</v>
      </c>
      <c r="P37" s="108">
        <v>0.0</v>
      </c>
      <c r="Q37" s="108">
        <v>0.0</v>
      </c>
      <c r="R37" s="108">
        <v>0.0</v>
      </c>
      <c r="S37" s="108">
        <v>1.0</v>
      </c>
      <c r="T37" s="108">
        <v>0.0</v>
      </c>
      <c r="U37" s="108">
        <v>0.0</v>
      </c>
      <c r="V37" s="108">
        <v>0.0</v>
      </c>
      <c r="W37" s="108">
        <v>0.0</v>
      </c>
      <c r="X37" s="108">
        <v>0.0</v>
      </c>
      <c r="Y37" s="22"/>
      <c r="Z37" s="22"/>
      <c r="AA37" s="22"/>
      <c r="AB37" s="22"/>
      <c r="AC37" s="22"/>
      <c r="AD37" s="8"/>
      <c r="AE37" s="8"/>
      <c r="AF37" s="8"/>
    </row>
    <row r="38" ht="15.75" customHeight="1">
      <c r="A38" s="22"/>
      <c r="B38" s="22"/>
      <c r="C38" s="22"/>
      <c r="D38" s="22"/>
      <c r="E38" s="2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24">
        <f>IFERROR(__xludf.DUMMYFUNCTION("""COMPUTED_VALUE"""),1.0)</f>
        <v>1</v>
      </c>
      <c r="G38" s="25"/>
      <c r="H38" s="24"/>
      <c r="I38" s="25"/>
      <c r="J38" s="24"/>
      <c r="K38" s="22"/>
      <c r="L38" s="106">
        <v>4.0</v>
      </c>
      <c r="M38" s="108">
        <v>0.0</v>
      </c>
      <c r="N38" s="108">
        <v>0.0</v>
      </c>
      <c r="O38" s="108">
        <v>0.0</v>
      </c>
      <c r="P38" s="108">
        <v>0.0</v>
      </c>
      <c r="Q38" s="108">
        <v>0.0</v>
      </c>
      <c r="R38" s="108">
        <v>1.0</v>
      </c>
      <c r="S38" s="108">
        <v>0.0</v>
      </c>
      <c r="T38" s="108">
        <v>0.0</v>
      </c>
      <c r="U38" s="108">
        <v>0.0</v>
      </c>
      <c r="V38" s="108">
        <v>0.0</v>
      </c>
      <c r="W38" s="108">
        <v>0.0</v>
      </c>
      <c r="X38" s="108">
        <v>0.0</v>
      </c>
      <c r="Y38" s="22"/>
      <c r="Z38" s="22"/>
      <c r="AA38" s="22"/>
      <c r="AB38" s="22"/>
      <c r="AC38" s="22"/>
      <c r="AD38" s="8"/>
      <c r="AE38" s="8"/>
      <c r="AF38" s="8"/>
    </row>
    <row r="39" ht="15.75" customHeight="1">
      <c r="A39" s="22"/>
      <c r="B39" s="22"/>
      <c r="C39" s="22"/>
      <c r="D39" s="22"/>
      <c r="E39" s="2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62">
        <f>IFERROR(__xludf.DUMMYFUNCTION("""COMPUTED_VALUE"""),10.0)</f>
        <v>10</v>
      </c>
      <c r="G39" s="25"/>
      <c r="H39" s="24"/>
      <c r="I39" s="25"/>
      <c r="J39" s="24"/>
      <c r="K39" s="22"/>
      <c r="L39" s="106">
        <v>5.0</v>
      </c>
      <c r="M39" s="107">
        <v>10.0</v>
      </c>
      <c r="N39" s="108">
        <v>0.0</v>
      </c>
      <c r="O39" s="108">
        <v>0.0</v>
      </c>
      <c r="P39" s="108">
        <v>0.0</v>
      </c>
      <c r="Q39" s="108">
        <v>0.0</v>
      </c>
      <c r="R39" s="108">
        <v>0.0</v>
      </c>
      <c r="S39" s="108">
        <v>0.0</v>
      </c>
      <c r="T39" s="108">
        <v>0.0</v>
      </c>
      <c r="U39" s="108">
        <v>0.0</v>
      </c>
      <c r="V39" s="108">
        <v>0.0</v>
      </c>
      <c r="W39" s="108">
        <v>0.0</v>
      </c>
      <c r="X39" s="108">
        <v>0.0</v>
      </c>
      <c r="Y39" s="22"/>
      <c r="Z39" s="22"/>
      <c r="AA39" s="22"/>
      <c r="AB39" s="22"/>
      <c r="AC39" s="22"/>
      <c r="AD39" s="8"/>
      <c r="AE39" s="8"/>
      <c r="AF39" s="8"/>
    </row>
    <row r="40" ht="15.75" customHeight="1">
      <c r="A40" s="22"/>
      <c r="B40" s="22"/>
      <c r="C40" s="22"/>
      <c r="D40" s="22"/>
      <c r="E40" s="2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24">
        <f>IFERROR(__xludf.DUMMYFUNCTION("""COMPUTED_VALUE"""),1.0)</f>
        <v>1</v>
      </c>
      <c r="G40" s="25"/>
      <c r="H40" s="24"/>
      <c r="I40" s="25"/>
      <c r="J40" s="24"/>
      <c r="K40" s="22"/>
      <c r="L40" s="106">
        <v>6.0</v>
      </c>
      <c r="M40" s="108">
        <v>0.0</v>
      </c>
      <c r="N40" s="108">
        <v>0.0</v>
      </c>
      <c r="O40" s="108">
        <v>0.0</v>
      </c>
      <c r="P40" s="108">
        <v>0.0</v>
      </c>
      <c r="Q40" s="108">
        <v>0.0</v>
      </c>
      <c r="R40" s="108">
        <v>1.0</v>
      </c>
      <c r="S40" s="108">
        <v>0.0</v>
      </c>
      <c r="T40" s="108">
        <v>0.0</v>
      </c>
      <c r="U40" s="108">
        <v>0.0</v>
      </c>
      <c r="V40" s="108">
        <v>0.0</v>
      </c>
      <c r="W40" s="108">
        <v>0.0</v>
      </c>
      <c r="X40" s="108">
        <v>0.0</v>
      </c>
      <c r="Y40" s="22"/>
      <c r="Z40" s="22"/>
      <c r="AA40" s="22"/>
      <c r="AB40" s="22"/>
      <c r="AC40" s="22"/>
      <c r="AD40" s="8"/>
      <c r="AE40" s="8"/>
      <c r="AF40" s="8"/>
    </row>
    <row r="41" ht="15.75" customHeight="1">
      <c r="A41" s="22"/>
      <c r="B41" s="22"/>
      <c r="C41" s="22"/>
      <c r="D41" s="22"/>
      <c r="E41" s="2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24">
        <f>IFERROR(__xludf.DUMMYFUNCTION("""COMPUTED_VALUE"""),100.0)</f>
        <v>100</v>
      </c>
      <c r="G41" s="25" t="str">
        <f>IFERROR(__xludf.DUMMYFUNCTION("""COMPUTED_VALUE"""),"")</f>
        <v/>
      </c>
      <c r="H41" s="24">
        <f>IFERROR(__xludf.DUMMYFUNCTION("""COMPUTED_VALUE"""),1.0)</f>
        <v>1</v>
      </c>
      <c r="I41" s="25" t="str">
        <f>IFERROR(__xludf.DUMMYFUNCTION("""COMPUTED_VALUE"""),"")</f>
        <v/>
      </c>
      <c r="J41" s="24">
        <f>IFERROR(__xludf.DUMMYFUNCTION("""COMPUTED_VALUE"""),120.0)</f>
        <v>120</v>
      </c>
      <c r="K41" s="22"/>
      <c r="L41" s="106">
        <v>7.0</v>
      </c>
      <c r="M41" s="108">
        <v>100.0</v>
      </c>
      <c r="N41" s="108">
        <v>0.0</v>
      </c>
      <c r="O41" s="108">
        <v>0.0</v>
      </c>
      <c r="P41" s="108">
        <v>0.0</v>
      </c>
      <c r="Q41" s="108">
        <v>0.0</v>
      </c>
      <c r="R41" s="108">
        <v>0.0</v>
      </c>
      <c r="S41" s="108">
        <v>0.0</v>
      </c>
      <c r="T41" s="113">
        <v>1.0</v>
      </c>
      <c r="U41" s="108">
        <v>120.0</v>
      </c>
      <c r="V41" s="108">
        <v>0.0</v>
      </c>
      <c r="W41" s="108">
        <v>0.0</v>
      </c>
      <c r="X41" s="108">
        <v>0.0</v>
      </c>
      <c r="Y41" s="22"/>
      <c r="Z41" s="22"/>
      <c r="AA41" s="22"/>
      <c r="AB41" s="22"/>
      <c r="AC41" s="22"/>
      <c r="AD41" s="8"/>
      <c r="AE41" s="8"/>
      <c r="AF41" s="8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22"/>
      <c r="Z42" s="22"/>
      <c r="AA42" s="22"/>
      <c r="AB42" s="22"/>
      <c r="AC42" s="22"/>
      <c r="AD42" s="8"/>
      <c r="AE42" s="8"/>
      <c r="AF42" s="8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110" t="s">
        <v>94</v>
      </c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22"/>
      <c r="Z43" s="22"/>
      <c r="AA43" s="22"/>
      <c r="AB43" s="22"/>
      <c r="AC43" s="22"/>
      <c r="AD43" s="8"/>
      <c r="AE43" s="8"/>
      <c r="AF43" s="8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104" t="s">
        <v>87</v>
      </c>
      <c r="M44" s="104" t="s">
        <v>89</v>
      </c>
      <c r="N44" s="104" t="s">
        <v>68</v>
      </c>
      <c r="O44" s="104" t="s">
        <v>69</v>
      </c>
      <c r="P44" s="104" t="s">
        <v>70</v>
      </c>
      <c r="Q44" s="104" t="s">
        <v>71</v>
      </c>
      <c r="R44" s="104" t="s">
        <v>72</v>
      </c>
      <c r="S44" s="104" t="s">
        <v>73</v>
      </c>
      <c r="T44" s="104" t="s">
        <v>74</v>
      </c>
      <c r="U44" s="104" t="s">
        <v>75</v>
      </c>
      <c r="V44" s="104" t="s">
        <v>76</v>
      </c>
      <c r="W44" s="104" t="s">
        <v>77</v>
      </c>
      <c r="X44" s="104" t="s">
        <v>78</v>
      </c>
      <c r="Y44" s="22"/>
      <c r="Z44" s="22"/>
      <c r="AA44" s="22"/>
      <c r="AB44" s="22"/>
      <c r="AC44" s="22"/>
      <c r="AD44" s="8"/>
      <c r="AE44" s="8"/>
      <c r="AF44" s="8"/>
    </row>
    <row r="45" ht="15.75" customHeight="1">
      <c r="A45" s="22"/>
      <c r="B45" s="22"/>
      <c r="C45" s="22"/>
      <c r="D45" s="22"/>
      <c r="E45" s="2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62">
        <f>IFERROR(__xludf.DUMMYFUNCTION("""COMPUTED_VALUE"""),10.0)</f>
        <v>10</v>
      </c>
      <c r="G45" s="25"/>
      <c r="H45" s="24"/>
      <c r="I45" s="25"/>
      <c r="J45" s="24"/>
      <c r="K45" s="22"/>
      <c r="L45" s="106">
        <v>1.0</v>
      </c>
      <c r="M45" s="107">
        <v>10.0</v>
      </c>
      <c r="N45" s="108">
        <v>0.0</v>
      </c>
      <c r="O45" s="108">
        <v>0.0</v>
      </c>
      <c r="P45" s="108">
        <v>0.0</v>
      </c>
      <c r="Q45" s="108">
        <v>0.0</v>
      </c>
      <c r="R45" s="108">
        <v>0.0</v>
      </c>
      <c r="S45" s="108">
        <v>0.0</v>
      </c>
      <c r="T45" s="108">
        <v>0.0</v>
      </c>
      <c r="U45" s="108">
        <v>0.0</v>
      </c>
      <c r="V45" s="108">
        <v>0.0</v>
      </c>
      <c r="W45" s="108">
        <v>0.0</v>
      </c>
      <c r="X45" s="108">
        <v>0.0</v>
      </c>
      <c r="Y45" s="22"/>
      <c r="Z45" s="22"/>
      <c r="AA45" s="22"/>
      <c r="AB45" s="22"/>
      <c r="AC45" s="22"/>
      <c r="AD45" s="8"/>
      <c r="AE45" s="8"/>
      <c r="AF45" s="8"/>
    </row>
    <row r="46" ht="15.75" customHeight="1">
      <c r="A46" s="22"/>
      <c r="B46" s="22"/>
      <c r="C46" s="22"/>
      <c r="D46" s="22"/>
      <c r="E46" s="2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24">
        <f>IFERROR(__xludf.DUMMYFUNCTION("""COMPUTED_VALUE"""),15.0)</f>
        <v>15</v>
      </c>
      <c r="G46" s="25"/>
      <c r="H46" s="24"/>
      <c r="I46" s="25"/>
      <c r="J46" s="24"/>
      <c r="K46" s="22"/>
      <c r="L46" s="106">
        <v>2.0</v>
      </c>
      <c r="M46" s="108">
        <v>0.0</v>
      </c>
      <c r="N46" s="108">
        <v>0.0</v>
      </c>
      <c r="O46" s="108">
        <v>0.0</v>
      </c>
      <c r="P46" s="108">
        <v>0.0</v>
      </c>
      <c r="Q46" s="108">
        <v>0.0</v>
      </c>
      <c r="R46" s="108">
        <v>0.0</v>
      </c>
      <c r="S46" s="108">
        <v>0.0</v>
      </c>
      <c r="T46" s="108">
        <v>0.0</v>
      </c>
      <c r="U46" s="108">
        <v>15.0</v>
      </c>
      <c r="V46" s="108">
        <v>0.0</v>
      </c>
      <c r="W46" s="108">
        <v>0.0</v>
      </c>
      <c r="X46" s="108">
        <v>0.0</v>
      </c>
      <c r="Y46" s="22"/>
      <c r="Z46" s="22"/>
      <c r="AA46" s="22"/>
      <c r="AB46" s="22"/>
      <c r="AC46" s="22"/>
      <c r="AD46" s="8"/>
      <c r="AE46" s="8"/>
      <c r="AF46" s="8"/>
    </row>
    <row r="47" ht="15.75" customHeight="1">
      <c r="A47" s="22"/>
      <c r="B47" s="22"/>
      <c r="C47" s="22"/>
      <c r="D47" s="22"/>
      <c r="E47" s="2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24">
        <f>IFERROR(__xludf.DUMMYFUNCTION("""COMPUTED_VALUE"""),1.0)</f>
        <v>1</v>
      </c>
      <c r="G47" s="25"/>
      <c r="H47" s="24"/>
      <c r="I47" s="25"/>
      <c r="J47" s="24"/>
      <c r="K47" s="22"/>
      <c r="L47" s="106">
        <v>3.0</v>
      </c>
      <c r="M47" s="108">
        <v>0.0</v>
      </c>
      <c r="N47" s="108">
        <v>0.0</v>
      </c>
      <c r="O47" s="108">
        <v>0.0</v>
      </c>
      <c r="P47" s="108">
        <v>0.0</v>
      </c>
      <c r="Q47" s="108">
        <v>0.0</v>
      </c>
      <c r="R47" s="108">
        <v>1.0</v>
      </c>
      <c r="S47" s="108">
        <v>0.0</v>
      </c>
      <c r="T47" s="108">
        <v>0.0</v>
      </c>
      <c r="U47" s="108">
        <v>0.0</v>
      </c>
      <c r="V47" s="108">
        <v>0.0</v>
      </c>
      <c r="W47" s="108">
        <v>0.0</v>
      </c>
      <c r="X47" s="108">
        <v>0.0</v>
      </c>
      <c r="Y47" s="22"/>
      <c r="Z47" s="22"/>
      <c r="AA47" s="22"/>
      <c r="AB47" s="22"/>
      <c r="AC47" s="22"/>
      <c r="AD47" s="8"/>
      <c r="AE47" s="8"/>
      <c r="AF47" s="8"/>
    </row>
    <row r="48" ht="15.75" customHeight="1">
      <c r="A48" s="22"/>
      <c r="B48" s="22"/>
      <c r="C48" s="22"/>
      <c r="D48" s="22"/>
      <c r="E48" s="2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24">
        <f>IFERROR(__xludf.DUMMYFUNCTION("""COMPUTED_VALUE"""),1.0)</f>
        <v>1</v>
      </c>
      <c r="G48" s="25"/>
      <c r="H48" s="24"/>
      <c r="I48" s="25"/>
      <c r="J48" s="24"/>
      <c r="K48" s="22"/>
      <c r="L48" s="106">
        <v>4.0</v>
      </c>
      <c r="M48" s="108">
        <v>0.0</v>
      </c>
      <c r="N48" s="108">
        <v>0.0</v>
      </c>
      <c r="O48" s="108">
        <v>0.0</v>
      </c>
      <c r="P48" s="108">
        <v>0.0</v>
      </c>
      <c r="Q48" s="108">
        <v>0.0</v>
      </c>
      <c r="R48" s="108">
        <v>0.0</v>
      </c>
      <c r="S48" s="108">
        <v>1.0</v>
      </c>
      <c r="T48" s="108">
        <v>0.0</v>
      </c>
      <c r="U48" s="108">
        <v>0.0</v>
      </c>
      <c r="V48" s="108">
        <v>0.0</v>
      </c>
      <c r="W48" s="108">
        <v>0.0</v>
      </c>
      <c r="X48" s="108">
        <v>0.0</v>
      </c>
      <c r="Y48" s="22"/>
      <c r="Z48" s="22"/>
      <c r="AA48" s="22"/>
      <c r="AB48" s="22"/>
      <c r="AC48" s="22"/>
      <c r="AD48" s="8"/>
      <c r="AE48" s="8"/>
      <c r="AF48" s="8"/>
    </row>
    <row r="49" ht="15.75" customHeight="1">
      <c r="A49" s="22"/>
      <c r="B49" s="22"/>
      <c r="C49" s="22"/>
      <c r="D49" s="22"/>
      <c r="E49" s="2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24">
        <f>IFERROR(__xludf.DUMMYFUNCTION("""COMPUTED_VALUE"""),60.0)</f>
        <v>60</v>
      </c>
      <c r="G49" s="25"/>
      <c r="H49" s="24"/>
      <c r="I49" s="25"/>
      <c r="J49" s="24"/>
      <c r="K49" s="22"/>
      <c r="L49" s="106">
        <v>5.0</v>
      </c>
      <c r="M49" s="108">
        <v>0.0</v>
      </c>
      <c r="N49" s="108">
        <v>0.0</v>
      </c>
      <c r="O49" s="108">
        <v>0.0</v>
      </c>
      <c r="P49" s="108">
        <v>0.0</v>
      </c>
      <c r="Q49" s="108">
        <v>0.0</v>
      </c>
      <c r="R49" s="108">
        <v>0.0</v>
      </c>
      <c r="S49" s="108">
        <v>0.0</v>
      </c>
      <c r="T49" s="108">
        <v>0.0</v>
      </c>
      <c r="U49" s="108">
        <v>60.0</v>
      </c>
      <c r="V49" s="108">
        <v>0.0</v>
      </c>
      <c r="W49" s="108">
        <v>0.0</v>
      </c>
      <c r="X49" s="108">
        <v>0.0</v>
      </c>
      <c r="Y49" s="22"/>
      <c r="Z49" s="22"/>
      <c r="AA49" s="22"/>
      <c r="AB49" s="22"/>
      <c r="AC49" s="22"/>
      <c r="AD49" s="8"/>
      <c r="AE49" s="8"/>
      <c r="AF49" s="8"/>
    </row>
    <row r="50" ht="15.75" customHeight="1">
      <c r="A50" s="22"/>
      <c r="B50" s="22"/>
      <c r="C50" s="22"/>
      <c r="D50" s="22"/>
      <c r="E50" s="2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62">
        <f>IFERROR(__xludf.DUMMYFUNCTION("""COMPUTED_VALUE"""),10.0)</f>
        <v>10</v>
      </c>
      <c r="G50" s="25"/>
      <c r="H50" s="24"/>
      <c r="I50" s="25"/>
      <c r="J50" s="24"/>
      <c r="K50" s="22"/>
      <c r="L50" s="106">
        <v>6.0</v>
      </c>
      <c r="M50" s="107">
        <v>10.0</v>
      </c>
      <c r="N50" s="108">
        <v>0.0</v>
      </c>
      <c r="O50" s="108">
        <v>0.0</v>
      </c>
      <c r="P50" s="108">
        <v>0.0</v>
      </c>
      <c r="Q50" s="108">
        <v>0.0</v>
      </c>
      <c r="R50" s="108">
        <v>0.0</v>
      </c>
      <c r="S50" s="108">
        <v>0.0</v>
      </c>
      <c r="T50" s="108">
        <v>0.0</v>
      </c>
      <c r="U50" s="108">
        <v>0.0</v>
      </c>
      <c r="V50" s="108">
        <v>0.0</v>
      </c>
      <c r="W50" s="108">
        <v>0.0</v>
      </c>
      <c r="X50" s="108">
        <v>0.0</v>
      </c>
      <c r="Y50" s="22"/>
      <c r="Z50" s="22"/>
      <c r="AA50" s="22"/>
      <c r="AB50" s="22"/>
      <c r="AC50" s="22"/>
      <c r="AD50" s="8"/>
      <c r="AE50" s="8"/>
      <c r="AF50" s="8"/>
    </row>
    <row r="51" ht="15.75" customHeight="1">
      <c r="A51" s="22"/>
      <c r="B51" s="22"/>
      <c r="C51" s="22"/>
      <c r="D51" s="22"/>
      <c r="E51" s="2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24">
        <f>IFERROR(__xludf.DUMMYFUNCTION("""COMPUTED_VALUE"""),100.0)</f>
        <v>100</v>
      </c>
      <c r="G51" s="25" t="str">
        <f>IFERROR(__xludf.DUMMYFUNCTION("""COMPUTED_VALUE"""),"")</f>
        <v/>
      </c>
      <c r="H51" s="24">
        <f>IFERROR(__xludf.DUMMYFUNCTION("""COMPUTED_VALUE"""),1.0)</f>
        <v>1</v>
      </c>
      <c r="I51" s="25" t="str">
        <f>IFERROR(__xludf.DUMMYFUNCTION("""COMPUTED_VALUE"""),"")</f>
        <v/>
      </c>
      <c r="J51" s="24">
        <f>IFERROR(__xludf.DUMMYFUNCTION("""COMPUTED_VALUE"""),120.0)</f>
        <v>120</v>
      </c>
      <c r="K51" s="22"/>
      <c r="L51" s="106">
        <v>7.0</v>
      </c>
      <c r="M51" s="108">
        <v>100.0</v>
      </c>
      <c r="N51" s="108">
        <v>0.0</v>
      </c>
      <c r="O51" s="108">
        <v>0.0</v>
      </c>
      <c r="P51" s="108">
        <v>0.0</v>
      </c>
      <c r="Q51" s="108">
        <v>0.0</v>
      </c>
      <c r="R51" s="108">
        <v>1.0</v>
      </c>
      <c r="S51" s="108">
        <v>0.0</v>
      </c>
      <c r="T51" s="108">
        <v>0.0</v>
      </c>
      <c r="U51" s="108">
        <v>120.0</v>
      </c>
      <c r="V51" s="108">
        <v>0.0</v>
      </c>
      <c r="W51" s="108">
        <v>0.0</v>
      </c>
      <c r="X51" s="108">
        <v>0.0</v>
      </c>
      <c r="Y51" s="22"/>
      <c r="Z51" s="22"/>
      <c r="AA51" s="22"/>
      <c r="AB51" s="22"/>
      <c r="AC51" s="22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4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114" t="s">
        <v>39</v>
      </c>
    </row>
    <row r="2" ht="19.5" customHeight="1">
      <c r="A2" s="115" t="s">
        <v>97</v>
      </c>
      <c r="B2" s="116"/>
      <c r="C2" s="116"/>
      <c r="D2" s="115" t="s">
        <v>97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</row>
    <row r="3">
      <c r="A3" s="117" t="s">
        <v>98</v>
      </c>
      <c r="B3" s="117"/>
      <c r="C3" s="118"/>
      <c r="D3" s="119" t="s">
        <v>99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8"/>
      <c r="X3" s="119" t="s">
        <v>100</v>
      </c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</row>
    <row r="4" ht="90.0" customHeight="1">
      <c r="A4" s="120" t="s">
        <v>98</v>
      </c>
      <c r="B4" s="120" t="s">
        <v>101</v>
      </c>
      <c r="C4" s="121" t="s">
        <v>102</v>
      </c>
      <c r="D4" s="122" t="s">
        <v>82</v>
      </c>
      <c r="E4" s="123" t="s">
        <v>68</v>
      </c>
      <c r="F4" s="123" t="s">
        <v>103</v>
      </c>
      <c r="G4" s="123" t="s">
        <v>69</v>
      </c>
      <c r="H4" s="123" t="s">
        <v>70</v>
      </c>
      <c r="I4" s="123" t="s">
        <v>71</v>
      </c>
      <c r="J4" s="123" t="s">
        <v>72</v>
      </c>
      <c r="K4" s="123" t="s">
        <v>73</v>
      </c>
      <c r="L4" s="123" t="s">
        <v>74</v>
      </c>
      <c r="M4" s="123" t="s">
        <v>75</v>
      </c>
      <c r="N4" s="123" t="s">
        <v>76</v>
      </c>
      <c r="O4" s="123" t="s">
        <v>77</v>
      </c>
      <c r="P4" s="123" t="s">
        <v>78</v>
      </c>
      <c r="Q4" s="123" t="s">
        <v>104</v>
      </c>
      <c r="R4" s="123" t="s">
        <v>105</v>
      </c>
      <c r="S4" s="123" t="s">
        <v>106</v>
      </c>
      <c r="T4" s="123" t="s">
        <v>107</v>
      </c>
      <c r="U4" s="123" t="s">
        <v>108</v>
      </c>
      <c r="V4" s="123" t="s">
        <v>109</v>
      </c>
      <c r="W4" s="124" t="s">
        <v>110</v>
      </c>
      <c r="X4" s="122" t="s">
        <v>82</v>
      </c>
      <c r="Y4" s="123" t="s">
        <v>68</v>
      </c>
      <c r="Z4" s="123" t="s">
        <v>103</v>
      </c>
      <c r="AA4" s="123" t="s">
        <v>69</v>
      </c>
      <c r="AB4" s="123" t="s">
        <v>70</v>
      </c>
      <c r="AC4" s="123" t="s">
        <v>71</v>
      </c>
      <c r="AD4" s="123" t="s">
        <v>72</v>
      </c>
      <c r="AE4" s="123" t="s">
        <v>73</v>
      </c>
      <c r="AF4" s="123" t="s">
        <v>74</v>
      </c>
      <c r="AG4" s="123" t="s">
        <v>75</v>
      </c>
      <c r="AH4" s="123" t="s">
        <v>76</v>
      </c>
      <c r="AI4" s="123" t="s">
        <v>77</v>
      </c>
      <c r="AJ4" s="123" t="s">
        <v>78</v>
      </c>
      <c r="AK4" s="123" t="s">
        <v>104</v>
      </c>
      <c r="AL4" s="123" t="s">
        <v>105</v>
      </c>
      <c r="AM4" s="123" t="s">
        <v>106</v>
      </c>
      <c r="AN4" s="123" t="s">
        <v>107</v>
      </c>
      <c r="AO4" s="123" t="s">
        <v>108</v>
      </c>
      <c r="AP4" s="123" t="s">
        <v>109</v>
      </c>
      <c r="AQ4" s="123" t="s">
        <v>110</v>
      </c>
    </row>
    <row r="5">
      <c r="A5" s="125">
        <v>1.0</v>
      </c>
      <c r="B5" s="125">
        <v>10.0</v>
      </c>
      <c r="C5" s="126">
        <f>B5</f>
        <v>10</v>
      </c>
      <c r="D5" s="127">
        <v>0.0</v>
      </c>
      <c r="E5" s="128">
        <v>0.0</v>
      </c>
      <c r="F5" s="128">
        <v>0.0</v>
      </c>
      <c r="G5" s="128">
        <v>0.0</v>
      </c>
      <c r="H5" s="128">
        <v>1.0</v>
      </c>
      <c r="I5" s="128">
        <v>0.0</v>
      </c>
      <c r="J5" s="128">
        <v>0.0</v>
      </c>
      <c r="K5" s="128">
        <v>0.0</v>
      </c>
      <c r="L5" s="128">
        <v>0.0</v>
      </c>
      <c r="M5" s="128">
        <v>0.0</v>
      </c>
      <c r="N5" s="128">
        <v>10.0</v>
      </c>
      <c r="O5" s="128">
        <v>0.0</v>
      </c>
      <c r="P5" s="128">
        <v>0.0</v>
      </c>
      <c r="Q5" s="128">
        <v>0.0</v>
      </c>
      <c r="R5" s="128">
        <v>0.0</v>
      </c>
      <c r="S5" s="128">
        <v>0.0</v>
      </c>
      <c r="T5" s="128">
        <v>0.0</v>
      </c>
      <c r="U5" s="128">
        <v>0.0</v>
      </c>
      <c r="V5" s="128">
        <v>0.0</v>
      </c>
      <c r="W5" s="128">
        <v>0.0</v>
      </c>
      <c r="X5" s="127">
        <v>0.0</v>
      </c>
      <c r="Y5" s="128">
        <v>0.0</v>
      </c>
      <c r="Z5" s="128">
        <v>0.0</v>
      </c>
      <c r="AA5" s="128">
        <v>0.0</v>
      </c>
      <c r="AB5" s="128">
        <v>0.0</v>
      </c>
      <c r="AC5" s="128">
        <v>0.0</v>
      </c>
      <c r="AD5" s="128">
        <v>0.0</v>
      </c>
      <c r="AE5" s="128">
        <v>0.0</v>
      </c>
      <c r="AF5" s="128">
        <v>0.0</v>
      </c>
      <c r="AG5" s="128">
        <v>120.0</v>
      </c>
      <c r="AH5" s="128">
        <v>0.0</v>
      </c>
      <c r="AI5" s="128">
        <v>15.0</v>
      </c>
      <c r="AJ5" s="128">
        <v>0.0</v>
      </c>
      <c r="AK5" s="128">
        <v>0.0</v>
      </c>
      <c r="AL5" s="128">
        <v>0.0</v>
      </c>
      <c r="AM5" s="128">
        <v>0.0</v>
      </c>
      <c r="AN5" s="128">
        <v>0.0</v>
      </c>
      <c r="AO5" s="128">
        <v>0.0</v>
      </c>
      <c r="AP5" s="128">
        <v>0.0</v>
      </c>
      <c r="AQ5" s="128">
        <v>0.0</v>
      </c>
    </row>
    <row r="6">
      <c r="A6" s="125">
        <f t="shared" ref="A6:A34" si="1">A5+1</f>
        <v>2</v>
      </c>
      <c r="B6" s="125">
        <v>14.0</v>
      </c>
      <c r="C6" s="126">
        <f t="shared" ref="C6:C34" si="2">B6+C5</f>
        <v>24</v>
      </c>
      <c r="D6" s="127">
        <v>10.0</v>
      </c>
      <c r="E6" s="128">
        <v>0.0</v>
      </c>
      <c r="F6" s="128">
        <v>0.0</v>
      </c>
      <c r="G6" s="128">
        <v>0.0</v>
      </c>
      <c r="H6" s="128">
        <v>0.0</v>
      </c>
      <c r="I6" s="128">
        <v>0.0</v>
      </c>
      <c r="J6" s="128">
        <v>0.0</v>
      </c>
      <c r="K6" s="128">
        <v>0.0</v>
      </c>
      <c r="L6" s="128">
        <v>0.0</v>
      </c>
      <c r="M6" s="128">
        <v>0.0</v>
      </c>
      <c r="N6" s="128">
        <v>0.0</v>
      </c>
      <c r="O6" s="128">
        <v>0.0</v>
      </c>
      <c r="P6" s="128">
        <v>0.0</v>
      </c>
      <c r="Q6" s="128">
        <v>0.0</v>
      </c>
      <c r="R6" s="128">
        <v>0.0</v>
      </c>
      <c r="S6" s="128">
        <v>0.0</v>
      </c>
      <c r="T6" s="128">
        <v>0.0</v>
      </c>
      <c r="U6" s="128">
        <v>0.0</v>
      </c>
      <c r="V6" s="128">
        <v>0.0</v>
      </c>
      <c r="W6" s="128">
        <v>0.0</v>
      </c>
      <c r="X6" s="127">
        <v>25.0</v>
      </c>
      <c r="Y6" s="128">
        <v>0.0</v>
      </c>
      <c r="Z6" s="128">
        <v>0.0</v>
      </c>
      <c r="AA6" s="128">
        <v>0.0</v>
      </c>
      <c r="AB6" s="128">
        <v>0.0</v>
      </c>
      <c r="AC6" s="128">
        <v>0.0</v>
      </c>
      <c r="AD6" s="128">
        <v>0.0</v>
      </c>
      <c r="AE6" s="128">
        <v>0.0</v>
      </c>
      <c r="AF6" s="128">
        <v>0.0</v>
      </c>
      <c r="AG6" s="128">
        <v>0.0</v>
      </c>
      <c r="AH6" s="128">
        <v>0.0</v>
      </c>
      <c r="AI6" s="128">
        <v>0.0</v>
      </c>
      <c r="AJ6" s="128">
        <v>0.0</v>
      </c>
      <c r="AK6" s="128">
        <v>0.0</v>
      </c>
      <c r="AL6" s="128">
        <v>0.0</v>
      </c>
      <c r="AM6" s="128">
        <v>0.0</v>
      </c>
      <c r="AN6" s="128">
        <v>0.0</v>
      </c>
      <c r="AO6" s="128">
        <v>0.0</v>
      </c>
      <c r="AP6" s="128">
        <v>0.0</v>
      </c>
      <c r="AQ6" s="128">
        <v>0.0</v>
      </c>
    </row>
    <row r="7">
      <c r="A7" s="125">
        <f t="shared" si="1"/>
        <v>3</v>
      </c>
      <c r="B7" s="125">
        <v>20.0</v>
      </c>
      <c r="C7" s="126">
        <f t="shared" si="2"/>
        <v>44</v>
      </c>
      <c r="D7" s="127">
        <v>0.0</v>
      </c>
      <c r="E7" s="128">
        <v>0.0</v>
      </c>
      <c r="F7" s="128">
        <v>0.0</v>
      </c>
      <c r="G7" s="128">
        <v>0.0</v>
      </c>
      <c r="H7" s="128">
        <v>0.0</v>
      </c>
      <c r="I7" s="128">
        <v>0.0</v>
      </c>
      <c r="J7" s="128">
        <v>0.0</v>
      </c>
      <c r="K7" s="128">
        <v>0.0</v>
      </c>
      <c r="L7" s="128">
        <v>0.0</v>
      </c>
      <c r="M7" s="128">
        <v>60.0</v>
      </c>
      <c r="N7" s="128">
        <v>0.0</v>
      </c>
      <c r="O7" s="128">
        <v>0.0</v>
      </c>
      <c r="P7" s="128">
        <v>0.0</v>
      </c>
      <c r="Q7" s="128">
        <v>0.0</v>
      </c>
      <c r="R7" s="128">
        <v>0.0</v>
      </c>
      <c r="S7" s="128">
        <v>0.0</v>
      </c>
      <c r="T7" s="128">
        <v>0.0</v>
      </c>
      <c r="U7" s="128">
        <v>0.0</v>
      </c>
      <c r="V7" s="128">
        <v>0.0</v>
      </c>
      <c r="W7" s="128">
        <v>0.0</v>
      </c>
      <c r="X7" s="127">
        <v>0.0</v>
      </c>
      <c r="Y7" s="128">
        <v>0.0</v>
      </c>
      <c r="Z7" s="128">
        <v>0.0</v>
      </c>
      <c r="AA7" s="128">
        <v>1.0</v>
      </c>
      <c r="AB7" s="128">
        <v>0.0</v>
      </c>
      <c r="AC7" s="128">
        <v>0.0</v>
      </c>
      <c r="AD7" s="128">
        <v>0.0</v>
      </c>
      <c r="AE7" s="128">
        <v>0.0</v>
      </c>
      <c r="AF7" s="128">
        <v>0.0</v>
      </c>
      <c r="AG7" s="128">
        <v>0.0</v>
      </c>
      <c r="AH7" s="128">
        <v>0.0</v>
      </c>
      <c r="AI7" s="128">
        <v>0.0</v>
      </c>
      <c r="AJ7" s="128">
        <v>0.0</v>
      </c>
      <c r="AK7" s="128">
        <v>0.0</v>
      </c>
      <c r="AL7" s="128">
        <v>0.0</v>
      </c>
      <c r="AM7" s="128">
        <v>0.0</v>
      </c>
      <c r="AN7" s="128">
        <v>0.0</v>
      </c>
      <c r="AO7" s="128">
        <v>0.0</v>
      </c>
      <c r="AP7" s="128">
        <v>0.0</v>
      </c>
      <c r="AQ7" s="128">
        <v>0.0</v>
      </c>
    </row>
    <row r="8">
      <c r="A8" s="125">
        <f t="shared" si="1"/>
        <v>4</v>
      </c>
      <c r="B8" s="125">
        <v>28.0</v>
      </c>
      <c r="C8" s="126">
        <f t="shared" si="2"/>
        <v>72</v>
      </c>
      <c r="D8" s="127">
        <v>0.0</v>
      </c>
      <c r="E8" s="128">
        <v>0.0</v>
      </c>
      <c r="F8" s="128">
        <v>0.0</v>
      </c>
      <c r="G8" s="128">
        <v>0.0</v>
      </c>
      <c r="H8" s="128">
        <v>0.0</v>
      </c>
      <c r="I8" s="128">
        <v>0.0</v>
      </c>
      <c r="J8" s="128">
        <v>0.0</v>
      </c>
      <c r="K8" s="128">
        <v>0.0</v>
      </c>
      <c r="L8" s="128">
        <v>0.0</v>
      </c>
      <c r="M8" s="128">
        <v>0.0</v>
      </c>
      <c r="N8" s="128">
        <v>0.0</v>
      </c>
      <c r="O8" s="128">
        <v>15.0</v>
      </c>
      <c r="P8" s="128">
        <v>0.0</v>
      </c>
      <c r="Q8" s="128">
        <v>0.0</v>
      </c>
      <c r="R8" s="128">
        <v>0.0</v>
      </c>
      <c r="S8" s="128">
        <v>0.0</v>
      </c>
      <c r="T8" s="128">
        <v>0.0</v>
      </c>
      <c r="U8" s="128">
        <v>0.0</v>
      </c>
      <c r="V8" s="128">
        <v>0.0</v>
      </c>
      <c r="W8" s="128">
        <v>0.0</v>
      </c>
      <c r="X8" s="127">
        <v>0.0</v>
      </c>
      <c r="Y8" s="128">
        <v>0.0</v>
      </c>
      <c r="Z8" s="128">
        <v>0.0</v>
      </c>
      <c r="AA8" s="128">
        <v>0.0</v>
      </c>
      <c r="AB8" s="128">
        <v>0.0</v>
      </c>
      <c r="AC8" s="128">
        <v>0.0</v>
      </c>
      <c r="AD8" s="128">
        <v>0.0</v>
      </c>
      <c r="AE8" s="128">
        <v>1.0</v>
      </c>
      <c r="AF8" s="128">
        <v>0.0</v>
      </c>
      <c r="AG8" s="128">
        <v>0.0</v>
      </c>
      <c r="AH8" s="128">
        <v>0.0</v>
      </c>
      <c r="AI8" s="128">
        <v>0.0</v>
      </c>
      <c r="AJ8" s="128">
        <v>0.0</v>
      </c>
      <c r="AK8" s="128">
        <v>0.0</v>
      </c>
      <c r="AL8" s="128">
        <v>0.0</v>
      </c>
      <c r="AM8" s="128">
        <v>0.0</v>
      </c>
      <c r="AN8" s="128">
        <v>0.0</v>
      </c>
      <c r="AO8" s="128">
        <v>0.0</v>
      </c>
      <c r="AP8" s="128">
        <v>0.0</v>
      </c>
      <c r="AQ8" s="128">
        <v>0.0</v>
      </c>
    </row>
    <row r="9">
      <c r="A9" s="125">
        <f t="shared" si="1"/>
        <v>5</v>
      </c>
      <c r="B9" s="125">
        <v>35.0</v>
      </c>
      <c r="C9" s="126">
        <f t="shared" si="2"/>
        <v>107</v>
      </c>
      <c r="D9" s="127">
        <v>10.0</v>
      </c>
      <c r="E9" s="128">
        <v>0.0</v>
      </c>
      <c r="F9" s="128">
        <v>0.0</v>
      </c>
      <c r="G9" s="128">
        <v>0.0</v>
      </c>
      <c r="H9" s="128">
        <v>0.0</v>
      </c>
      <c r="I9" s="128">
        <v>0.0</v>
      </c>
      <c r="J9" s="128">
        <v>0.0</v>
      </c>
      <c r="K9" s="128">
        <v>0.0</v>
      </c>
      <c r="L9" s="128">
        <v>0.0</v>
      </c>
      <c r="M9" s="128">
        <v>0.0</v>
      </c>
      <c r="N9" s="128">
        <v>0.0</v>
      </c>
      <c r="O9" s="128">
        <v>0.0</v>
      </c>
      <c r="P9" s="128">
        <v>0.0</v>
      </c>
      <c r="Q9" s="128">
        <v>0.0</v>
      </c>
      <c r="R9" s="128">
        <v>0.0</v>
      </c>
      <c r="S9" s="128">
        <v>0.0</v>
      </c>
      <c r="T9" s="128">
        <v>0.0</v>
      </c>
      <c r="U9" s="128">
        <v>0.0</v>
      </c>
      <c r="V9" s="128">
        <v>0.0</v>
      </c>
      <c r="W9" s="128">
        <v>0.0</v>
      </c>
      <c r="X9" s="127">
        <v>25.0</v>
      </c>
      <c r="Y9" s="128">
        <v>0.0</v>
      </c>
      <c r="Z9" s="128">
        <v>0.0</v>
      </c>
      <c r="AA9" s="128">
        <v>0.0</v>
      </c>
      <c r="AB9" s="128">
        <v>0.0</v>
      </c>
      <c r="AC9" s="128">
        <v>0.0</v>
      </c>
      <c r="AD9" s="128">
        <v>0.0</v>
      </c>
      <c r="AE9" s="128">
        <v>0.0</v>
      </c>
      <c r="AF9" s="128">
        <v>0.0</v>
      </c>
      <c r="AG9" s="128">
        <v>30.0</v>
      </c>
      <c r="AH9" s="128">
        <v>0.0</v>
      </c>
      <c r="AI9" s="128">
        <v>0.0</v>
      </c>
      <c r="AJ9" s="128">
        <v>0.0</v>
      </c>
      <c r="AK9" s="128">
        <v>0.0</v>
      </c>
      <c r="AL9" s="128">
        <v>0.0</v>
      </c>
      <c r="AM9" s="128">
        <v>0.0</v>
      </c>
      <c r="AN9" s="128">
        <v>0.0</v>
      </c>
      <c r="AO9" s="128">
        <v>0.0</v>
      </c>
      <c r="AP9" s="128">
        <v>0.0</v>
      </c>
      <c r="AQ9" s="128">
        <v>0.0</v>
      </c>
    </row>
    <row r="10">
      <c r="A10" s="125">
        <f t="shared" si="1"/>
        <v>6</v>
      </c>
      <c r="B10" s="125">
        <v>70.0</v>
      </c>
      <c r="C10" s="126">
        <f t="shared" si="2"/>
        <v>177</v>
      </c>
      <c r="D10" s="127">
        <v>0.0</v>
      </c>
      <c r="E10" s="128">
        <v>0.0</v>
      </c>
      <c r="F10" s="128">
        <v>0.0</v>
      </c>
      <c r="G10" s="128">
        <v>1.0</v>
      </c>
      <c r="H10" s="128">
        <v>0.0</v>
      </c>
      <c r="I10" s="128">
        <v>0.0</v>
      </c>
      <c r="J10" s="128">
        <v>0.0</v>
      </c>
      <c r="K10" s="128">
        <v>0.0</v>
      </c>
      <c r="L10" s="128">
        <v>0.0</v>
      </c>
      <c r="M10" s="128">
        <v>0.0</v>
      </c>
      <c r="N10" s="128">
        <v>0.0</v>
      </c>
      <c r="O10" s="128">
        <v>0.0</v>
      </c>
      <c r="P10" s="128">
        <v>0.0</v>
      </c>
      <c r="Q10" s="128">
        <v>0.0</v>
      </c>
      <c r="R10" s="128">
        <v>0.0</v>
      </c>
      <c r="S10" s="128">
        <v>0.0</v>
      </c>
      <c r="T10" s="128">
        <v>0.0</v>
      </c>
      <c r="U10" s="128">
        <v>0.0</v>
      </c>
      <c r="V10" s="128">
        <v>0.0</v>
      </c>
      <c r="W10" s="128">
        <v>0.0</v>
      </c>
      <c r="X10" s="127">
        <v>0.0</v>
      </c>
      <c r="Y10" s="128">
        <v>0.0</v>
      </c>
      <c r="Z10" s="128">
        <v>0.0</v>
      </c>
      <c r="AA10" s="128">
        <v>0.0</v>
      </c>
      <c r="AB10" s="128">
        <v>0.0</v>
      </c>
      <c r="AC10" s="128">
        <v>1.0</v>
      </c>
      <c r="AD10" s="128">
        <v>0.0</v>
      </c>
      <c r="AE10" s="128">
        <v>0.0</v>
      </c>
      <c r="AF10" s="128">
        <v>0.0</v>
      </c>
      <c r="AG10" s="128">
        <v>0.0</v>
      </c>
      <c r="AH10" s="128">
        <v>0.0</v>
      </c>
      <c r="AI10" s="128">
        <v>0.0</v>
      </c>
      <c r="AJ10" s="128">
        <v>0.0</v>
      </c>
      <c r="AK10" s="128">
        <v>0.0</v>
      </c>
      <c r="AL10" s="128">
        <v>0.0</v>
      </c>
      <c r="AM10" s="128">
        <v>0.0</v>
      </c>
      <c r="AN10" s="128">
        <v>0.0</v>
      </c>
      <c r="AO10" s="128">
        <v>0.0</v>
      </c>
      <c r="AP10" s="128">
        <v>0.0</v>
      </c>
      <c r="AQ10" s="128">
        <v>0.0</v>
      </c>
    </row>
    <row r="11">
      <c r="A11" s="125">
        <f t="shared" si="1"/>
        <v>7</v>
      </c>
      <c r="B11" s="125">
        <v>70.0</v>
      </c>
      <c r="C11" s="126">
        <f t="shared" si="2"/>
        <v>247</v>
      </c>
      <c r="D11" s="127">
        <v>0.0</v>
      </c>
      <c r="E11" s="128">
        <v>0.0</v>
      </c>
      <c r="F11" s="128">
        <v>0.0</v>
      </c>
      <c r="G11" s="128">
        <v>0.0</v>
      </c>
      <c r="H11" s="128">
        <v>1.0</v>
      </c>
      <c r="I11" s="128">
        <v>0.0</v>
      </c>
      <c r="J11" s="128">
        <v>0.0</v>
      </c>
      <c r="K11" s="128">
        <v>0.0</v>
      </c>
      <c r="L11" s="128">
        <v>0.0</v>
      </c>
      <c r="M11" s="128">
        <v>0.0</v>
      </c>
      <c r="N11" s="128">
        <v>0.0</v>
      </c>
      <c r="O11" s="128">
        <v>0.0</v>
      </c>
      <c r="P11" s="128">
        <v>0.0</v>
      </c>
      <c r="Q11" s="128">
        <v>0.0</v>
      </c>
      <c r="R11" s="128">
        <v>0.0</v>
      </c>
      <c r="S11" s="128">
        <v>0.0</v>
      </c>
      <c r="T11" s="128">
        <v>0.0</v>
      </c>
      <c r="U11" s="128">
        <v>0.0</v>
      </c>
      <c r="V11" s="128">
        <v>0.0</v>
      </c>
      <c r="W11" s="128">
        <v>0.0</v>
      </c>
      <c r="X11" s="127">
        <v>0.0</v>
      </c>
      <c r="Y11" s="128">
        <v>0.0</v>
      </c>
      <c r="Z11" s="128">
        <v>0.0</v>
      </c>
      <c r="AA11" s="128">
        <v>0.0</v>
      </c>
      <c r="AB11" s="128">
        <v>0.0</v>
      </c>
      <c r="AC11" s="128">
        <v>0.0</v>
      </c>
      <c r="AD11" s="128">
        <v>0.0</v>
      </c>
      <c r="AE11" s="128">
        <v>0.0</v>
      </c>
      <c r="AF11" s="128">
        <v>0.0</v>
      </c>
      <c r="AG11" s="128">
        <v>0.0</v>
      </c>
      <c r="AH11" s="128">
        <v>0.0</v>
      </c>
      <c r="AI11" s="128">
        <v>0.0</v>
      </c>
      <c r="AJ11" s="128">
        <v>10.0</v>
      </c>
      <c r="AK11" s="128">
        <v>0.0</v>
      </c>
      <c r="AL11" s="128">
        <v>0.0</v>
      </c>
      <c r="AM11" s="128">
        <v>0.0</v>
      </c>
      <c r="AN11" s="128">
        <v>0.0</v>
      </c>
      <c r="AO11" s="128">
        <v>0.0</v>
      </c>
      <c r="AP11" s="128">
        <v>0.0</v>
      </c>
      <c r="AQ11" s="128">
        <v>0.0</v>
      </c>
    </row>
    <row r="12">
      <c r="A12" s="125">
        <f t="shared" si="1"/>
        <v>8</v>
      </c>
      <c r="B12" s="125">
        <v>70.0</v>
      </c>
      <c r="C12" s="126">
        <f t="shared" si="2"/>
        <v>317</v>
      </c>
      <c r="D12" s="127">
        <v>0.0</v>
      </c>
      <c r="E12" s="128">
        <v>0.0</v>
      </c>
      <c r="F12" s="128">
        <v>0.0</v>
      </c>
      <c r="G12" s="128">
        <v>0.0</v>
      </c>
      <c r="H12" s="128">
        <v>0.0</v>
      </c>
      <c r="I12" s="128">
        <v>0.0</v>
      </c>
      <c r="J12" s="128">
        <v>0.0</v>
      </c>
      <c r="K12" s="128">
        <v>0.0</v>
      </c>
      <c r="L12" s="128">
        <v>0.0</v>
      </c>
      <c r="M12" s="128">
        <v>15.0</v>
      </c>
      <c r="N12" s="128">
        <v>0.0</v>
      </c>
      <c r="O12" s="128">
        <v>0.0</v>
      </c>
      <c r="P12" s="128">
        <v>0.0</v>
      </c>
      <c r="Q12" s="128">
        <v>0.0</v>
      </c>
      <c r="R12" s="128">
        <v>0.0</v>
      </c>
      <c r="S12" s="128">
        <v>0.0</v>
      </c>
      <c r="T12" s="128">
        <v>0.0</v>
      </c>
      <c r="U12" s="128">
        <v>0.0</v>
      </c>
      <c r="V12" s="128">
        <v>0.0</v>
      </c>
      <c r="W12" s="128">
        <v>0.0</v>
      </c>
      <c r="X12" s="127">
        <v>0.0</v>
      </c>
      <c r="Y12" s="128">
        <v>0.0</v>
      </c>
      <c r="Z12" s="128">
        <v>0.0</v>
      </c>
      <c r="AA12" s="128">
        <v>0.0</v>
      </c>
      <c r="AB12" s="128">
        <v>0.0</v>
      </c>
      <c r="AC12" s="128">
        <v>0.0</v>
      </c>
      <c r="AD12" s="128">
        <v>1.0</v>
      </c>
      <c r="AE12" s="128">
        <v>0.0</v>
      </c>
      <c r="AF12" s="128">
        <v>0.0</v>
      </c>
      <c r="AG12" s="128">
        <v>0.0</v>
      </c>
      <c r="AH12" s="128">
        <v>0.0</v>
      </c>
      <c r="AI12" s="128">
        <v>0.0</v>
      </c>
      <c r="AJ12" s="128">
        <v>0.0</v>
      </c>
      <c r="AK12" s="128">
        <v>0.0</v>
      </c>
      <c r="AL12" s="128">
        <v>0.0</v>
      </c>
      <c r="AM12" s="128">
        <v>0.0</v>
      </c>
      <c r="AN12" s="128">
        <v>0.0</v>
      </c>
      <c r="AO12" s="128">
        <v>0.0</v>
      </c>
      <c r="AP12" s="128">
        <v>0.0</v>
      </c>
      <c r="AQ12" s="128">
        <v>0.0</v>
      </c>
    </row>
    <row r="13">
      <c r="A13" s="125">
        <f t="shared" si="1"/>
        <v>9</v>
      </c>
      <c r="B13" s="125">
        <v>70.0</v>
      </c>
      <c r="C13" s="126">
        <f t="shared" si="2"/>
        <v>387</v>
      </c>
      <c r="D13" s="127">
        <v>0.0</v>
      </c>
      <c r="E13" s="128">
        <v>0.0</v>
      </c>
      <c r="F13" s="128">
        <v>0.0</v>
      </c>
      <c r="G13" s="128">
        <v>0.0</v>
      </c>
      <c r="H13" s="128">
        <v>0.0</v>
      </c>
      <c r="I13" s="128">
        <v>0.0</v>
      </c>
      <c r="J13" s="128">
        <v>0.0</v>
      </c>
      <c r="K13" s="128">
        <v>0.0</v>
      </c>
      <c r="L13" s="128">
        <v>0.0</v>
      </c>
      <c r="M13" s="128">
        <v>0.0</v>
      </c>
      <c r="N13" s="128">
        <v>10.0</v>
      </c>
      <c r="O13" s="128">
        <v>0.0</v>
      </c>
      <c r="P13" s="128">
        <v>0.0</v>
      </c>
      <c r="Q13" s="128">
        <v>0.0</v>
      </c>
      <c r="R13" s="128">
        <v>0.0</v>
      </c>
      <c r="S13" s="128">
        <v>0.0</v>
      </c>
      <c r="T13" s="128">
        <v>0.0</v>
      </c>
      <c r="U13" s="128">
        <v>0.0</v>
      </c>
      <c r="V13" s="128">
        <v>0.0</v>
      </c>
      <c r="W13" s="128">
        <v>0.0</v>
      </c>
      <c r="X13" s="127">
        <v>0.0</v>
      </c>
      <c r="Y13" s="128">
        <v>0.0</v>
      </c>
      <c r="Z13" s="128">
        <v>0.0</v>
      </c>
      <c r="AA13" s="128">
        <v>0.0</v>
      </c>
      <c r="AB13" s="128">
        <v>0.0</v>
      </c>
      <c r="AC13" s="128">
        <v>0.0</v>
      </c>
      <c r="AD13" s="128">
        <v>0.0</v>
      </c>
      <c r="AE13" s="128">
        <v>1.0</v>
      </c>
      <c r="AF13" s="128">
        <v>0.0</v>
      </c>
      <c r="AG13" s="128">
        <v>0.0</v>
      </c>
      <c r="AH13" s="128">
        <v>0.0</v>
      </c>
      <c r="AI13" s="128">
        <v>0.0</v>
      </c>
      <c r="AJ13" s="128">
        <v>0.0</v>
      </c>
      <c r="AK13" s="128">
        <v>0.0</v>
      </c>
      <c r="AL13" s="128">
        <v>0.0</v>
      </c>
      <c r="AM13" s="128">
        <v>0.0</v>
      </c>
      <c r="AN13" s="128">
        <v>0.0</v>
      </c>
      <c r="AO13" s="128">
        <v>0.0</v>
      </c>
      <c r="AP13" s="128">
        <v>0.0</v>
      </c>
      <c r="AQ13" s="128">
        <v>0.0</v>
      </c>
    </row>
    <row r="14">
      <c r="A14" s="125">
        <f t="shared" si="1"/>
        <v>10</v>
      </c>
      <c r="B14" s="125">
        <v>100.0</v>
      </c>
      <c r="C14" s="126">
        <f t="shared" si="2"/>
        <v>487</v>
      </c>
      <c r="D14" s="127">
        <v>10.0</v>
      </c>
      <c r="E14" s="128">
        <v>0.0</v>
      </c>
      <c r="F14" s="128">
        <v>0.0</v>
      </c>
      <c r="G14" s="128">
        <v>0.0</v>
      </c>
      <c r="H14" s="128">
        <v>0.0</v>
      </c>
      <c r="I14" s="128">
        <v>0.0</v>
      </c>
      <c r="J14" s="128">
        <v>0.0</v>
      </c>
      <c r="K14" s="128">
        <v>0.0</v>
      </c>
      <c r="L14" s="128">
        <v>0.0</v>
      </c>
      <c r="M14" s="128">
        <v>0.0</v>
      </c>
      <c r="N14" s="128">
        <v>0.0</v>
      </c>
      <c r="O14" s="128">
        <v>0.0</v>
      </c>
      <c r="P14" s="128">
        <v>0.0</v>
      </c>
      <c r="Q14" s="128">
        <v>0.0</v>
      </c>
      <c r="R14" s="128">
        <v>0.0</v>
      </c>
      <c r="S14" s="128">
        <v>0.0</v>
      </c>
      <c r="T14" s="128">
        <v>0.0</v>
      </c>
      <c r="U14" s="128">
        <v>0.0</v>
      </c>
      <c r="V14" s="128">
        <v>0.0</v>
      </c>
      <c r="W14" s="128">
        <v>0.0</v>
      </c>
      <c r="X14" s="127">
        <v>25.0</v>
      </c>
      <c r="Y14" s="128">
        <v>0.0</v>
      </c>
      <c r="Z14" s="128">
        <v>0.0</v>
      </c>
      <c r="AA14" s="128">
        <v>0.0</v>
      </c>
      <c r="AB14" s="128">
        <v>0.0</v>
      </c>
      <c r="AC14" s="128">
        <v>0.0</v>
      </c>
      <c r="AD14" s="128">
        <v>0.0</v>
      </c>
      <c r="AE14" s="128">
        <v>0.0</v>
      </c>
      <c r="AF14" s="128">
        <v>0.0</v>
      </c>
      <c r="AG14" s="128">
        <v>30.0</v>
      </c>
      <c r="AH14" s="128">
        <v>0.0</v>
      </c>
      <c r="AI14" s="128">
        <v>0.0</v>
      </c>
      <c r="AJ14" s="128">
        <v>0.0</v>
      </c>
      <c r="AK14" s="128">
        <v>0.0</v>
      </c>
      <c r="AL14" s="128">
        <v>0.0</v>
      </c>
      <c r="AM14" s="128">
        <v>0.0</v>
      </c>
      <c r="AN14" s="128">
        <v>0.0</v>
      </c>
      <c r="AO14" s="128">
        <v>0.0</v>
      </c>
      <c r="AP14" s="128">
        <v>0.0</v>
      </c>
      <c r="AQ14" s="128">
        <v>0.0</v>
      </c>
    </row>
    <row r="15">
      <c r="A15" s="125">
        <f t="shared" si="1"/>
        <v>11</v>
      </c>
      <c r="B15" s="125">
        <v>100.0</v>
      </c>
      <c r="C15" s="126">
        <f t="shared" si="2"/>
        <v>587</v>
      </c>
      <c r="D15" s="127">
        <v>0.0</v>
      </c>
      <c r="E15" s="128">
        <v>0.0</v>
      </c>
      <c r="F15" s="128">
        <v>0.0</v>
      </c>
      <c r="G15" s="128">
        <v>0.0</v>
      </c>
      <c r="H15" s="128">
        <v>0.0</v>
      </c>
      <c r="I15" s="128">
        <v>0.0</v>
      </c>
      <c r="J15" s="128">
        <v>0.0</v>
      </c>
      <c r="K15" s="128">
        <v>0.0</v>
      </c>
      <c r="L15" s="128">
        <v>0.0</v>
      </c>
      <c r="M15" s="128">
        <v>15.0</v>
      </c>
      <c r="N15" s="128">
        <v>0.0</v>
      </c>
      <c r="O15" s="128">
        <v>0.0</v>
      </c>
      <c r="P15" s="128">
        <v>0.0</v>
      </c>
      <c r="Q15" s="128">
        <v>0.0</v>
      </c>
      <c r="R15" s="128">
        <v>0.0</v>
      </c>
      <c r="S15" s="128">
        <v>0.0</v>
      </c>
      <c r="T15" s="128">
        <v>0.0</v>
      </c>
      <c r="U15" s="128">
        <v>0.0</v>
      </c>
      <c r="V15" s="128">
        <v>0.0</v>
      </c>
      <c r="W15" s="128">
        <v>0.0</v>
      </c>
      <c r="X15" s="127">
        <v>0.0</v>
      </c>
      <c r="Y15" s="128">
        <v>0.0</v>
      </c>
      <c r="Z15" s="128">
        <v>0.0</v>
      </c>
      <c r="AA15" s="128">
        <v>0.0</v>
      </c>
      <c r="AB15" s="128">
        <v>0.0</v>
      </c>
      <c r="AC15" s="128">
        <v>0.0</v>
      </c>
      <c r="AD15" s="128">
        <v>0.0</v>
      </c>
      <c r="AE15" s="128">
        <v>0.0</v>
      </c>
      <c r="AF15" s="128">
        <v>1.0</v>
      </c>
      <c r="AG15" s="128">
        <v>0.0</v>
      </c>
      <c r="AH15" s="128">
        <v>0.0</v>
      </c>
      <c r="AI15" s="128">
        <v>0.0</v>
      </c>
      <c r="AJ15" s="128">
        <v>0.0</v>
      </c>
      <c r="AK15" s="128">
        <v>0.0</v>
      </c>
      <c r="AL15" s="128">
        <v>0.0</v>
      </c>
      <c r="AM15" s="128">
        <v>0.0</v>
      </c>
      <c r="AN15" s="128">
        <v>0.0</v>
      </c>
      <c r="AO15" s="128">
        <v>0.0</v>
      </c>
      <c r="AP15" s="128">
        <v>0.0</v>
      </c>
      <c r="AQ15" s="128">
        <v>0.0</v>
      </c>
    </row>
    <row r="16">
      <c r="A16" s="125">
        <f t="shared" si="1"/>
        <v>12</v>
      </c>
      <c r="B16" s="125">
        <v>100.0</v>
      </c>
      <c r="C16" s="126">
        <f t="shared" si="2"/>
        <v>687</v>
      </c>
      <c r="D16" s="127">
        <v>0.0</v>
      </c>
      <c r="E16" s="128">
        <v>0.0</v>
      </c>
      <c r="F16" s="128">
        <v>0.0</v>
      </c>
      <c r="G16" s="128">
        <v>1.0</v>
      </c>
      <c r="H16" s="128">
        <v>0.0</v>
      </c>
      <c r="I16" s="128">
        <v>0.0</v>
      </c>
      <c r="J16" s="128">
        <v>0.0</v>
      </c>
      <c r="K16" s="128">
        <v>0.0</v>
      </c>
      <c r="L16" s="128">
        <v>0.0</v>
      </c>
      <c r="M16" s="128">
        <v>0.0</v>
      </c>
      <c r="N16" s="128">
        <v>0.0</v>
      </c>
      <c r="O16" s="128">
        <v>0.0</v>
      </c>
      <c r="P16" s="128">
        <v>0.0</v>
      </c>
      <c r="Q16" s="128">
        <v>0.0</v>
      </c>
      <c r="R16" s="128">
        <v>0.0</v>
      </c>
      <c r="S16" s="128">
        <v>0.0</v>
      </c>
      <c r="T16" s="128">
        <v>0.0</v>
      </c>
      <c r="U16" s="128">
        <v>0.0</v>
      </c>
      <c r="V16" s="128">
        <v>0.0</v>
      </c>
      <c r="W16" s="128">
        <v>0.0</v>
      </c>
      <c r="X16" s="127">
        <v>0.0</v>
      </c>
      <c r="Y16" s="128">
        <v>0.0</v>
      </c>
      <c r="Z16" s="128">
        <v>0.0</v>
      </c>
      <c r="AA16" s="128">
        <v>0.0</v>
      </c>
      <c r="AB16" s="128">
        <v>1.0</v>
      </c>
      <c r="AC16" s="128">
        <v>0.0</v>
      </c>
      <c r="AD16" s="128">
        <v>0.0</v>
      </c>
      <c r="AE16" s="128">
        <v>0.0</v>
      </c>
      <c r="AF16" s="128">
        <v>0.0</v>
      </c>
      <c r="AG16" s="128">
        <v>0.0</v>
      </c>
      <c r="AH16" s="128">
        <v>0.0</v>
      </c>
      <c r="AI16" s="128">
        <v>0.0</v>
      </c>
      <c r="AJ16" s="128">
        <v>0.0</v>
      </c>
      <c r="AK16" s="128">
        <v>0.0</v>
      </c>
      <c r="AL16" s="128">
        <v>0.0</v>
      </c>
      <c r="AM16" s="128">
        <v>0.0</v>
      </c>
      <c r="AN16" s="128">
        <v>0.0</v>
      </c>
      <c r="AO16" s="128">
        <v>0.0</v>
      </c>
      <c r="AP16" s="128">
        <v>0.0</v>
      </c>
      <c r="AQ16" s="128">
        <v>0.0</v>
      </c>
    </row>
    <row r="17">
      <c r="A17" s="125">
        <f t="shared" si="1"/>
        <v>13</v>
      </c>
      <c r="B17" s="125">
        <v>100.0</v>
      </c>
      <c r="C17" s="126">
        <f t="shared" si="2"/>
        <v>787</v>
      </c>
      <c r="D17" s="127">
        <v>0.0</v>
      </c>
      <c r="E17" s="128">
        <v>0.0</v>
      </c>
      <c r="F17" s="128">
        <v>0.0</v>
      </c>
      <c r="G17" s="128">
        <v>0.0</v>
      </c>
      <c r="H17" s="128">
        <v>0.0</v>
      </c>
      <c r="I17" s="128">
        <v>0.0</v>
      </c>
      <c r="J17" s="128">
        <v>0.0</v>
      </c>
      <c r="K17" s="128">
        <v>1.0</v>
      </c>
      <c r="L17" s="128">
        <v>0.0</v>
      </c>
      <c r="M17" s="128">
        <v>0.0</v>
      </c>
      <c r="N17" s="128">
        <v>0.0</v>
      </c>
      <c r="O17" s="128">
        <v>0.0</v>
      </c>
      <c r="P17" s="128">
        <v>0.0</v>
      </c>
      <c r="Q17" s="128">
        <v>0.0</v>
      </c>
      <c r="R17" s="128">
        <v>0.0</v>
      </c>
      <c r="S17" s="128">
        <v>0.0</v>
      </c>
      <c r="T17" s="128">
        <v>0.0</v>
      </c>
      <c r="U17" s="128">
        <v>0.0</v>
      </c>
      <c r="V17" s="128">
        <v>0.0</v>
      </c>
      <c r="W17" s="128">
        <v>0.0</v>
      </c>
      <c r="X17" s="127">
        <v>0.0</v>
      </c>
      <c r="Y17" s="128">
        <v>0.0</v>
      </c>
      <c r="Z17" s="128">
        <v>0.0</v>
      </c>
      <c r="AA17" s="128">
        <v>0.0</v>
      </c>
      <c r="AB17" s="128">
        <v>0.0</v>
      </c>
      <c r="AC17" s="128">
        <v>0.0</v>
      </c>
      <c r="AD17" s="128">
        <v>0.0</v>
      </c>
      <c r="AE17" s="128">
        <v>0.0</v>
      </c>
      <c r="AF17" s="128">
        <v>0.0</v>
      </c>
      <c r="AG17" s="128">
        <v>0.0</v>
      </c>
      <c r="AH17" s="128">
        <v>0.0</v>
      </c>
      <c r="AI17" s="128">
        <v>15.0</v>
      </c>
      <c r="AJ17" s="128">
        <v>0.0</v>
      </c>
      <c r="AK17" s="128">
        <v>0.0</v>
      </c>
      <c r="AL17" s="128">
        <v>0.0</v>
      </c>
      <c r="AM17" s="128">
        <v>0.0</v>
      </c>
      <c r="AN17" s="128">
        <v>0.0</v>
      </c>
      <c r="AO17" s="128">
        <v>0.0</v>
      </c>
      <c r="AP17" s="128">
        <v>0.0</v>
      </c>
      <c r="AQ17" s="128">
        <v>0.0</v>
      </c>
    </row>
    <row r="18">
      <c r="A18" s="125">
        <f t="shared" si="1"/>
        <v>14</v>
      </c>
      <c r="B18" s="125">
        <v>100.0</v>
      </c>
      <c r="C18" s="126">
        <f t="shared" si="2"/>
        <v>887</v>
      </c>
      <c r="D18" s="127">
        <v>0.0</v>
      </c>
      <c r="E18" s="128">
        <v>0.0</v>
      </c>
      <c r="F18" s="128">
        <v>0.0</v>
      </c>
      <c r="G18" s="128">
        <v>1.0</v>
      </c>
      <c r="H18" s="128">
        <v>0.0</v>
      </c>
      <c r="I18" s="128">
        <v>0.0</v>
      </c>
      <c r="J18" s="128">
        <v>0.0</v>
      </c>
      <c r="K18" s="128">
        <v>0.0</v>
      </c>
      <c r="L18" s="128">
        <v>0.0</v>
      </c>
      <c r="M18" s="128">
        <v>0.0</v>
      </c>
      <c r="N18" s="128">
        <v>0.0</v>
      </c>
      <c r="O18" s="128">
        <v>0.0</v>
      </c>
      <c r="P18" s="128">
        <v>0.0</v>
      </c>
      <c r="Q18" s="128">
        <v>0.0</v>
      </c>
      <c r="R18" s="128">
        <v>0.0</v>
      </c>
      <c r="S18" s="128">
        <v>0.0</v>
      </c>
      <c r="T18" s="128">
        <v>0.0</v>
      </c>
      <c r="U18" s="128">
        <v>0.0</v>
      </c>
      <c r="V18" s="128">
        <v>0.0</v>
      </c>
      <c r="W18" s="128">
        <v>0.0</v>
      </c>
      <c r="X18" s="127">
        <v>0.0</v>
      </c>
      <c r="Y18" s="128">
        <v>0.0</v>
      </c>
      <c r="Z18" s="128">
        <v>0.0</v>
      </c>
      <c r="AA18" s="128">
        <v>0.0</v>
      </c>
      <c r="AB18" s="128">
        <v>0.0</v>
      </c>
      <c r="AC18" s="128">
        <v>1.0</v>
      </c>
      <c r="AD18" s="128">
        <v>0.0</v>
      </c>
      <c r="AE18" s="128">
        <v>0.0</v>
      </c>
      <c r="AF18" s="128">
        <v>0.0</v>
      </c>
      <c r="AG18" s="128">
        <v>0.0</v>
      </c>
      <c r="AH18" s="128">
        <v>0.0</v>
      </c>
      <c r="AI18" s="128">
        <v>0.0</v>
      </c>
      <c r="AJ18" s="128">
        <v>0.0</v>
      </c>
      <c r="AK18" s="128">
        <v>0.0</v>
      </c>
      <c r="AL18" s="128">
        <v>0.0</v>
      </c>
      <c r="AM18" s="128">
        <v>0.0</v>
      </c>
      <c r="AN18" s="128">
        <v>0.0</v>
      </c>
      <c r="AO18" s="128">
        <v>0.0</v>
      </c>
      <c r="AP18" s="128">
        <v>0.0</v>
      </c>
      <c r="AQ18" s="128">
        <v>0.0</v>
      </c>
    </row>
    <row r="19">
      <c r="A19" s="125">
        <f t="shared" si="1"/>
        <v>15</v>
      </c>
      <c r="B19" s="125">
        <v>130.0</v>
      </c>
      <c r="C19" s="126">
        <f t="shared" si="2"/>
        <v>1017</v>
      </c>
      <c r="D19" s="127">
        <v>15.0</v>
      </c>
      <c r="E19" s="128">
        <v>0.0</v>
      </c>
      <c r="F19" s="128">
        <v>0.0</v>
      </c>
      <c r="G19" s="128">
        <v>0.0</v>
      </c>
      <c r="H19" s="128">
        <v>0.0</v>
      </c>
      <c r="I19" s="128">
        <v>0.0</v>
      </c>
      <c r="J19" s="128">
        <v>0.0</v>
      </c>
      <c r="K19" s="128">
        <v>0.0</v>
      </c>
      <c r="L19" s="128">
        <v>0.0</v>
      </c>
      <c r="M19" s="128">
        <v>0.0</v>
      </c>
      <c r="N19" s="128">
        <v>0.0</v>
      </c>
      <c r="O19" s="128">
        <v>0.0</v>
      </c>
      <c r="P19" s="128">
        <v>0.0</v>
      </c>
      <c r="Q19" s="128">
        <v>0.0</v>
      </c>
      <c r="R19" s="128">
        <v>0.0</v>
      </c>
      <c r="S19" s="128">
        <v>0.0</v>
      </c>
      <c r="T19" s="128">
        <v>0.0</v>
      </c>
      <c r="U19" s="128">
        <v>0.0</v>
      </c>
      <c r="V19" s="128">
        <v>0.0</v>
      </c>
      <c r="W19" s="128">
        <v>0.0</v>
      </c>
      <c r="X19" s="127">
        <v>30.0</v>
      </c>
      <c r="Y19" s="128">
        <v>0.0</v>
      </c>
      <c r="Z19" s="128">
        <v>0.0</v>
      </c>
      <c r="AA19" s="128">
        <v>1.0</v>
      </c>
      <c r="AB19" s="128">
        <v>0.0</v>
      </c>
      <c r="AC19" s="128">
        <v>0.0</v>
      </c>
      <c r="AD19" s="128">
        <v>0.0</v>
      </c>
      <c r="AE19" s="128">
        <v>0.0</v>
      </c>
      <c r="AF19" s="128">
        <v>0.0</v>
      </c>
      <c r="AG19" s="128">
        <v>60.0</v>
      </c>
      <c r="AH19" s="128">
        <v>0.0</v>
      </c>
      <c r="AI19" s="128">
        <v>0.0</v>
      </c>
      <c r="AJ19" s="128">
        <v>0.0</v>
      </c>
      <c r="AK19" s="128">
        <v>0.0</v>
      </c>
      <c r="AL19" s="128">
        <v>0.0</v>
      </c>
      <c r="AM19" s="128">
        <v>0.0</v>
      </c>
      <c r="AN19" s="128">
        <v>0.0</v>
      </c>
      <c r="AO19" s="128">
        <v>0.0</v>
      </c>
      <c r="AP19" s="128">
        <v>0.0</v>
      </c>
      <c r="AQ19" s="128">
        <v>0.0</v>
      </c>
    </row>
    <row r="20">
      <c r="A20" s="125">
        <f t="shared" si="1"/>
        <v>16</v>
      </c>
      <c r="B20" s="125">
        <v>130.0</v>
      </c>
      <c r="C20" s="126">
        <f t="shared" si="2"/>
        <v>1147</v>
      </c>
      <c r="D20" s="127">
        <v>0.0</v>
      </c>
      <c r="E20" s="128">
        <v>0.0</v>
      </c>
      <c r="F20" s="128">
        <v>0.0</v>
      </c>
      <c r="G20" s="128">
        <v>0.0</v>
      </c>
      <c r="H20" s="128">
        <v>0.0</v>
      </c>
      <c r="I20" s="128">
        <v>0.0</v>
      </c>
      <c r="J20" s="128">
        <v>0.0</v>
      </c>
      <c r="K20" s="128">
        <v>0.0</v>
      </c>
      <c r="L20" s="128">
        <v>0.0</v>
      </c>
      <c r="M20" s="128">
        <v>15.0</v>
      </c>
      <c r="N20" s="128">
        <v>0.0</v>
      </c>
      <c r="O20" s="128">
        <v>0.0</v>
      </c>
      <c r="P20" s="128">
        <v>0.0</v>
      </c>
      <c r="Q20" s="128">
        <v>0.0</v>
      </c>
      <c r="R20" s="128">
        <v>0.0</v>
      </c>
      <c r="S20" s="128">
        <v>0.0</v>
      </c>
      <c r="T20" s="128">
        <v>0.0</v>
      </c>
      <c r="U20" s="128">
        <v>0.0</v>
      </c>
      <c r="V20" s="128">
        <v>0.0</v>
      </c>
      <c r="W20" s="128">
        <v>0.0</v>
      </c>
      <c r="X20" s="127">
        <v>0.0</v>
      </c>
      <c r="Y20" s="128">
        <v>0.0</v>
      </c>
      <c r="Z20" s="128">
        <v>0.0</v>
      </c>
      <c r="AA20" s="128">
        <v>0.0</v>
      </c>
      <c r="AB20" s="128">
        <v>0.0</v>
      </c>
      <c r="AC20" s="128">
        <v>0.0</v>
      </c>
      <c r="AD20" s="128">
        <v>1.0</v>
      </c>
      <c r="AE20" s="128">
        <v>0.0</v>
      </c>
      <c r="AF20" s="128">
        <v>0.0</v>
      </c>
      <c r="AG20" s="128">
        <v>0.0</v>
      </c>
      <c r="AH20" s="128">
        <v>10.0</v>
      </c>
      <c r="AI20" s="128">
        <v>0.0</v>
      </c>
      <c r="AJ20" s="128">
        <v>0.0</v>
      </c>
      <c r="AK20" s="128">
        <v>0.0</v>
      </c>
      <c r="AL20" s="128">
        <v>0.0</v>
      </c>
      <c r="AM20" s="128">
        <v>0.0</v>
      </c>
      <c r="AN20" s="128">
        <v>0.0</v>
      </c>
      <c r="AO20" s="128">
        <v>0.0</v>
      </c>
      <c r="AP20" s="128">
        <v>0.0</v>
      </c>
      <c r="AQ20" s="128">
        <v>0.0</v>
      </c>
    </row>
    <row r="21" ht="15.75" customHeight="1">
      <c r="A21" s="125">
        <f t="shared" si="1"/>
        <v>17</v>
      </c>
      <c r="B21" s="125">
        <v>130.0</v>
      </c>
      <c r="C21" s="126">
        <f t="shared" si="2"/>
        <v>1277</v>
      </c>
      <c r="D21" s="127">
        <v>0.0</v>
      </c>
      <c r="E21" s="128">
        <v>0.0</v>
      </c>
      <c r="F21" s="128">
        <v>0.0</v>
      </c>
      <c r="G21" s="128">
        <v>0.0</v>
      </c>
      <c r="H21" s="128">
        <v>1.0</v>
      </c>
      <c r="I21" s="128">
        <v>0.0</v>
      </c>
      <c r="J21" s="128">
        <v>0.0</v>
      </c>
      <c r="K21" s="128">
        <v>0.0</v>
      </c>
      <c r="L21" s="128">
        <v>0.0</v>
      </c>
      <c r="M21" s="128">
        <v>0.0</v>
      </c>
      <c r="N21" s="128">
        <v>0.0</v>
      </c>
      <c r="O21" s="128">
        <v>0.0</v>
      </c>
      <c r="P21" s="128">
        <v>0.0</v>
      </c>
      <c r="Q21" s="128">
        <v>0.0</v>
      </c>
      <c r="R21" s="128">
        <v>0.0</v>
      </c>
      <c r="S21" s="128">
        <v>0.0</v>
      </c>
      <c r="T21" s="128">
        <v>0.0</v>
      </c>
      <c r="U21" s="128">
        <v>0.0</v>
      </c>
      <c r="V21" s="128">
        <v>0.0</v>
      </c>
      <c r="W21" s="128">
        <v>0.0</v>
      </c>
      <c r="X21" s="127">
        <v>0.0</v>
      </c>
      <c r="Y21" s="128">
        <v>0.0</v>
      </c>
      <c r="Z21" s="128">
        <v>0.0</v>
      </c>
      <c r="AA21" s="128">
        <v>0.0</v>
      </c>
      <c r="AB21" s="128">
        <v>0.0</v>
      </c>
      <c r="AC21" s="128">
        <v>1.0</v>
      </c>
      <c r="AD21" s="128">
        <v>0.0</v>
      </c>
      <c r="AE21" s="128">
        <v>0.0</v>
      </c>
      <c r="AF21" s="128">
        <v>1.0</v>
      </c>
      <c r="AG21" s="128">
        <v>0.0</v>
      </c>
      <c r="AH21" s="128">
        <v>0.0</v>
      </c>
      <c r="AI21" s="128">
        <v>0.0</v>
      </c>
      <c r="AJ21" s="128">
        <v>0.0</v>
      </c>
      <c r="AK21" s="128">
        <v>0.0</v>
      </c>
      <c r="AL21" s="128">
        <v>0.0</v>
      </c>
      <c r="AM21" s="128">
        <v>0.0</v>
      </c>
      <c r="AN21" s="128">
        <v>0.0</v>
      </c>
      <c r="AO21" s="128">
        <v>0.0</v>
      </c>
      <c r="AP21" s="128">
        <v>0.0</v>
      </c>
      <c r="AQ21" s="128">
        <v>0.0</v>
      </c>
    </row>
    <row r="22" ht="15.75" customHeight="1">
      <c r="A22" s="125">
        <f t="shared" si="1"/>
        <v>18</v>
      </c>
      <c r="B22" s="125">
        <v>130.0</v>
      </c>
      <c r="C22" s="126">
        <f t="shared" si="2"/>
        <v>1407</v>
      </c>
      <c r="D22" s="127">
        <v>0.0</v>
      </c>
      <c r="E22" s="128">
        <v>0.0</v>
      </c>
      <c r="F22" s="128">
        <v>0.0</v>
      </c>
      <c r="G22" s="128">
        <v>1.0</v>
      </c>
      <c r="H22" s="128">
        <v>0.0</v>
      </c>
      <c r="I22" s="128">
        <v>0.0</v>
      </c>
      <c r="J22" s="128">
        <v>0.0</v>
      </c>
      <c r="K22" s="128">
        <v>0.0</v>
      </c>
      <c r="L22" s="128">
        <v>0.0</v>
      </c>
      <c r="M22" s="128">
        <v>0.0</v>
      </c>
      <c r="N22" s="128">
        <v>0.0</v>
      </c>
      <c r="O22" s="128">
        <v>0.0</v>
      </c>
      <c r="P22" s="128">
        <v>0.0</v>
      </c>
      <c r="Q22" s="128">
        <v>0.0</v>
      </c>
      <c r="R22" s="128">
        <v>0.0</v>
      </c>
      <c r="S22" s="128">
        <v>0.0</v>
      </c>
      <c r="T22" s="128">
        <v>0.0</v>
      </c>
      <c r="U22" s="128">
        <v>0.0</v>
      </c>
      <c r="V22" s="128">
        <v>0.0</v>
      </c>
      <c r="W22" s="128">
        <v>0.0</v>
      </c>
      <c r="X22" s="127">
        <v>0.0</v>
      </c>
      <c r="Y22" s="128">
        <v>0.0</v>
      </c>
      <c r="Z22" s="128">
        <v>0.0</v>
      </c>
      <c r="AA22" s="128">
        <v>0.0</v>
      </c>
      <c r="AB22" s="128">
        <v>0.0</v>
      </c>
      <c r="AC22" s="128">
        <v>0.0</v>
      </c>
      <c r="AD22" s="128">
        <v>1.0</v>
      </c>
      <c r="AE22" s="128">
        <v>0.0</v>
      </c>
      <c r="AF22" s="128">
        <v>0.0</v>
      </c>
      <c r="AG22" s="128">
        <v>0.0</v>
      </c>
      <c r="AH22" s="128">
        <v>0.0</v>
      </c>
      <c r="AI22" s="128">
        <v>10.0</v>
      </c>
      <c r="AJ22" s="128">
        <v>0.0</v>
      </c>
      <c r="AK22" s="128">
        <v>0.0</v>
      </c>
      <c r="AL22" s="128">
        <v>0.0</v>
      </c>
      <c r="AM22" s="128">
        <v>0.0</v>
      </c>
      <c r="AN22" s="128">
        <v>0.0</v>
      </c>
      <c r="AO22" s="128">
        <v>0.0</v>
      </c>
      <c r="AP22" s="128">
        <v>0.0</v>
      </c>
      <c r="AQ22" s="128">
        <v>0.0</v>
      </c>
    </row>
    <row r="23" ht="15.75" customHeight="1">
      <c r="A23" s="125">
        <f t="shared" si="1"/>
        <v>19</v>
      </c>
      <c r="B23" s="125">
        <v>130.0</v>
      </c>
      <c r="C23" s="126">
        <f t="shared" si="2"/>
        <v>1537</v>
      </c>
      <c r="D23" s="127">
        <v>0.0</v>
      </c>
      <c r="E23" s="128">
        <v>0.0</v>
      </c>
      <c r="F23" s="128">
        <v>0.0</v>
      </c>
      <c r="G23" s="128">
        <v>0.0</v>
      </c>
      <c r="H23" s="128">
        <v>0.0</v>
      </c>
      <c r="I23" s="128">
        <v>1.0</v>
      </c>
      <c r="J23" s="128">
        <v>0.0</v>
      </c>
      <c r="K23" s="128">
        <v>0.0</v>
      </c>
      <c r="L23" s="128">
        <v>0.0</v>
      </c>
      <c r="M23" s="128">
        <v>0.0</v>
      </c>
      <c r="N23" s="128">
        <v>0.0</v>
      </c>
      <c r="O23" s="128">
        <v>0.0</v>
      </c>
      <c r="P23" s="128">
        <v>0.0</v>
      </c>
      <c r="Q23" s="128">
        <v>0.0</v>
      </c>
      <c r="R23" s="128">
        <v>0.0</v>
      </c>
      <c r="S23" s="128">
        <v>0.0</v>
      </c>
      <c r="T23" s="128">
        <v>0.0</v>
      </c>
      <c r="U23" s="128">
        <v>0.0</v>
      </c>
      <c r="V23" s="128">
        <v>0.0</v>
      </c>
      <c r="W23" s="128">
        <v>0.0</v>
      </c>
      <c r="X23" s="127">
        <v>0.0</v>
      </c>
      <c r="Y23" s="128">
        <v>0.0</v>
      </c>
      <c r="Z23" s="128">
        <v>0.0</v>
      </c>
      <c r="AA23" s="128">
        <v>0.0</v>
      </c>
      <c r="AB23" s="128">
        <v>1.0</v>
      </c>
      <c r="AC23" s="128">
        <v>0.0</v>
      </c>
      <c r="AD23" s="128">
        <v>0.0</v>
      </c>
      <c r="AE23" s="128">
        <v>0.0</v>
      </c>
      <c r="AF23" s="128">
        <v>0.0</v>
      </c>
      <c r="AG23" s="128">
        <v>0.0</v>
      </c>
      <c r="AH23" s="128">
        <v>15.0</v>
      </c>
      <c r="AI23" s="128">
        <v>0.0</v>
      </c>
      <c r="AJ23" s="128">
        <v>0.0</v>
      </c>
      <c r="AK23" s="128">
        <v>0.0</v>
      </c>
      <c r="AL23" s="128">
        <v>0.0</v>
      </c>
      <c r="AM23" s="128">
        <v>0.0</v>
      </c>
      <c r="AN23" s="128">
        <v>0.0</v>
      </c>
      <c r="AO23" s="128">
        <v>0.0</v>
      </c>
      <c r="AP23" s="128">
        <v>0.0</v>
      </c>
      <c r="AQ23" s="128">
        <v>0.0</v>
      </c>
    </row>
    <row r="24" ht="15.75" customHeight="1">
      <c r="A24" s="125">
        <f t="shared" si="1"/>
        <v>20</v>
      </c>
      <c r="B24" s="125">
        <v>160.0</v>
      </c>
      <c r="C24" s="126">
        <f t="shared" si="2"/>
        <v>1697</v>
      </c>
      <c r="D24" s="127">
        <v>20.0</v>
      </c>
      <c r="E24" s="128">
        <v>0.0</v>
      </c>
      <c r="F24" s="128">
        <v>0.0</v>
      </c>
      <c r="G24" s="128">
        <v>0.0</v>
      </c>
      <c r="H24" s="128">
        <v>0.0</v>
      </c>
      <c r="I24" s="128">
        <v>0.0</v>
      </c>
      <c r="J24" s="128">
        <v>0.0</v>
      </c>
      <c r="K24" s="128">
        <v>0.0</v>
      </c>
      <c r="L24" s="128">
        <v>0.0</v>
      </c>
      <c r="M24" s="128">
        <v>0.0</v>
      </c>
      <c r="N24" s="128">
        <v>0.0</v>
      </c>
      <c r="O24" s="128">
        <v>0.0</v>
      </c>
      <c r="P24" s="128">
        <v>0.0</v>
      </c>
      <c r="Q24" s="128">
        <v>0.0</v>
      </c>
      <c r="R24" s="128">
        <v>0.0</v>
      </c>
      <c r="S24" s="128">
        <v>0.0</v>
      </c>
      <c r="T24" s="128">
        <v>0.0</v>
      </c>
      <c r="U24" s="128">
        <v>0.0</v>
      </c>
      <c r="V24" s="128">
        <v>0.0</v>
      </c>
      <c r="W24" s="128">
        <v>0.0</v>
      </c>
      <c r="X24" s="127">
        <v>40.0</v>
      </c>
      <c r="Y24" s="128">
        <v>0.0</v>
      </c>
      <c r="Z24" s="128">
        <v>0.0</v>
      </c>
      <c r="AA24" s="128">
        <v>1.0</v>
      </c>
      <c r="AB24" s="128">
        <v>0.0</v>
      </c>
      <c r="AC24" s="128">
        <v>0.0</v>
      </c>
      <c r="AD24" s="128">
        <v>0.0</v>
      </c>
      <c r="AE24" s="128">
        <v>0.0</v>
      </c>
      <c r="AF24" s="128">
        <v>0.0</v>
      </c>
      <c r="AG24" s="128">
        <v>60.0</v>
      </c>
      <c r="AH24" s="128">
        <v>0.0</v>
      </c>
      <c r="AI24" s="128">
        <v>0.0</v>
      </c>
      <c r="AJ24" s="128">
        <v>0.0</v>
      </c>
      <c r="AK24" s="128">
        <v>0.0</v>
      </c>
      <c r="AL24" s="128">
        <v>0.0</v>
      </c>
      <c r="AM24" s="128">
        <v>0.0</v>
      </c>
      <c r="AN24" s="128">
        <v>0.0</v>
      </c>
      <c r="AO24" s="128">
        <v>0.0</v>
      </c>
      <c r="AP24" s="128">
        <v>0.0</v>
      </c>
      <c r="AQ24" s="128">
        <v>0.0</v>
      </c>
    </row>
    <row r="25" ht="15.75" customHeight="1">
      <c r="A25" s="125">
        <f t="shared" si="1"/>
        <v>21</v>
      </c>
      <c r="B25" s="125">
        <v>160.0</v>
      </c>
      <c r="C25" s="126">
        <f t="shared" si="2"/>
        <v>1857</v>
      </c>
      <c r="D25" s="127">
        <v>0.0</v>
      </c>
      <c r="E25" s="128">
        <v>0.0</v>
      </c>
      <c r="F25" s="128">
        <v>0.0</v>
      </c>
      <c r="G25" s="128">
        <v>0.0</v>
      </c>
      <c r="H25" s="128">
        <v>1.0</v>
      </c>
      <c r="I25" s="128">
        <v>0.0</v>
      </c>
      <c r="J25" s="128">
        <v>0.0</v>
      </c>
      <c r="K25" s="128">
        <v>0.0</v>
      </c>
      <c r="L25" s="128">
        <v>0.0</v>
      </c>
      <c r="M25" s="128">
        <v>0.0</v>
      </c>
      <c r="N25" s="128">
        <v>0.0</v>
      </c>
      <c r="O25" s="128">
        <v>0.0</v>
      </c>
      <c r="P25" s="128">
        <v>0.0</v>
      </c>
      <c r="Q25" s="128">
        <v>0.0</v>
      </c>
      <c r="R25" s="128">
        <v>0.0</v>
      </c>
      <c r="S25" s="128">
        <v>0.0</v>
      </c>
      <c r="T25" s="128">
        <v>0.0</v>
      </c>
      <c r="U25" s="128">
        <v>0.0</v>
      </c>
      <c r="V25" s="128">
        <v>0.0</v>
      </c>
      <c r="W25" s="128">
        <v>0.0</v>
      </c>
      <c r="X25" s="127">
        <v>0.0</v>
      </c>
      <c r="Y25" s="128">
        <v>0.0</v>
      </c>
      <c r="Z25" s="128">
        <v>0.0</v>
      </c>
      <c r="AA25" s="128">
        <v>0.0</v>
      </c>
      <c r="AB25" s="128">
        <v>0.0</v>
      </c>
      <c r="AC25" s="128">
        <v>1.0</v>
      </c>
      <c r="AD25" s="128">
        <v>0.0</v>
      </c>
      <c r="AE25" s="128">
        <v>0.0</v>
      </c>
      <c r="AF25" s="128">
        <v>0.0</v>
      </c>
      <c r="AG25" s="128">
        <v>0.0</v>
      </c>
      <c r="AH25" s="128">
        <v>0.0</v>
      </c>
      <c r="AI25" s="128">
        <v>15.0</v>
      </c>
      <c r="AJ25" s="128">
        <v>0.0</v>
      </c>
      <c r="AK25" s="128">
        <v>0.0</v>
      </c>
      <c r="AL25" s="128">
        <v>0.0</v>
      </c>
      <c r="AM25" s="128">
        <v>0.0</v>
      </c>
      <c r="AN25" s="128">
        <v>0.0</v>
      </c>
      <c r="AO25" s="128">
        <v>0.0</v>
      </c>
      <c r="AP25" s="128">
        <v>0.0</v>
      </c>
      <c r="AQ25" s="128">
        <v>0.0</v>
      </c>
    </row>
    <row r="26" ht="15.75" customHeight="1">
      <c r="A26" s="125">
        <f t="shared" si="1"/>
        <v>22</v>
      </c>
      <c r="B26" s="125">
        <v>160.0</v>
      </c>
      <c r="C26" s="126">
        <f t="shared" si="2"/>
        <v>2017</v>
      </c>
      <c r="D26" s="127">
        <v>0.0</v>
      </c>
      <c r="E26" s="128">
        <v>0.0</v>
      </c>
      <c r="F26" s="128">
        <v>0.0</v>
      </c>
      <c r="G26" s="128">
        <v>0.0</v>
      </c>
      <c r="H26" s="128">
        <v>0.0</v>
      </c>
      <c r="I26" s="128">
        <v>0.0</v>
      </c>
      <c r="J26" s="128">
        <v>0.0</v>
      </c>
      <c r="K26" s="128">
        <v>0.0</v>
      </c>
      <c r="L26" s="128">
        <v>0.0</v>
      </c>
      <c r="M26" s="128">
        <v>0.0</v>
      </c>
      <c r="N26" s="128">
        <v>15.0</v>
      </c>
      <c r="O26" s="128">
        <v>0.0</v>
      </c>
      <c r="P26" s="128">
        <v>0.0</v>
      </c>
      <c r="Q26" s="128">
        <v>0.0</v>
      </c>
      <c r="R26" s="128">
        <v>0.0</v>
      </c>
      <c r="S26" s="128">
        <v>0.0</v>
      </c>
      <c r="T26" s="128">
        <v>0.0</v>
      </c>
      <c r="U26" s="128">
        <v>0.0</v>
      </c>
      <c r="V26" s="128">
        <v>0.0</v>
      </c>
      <c r="W26" s="128">
        <v>0.0</v>
      </c>
      <c r="X26" s="127">
        <v>0.0</v>
      </c>
      <c r="Y26" s="128">
        <v>0.0</v>
      </c>
      <c r="Z26" s="128">
        <v>0.0</v>
      </c>
      <c r="AA26" s="128">
        <v>0.0</v>
      </c>
      <c r="AB26" s="128">
        <v>0.0</v>
      </c>
      <c r="AC26" s="128">
        <v>0.0</v>
      </c>
      <c r="AD26" s="128">
        <v>0.0</v>
      </c>
      <c r="AE26" s="128">
        <v>1.0</v>
      </c>
      <c r="AF26" s="128">
        <v>0.0</v>
      </c>
      <c r="AG26" s="128">
        <v>0.0</v>
      </c>
      <c r="AH26" s="128">
        <v>0.0</v>
      </c>
      <c r="AI26" s="128">
        <v>0.0</v>
      </c>
      <c r="AJ26" s="128">
        <v>10.0</v>
      </c>
      <c r="AK26" s="128">
        <v>0.0</v>
      </c>
      <c r="AL26" s="128">
        <v>0.0</v>
      </c>
      <c r="AM26" s="128">
        <v>0.0</v>
      </c>
      <c r="AN26" s="128">
        <v>0.0</v>
      </c>
      <c r="AO26" s="128">
        <v>0.0</v>
      </c>
      <c r="AP26" s="128">
        <v>0.0</v>
      </c>
      <c r="AQ26" s="128">
        <v>0.0</v>
      </c>
    </row>
    <row r="27" ht="15.75" customHeight="1">
      <c r="A27" s="125">
        <f t="shared" si="1"/>
        <v>23</v>
      </c>
      <c r="B27" s="125">
        <v>160.0</v>
      </c>
      <c r="C27" s="126">
        <f t="shared" si="2"/>
        <v>2177</v>
      </c>
      <c r="D27" s="127">
        <v>0.0</v>
      </c>
      <c r="E27" s="128">
        <v>0.0</v>
      </c>
      <c r="F27" s="128">
        <v>0.0</v>
      </c>
      <c r="G27" s="128">
        <v>0.0</v>
      </c>
      <c r="H27" s="128">
        <v>1.0</v>
      </c>
      <c r="I27" s="128">
        <v>0.0</v>
      </c>
      <c r="J27" s="128">
        <v>0.0</v>
      </c>
      <c r="K27" s="128">
        <v>0.0</v>
      </c>
      <c r="L27" s="128">
        <v>0.0</v>
      </c>
      <c r="M27" s="128">
        <v>0.0</v>
      </c>
      <c r="N27" s="128">
        <v>0.0</v>
      </c>
      <c r="O27" s="128">
        <v>0.0</v>
      </c>
      <c r="P27" s="128">
        <v>0.0</v>
      </c>
      <c r="Q27" s="128">
        <v>0.0</v>
      </c>
      <c r="R27" s="128">
        <v>0.0</v>
      </c>
      <c r="S27" s="128">
        <v>0.0</v>
      </c>
      <c r="T27" s="128">
        <v>0.0</v>
      </c>
      <c r="U27" s="128">
        <v>0.0</v>
      </c>
      <c r="V27" s="128">
        <v>0.0</v>
      </c>
      <c r="W27" s="128">
        <v>0.0</v>
      </c>
      <c r="X27" s="127">
        <v>0.0</v>
      </c>
      <c r="Y27" s="128">
        <v>0.0</v>
      </c>
      <c r="Z27" s="128">
        <v>0.0</v>
      </c>
      <c r="AA27" s="128">
        <v>0.0</v>
      </c>
      <c r="AB27" s="128">
        <v>0.0</v>
      </c>
      <c r="AC27" s="128">
        <v>1.0</v>
      </c>
      <c r="AD27" s="128">
        <v>1.0</v>
      </c>
      <c r="AE27" s="128">
        <v>0.0</v>
      </c>
      <c r="AF27" s="128">
        <v>0.0</v>
      </c>
      <c r="AG27" s="128">
        <v>0.0</v>
      </c>
      <c r="AH27" s="128">
        <v>0.0</v>
      </c>
      <c r="AI27" s="128">
        <v>0.0</v>
      </c>
      <c r="AJ27" s="128">
        <v>0.0</v>
      </c>
      <c r="AK27" s="128">
        <v>0.0</v>
      </c>
      <c r="AL27" s="128">
        <v>0.0</v>
      </c>
      <c r="AM27" s="128">
        <v>0.0</v>
      </c>
      <c r="AN27" s="128">
        <v>0.0</v>
      </c>
      <c r="AO27" s="128">
        <v>0.0</v>
      </c>
      <c r="AP27" s="128">
        <v>0.0</v>
      </c>
      <c r="AQ27" s="128">
        <v>0.0</v>
      </c>
    </row>
    <row r="28" ht="15.75" customHeight="1">
      <c r="A28" s="125">
        <f t="shared" si="1"/>
        <v>24</v>
      </c>
      <c r="B28" s="125">
        <v>160.0</v>
      </c>
      <c r="C28" s="126">
        <f t="shared" si="2"/>
        <v>2337</v>
      </c>
      <c r="D28" s="127">
        <v>0.0</v>
      </c>
      <c r="E28" s="128">
        <v>0.0</v>
      </c>
      <c r="F28" s="128">
        <v>0.0</v>
      </c>
      <c r="G28" s="128">
        <v>0.0</v>
      </c>
      <c r="H28" s="128">
        <v>0.0</v>
      </c>
      <c r="I28" s="128">
        <v>0.0</v>
      </c>
      <c r="J28" s="128">
        <v>0.0</v>
      </c>
      <c r="K28" s="128">
        <v>0.0</v>
      </c>
      <c r="L28" s="128">
        <v>0.0</v>
      </c>
      <c r="M28" s="128">
        <v>30.0</v>
      </c>
      <c r="N28" s="128">
        <v>0.0</v>
      </c>
      <c r="O28" s="128">
        <v>0.0</v>
      </c>
      <c r="P28" s="128">
        <v>0.0</v>
      </c>
      <c r="Q28" s="128">
        <v>0.0</v>
      </c>
      <c r="R28" s="128">
        <v>0.0</v>
      </c>
      <c r="S28" s="128">
        <v>0.0</v>
      </c>
      <c r="T28" s="128">
        <v>0.0</v>
      </c>
      <c r="U28" s="128">
        <v>0.0</v>
      </c>
      <c r="V28" s="128">
        <v>0.0</v>
      </c>
      <c r="W28" s="128">
        <v>0.0</v>
      </c>
      <c r="X28" s="127">
        <v>0.0</v>
      </c>
      <c r="Y28" s="128">
        <v>0.0</v>
      </c>
      <c r="Z28" s="128">
        <v>0.0</v>
      </c>
      <c r="AA28" s="128">
        <v>0.0</v>
      </c>
      <c r="AB28" s="128">
        <v>1.0</v>
      </c>
      <c r="AC28" s="128">
        <v>0.0</v>
      </c>
      <c r="AD28" s="128">
        <v>0.0</v>
      </c>
      <c r="AE28" s="128">
        <v>0.0</v>
      </c>
      <c r="AF28" s="128">
        <v>0.0</v>
      </c>
      <c r="AG28" s="128">
        <v>0.0</v>
      </c>
      <c r="AH28" s="128">
        <v>10.0</v>
      </c>
      <c r="AI28" s="128">
        <v>0.0</v>
      </c>
      <c r="AJ28" s="128">
        <v>0.0</v>
      </c>
      <c r="AK28" s="128">
        <v>0.0</v>
      </c>
      <c r="AL28" s="128">
        <v>0.0</v>
      </c>
      <c r="AM28" s="128">
        <v>0.0</v>
      </c>
      <c r="AN28" s="128">
        <v>0.0</v>
      </c>
      <c r="AO28" s="128">
        <v>0.0</v>
      </c>
      <c r="AP28" s="128">
        <v>0.0</v>
      </c>
      <c r="AQ28" s="128">
        <v>0.0</v>
      </c>
    </row>
    <row r="29" ht="15.75" customHeight="1">
      <c r="A29" s="125">
        <f t="shared" si="1"/>
        <v>25</v>
      </c>
      <c r="B29" s="125">
        <v>190.0</v>
      </c>
      <c r="C29" s="126">
        <f t="shared" si="2"/>
        <v>2527</v>
      </c>
      <c r="D29" s="127">
        <v>25.0</v>
      </c>
      <c r="E29" s="128">
        <v>0.0</v>
      </c>
      <c r="F29" s="128">
        <v>0.0</v>
      </c>
      <c r="G29" s="128">
        <v>0.0</v>
      </c>
      <c r="H29" s="128">
        <v>0.0</v>
      </c>
      <c r="I29" s="128">
        <v>0.0</v>
      </c>
      <c r="J29" s="128">
        <v>0.0</v>
      </c>
      <c r="K29" s="128">
        <v>0.0</v>
      </c>
      <c r="L29" s="128">
        <v>0.0</v>
      </c>
      <c r="M29" s="128">
        <v>0.0</v>
      </c>
      <c r="N29" s="128">
        <v>0.0</v>
      </c>
      <c r="O29" s="128">
        <v>0.0</v>
      </c>
      <c r="P29" s="128">
        <v>0.0</v>
      </c>
      <c r="Q29" s="128">
        <v>0.0</v>
      </c>
      <c r="R29" s="128">
        <v>0.0</v>
      </c>
      <c r="S29" s="128">
        <v>0.0</v>
      </c>
      <c r="T29" s="128">
        <v>0.0</v>
      </c>
      <c r="U29" s="128">
        <v>0.0</v>
      </c>
      <c r="V29" s="128">
        <v>0.0</v>
      </c>
      <c r="W29" s="128">
        <v>0.0</v>
      </c>
      <c r="X29" s="127">
        <v>55.0</v>
      </c>
      <c r="Y29" s="128">
        <v>0.0</v>
      </c>
      <c r="Z29" s="128">
        <v>0.0</v>
      </c>
      <c r="AA29" s="128">
        <v>0.0</v>
      </c>
      <c r="AB29" s="128">
        <v>0.0</v>
      </c>
      <c r="AC29" s="128">
        <v>0.0</v>
      </c>
      <c r="AD29" s="128">
        <v>0.0</v>
      </c>
      <c r="AE29" s="128">
        <v>0.0</v>
      </c>
      <c r="AF29" s="128">
        <v>0.0</v>
      </c>
      <c r="AG29" s="128">
        <v>120.0</v>
      </c>
      <c r="AH29" s="128">
        <v>0.0</v>
      </c>
      <c r="AI29" s="128">
        <v>0.0</v>
      </c>
      <c r="AJ29" s="128">
        <v>0.0</v>
      </c>
      <c r="AK29" s="128">
        <v>0.0</v>
      </c>
      <c r="AL29" s="128">
        <v>0.0</v>
      </c>
      <c r="AM29" s="128">
        <v>0.0</v>
      </c>
      <c r="AN29" s="128">
        <v>0.0</v>
      </c>
      <c r="AO29" s="128">
        <v>0.0</v>
      </c>
      <c r="AP29" s="128">
        <v>0.0</v>
      </c>
      <c r="AQ29" s="128">
        <v>0.0</v>
      </c>
    </row>
    <row r="30" ht="15.75" customHeight="1">
      <c r="A30" s="125">
        <f t="shared" si="1"/>
        <v>26</v>
      </c>
      <c r="B30" s="125">
        <v>190.0</v>
      </c>
      <c r="C30" s="126">
        <f t="shared" si="2"/>
        <v>2717</v>
      </c>
      <c r="D30" s="127">
        <v>0.0</v>
      </c>
      <c r="E30" s="128">
        <v>0.0</v>
      </c>
      <c r="F30" s="128">
        <v>0.0</v>
      </c>
      <c r="G30" s="128">
        <v>0.0</v>
      </c>
      <c r="H30" s="128">
        <v>0.0</v>
      </c>
      <c r="I30" s="128">
        <v>0.0</v>
      </c>
      <c r="J30" s="128">
        <v>0.0</v>
      </c>
      <c r="K30" s="128">
        <v>0.0</v>
      </c>
      <c r="L30" s="128">
        <v>0.0</v>
      </c>
      <c r="M30" s="128">
        <v>30.0</v>
      </c>
      <c r="N30" s="128">
        <v>0.0</v>
      </c>
      <c r="O30" s="128">
        <v>0.0</v>
      </c>
      <c r="P30" s="128">
        <v>0.0</v>
      </c>
      <c r="Q30" s="128">
        <v>0.0</v>
      </c>
      <c r="R30" s="128">
        <v>0.0</v>
      </c>
      <c r="S30" s="128">
        <v>0.0</v>
      </c>
      <c r="T30" s="128">
        <v>0.0</v>
      </c>
      <c r="U30" s="128">
        <v>0.0</v>
      </c>
      <c r="V30" s="128">
        <v>0.0</v>
      </c>
      <c r="W30" s="128">
        <v>0.0</v>
      </c>
      <c r="X30" s="127">
        <v>0.0</v>
      </c>
      <c r="Y30" s="128">
        <v>0.0</v>
      </c>
      <c r="Z30" s="128">
        <v>0.0</v>
      </c>
      <c r="AA30" s="128">
        <v>1.0</v>
      </c>
      <c r="AB30" s="128">
        <v>0.0</v>
      </c>
      <c r="AC30" s="128">
        <v>0.0</v>
      </c>
      <c r="AD30" s="128">
        <v>0.0</v>
      </c>
      <c r="AE30" s="128">
        <v>1.0</v>
      </c>
      <c r="AF30" s="128">
        <v>0.0</v>
      </c>
      <c r="AG30" s="128">
        <v>0.0</v>
      </c>
      <c r="AH30" s="128">
        <v>0.0</v>
      </c>
      <c r="AI30" s="128">
        <v>0.0</v>
      </c>
      <c r="AJ30" s="128">
        <v>0.0</v>
      </c>
      <c r="AK30" s="128">
        <v>0.0</v>
      </c>
      <c r="AL30" s="128">
        <v>0.0</v>
      </c>
      <c r="AM30" s="128">
        <v>0.0</v>
      </c>
      <c r="AN30" s="128">
        <v>0.0</v>
      </c>
      <c r="AO30" s="128">
        <v>0.0</v>
      </c>
      <c r="AP30" s="128">
        <v>0.0</v>
      </c>
      <c r="AQ30" s="128">
        <v>0.0</v>
      </c>
    </row>
    <row r="31" ht="15.75" customHeight="1">
      <c r="A31" s="125">
        <f t="shared" si="1"/>
        <v>27</v>
      </c>
      <c r="B31" s="125">
        <v>190.0</v>
      </c>
      <c r="C31" s="126">
        <f t="shared" si="2"/>
        <v>2907</v>
      </c>
      <c r="D31" s="127">
        <v>0.0</v>
      </c>
      <c r="E31" s="128">
        <v>0.0</v>
      </c>
      <c r="F31" s="128">
        <v>0.0</v>
      </c>
      <c r="G31" s="128">
        <v>0.0</v>
      </c>
      <c r="H31" s="128">
        <v>0.0</v>
      </c>
      <c r="I31" s="128">
        <v>0.0</v>
      </c>
      <c r="J31" s="128">
        <v>1.0</v>
      </c>
      <c r="K31" s="128">
        <v>0.0</v>
      </c>
      <c r="L31" s="128">
        <v>0.0</v>
      </c>
      <c r="M31" s="128">
        <v>0.0</v>
      </c>
      <c r="N31" s="128">
        <v>0.0</v>
      </c>
      <c r="O31" s="128">
        <v>0.0</v>
      </c>
      <c r="P31" s="128">
        <v>0.0</v>
      </c>
      <c r="Q31" s="128">
        <v>0.0</v>
      </c>
      <c r="R31" s="128">
        <v>0.0</v>
      </c>
      <c r="S31" s="128">
        <v>0.0</v>
      </c>
      <c r="T31" s="128">
        <v>0.0</v>
      </c>
      <c r="U31" s="128">
        <v>0.0</v>
      </c>
      <c r="V31" s="128">
        <v>0.0</v>
      </c>
      <c r="W31" s="128">
        <v>0.0</v>
      </c>
      <c r="X31" s="127">
        <v>0.0</v>
      </c>
      <c r="Y31" s="128">
        <v>0.0</v>
      </c>
      <c r="Z31" s="128">
        <v>0.0</v>
      </c>
      <c r="AA31" s="128">
        <v>0.0</v>
      </c>
      <c r="AB31" s="128">
        <v>0.0</v>
      </c>
      <c r="AC31" s="128">
        <v>0.0</v>
      </c>
      <c r="AD31" s="128">
        <v>0.0</v>
      </c>
      <c r="AE31" s="128">
        <v>0.0</v>
      </c>
      <c r="AF31" s="128">
        <v>1.0</v>
      </c>
      <c r="AG31" s="128">
        <v>0.0</v>
      </c>
      <c r="AH31" s="128">
        <v>0.0</v>
      </c>
      <c r="AI31" s="128">
        <v>10.0</v>
      </c>
      <c r="AJ31" s="128">
        <v>0.0</v>
      </c>
      <c r="AK31" s="128">
        <v>0.0</v>
      </c>
      <c r="AL31" s="128">
        <v>0.0</v>
      </c>
      <c r="AM31" s="128">
        <v>0.0</v>
      </c>
      <c r="AN31" s="128">
        <v>0.0</v>
      </c>
      <c r="AO31" s="128">
        <v>0.0</v>
      </c>
      <c r="AP31" s="128">
        <v>0.0</v>
      </c>
      <c r="AQ31" s="128">
        <v>0.0</v>
      </c>
    </row>
    <row r="32" ht="15.75" customHeight="1">
      <c r="A32" s="125">
        <f t="shared" si="1"/>
        <v>28</v>
      </c>
      <c r="B32" s="125">
        <v>190.0</v>
      </c>
      <c r="C32" s="126">
        <f t="shared" si="2"/>
        <v>3097</v>
      </c>
      <c r="D32" s="127">
        <v>0.0</v>
      </c>
      <c r="E32" s="128">
        <v>0.0</v>
      </c>
      <c r="F32" s="128">
        <v>0.0</v>
      </c>
      <c r="G32" s="128">
        <v>0.0</v>
      </c>
      <c r="H32" s="128">
        <v>0.0</v>
      </c>
      <c r="I32" s="128">
        <v>1.0</v>
      </c>
      <c r="J32" s="128">
        <v>0.0</v>
      </c>
      <c r="K32" s="128">
        <v>0.0</v>
      </c>
      <c r="L32" s="128">
        <v>0.0</v>
      </c>
      <c r="M32" s="128">
        <v>0.0</v>
      </c>
      <c r="N32" s="128">
        <v>0.0</v>
      </c>
      <c r="O32" s="128">
        <v>0.0</v>
      </c>
      <c r="P32" s="128">
        <v>0.0</v>
      </c>
      <c r="Q32" s="128">
        <v>0.0</v>
      </c>
      <c r="R32" s="128">
        <v>0.0</v>
      </c>
      <c r="S32" s="128">
        <v>0.0</v>
      </c>
      <c r="T32" s="128">
        <v>0.0</v>
      </c>
      <c r="U32" s="128">
        <v>0.0</v>
      </c>
      <c r="V32" s="128">
        <v>0.0</v>
      </c>
      <c r="W32" s="128">
        <v>0.0</v>
      </c>
      <c r="X32" s="127">
        <v>0.0</v>
      </c>
      <c r="Y32" s="128">
        <v>0.0</v>
      </c>
      <c r="Z32" s="128">
        <v>0.0</v>
      </c>
      <c r="AA32" s="128">
        <v>0.0</v>
      </c>
      <c r="AB32" s="128">
        <v>0.0</v>
      </c>
      <c r="AC32" s="128">
        <v>0.0</v>
      </c>
      <c r="AD32" s="128">
        <v>0.0</v>
      </c>
      <c r="AE32" s="128">
        <v>0.0</v>
      </c>
      <c r="AF32" s="128">
        <v>0.0</v>
      </c>
      <c r="AG32" s="128">
        <v>60.0</v>
      </c>
      <c r="AH32" s="128">
        <v>15.0</v>
      </c>
      <c r="AI32" s="128">
        <v>0.0</v>
      </c>
      <c r="AJ32" s="128">
        <v>0.0</v>
      </c>
      <c r="AK32" s="128">
        <v>0.0</v>
      </c>
      <c r="AL32" s="128">
        <v>0.0</v>
      </c>
      <c r="AM32" s="128">
        <v>0.0</v>
      </c>
      <c r="AN32" s="128">
        <v>0.0</v>
      </c>
      <c r="AO32" s="128">
        <v>0.0</v>
      </c>
      <c r="AP32" s="128">
        <v>0.0</v>
      </c>
      <c r="AQ32" s="128">
        <v>0.0</v>
      </c>
    </row>
    <row r="33" ht="15.75" customHeight="1">
      <c r="A33" s="125">
        <f t="shared" si="1"/>
        <v>29</v>
      </c>
      <c r="B33" s="125">
        <v>190.0</v>
      </c>
      <c r="C33" s="126">
        <f t="shared" si="2"/>
        <v>3287</v>
      </c>
      <c r="D33" s="127">
        <v>0.0</v>
      </c>
      <c r="E33" s="128">
        <v>0.0</v>
      </c>
      <c r="F33" s="128">
        <v>0.0</v>
      </c>
      <c r="G33" s="128">
        <v>0.0</v>
      </c>
      <c r="H33" s="128">
        <v>0.0</v>
      </c>
      <c r="I33" s="128">
        <v>0.0</v>
      </c>
      <c r="J33" s="128">
        <v>0.0</v>
      </c>
      <c r="K33" s="128">
        <v>1.0</v>
      </c>
      <c r="L33" s="128">
        <v>0.0</v>
      </c>
      <c r="M33" s="128">
        <v>0.0</v>
      </c>
      <c r="N33" s="128">
        <v>0.0</v>
      </c>
      <c r="O33" s="128">
        <v>0.0</v>
      </c>
      <c r="P33" s="128">
        <v>0.0</v>
      </c>
      <c r="Q33" s="128">
        <v>0.0</v>
      </c>
      <c r="R33" s="128">
        <v>0.0</v>
      </c>
      <c r="S33" s="128">
        <v>0.0</v>
      </c>
      <c r="T33" s="128">
        <v>0.0</v>
      </c>
      <c r="U33" s="128">
        <v>0.0</v>
      </c>
      <c r="V33" s="128">
        <v>0.0</v>
      </c>
      <c r="W33" s="128">
        <v>0.0</v>
      </c>
      <c r="X33" s="127">
        <v>0.0</v>
      </c>
      <c r="Y33" s="128">
        <v>0.0</v>
      </c>
      <c r="Z33" s="128">
        <v>0.0</v>
      </c>
      <c r="AA33" s="128">
        <v>0.0</v>
      </c>
      <c r="AB33" s="128">
        <v>0.0</v>
      </c>
      <c r="AC33" s="128">
        <v>0.0</v>
      </c>
      <c r="AD33" s="128">
        <v>0.0</v>
      </c>
      <c r="AE33" s="128">
        <v>0.0</v>
      </c>
      <c r="AF33" s="128">
        <v>0.0</v>
      </c>
      <c r="AG33" s="128">
        <v>120.0</v>
      </c>
      <c r="AH33" s="128">
        <v>0.0</v>
      </c>
      <c r="AI33" s="128">
        <v>0.0</v>
      </c>
      <c r="AJ33" s="128">
        <v>15.0</v>
      </c>
      <c r="AK33" s="128">
        <v>0.0</v>
      </c>
      <c r="AL33" s="128">
        <v>0.0</v>
      </c>
      <c r="AM33" s="128">
        <v>0.0</v>
      </c>
      <c r="AN33" s="128">
        <v>0.0</v>
      </c>
      <c r="AO33" s="128">
        <v>0.0</v>
      </c>
      <c r="AP33" s="128">
        <v>0.0</v>
      </c>
      <c r="AQ33" s="128">
        <v>0.0</v>
      </c>
    </row>
    <row r="34" ht="15.75" customHeight="1">
      <c r="A34" s="125">
        <f t="shared" si="1"/>
        <v>30</v>
      </c>
      <c r="B34" s="125">
        <v>270.0</v>
      </c>
      <c r="C34" s="126">
        <f t="shared" si="2"/>
        <v>3557</v>
      </c>
      <c r="D34" s="127">
        <v>40.0</v>
      </c>
      <c r="E34" s="128">
        <v>0.0</v>
      </c>
      <c r="F34" s="128">
        <v>0.0</v>
      </c>
      <c r="G34" s="128">
        <v>0.0</v>
      </c>
      <c r="H34" s="128">
        <v>0.0</v>
      </c>
      <c r="I34" s="128">
        <v>0.0</v>
      </c>
      <c r="J34" s="128">
        <v>0.0</v>
      </c>
      <c r="K34" s="128">
        <v>0.0</v>
      </c>
      <c r="L34" s="128">
        <v>0.0</v>
      </c>
      <c r="M34" s="128">
        <v>0.0</v>
      </c>
      <c r="N34" s="128">
        <v>0.0</v>
      </c>
      <c r="O34" s="128">
        <v>0.0</v>
      </c>
      <c r="P34" s="128">
        <v>0.0</v>
      </c>
      <c r="Q34" s="128">
        <v>0.0</v>
      </c>
      <c r="R34" s="128">
        <v>0.0</v>
      </c>
      <c r="S34" s="128">
        <v>0.0</v>
      </c>
      <c r="T34" s="128">
        <v>0.0</v>
      </c>
      <c r="U34" s="128">
        <v>0.0</v>
      </c>
      <c r="V34" s="128">
        <v>0.0</v>
      </c>
      <c r="W34" s="128">
        <v>0.0</v>
      </c>
      <c r="X34" s="127">
        <v>100.0</v>
      </c>
      <c r="Y34" s="128">
        <v>0.0</v>
      </c>
      <c r="Z34" s="128">
        <v>0.0</v>
      </c>
      <c r="AA34" s="128">
        <v>0.0</v>
      </c>
      <c r="AB34" s="128">
        <v>0.0</v>
      </c>
      <c r="AC34" s="128">
        <v>0.0</v>
      </c>
      <c r="AD34" s="128">
        <v>0.0</v>
      </c>
      <c r="AE34" s="128">
        <v>0.0</v>
      </c>
      <c r="AF34" s="128">
        <v>1.0</v>
      </c>
      <c r="AG34" s="128">
        <v>0.0</v>
      </c>
      <c r="AH34" s="128">
        <v>0.0</v>
      </c>
      <c r="AI34" s="128">
        <v>0.0</v>
      </c>
      <c r="AJ34" s="128">
        <v>0.0</v>
      </c>
      <c r="AK34" s="128">
        <v>1.0</v>
      </c>
      <c r="AL34" s="128">
        <v>0.0</v>
      </c>
      <c r="AM34" s="128">
        <v>0.0</v>
      </c>
      <c r="AN34" s="128">
        <v>0.0</v>
      </c>
      <c r="AO34" s="128">
        <v>0.0</v>
      </c>
      <c r="AP34" s="128">
        <v>0.0</v>
      </c>
      <c r="AQ34" s="128">
        <v>0.0</v>
      </c>
    </row>
    <row r="35" ht="15.75" customHeight="1">
      <c r="A35" s="129" t="s">
        <v>111</v>
      </c>
      <c r="B35" s="130">
        <f>SUM(B5:B34)</f>
        <v>3557</v>
      </c>
      <c r="C35" s="131" t="s">
        <v>112</v>
      </c>
      <c r="D35" s="132">
        <v>130.0</v>
      </c>
      <c r="E35" s="130">
        <v>0.0</v>
      </c>
      <c r="F35" s="130">
        <v>0.0</v>
      </c>
      <c r="G35" s="130">
        <v>4.0</v>
      </c>
      <c r="H35" s="130">
        <v>5.0</v>
      </c>
      <c r="I35" s="130">
        <v>2.0</v>
      </c>
      <c r="J35" s="130">
        <v>1.0</v>
      </c>
      <c r="K35" s="130">
        <v>2.0</v>
      </c>
      <c r="L35" s="130">
        <v>0.0</v>
      </c>
      <c r="M35" s="130">
        <v>165.0</v>
      </c>
      <c r="N35" s="130">
        <v>35.0</v>
      </c>
      <c r="O35" s="130">
        <v>15.0</v>
      </c>
      <c r="P35" s="130">
        <v>0.0</v>
      </c>
      <c r="Q35" s="130">
        <v>0.0</v>
      </c>
      <c r="R35" s="130">
        <v>0.0</v>
      </c>
      <c r="S35" s="130">
        <v>0.0</v>
      </c>
      <c r="T35" s="130">
        <v>0.0</v>
      </c>
      <c r="U35" s="130">
        <v>0.0</v>
      </c>
      <c r="V35" s="130">
        <v>0.0</v>
      </c>
      <c r="W35" s="131">
        <v>0.0</v>
      </c>
      <c r="X35" s="132">
        <v>300.0</v>
      </c>
      <c r="Y35" s="130">
        <v>0.0</v>
      </c>
      <c r="Z35" s="130">
        <v>0.0</v>
      </c>
      <c r="AA35" s="130">
        <v>4.0</v>
      </c>
      <c r="AB35" s="130">
        <v>3.0</v>
      </c>
      <c r="AC35" s="130">
        <v>5.0</v>
      </c>
      <c r="AD35" s="130">
        <v>4.0</v>
      </c>
      <c r="AE35" s="130">
        <v>4.0</v>
      </c>
      <c r="AF35" s="130">
        <v>4.0</v>
      </c>
      <c r="AG35" s="130">
        <v>600.0</v>
      </c>
      <c r="AH35" s="130">
        <v>50.0</v>
      </c>
      <c r="AI35" s="130">
        <v>65.0</v>
      </c>
      <c r="AJ35" s="130">
        <v>35.0</v>
      </c>
      <c r="AK35" s="130">
        <v>1.0</v>
      </c>
      <c r="AL35" s="130">
        <v>0.0</v>
      </c>
      <c r="AM35" s="130">
        <v>0.0</v>
      </c>
      <c r="AN35" s="130">
        <v>0.0</v>
      </c>
      <c r="AO35" s="130">
        <v>0.0</v>
      </c>
      <c r="AP35" s="130">
        <v>0.0</v>
      </c>
      <c r="AQ35" s="130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5" priority="1" operator="greaterThan">
      <formula>0</formula>
    </cfRule>
  </conditionalFormatting>
  <conditionalFormatting sqref="A5:AQ34">
    <cfRule type="expression" dxfId="6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7" t="s">
        <v>113</v>
      </c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</row>
    <row r="2">
      <c r="A2" s="134" t="s">
        <v>114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</row>
    <row r="3">
      <c r="A3" s="136" t="s">
        <v>115</v>
      </c>
      <c r="B3" s="137">
        <v>50.0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</row>
    <row r="4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</row>
    <row r="5">
      <c r="A5" s="134" t="s">
        <v>116</v>
      </c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</row>
    <row r="6">
      <c r="A6" s="138" t="s">
        <v>117</v>
      </c>
      <c r="B6" s="139" t="s">
        <v>82</v>
      </c>
      <c r="C6" s="140" t="s">
        <v>68</v>
      </c>
      <c r="D6" s="140" t="s">
        <v>103</v>
      </c>
      <c r="E6" s="140" t="s">
        <v>69</v>
      </c>
      <c r="F6" s="140" t="s">
        <v>70</v>
      </c>
      <c r="G6" s="140" t="s">
        <v>71</v>
      </c>
      <c r="H6" s="140" t="s">
        <v>72</v>
      </c>
      <c r="I6" s="140" t="s">
        <v>73</v>
      </c>
      <c r="J6" s="140" t="s">
        <v>74</v>
      </c>
      <c r="K6" s="140" t="s">
        <v>75</v>
      </c>
      <c r="L6" s="140" t="s">
        <v>76</v>
      </c>
      <c r="M6" s="140" t="s">
        <v>77</v>
      </c>
      <c r="N6" s="140" t="s">
        <v>78</v>
      </c>
      <c r="O6" s="140" t="s">
        <v>118</v>
      </c>
      <c r="P6" s="140" t="s">
        <v>104</v>
      </c>
      <c r="Q6" s="140" t="s">
        <v>105</v>
      </c>
      <c r="R6" s="140" t="s">
        <v>106</v>
      </c>
      <c r="S6" s="140" t="s">
        <v>107</v>
      </c>
      <c r="T6" s="140" t="s">
        <v>108</v>
      </c>
      <c r="U6" s="140" t="s">
        <v>109</v>
      </c>
      <c r="V6" s="140" t="s">
        <v>110</v>
      </c>
    </row>
    <row r="7">
      <c r="A7" s="141" t="s">
        <v>119</v>
      </c>
      <c r="B7" s="142">
        <v>500.0</v>
      </c>
      <c r="C7" s="143">
        <v>0.0</v>
      </c>
      <c r="D7" s="143">
        <v>0.0</v>
      </c>
      <c r="E7" s="143">
        <v>0.0</v>
      </c>
      <c r="F7" s="143">
        <v>0.0</v>
      </c>
      <c r="G7" s="144">
        <v>1.0</v>
      </c>
      <c r="H7" s="143">
        <v>0.0</v>
      </c>
      <c r="I7" s="143">
        <v>0.0</v>
      </c>
      <c r="J7" s="143">
        <v>0.0</v>
      </c>
      <c r="K7" s="143">
        <v>0.0</v>
      </c>
      <c r="L7" s="143">
        <v>0.0</v>
      </c>
      <c r="M7" s="143">
        <v>0.0</v>
      </c>
      <c r="N7" s="143">
        <v>0.0</v>
      </c>
      <c r="O7" s="143">
        <v>0.0</v>
      </c>
      <c r="P7" s="144">
        <v>1.0</v>
      </c>
      <c r="Q7" s="143">
        <v>0.0</v>
      </c>
      <c r="R7" s="143">
        <v>0.0</v>
      </c>
      <c r="S7" s="143">
        <v>0.0</v>
      </c>
      <c r="T7" s="143">
        <v>0.0</v>
      </c>
      <c r="U7" s="143">
        <v>0.0</v>
      </c>
      <c r="V7" s="143">
        <v>0.0</v>
      </c>
    </row>
    <row r="8">
      <c r="A8" s="145" t="s">
        <v>120</v>
      </c>
      <c r="B8" s="142">
        <v>300.0</v>
      </c>
      <c r="C8" s="146">
        <v>0.0</v>
      </c>
      <c r="D8" s="146">
        <v>0.0</v>
      </c>
      <c r="E8" s="146">
        <v>0.0</v>
      </c>
      <c r="F8" s="146">
        <v>0.0</v>
      </c>
      <c r="G8" s="146">
        <v>0.0</v>
      </c>
      <c r="H8" s="146">
        <v>0.0</v>
      </c>
      <c r="I8" s="144">
        <v>1.0</v>
      </c>
      <c r="J8" s="146">
        <v>0.0</v>
      </c>
      <c r="K8" s="146">
        <v>0.0</v>
      </c>
      <c r="L8" s="146">
        <v>0.0</v>
      </c>
      <c r="M8" s="146">
        <v>0.0</v>
      </c>
      <c r="N8" s="146">
        <v>0.0</v>
      </c>
      <c r="O8" s="146">
        <v>0.0</v>
      </c>
      <c r="P8" s="146">
        <v>0.0</v>
      </c>
      <c r="Q8" s="146">
        <v>0.0</v>
      </c>
      <c r="R8" s="146">
        <v>0.0</v>
      </c>
      <c r="S8" s="146">
        <v>0.0</v>
      </c>
      <c r="T8" s="146">
        <v>0.0</v>
      </c>
      <c r="U8" s="146">
        <v>0.0</v>
      </c>
      <c r="V8" s="146">
        <v>0.0</v>
      </c>
    </row>
    <row r="9">
      <c r="A9" s="141" t="s">
        <v>121</v>
      </c>
      <c r="B9" s="142">
        <v>200.0</v>
      </c>
      <c r="C9" s="143">
        <v>0.0</v>
      </c>
      <c r="D9" s="143">
        <v>0.0</v>
      </c>
      <c r="E9" s="143">
        <v>0.0</v>
      </c>
      <c r="F9" s="143">
        <v>0.0</v>
      </c>
      <c r="G9" s="143">
        <v>0.0</v>
      </c>
      <c r="H9" s="143">
        <v>0.0</v>
      </c>
      <c r="I9" s="144">
        <v>1.0</v>
      </c>
      <c r="J9" s="143">
        <v>0.0</v>
      </c>
      <c r="K9" s="143">
        <v>0.0</v>
      </c>
      <c r="L9" s="143">
        <v>0.0</v>
      </c>
      <c r="M9" s="143">
        <v>0.0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43">
        <v>0.0</v>
      </c>
      <c r="V9" s="143">
        <v>0.0</v>
      </c>
    </row>
    <row r="10">
      <c r="A10" s="145" t="s">
        <v>122</v>
      </c>
      <c r="B10" s="142">
        <v>175.0</v>
      </c>
      <c r="C10" s="146">
        <v>0.0</v>
      </c>
      <c r="D10" s="146">
        <v>0.0</v>
      </c>
      <c r="E10" s="146">
        <v>0.0</v>
      </c>
      <c r="F10" s="146">
        <v>0.0</v>
      </c>
      <c r="G10" s="146">
        <v>0.0</v>
      </c>
      <c r="H10" s="146">
        <v>0.0</v>
      </c>
      <c r="I10" s="144">
        <v>1.0</v>
      </c>
      <c r="J10" s="146">
        <v>0.0</v>
      </c>
      <c r="K10" s="146">
        <v>0.0</v>
      </c>
      <c r="L10" s="146">
        <v>0.0</v>
      </c>
      <c r="M10" s="146">
        <v>0.0</v>
      </c>
      <c r="N10" s="146">
        <v>0.0</v>
      </c>
      <c r="O10" s="146">
        <v>0.0</v>
      </c>
      <c r="P10" s="146">
        <v>0.0</v>
      </c>
      <c r="Q10" s="146">
        <v>0.0</v>
      </c>
      <c r="R10" s="146">
        <v>0.0</v>
      </c>
      <c r="S10" s="146">
        <v>0.0</v>
      </c>
      <c r="T10" s="146">
        <v>0.0</v>
      </c>
      <c r="U10" s="146">
        <v>0.0</v>
      </c>
      <c r="V10" s="146">
        <v>0.0</v>
      </c>
    </row>
    <row r="11">
      <c r="A11" s="141" t="s">
        <v>123</v>
      </c>
      <c r="B11" s="142">
        <v>150.0</v>
      </c>
      <c r="C11" s="143">
        <v>0.0</v>
      </c>
      <c r="D11" s="143">
        <v>0.0</v>
      </c>
      <c r="E11" s="143">
        <v>0.0</v>
      </c>
      <c r="F11" s="143">
        <v>0.0</v>
      </c>
      <c r="G11" s="143">
        <v>0.0</v>
      </c>
      <c r="H11" s="143">
        <v>0.0</v>
      </c>
      <c r="I11" s="144">
        <v>1.0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</row>
    <row r="12">
      <c r="A12" s="145" t="s">
        <v>124</v>
      </c>
      <c r="B12" s="142">
        <v>125.0</v>
      </c>
      <c r="C12" s="146">
        <v>0.0</v>
      </c>
      <c r="D12" s="146">
        <v>0.0</v>
      </c>
      <c r="E12" s="146">
        <v>0.0</v>
      </c>
      <c r="F12" s="146">
        <v>0.0</v>
      </c>
      <c r="G12" s="146">
        <v>0.0</v>
      </c>
      <c r="H12" s="146">
        <v>0.0</v>
      </c>
      <c r="I12" s="144">
        <v>1.0</v>
      </c>
      <c r="J12" s="146">
        <v>0.0</v>
      </c>
      <c r="K12" s="146">
        <v>0.0</v>
      </c>
      <c r="L12" s="146">
        <v>0.0</v>
      </c>
      <c r="M12" s="146">
        <v>0.0</v>
      </c>
      <c r="N12" s="146">
        <v>0.0</v>
      </c>
      <c r="O12" s="146">
        <v>0.0</v>
      </c>
      <c r="P12" s="146">
        <v>0.0</v>
      </c>
      <c r="Q12" s="146">
        <v>0.0</v>
      </c>
      <c r="R12" s="146">
        <v>0.0</v>
      </c>
      <c r="S12" s="146">
        <v>0.0</v>
      </c>
      <c r="T12" s="146">
        <v>0.0</v>
      </c>
      <c r="U12" s="146">
        <v>0.0</v>
      </c>
      <c r="V12" s="146">
        <v>0.0</v>
      </c>
    </row>
    <row r="13">
      <c r="A13" s="141" t="s">
        <v>125</v>
      </c>
      <c r="B13" s="142">
        <v>100.0</v>
      </c>
      <c r="C13" s="143">
        <v>0.0</v>
      </c>
      <c r="D13" s="143">
        <v>0.0</v>
      </c>
      <c r="E13" s="143">
        <v>0.0</v>
      </c>
      <c r="F13" s="143">
        <v>0.0</v>
      </c>
      <c r="G13" s="143">
        <v>0.0</v>
      </c>
      <c r="H13" s="143">
        <v>0.0</v>
      </c>
      <c r="I13" s="144">
        <v>1.0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</row>
    <row r="14">
      <c r="A14" s="145" t="s">
        <v>126</v>
      </c>
      <c r="B14" s="142">
        <v>75.0</v>
      </c>
      <c r="C14" s="146">
        <v>0.0</v>
      </c>
      <c r="D14" s="146">
        <v>0.0</v>
      </c>
      <c r="E14" s="146">
        <v>0.0</v>
      </c>
      <c r="F14" s="146">
        <v>0.0</v>
      </c>
      <c r="G14" s="146">
        <v>0.0</v>
      </c>
      <c r="H14" s="146">
        <v>0.0</v>
      </c>
      <c r="I14" s="144">
        <v>1.0</v>
      </c>
      <c r="J14" s="146">
        <v>0.0</v>
      </c>
      <c r="K14" s="146">
        <v>0.0</v>
      </c>
      <c r="L14" s="146">
        <v>0.0</v>
      </c>
      <c r="M14" s="146">
        <v>0.0</v>
      </c>
      <c r="N14" s="146">
        <v>0.0</v>
      </c>
      <c r="O14" s="146">
        <v>0.0</v>
      </c>
      <c r="P14" s="146">
        <v>0.0</v>
      </c>
      <c r="Q14" s="146">
        <v>0.0</v>
      </c>
      <c r="R14" s="146">
        <v>0.0</v>
      </c>
      <c r="S14" s="146">
        <v>0.0</v>
      </c>
      <c r="T14" s="146">
        <v>0.0</v>
      </c>
      <c r="U14" s="146">
        <v>0.0</v>
      </c>
      <c r="V14" s="146">
        <v>0.0</v>
      </c>
    </row>
    <row r="15">
      <c r="A15" s="141" t="s">
        <v>127</v>
      </c>
      <c r="B15" s="142">
        <v>50.0</v>
      </c>
      <c r="C15" s="143">
        <v>0.0</v>
      </c>
      <c r="D15" s="143">
        <v>0.0</v>
      </c>
      <c r="E15" s="143">
        <v>0.0</v>
      </c>
      <c r="F15" s="143">
        <v>0.0</v>
      </c>
      <c r="G15" s="143">
        <v>0.0</v>
      </c>
      <c r="H15" s="143">
        <v>0.0</v>
      </c>
      <c r="I15" s="144">
        <v>1.0</v>
      </c>
      <c r="J15" s="143">
        <v>0.0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</row>
    <row r="16">
      <c r="A16" s="145" t="s">
        <v>128</v>
      </c>
      <c r="B16" s="142">
        <v>25.0</v>
      </c>
      <c r="C16" s="146">
        <v>0.0</v>
      </c>
      <c r="D16" s="146">
        <v>0.0</v>
      </c>
      <c r="E16" s="146">
        <v>0.0</v>
      </c>
      <c r="F16" s="146">
        <v>0.0</v>
      </c>
      <c r="G16" s="146">
        <v>0.0</v>
      </c>
      <c r="H16" s="146">
        <v>0.0</v>
      </c>
      <c r="I16" s="144">
        <v>1.0</v>
      </c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146">
        <v>0.0</v>
      </c>
      <c r="Q16" s="146">
        <v>0.0</v>
      </c>
      <c r="R16" s="146">
        <v>0.0</v>
      </c>
      <c r="S16" s="146">
        <v>0.0</v>
      </c>
      <c r="T16" s="146">
        <v>0.0</v>
      </c>
      <c r="U16" s="146">
        <v>0.0</v>
      </c>
      <c r="V16" s="146">
        <v>0.0</v>
      </c>
    </row>
    <row r="17">
      <c r="A17" s="141" t="s">
        <v>129</v>
      </c>
      <c r="B17" s="147">
        <v>0.0</v>
      </c>
      <c r="C17" s="143">
        <v>0.0</v>
      </c>
      <c r="D17" s="143">
        <v>0.0</v>
      </c>
      <c r="E17" s="143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0.0</v>
      </c>
      <c r="L17" s="143">
        <v>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</row>
    <row r="18">
      <c r="A18" s="145" t="s">
        <v>130</v>
      </c>
      <c r="B18" s="148">
        <v>0.0</v>
      </c>
      <c r="C18" s="146">
        <v>0.0</v>
      </c>
      <c r="D18" s="146">
        <v>0.0</v>
      </c>
      <c r="E18" s="146">
        <v>0.0</v>
      </c>
      <c r="F18" s="146">
        <v>0.0</v>
      </c>
      <c r="G18" s="146">
        <v>0.0</v>
      </c>
      <c r="H18" s="144">
        <v>1.0</v>
      </c>
      <c r="I18" s="146">
        <v>0.0</v>
      </c>
      <c r="J18" s="146">
        <v>0.0</v>
      </c>
      <c r="K18" s="146">
        <v>0.0</v>
      </c>
      <c r="L18" s="146">
        <v>0.0</v>
      </c>
      <c r="M18" s="146">
        <v>0.0</v>
      </c>
      <c r="N18" s="146">
        <v>0.0</v>
      </c>
      <c r="O18" s="146">
        <v>0.0</v>
      </c>
      <c r="P18" s="146">
        <v>0.0</v>
      </c>
      <c r="Q18" s="146">
        <v>0.0</v>
      </c>
      <c r="R18" s="146">
        <v>0.0</v>
      </c>
      <c r="S18" s="146">
        <v>0.0</v>
      </c>
      <c r="T18" s="146">
        <v>0.0</v>
      </c>
      <c r="U18" s="146">
        <v>0.0</v>
      </c>
      <c r="V18" s="146">
        <v>0.0</v>
      </c>
    </row>
    <row r="19">
      <c r="A19" s="141" t="s">
        <v>131</v>
      </c>
      <c r="B19" s="147">
        <v>0.0</v>
      </c>
      <c r="C19" s="143">
        <v>0.0</v>
      </c>
      <c r="D19" s="143">
        <v>0.0</v>
      </c>
      <c r="E19" s="143">
        <v>0.0</v>
      </c>
      <c r="F19" s="143">
        <v>0.0</v>
      </c>
      <c r="G19" s="143">
        <v>0.0</v>
      </c>
      <c r="H19" s="144">
        <v>1.0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</row>
    <row r="20">
      <c r="A20" s="145" t="s">
        <v>132</v>
      </c>
      <c r="B20" s="148">
        <v>0.0</v>
      </c>
      <c r="C20" s="146">
        <v>0.0</v>
      </c>
      <c r="D20" s="146">
        <v>0.0</v>
      </c>
      <c r="E20" s="146">
        <v>0.0</v>
      </c>
      <c r="F20" s="146">
        <v>0.0</v>
      </c>
      <c r="G20" s="146">
        <v>0.0</v>
      </c>
      <c r="H20" s="144">
        <v>1.0</v>
      </c>
      <c r="I20" s="146">
        <v>0.0</v>
      </c>
      <c r="J20" s="146">
        <v>0.0</v>
      </c>
      <c r="K20" s="146">
        <v>0.0</v>
      </c>
      <c r="L20" s="146">
        <v>0.0</v>
      </c>
      <c r="M20" s="146">
        <v>0.0</v>
      </c>
      <c r="N20" s="146">
        <v>0.0</v>
      </c>
      <c r="O20" s="146">
        <v>0.0</v>
      </c>
      <c r="P20" s="146">
        <v>0.0</v>
      </c>
      <c r="Q20" s="146">
        <v>0.0</v>
      </c>
      <c r="R20" s="146">
        <v>0.0</v>
      </c>
      <c r="S20" s="146">
        <v>0.0</v>
      </c>
      <c r="T20" s="146">
        <v>0.0</v>
      </c>
      <c r="U20" s="146">
        <v>0.0</v>
      </c>
      <c r="V20" s="146">
        <v>0.0</v>
      </c>
    </row>
    <row r="21">
      <c r="A21" s="141" t="s">
        <v>133</v>
      </c>
      <c r="B21" s="147">
        <v>0.0</v>
      </c>
      <c r="C21" s="143">
        <v>0.0</v>
      </c>
      <c r="D21" s="143">
        <v>0.0</v>
      </c>
      <c r="E21" s="143">
        <v>0.0</v>
      </c>
      <c r="F21" s="143">
        <v>0.0</v>
      </c>
      <c r="G21" s="143">
        <v>0.0</v>
      </c>
      <c r="H21" s="144">
        <v>1.0</v>
      </c>
      <c r="I21" s="143">
        <v>0.0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</row>
  </sheetData>
  <mergeCells count="3">
    <mergeCell ref="A1:F1"/>
    <mergeCell ref="A2:B2"/>
    <mergeCell ref="A5:D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14" t="s">
        <v>134</v>
      </c>
    </row>
    <row r="2" ht="19.5" customHeight="1">
      <c r="A2" s="116" t="s">
        <v>114</v>
      </c>
      <c r="B2" s="116"/>
    </row>
    <row r="3">
      <c r="A3" s="149" t="s">
        <v>135</v>
      </c>
      <c r="B3" s="150">
        <v>15.0</v>
      </c>
    </row>
    <row r="4">
      <c r="A4" s="149" t="s">
        <v>136</v>
      </c>
      <c r="B4" s="150">
        <v>5.0</v>
      </c>
    </row>
    <row r="5">
      <c r="A5" s="149" t="s">
        <v>137</v>
      </c>
      <c r="B5" s="150" t="b">
        <f>TRUE()</f>
        <v>1</v>
      </c>
    </row>
    <row r="6">
      <c r="A6" s="149" t="s">
        <v>138</v>
      </c>
      <c r="B6" s="150">
        <v>10.0</v>
      </c>
    </row>
    <row r="7">
      <c r="A7" s="149" t="s">
        <v>139</v>
      </c>
      <c r="B7" s="150">
        <v>4.0</v>
      </c>
    </row>
    <row r="8">
      <c r="A8" s="149" t="s">
        <v>140</v>
      </c>
      <c r="B8" s="150">
        <f>SUMIFS($C$14:$C$88,$B$14:$B$88,"1st")</f>
        <v>185</v>
      </c>
    </row>
    <row r="9">
      <c r="A9" s="149" t="s">
        <v>141</v>
      </c>
      <c r="B9" s="150">
        <f>SUMIFS($C$14:$C$88,$B$14:$B$88,"1st",$A$14:$A$88,"&gt;="&amp;$B$6)</f>
        <v>87</v>
      </c>
    </row>
    <row r="10">
      <c r="A10" s="149" t="s">
        <v>142</v>
      </c>
      <c r="B10" s="150">
        <f>SUMIFS($C$14:$C$88,$B$14:$B$88,"1st",$A$14:$A$88,"&lt;="&amp;$B$7)</f>
        <v>36</v>
      </c>
    </row>
    <row r="12" ht="19.5" customHeight="1">
      <c r="A12" s="116" t="s">
        <v>116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</row>
    <row r="13">
      <c r="A13" s="151" t="s">
        <v>143</v>
      </c>
      <c r="B13" s="151" t="s">
        <v>144</v>
      </c>
      <c r="C13" s="151" t="s">
        <v>145</v>
      </c>
      <c r="D13" s="121" t="s">
        <v>146</v>
      </c>
      <c r="E13" s="122" t="s">
        <v>82</v>
      </c>
      <c r="F13" s="123" t="s">
        <v>68</v>
      </c>
      <c r="G13" s="123" t="s">
        <v>103</v>
      </c>
      <c r="H13" s="123" t="s">
        <v>69</v>
      </c>
      <c r="I13" s="123" t="s">
        <v>70</v>
      </c>
      <c r="J13" s="123" t="s">
        <v>71</v>
      </c>
      <c r="K13" s="123" t="s">
        <v>72</v>
      </c>
      <c r="L13" s="123" t="s">
        <v>73</v>
      </c>
      <c r="M13" s="123" t="s">
        <v>74</v>
      </c>
      <c r="N13" s="123" t="s">
        <v>75</v>
      </c>
      <c r="O13" s="123" t="s">
        <v>76</v>
      </c>
      <c r="P13" s="123" t="s">
        <v>77</v>
      </c>
      <c r="Q13" s="123" t="s">
        <v>78</v>
      </c>
      <c r="R13" s="123" t="s">
        <v>104</v>
      </c>
      <c r="S13" s="123" t="s">
        <v>105</v>
      </c>
      <c r="T13" s="123" t="s">
        <v>106</v>
      </c>
      <c r="U13" s="123" t="s">
        <v>107</v>
      </c>
      <c r="V13" s="123" t="s">
        <v>108</v>
      </c>
      <c r="W13" s="123" t="s">
        <v>109</v>
      </c>
      <c r="X13" s="123" t="s">
        <v>110</v>
      </c>
      <c r="Y13" s="152"/>
      <c r="Z13" s="152"/>
    </row>
    <row r="14">
      <c r="A14" s="125">
        <v>1.0</v>
      </c>
      <c r="B14" s="125" t="s">
        <v>147</v>
      </c>
      <c r="C14" s="125">
        <v>5.0</v>
      </c>
      <c r="D14" s="126">
        <v>5.0</v>
      </c>
      <c r="E14" s="153">
        <v>30.0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  <c r="W14" s="125">
        <v>0.0</v>
      </c>
      <c r="X14" s="125">
        <v>0.0</v>
      </c>
    </row>
    <row r="15">
      <c r="A15" s="125">
        <v>1.0</v>
      </c>
      <c r="B15" s="125" t="s">
        <v>148</v>
      </c>
      <c r="C15" s="125">
        <v>5.0</v>
      </c>
      <c r="D15" s="126">
        <v>5.0</v>
      </c>
      <c r="E15" s="153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15.0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  <c r="W15" s="125">
        <v>0.0</v>
      </c>
      <c r="X15" s="125">
        <v>0.0</v>
      </c>
    </row>
    <row r="16">
      <c r="A16" s="125">
        <v>1.0</v>
      </c>
      <c r="B16" s="125" t="s">
        <v>149</v>
      </c>
      <c r="C16" s="125">
        <v>5.0</v>
      </c>
      <c r="D16" s="126">
        <v>5.0</v>
      </c>
      <c r="E16" s="153">
        <v>0.0</v>
      </c>
      <c r="F16" s="125">
        <v>0.0</v>
      </c>
      <c r="G16" s="125">
        <v>0.0</v>
      </c>
      <c r="H16" s="125">
        <v>0.0</v>
      </c>
      <c r="I16" s="125">
        <v>0.0</v>
      </c>
      <c r="J16" s="125">
        <v>1.0</v>
      </c>
      <c r="K16" s="125">
        <v>0.0</v>
      </c>
      <c r="L16" s="125">
        <v>0.0</v>
      </c>
      <c r="M16" s="125">
        <v>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</row>
    <row r="17">
      <c r="A17" s="125">
        <v>1.0</v>
      </c>
      <c r="B17" s="125" t="s">
        <v>150</v>
      </c>
      <c r="C17" s="125">
        <v>5.0</v>
      </c>
      <c r="D17" s="126">
        <v>5.0</v>
      </c>
      <c r="E17" s="153">
        <v>0.0</v>
      </c>
      <c r="F17" s="125">
        <v>0.0</v>
      </c>
      <c r="G17" s="125">
        <v>0.0</v>
      </c>
      <c r="H17" s="125">
        <v>0.0</v>
      </c>
      <c r="I17" s="125">
        <v>0.0</v>
      </c>
      <c r="J17" s="125">
        <v>0.0</v>
      </c>
      <c r="K17" s="125">
        <v>0.0</v>
      </c>
      <c r="L17" s="125">
        <v>1.0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25">
        <v>0.0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</row>
    <row r="18">
      <c r="A18" s="125">
        <v>1.0</v>
      </c>
      <c r="B18" s="125" t="s">
        <v>151</v>
      </c>
      <c r="C18" s="125">
        <v>5.0</v>
      </c>
      <c r="D18" s="126">
        <v>5.0</v>
      </c>
      <c r="E18" s="153">
        <v>0.0</v>
      </c>
      <c r="F18" s="125">
        <v>0.0</v>
      </c>
      <c r="G18" s="125">
        <v>0.0</v>
      </c>
      <c r="H18" s="125">
        <v>0.0</v>
      </c>
      <c r="I18" s="125">
        <v>0.0</v>
      </c>
      <c r="J18" s="125">
        <v>0.0</v>
      </c>
      <c r="K18" s="125">
        <v>0.0</v>
      </c>
      <c r="L18" s="125">
        <v>0.0</v>
      </c>
      <c r="M18" s="125">
        <v>0.0</v>
      </c>
      <c r="N18" s="125">
        <v>0.0</v>
      </c>
      <c r="O18" s="125">
        <v>0.0</v>
      </c>
      <c r="P18" s="125">
        <v>10.0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</row>
    <row r="19">
      <c r="A19" s="125">
        <v>2.0</v>
      </c>
      <c r="B19" s="125" t="s">
        <v>147</v>
      </c>
      <c r="C19" s="125">
        <v>6.0</v>
      </c>
      <c r="D19" s="126">
        <v>11.0</v>
      </c>
      <c r="E19" s="153">
        <v>0.0</v>
      </c>
      <c r="F19" s="125">
        <v>0.0</v>
      </c>
      <c r="G19" s="125">
        <v>0.0</v>
      </c>
      <c r="H19" s="125">
        <v>0.0</v>
      </c>
      <c r="I19" s="125">
        <v>0.0</v>
      </c>
      <c r="J19" s="125">
        <v>0.0</v>
      </c>
      <c r="K19" s="125">
        <v>0.0</v>
      </c>
      <c r="L19" s="125">
        <v>0.0</v>
      </c>
      <c r="M19" s="125">
        <v>0.0</v>
      </c>
      <c r="N19" s="125">
        <v>15.0</v>
      </c>
      <c r="O19" s="125">
        <v>0.0</v>
      </c>
      <c r="P19" s="125">
        <v>0.0</v>
      </c>
      <c r="Q19" s="125">
        <v>0.0</v>
      </c>
      <c r="R19" s="125">
        <v>0.0</v>
      </c>
      <c r="S19" s="125">
        <v>0.0</v>
      </c>
      <c r="T19" s="125">
        <v>0.0</v>
      </c>
      <c r="U19" s="125">
        <v>0.0</v>
      </c>
      <c r="V19" s="125">
        <v>0.0</v>
      </c>
      <c r="W19" s="125">
        <v>0.0</v>
      </c>
      <c r="X19" s="125">
        <v>0.0</v>
      </c>
    </row>
    <row r="20">
      <c r="A20" s="125">
        <v>2.0</v>
      </c>
      <c r="B20" s="125" t="s">
        <v>148</v>
      </c>
      <c r="C20" s="125">
        <v>6.0</v>
      </c>
      <c r="D20" s="126">
        <v>11.0</v>
      </c>
      <c r="E20" s="153">
        <v>0.0</v>
      </c>
      <c r="F20" s="125">
        <v>0.0</v>
      </c>
      <c r="G20" s="125">
        <v>0.0</v>
      </c>
      <c r="H20" s="125">
        <v>0.0</v>
      </c>
      <c r="I20" s="125">
        <v>0.0</v>
      </c>
      <c r="J20" s="125">
        <v>0.0</v>
      </c>
      <c r="K20" s="125">
        <v>0.0</v>
      </c>
      <c r="L20" s="125">
        <v>0.0</v>
      </c>
      <c r="M20" s="125">
        <v>1.0</v>
      </c>
      <c r="N20" s="125">
        <v>0.0</v>
      </c>
      <c r="O20" s="125">
        <v>0.0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  <c r="X20" s="125">
        <v>0.0</v>
      </c>
    </row>
    <row r="21" ht="15.75" customHeight="1">
      <c r="A21" s="125">
        <v>2.0</v>
      </c>
      <c r="B21" s="125" t="s">
        <v>149</v>
      </c>
      <c r="C21" s="125">
        <v>6.0</v>
      </c>
      <c r="D21" s="126">
        <v>11.0</v>
      </c>
      <c r="E21" s="153">
        <v>0.0</v>
      </c>
      <c r="F21" s="125">
        <v>0.0</v>
      </c>
      <c r="G21" s="125">
        <v>0.0</v>
      </c>
      <c r="H21" s="125">
        <v>0.0</v>
      </c>
      <c r="I21" s="125">
        <v>1.0</v>
      </c>
      <c r="J21" s="125">
        <v>0.0</v>
      </c>
      <c r="K21" s="125">
        <v>0.0</v>
      </c>
      <c r="L21" s="125">
        <v>0.0</v>
      </c>
      <c r="M21" s="125">
        <v>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25">
        <v>0.0</v>
      </c>
      <c r="V21" s="125">
        <v>0.0</v>
      </c>
      <c r="W21" s="125">
        <v>0.0</v>
      </c>
      <c r="X21" s="125">
        <v>0.0</v>
      </c>
    </row>
    <row r="22" ht="15.75" customHeight="1">
      <c r="A22" s="125">
        <v>2.0</v>
      </c>
      <c r="B22" s="125" t="s">
        <v>150</v>
      </c>
      <c r="C22" s="125">
        <v>6.0</v>
      </c>
      <c r="D22" s="126">
        <v>11.0</v>
      </c>
      <c r="E22" s="153">
        <v>0.0</v>
      </c>
      <c r="F22" s="125">
        <v>0.0</v>
      </c>
      <c r="G22" s="125">
        <v>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0.0</v>
      </c>
      <c r="M22" s="125">
        <v>0.0</v>
      </c>
      <c r="N22" s="125">
        <v>0.0</v>
      </c>
      <c r="O22" s="125">
        <v>10.0</v>
      </c>
      <c r="P22" s="125">
        <v>0.0</v>
      </c>
      <c r="Q22" s="125">
        <v>0.0</v>
      </c>
      <c r="R22" s="125">
        <v>0.0</v>
      </c>
      <c r="S22" s="125">
        <v>0.0</v>
      </c>
      <c r="T22" s="125">
        <v>0.0</v>
      </c>
      <c r="U22" s="125">
        <v>0.0</v>
      </c>
      <c r="V22" s="125">
        <v>0.0</v>
      </c>
      <c r="W22" s="125">
        <v>0.0</v>
      </c>
      <c r="X22" s="125">
        <v>0.0</v>
      </c>
    </row>
    <row r="23" ht="15.75" customHeight="1">
      <c r="A23" s="125">
        <v>2.0</v>
      </c>
      <c r="B23" s="125" t="s">
        <v>151</v>
      </c>
      <c r="C23" s="125">
        <v>6.0</v>
      </c>
      <c r="D23" s="126">
        <v>11.0</v>
      </c>
      <c r="E23" s="153">
        <v>0.0</v>
      </c>
      <c r="F23" s="125">
        <v>0.0</v>
      </c>
      <c r="G23" s="125">
        <v>10.0</v>
      </c>
      <c r="H23" s="125">
        <v>0.0</v>
      </c>
      <c r="I23" s="125">
        <v>0.0</v>
      </c>
      <c r="J23" s="125">
        <v>0.0</v>
      </c>
      <c r="K23" s="125">
        <v>0.0</v>
      </c>
      <c r="L23" s="125">
        <v>0.0</v>
      </c>
      <c r="M23" s="125">
        <v>0.0</v>
      </c>
      <c r="N23" s="125">
        <v>0.0</v>
      </c>
      <c r="O23" s="125">
        <v>0.0</v>
      </c>
      <c r="P23" s="125">
        <v>0.0</v>
      </c>
      <c r="Q23" s="125">
        <v>0.0</v>
      </c>
      <c r="R23" s="125">
        <v>0.0</v>
      </c>
      <c r="S23" s="125">
        <v>0.0</v>
      </c>
      <c r="T23" s="125">
        <v>0.0</v>
      </c>
      <c r="U23" s="125">
        <v>0.0</v>
      </c>
      <c r="V23" s="125">
        <v>0.0</v>
      </c>
      <c r="W23" s="125">
        <v>0.0</v>
      </c>
      <c r="X23" s="125">
        <v>0.0</v>
      </c>
    </row>
    <row r="24" ht="15.75" customHeight="1">
      <c r="A24" s="125">
        <v>3.0</v>
      </c>
      <c r="B24" s="125" t="s">
        <v>147</v>
      </c>
      <c r="C24" s="125">
        <v>10.0</v>
      </c>
      <c r="D24" s="126">
        <v>21.0</v>
      </c>
      <c r="E24" s="153">
        <v>0.0</v>
      </c>
      <c r="F24" s="125">
        <v>0.0</v>
      </c>
      <c r="G24" s="125">
        <v>0.0</v>
      </c>
      <c r="H24" s="125">
        <v>0.0</v>
      </c>
      <c r="I24" s="125">
        <v>0.0</v>
      </c>
      <c r="J24" s="125">
        <v>0.0</v>
      </c>
      <c r="K24" s="125">
        <v>0.0</v>
      </c>
      <c r="L24" s="125">
        <v>0.0</v>
      </c>
      <c r="M24" s="125">
        <v>0.0</v>
      </c>
      <c r="N24" s="125">
        <v>0.0</v>
      </c>
      <c r="O24" s="125">
        <v>0.0</v>
      </c>
      <c r="P24" s="125">
        <v>0.0</v>
      </c>
      <c r="Q24" s="125">
        <v>20.0</v>
      </c>
      <c r="R24" s="125">
        <v>0.0</v>
      </c>
      <c r="S24" s="125">
        <v>0.0</v>
      </c>
      <c r="T24" s="125">
        <v>0.0</v>
      </c>
      <c r="U24" s="125">
        <v>0.0</v>
      </c>
      <c r="V24" s="125">
        <v>0.0</v>
      </c>
      <c r="W24" s="125">
        <v>0.0</v>
      </c>
      <c r="X24" s="125">
        <v>0.0</v>
      </c>
    </row>
    <row r="25" ht="15.75" customHeight="1">
      <c r="A25" s="125">
        <v>3.0</v>
      </c>
      <c r="B25" s="125" t="s">
        <v>148</v>
      </c>
      <c r="C25" s="125">
        <v>10.0</v>
      </c>
      <c r="D25" s="126">
        <v>21.0</v>
      </c>
      <c r="E25" s="153">
        <v>0.0</v>
      </c>
      <c r="F25" s="125">
        <v>0.0</v>
      </c>
      <c r="G25" s="125">
        <v>0.0</v>
      </c>
      <c r="H25" s="125">
        <v>0.0</v>
      </c>
      <c r="I25" s="125">
        <v>0.0</v>
      </c>
      <c r="J25" s="125">
        <v>0.0</v>
      </c>
      <c r="K25" s="125">
        <v>0.0</v>
      </c>
      <c r="L25" s="125">
        <v>1.0</v>
      </c>
      <c r="M25" s="125">
        <v>0.0</v>
      </c>
      <c r="N25" s="125">
        <v>0.0</v>
      </c>
      <c r="O25" s="125">
        <v>0.0</v>
      </c>
      <c r="P25" s="125">
        <v>0.0</v>
      </c>
      <c r="Q25" s="125">
        <v>0.0</v>
      </c>
      <c r="R25" s="125">
        <v>0.0</v>
      </c>
      <c r="S25" s="125">
        <v>0.0</v>
      </c>
      <c r="T25" s="125">
        <v>0.0</v>
      </c>
      <c r="U25" s="125">
        <v>0.0</v>
      </c>
      <c r="V25" s="125">
        <v>0.0</v>
      </c>
      <c r="W25" s="125">
        <v>0.0</v>
      </c>
      <c r="X25" s="125">
        <v>0.0</v>
      </c>
    </row>
    <row r="26" ht="15.75" customHeight="1">
      <c r="A26" s="125">
        <v>3.0</v>
      </c>
      <c r="B26" s="125" t="s">
        <v>149</v>
      </c>
      <c r="C26" s="125">
        <v>10.0</v>
      </c>
      <c r="D26" s="126">
        <v>21.0</v>
      </c>
      <c r="E26" s="153">
        <v>0.0</v>
      </c>
      <c r="F26" s="125">
        <v>0.0</v>
      </c>
      <c r="G26" s="125">
        <v>0.0</v>
      </c>
      <c r="H26" s="125">
        <v>0.0</v>
      </c>
      <c r="I26" s="125">
        <v>0.0</v>
      </c>
      <c r="J26" s="125">
        <v>0.0</v>
      </c>
      <c r="K26" s="125">
        <v>0.0</v>
      </c>
      <c r="L26" s="125">
        <v>0.0</v>
      </c>
      <c r="M26" s="125">
        <v>0.0</v>
      </c>
      <c r="N26" s="125">
        <v>0.0</v>
      </c>
      <c r="O26" s="125">
        <v>0.0</v>
      </c>
      <c r="P26" s="125">
        <v>10.0</v>
      </c>
      <c r="Q26" s="125">
        <v>0.0</v>
      </c>
      <c r="R26" s="125">
        <v>0.0</v>
      </c>
      <c r="S26" s="125">
        <v>0.0</v>
      </c>
      <c r="T26" s="125">
        <v>0.0</v>
      </c>
      <c r="U26" s="125">
        <v>0.0</v>
      </c>
      <c r="V26" s="125">
        <v>0.0</v>
      </c>
      <c r="W26" s="125">
        <v>0.0</v>
      </c>
      <c r="X26" s="125">
        <v>0.0</v>
      </c>
    </row>
    <row r="27" ht="15.75" customHeight="1">
      <c r="A27" s="125">
        <v>3.0</v>
      </c>
      <c r="B27" s="125" t="s">
        <v>150</v>
      </c>
      <c r="C27" s="125">
        <v>10.0</v>
      </c>
      <c r="D27" s="126">
        <v>21.0</v>
      </c>
      <c r="E27" s="153">
        <v>0.0</v>
      </c>
      <c r="F27" s="125">
        <v>0.0</v>
      </c>
      <c r="G27" s="125">
        <v>0.0</v>
      </c>
      <c r="H27" s="125">
        <v>1.0</v>
      </c>
      <c r="I27" s="125">
        <v>0.0</v>
      </c>
      <c r="J27" s="125">
        <v>0.0</v>
      </c>
      <c r="K27" s="125">
        <v>0.0</v>
      </c>
      <c r="L27" s="125">
        <v>0.0</v>
      </c>
      <c r="M27" s="125">
        <v>0.0</v>
      </c>
      <c r="N27" s="125">
        <v>0.0</v>
      </c>
      <c r="O27" s="125">
        <v>0.0</v>
      </c>
      <c r="P27" s="125">
        <v>0.0</v>
      </c>
      <c r="Q27" s="125">
        <v>0.0</v>
      </c>
      <c r="R27" s="125">
        <v>0.0</v>
      </c>
      <c r="S27" s="125">
        <v>0.0</v>
      </c>
      <c r="T27" s="125">
        <v>0.0</v>
      </c>
      <c r="U27" s="125">
        <v>0.0</v>
      </c>
      <c r="V27" s="125">
        <v>0.0</v>
      </c>
      <c r="W27" s="125">
        <v>0.0</v>
      </c>
      <c r="X27" s="125">
        <v>0.0</v>
      </c>
    </row>
    <row r="28" ht="15.75" customHeight="1">
      <c r="A28" s="125">
        <v>3.0</v>
      </c>
      <c r="B28" s="125" t="s">
        <v>151</v>
      </c>
      <c r="C28" s="125">
        <v>10.0</v>
      </c>
      <c r="D28" s="126">
        <v>21.0</v>
      </c>
      <c r="E28" s="153">
        <v>0.0</v>
      </c>
      <c r="F28" s="125">
        <v>20.0</v>
      </c>
      <c r="G28" s="125">
        <v>0.0</v>
      </c>
      <c r="H28" s="125">
        <v>0.0</v>
      </c>
      <c r="I28" s="125">
        <v>0.0</v>
      </c>
      <c r="J28" s="125">
        <v>0.0</v>
      </c>
      <c r="K28" s="125">
        <v>0.0</v>
      </c>
      <c r="L28" s="125">
        <v>0.0</v>
      </c>
      <c r="M28" s="125">
        <v>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</row>
    <row r="29" ht="15.75" customHeight="1">
      <c r="A29" s="125">
        <v>4.0</v>
      </c>
      <c r="B29" s="125" t="s">
        <v>147</v>
      </c>
      <c r="C29" s="125">
        <v>15.0</v>
      </c>
      <c r="D29" s="126">
        <v>36.0</v>
      </c>
      <c r="E29" s="153">
        <v>55.0</v>
      </c>
      <c r="F29" s="125">
        <v>0.0</v>
      </c>
      <c r="G29" s="125">
        <v>0.0</v>
      </c>
      <c r="H29" s="125">
        <v>1.0</v>
      </c>
      <c r="I29" s="125">
        <v>0.0</v>
      </c>
      <c r="J29" s="125">
        <v>0.0</v>
      </c>
      <c r="K29" s="125">
        <v>0.0</v>
      </c>
      <c r="L29" s="125">
        <v>0.0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25">
        <v>0.0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</row>
    <row r="30" ht="15.75" customHeight="1">
      <c r="A30" s="125">
        <v>4.0</v>
      </c>
      <c r="B30" s="125" t="s">
        <v>148</v>
      </c>
      <c r="C30" s="125">
        <v>15.0</v>
      </c>
      <c r="D30" s="126">
        <v>36.0</v>
      </c>
      <c r="E30" s="153">
        <v>0.0</v>
      </c>
      <c r="F30" s="125">
        <v>0.0</v>
      </c>
      <c r="G30" s="125">
        <v>0.0</v>
      </c>
      <c r="H30" s="125">
        <v>0.0</v>
      </c>
      <c r="I30" s="125">
        <v>0.0</v>
      </c>
      <c r="J30" s="125">
        <v>0.0</v>
      </c>
      <c r="K30" s="125">
        <v>0.0</v>
      </c>
      <c r="L30" s="125">
        <v>0.0</v>
      </c>
      <c r="M30" s="125">
        <v>0.0</v>
      </c>
      <c r="N30" s="125">
        <v>20.0</v>
      </c>
      <c r="O30" s="125">
        <v>0.0</v>
      </c>
      <c r="P30" s="125">
        <v>0.0</v>
      </c>
      <c r="Q30" s="125">
        <v>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</row>
    <row r="31" ht="15.75" customHeight="1">
      <c r="A31" s="125">
        <v>4.0</v>
      </c>
      <c r="B31" s="125" t="s">
        <v>149</v>
      </c>
      <c r="C31" s="125">
        <v>15.0</v>
      </c>
      <c r="D31" s="126">
        <v>36.0</v>
      </c>
      <c r="E31" s="153">
        <v>0.0</v>
      </c>
      <c r="F31" s="125">
        <v>0.0</v>
      </c>
      <c r="G31" s="125">
        <v>0.0</v>
      </c>
      <c r="H31" s="125">
        <v>0.0</v>
      </c>
      <c r="I31" s="125">
        <v>0.0</v>
      </c>
      <c r="J31" s="125">
        <v>0.0</v>
      </c>
      <c r="K31" s="125">
        <v>0.0</v>
      </c>
      <c r="L31" s="125">
        <v>0.0</v>
      </c>
      <c r="M31" s="125">
        <v>1.0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25">
        <v>0.0</v>
      </c>
      <c r="V31" s="125">
        <v>0.0</v>
      </c>
      <c r="W31" s="125">
        <v>0.0</v>
      </c>
      <c r="X31" s="125">
        <v>0.0</v>
      </c>
    </row>
    <row r="32" ht="15.75" customHeight="1">
      <c r="A32" s="125">
        <v>4.0</v>
      </c>
      <c r="B32" s="125" t="s">
        <v>150</v>
      </c>
      <c r="C32" s="125">
        <v>15.0</v>
      </c>
      <c r="D32" s="126">
        <v>36.0</v>
      </c>
      <c r="E32" s="153">
        <v>0.0</v>
      </c>
      <c r="F32" s="125">
        <v>0.0</v>
      </c>
      <c r="G32" s="125">
        <v>0.0</v>
      </c>
      <c r="H32" s="125">
        <v>0.0</v>
      </c>
      <c r="I32" s="125">
        <v>1.0</v>
      </c>
      <c r="J32" s="125">
        <v>0.0</v>
      </c>
      <c r="K32" s="125">
        <v>0.0</v>
      </c>
      <c r="L32" s="125">
        <v>0.0</v>
      </c>
      <c r="M32" s="125">
        <v>0.0</v>
      </c>
      <c r="N32" s="125">
        <v>0.0</v>
      </c>
      <c r="O32" s="125">
        <v>0.0</v>
      </c>
      <c r="P32" s="125">
        <v>0.0</v>
      </c>
      <c r="Q32" s="125">
        <v>0.0</v>
      </c>
      <c r="R32" s="125">
        <v>0.0</v>
      </c>
      <c r="S32" s="125">
        <v>0.0</v>
      </c>
      <c r="T32" s="125">
        <v>0.0</v>
      </c>
      <c r="U32" s="125">
        <v>0.0</v>
      </c>
      <c r="V32" s="125">
        <v>0.0</v>
      </c>
      <c r="W32" s="125">
        <v>0.0</v>
      </c>
      <c r="X32" s="125">
        <v>0.0</v>
      </c>
    </row>
    <row r="33" ht="15.75" customHeight="1">
      <c r="A33" s="125">
        <v>4.0</v>
      </c>
      <c r="B33" s="125" t="s">
        <v>151</v>
      </c>
      <c r="C33" s="125">
        <v>15.0</v>
      </c>
      <c r="D33" s="126">
        <v>36.0</v>
      </c>
      <c r="E33" s="153">
        <v>0.0</v>
      </c>
      <c r="F33" s="125">
        <v>0.0</v>
      </c>
      <c r="G33" s="125">
        <v>0.0</v>
      </c>
      <c r="H33" s="125">
        <v>0.0</v>
      </c>
      <c r="I33" s="125">
        <v>0.0</v>
      </c>
      <c r="J33" s="125">
        <v>0.0</v>
      </c>
      <c r="K33" s="125">
        <v>0.0</v>
      </c>
      <c r="L33" s="125">
        <v>0.0</v>
      </c>
      <c r="M33" s="125">
        <v>0.0</v>
      </c>
      <c r="N33" s="125">
        <v>0.0</v>
      </c>
      <c r="O33" s="125">
        <v>15.0</v>
      </c>
      <c r="P33" s="125">
        <v>0.0</v>
      </c>
      <c r="Q33" s="125">
        <v>0.0</v>
      </c>
      <c r="R33" s="125">
        <v>0.0</v>
      </c>
      <c r="S33" s="125">
        <v>0.0</v>
      </c>
      <c r="T33" s="125">
        <v>0.0</v>
      </c>
      <c r="U33" s="125">
        <v>0.0</v>
      </c>
      <c r="V33" s="125">
        <v>0.0</v>
      </c>
      <c r="W33" s="125">
        <v>0.0</v>
      </c>
      <c r="X33" s="125">
        <v>0.0</v>
      </c>
    </row>
    <row r="34" ht="15.75" customHeight="1">
      <c r="A34" s="125">
        <v>5.0</v>
      </c>
      <c r="B34" s="125" t="s">
        <v>147</v>
      </c>
      <c r="C34" s="125">
        <v>8.0</v>
      </c>
      <c r="D34" s="126">
        <v>44.0</v>
      </c>
      <c r="E34" s="153">
        <v>0.0</v>
      </c>
      <c r="F34" s="125">
        <v>0.0</v>
      </c>
      <c r="G34" s="125">
        <v>0.0</v>
      </c>
      <c r="H34" s="125">
        <v>0.0</v>
      </c>
      <c r="I34" s="125">
        <v>0.0</v>
      </c>
      <c r="J34" s="125">
        <v>0.0</v>
      </c>
      <c r="K34" s="125">
        <v>0.0</v>
      </c>
      <c r="L34" s="125">
        <v>1.0</v>
      </c>
      <c r="M34" s="125">
        <v>0.0</v>
      </c>
      <c r="N34" s="125">
        <v>0.0</v>
      </c>
      <c r="O34" s="125">
        <v>0.0</v>
      </c>
      <c r="P34" s="125">
        <v>0.0</v>
      </c>
      <c r="Q34" s="125">
        <v>0.0</v>
      </c>
      <c r="R34" s="125">
        <v>0.0</v>
      </c>
      <c r="S34" s="125">
        <v>0.0</v>
      </c>
      <c r="T34" s="125">
        <v>0.0</v>
      </c>
      <c r="U34" s="125">
        <v>0.0</v>
      </c>
      <c r="V34" s="125">
        <v>0.0</v>
      </c>
      <c r="W34" s="125">
        <v>0.0</v>
      </c>
      <c r="X34" s="125">
        <v>0.0</v>
      </c>
    </row>
    <row r="35" ht="15.75" customHeight="1">
      <c r="A35" s="125">
        <v>5.0</v>
      </c>
      <c r="B35" s="125" t="s">
        <v>148</v>
      </c>
      <c r="C35" s="125">
        <v>8.0</v>
      </c>
      <c r="D35" s="126">
        <v>44.0</v>
      </c>
      <c r="E35" s="153">
        <v>0.0</v>
      </c>
      <c r="F35" s="125">
        <v>0.0</v>
      </c>
      <c r="G35" s="125">
        <v>0.0</v>
      </c>
      <c r="H35" s="125">
        <v>0.0</v>
      </c>
      <c r="I35" s="125">
        <v>0.0</v>
      </c>
      <c r="J35" s="125">
        <v>0.0</v>
      </c>
      <c r="K35" s="125">
        <v>0.0</v>
      </c>
      <c r="L35" s="125">
        <v>0.0</v>
      </c>
      <c r="M35" s="125">
        <v>0.0</v>
      </c>
      <c r="N35" s="125">
        <v>0.0</v>
      </c>
      <c r="O35" s="125">
        <v>0.0</v>
      </c>
      <c r="P35" s="125">
        <v>10.0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</row>
    <row r="36" ht="15.75" customHeight="1">
      <c r="A36" s="125">
        <v>5.0</v>
      </c>
      <c r="B36" s="125" t="s">
        <v>149</v>
      </c>
      <c r="C36" s="125">
        <v>8.0</v>
      </c>
      <c r="D36" s="126">
        <v>44.0</v>
      </c>
      <c r="E36" s="153">
        <v>0.0</v>
      </c>
      <c r="F36" s="125">
        <v>0.0</v>
      </c>
      <c r="G36" s="125">
        <v>0.0</v>
      </c>
      <c r="H36" s="125">
        <v>0.0</v>
      </c>
      <c r="I36" s="125">
        <v>1.0</v>
      </c>
      <c r="J36" s="125">
        <v>0.0</v>
      </c>
      <c r="K36" s="125">
        <v>0.0</v>
      </c>
      <c r="L36" s="125">
        <v>0.0</v>
      </c>
      <c r="M36" s="125">
        <v>0.0</v>
      </c>
      <c r="N36" s="125">
        <v>0.0</v>
      </c>
      <c r="O36" s="125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25">
        <v>0.0</v>
      </c>
      <c r="V36" s="125">
        <v>0.0</v>
      </c>
      <c r="W36" s="125">
        <v>0.0</v>
      </c>
      <c r="X36" s="125">
        <v>0.0</v>
      </c>
    </row>
    <row r="37" ht="15.75" customHeight="1">
      <c r="A37" s="125">
        <v>5.0</v>
      </c>
      <c r="B37" s="125" t="s">
        <v>150</v>
      </c>
      <c r="C37" s="125">
        <v>8.0</v>
      </c>
      <c r="D37" s="126">
        <v>44.0</v>
      </c>
      <c r="E37" s="153">
        <v>0.0</v>
      </c>
      <c r="F37" s="125">
        <v>0.0</v>
      </c>
      <c r="G37" s="125">
        <v>0.0</v>
      </c>
      <c r="H37" s="125">
        <v>0.0</v>
      </c>
      <c r="I37" s="125">
        <v>0.0</v>
      </c>
      <c r="J37" s="125">
        <v>0.0</v>
      </c>
      <c r="K37" s="125">
        <v>0.0</v>
      </c>
      <c r="L37" s="125">
        <v>0.0</v>
      </c>
      <c r="M37" s="125">
        <v>0.0</v>
      </c>
      <c r="N37" s="125">
        <v>0.0</v>
      </c>
      <c r="O37" s="125">
        <v>10.0</v>
      </c>
      <c r="P37" s="125">
        <v>0.0</v>
      </c>
      <c r="Q37" s="125">
        <v>0.0</v>
      </c>
      <c r="R37" s="125">
        <v>0.0</v>
      </c>
      <c r="S37" s="125">
        <v>0.0</v>
      </c>
      <c r="T37" s="125">
        <v>0.0</v>
      </c>
      <c r="U37" s="125">
        <v>0.0</v>
      </c>
      <c r="V37" s="125">
        <v>0.0</v>
      </c>
      <c r="W37" s="125">
        <v>0.0</v>
      </c>
      <c r="X37" s="125">
        <v>0.0</v>
      </c>
    </row>
    <row r="38" ht="15.75" customHeight="1">
      <c r="A38" s="125">
        <v>5.0</v>
      </c>
      <c r="B38" s="125" t="s">
        <v>151</v>
      </c>
      <c r="C38" s="125">
        <v>8.0</v>
      </c>
      <c r="D38" s="126">
        <v>44.0</v>
      </c>
      <c r="E38" s="153">
        <v>0.0</v>
      </c>
      <c r="F38" s="125">
        <v>0.0</v>
      </c>
      <c r="G38" s="125">
        <v>0.0</v>
      </c>
      <c r="H38" s="125">
        <v>1.0</v>
      </c>
      <c r="I38" s="125">
        <v>0.0</v>
      </c>
      <c r="J38" s="125">
        <v>0.0</v>
      </c>
      <c r="K38" s="125">
        <v>0.0</v>
      </c>
      <c r="L38" s="125">
        <v>0.0</v>
      </c>
      <c r="M38" s="125">
        <v>0.0</v>
      </c>
      <c r="N38" s="125">
        <v>0.0</v>
      </c>
      <c r="O38" s="125">
        <v>0.0</v>
      </c>
      <c r="P38" s="125">
        <v>0.0</v>
      </c>
      <c r="Q38" s="125">
        <v>0.0</v>
      </c>
      <c r="R38" s="125">
        <v>0.0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  <c r="X38" s="125">
        <v>0.0</v>
      </c>
    </row>
    <row r="39" ht="15.75" customHeight="1">
      <c r="A39" s="125">
        <v>6.0</v>
      </c>
      <c r="B39" s="125" t="s">
        <v>147</v>
      </c>
      <c r="C39" s="125">
        <v>10.0</v>
      </c>
      <c r="D39" s="126">
        <v>54.0</v>
      </c>
      <c r="E39" s="153">
        <v>50.0</v>
      </c>
      <c r="F39" s="125">
        <v>0.0</v>
      </c>
      <c r="G39" s="125">
        <v>0.0</v>
      </c>
      <c r="H39" s="125">
        <v>0.0</v>
      </c>
      <c r="I39" s="125">
        <v>0.0</v>
      </c>
      <c r="J39" s="125">
        <v>0.0</v>
      </c>
      <c r="K39" s="125">
        <v>0.0</v>
      </c>
      <c r="L39" s="125">
        <v>0.0</v>
      </c>
      <c r="M39" s="125">
        <v>0.0</v>
      </c>
      <c r="N39" s="125">
        <v>0.0</v>
      </c>
      <c r="O39" s="125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  <c r="X39" s="125">
        <v>0.0</v>
      </c>
    </row>
    <row r="40" ht="15.75" customHeight="1">
      <c r="A40" s="125">
        <v>6.0</v>
      </c>
      <c r="B40" s="125" t="s">
        <v>148</v>
      </c>
      <c r="C40" s="125">
        <v>10.0</v>
      </c>
      <c r="D40" s="126">
        <v>54.0</v>
      </c>
      <c r="E40" s="153">
        <v>0.0</v>
      </c>
      <c r="F40" s="125">
        <v>0.0</v>
      </c>
      <c r="G40" s="125">
        <v>0.0</v>
      </c>
      <c r="H40" s="125">
        <v>0.0</v>
      </c>
      <c r="I40" s="125">
        <v>0.0</v>
      </c>
      <c r="J40" s="125">
        <v>0.0</v>
      </c>
      <c r="K40" s="125">
        <v>0.0</v>
      </c>
      <c r="L40" s="125">
        <v>0.0</v>
      </c>
      <c r="M40" s="125">
        <v>0.0</v>
      </c>
      <c r="N40" s="125">
        <v>15.0</v>
      </c>
      <c r="O40" s="125">
        <v>0.0</v>
      </c>
      <c r="P40" s="125">
        <v>0.0</v>
      </c>
      <c r="Q40" s="125">
        <v>0.0</v>
      </c>
      <c r="R40" s="125">
        <v>0.0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  <c r="X40" s="125">
        <v>0.0</v>
      </c>
    </row>
    <row r="41" ht="15.75" customHeight="1">
      <c r="A41" s="125">
        <v>6.0</v>
      </c>
      <c r="B41" s="125" t="s">
        <v>149</v>
      </c>
      <c r="C41" s="125">
        <v>10.0</v>
      </c>
      <c r="D41" s="126">
        <v>54.0</v>
      </c>
      <c r="E41" s="153">
        <v>0.0</v>
      </c>
      <c r="F41" s="125">
        <v>0.0</v>
      </c>
      <c r="G41" s="125">
        <v>0.0</v>
      </c>
      <c r="H41" s="125">
        <v>0.0</v>
      </c>
      <c r="I41" s="125">
        <v>0.0</v>
      </c>
      <c r="J41" s="125">
        <v>1.0</v>
      </c>
      <c r="K41" s="125">
        <v>0.0</v>
      </c>
      <c r="L41" s="125">
        <v>0.0</v>
      </c>
      <c r="M41" s="125">
        <v>0.0</v>
      </c>
      <c r="N41" s="125">
        <v>0.0</v>
      </c>
      <c r="O41" s="125">
        <v>0.0</v>
      </c>
      <c r="P41" s="125">
        <v>0.0</v>
      </c>
      <c r="Q41" s="125">
        <v>0.0</v>
      </c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  <c r="X41" s="125">
        <v>0.0</v>
      </c>
    </row>
    <row r="42" ht="15.75" customHeight="1">
      <c r="A42" s="125">
        <v>6.0</v>
      </c>
      <c r="B42" s="125" t="s">
        <v>150</v>
      </c>
      <c r="C42" s="125">
        <v>10.0</v>
      </c>
      <c r="D42" s="126">
        <v>54.0</v>
      </c>
      <c r="E42" s="153">
        <v>0.0</v>
      </c>
      <c r="F42" s="125">
        <v>0.0</v>
      </c>
      <c r="G42" s="125">
        <v>0.0</v>
      </c>
      <c r="H42" s="125">
        <v>0.0</v>
      </c>
      <c r="I42" s="125">
        <v>0.0</v>
      </c>
      <c r="J42" s="125">
        <v>0.0</v>
      </c>
      <c r="K42" s="125">
        <v>0.0</v>
      </c>
      <c r="L42" s="125">
        <v>1.0</v>
      </c>
      <c r="M42" s="125">
        <v>0.0</v>
      </c>
      <c r="N42" s="125">
        <v>0.0</v>
      </c>
      <c r="O42" s="125">
        <v>0.0</v>
      </c>
      <c r="P42" s="125">
        <v>0.0</v>
      </c>
      <c r="Q42" s="125">
        <v>0.0</v>
      </c>
      <c r="R42" s="125">
        <v>0.0</v>
      </c>
      <c r="S42" s="125">
        <v>0.0</v>
      </c>
      <c r="T42" s="125">
        <v>0.0</v>
      </c>
      <c r="U42" s="125">
        <v>0.0</v>
      </c>
      <c r="V42" s="125">
        <v>0.0</v>
      </c>
      <c r="W42" s="125">
        <v>0.0</v>
      </c>
      <c r="X42" s="125">
        <v>0.0</v>
      </c>
    </row>
    <row r="43" ht="15.75" customHeight="1">
      <c r="A43" s="125">
        <v>6.0</v>
      </c>
      <c r="B43" s="125" t="s">
        <v>151</v>
      </c>
      <c r="C43" s="125">
        <v>10.0</v>
      </c>
      <c r="D43" s="126">
        <v>54.0</v>
      </c>
      <c r="E43" s="153">
        <v>0.0</v>
      </c>
      <c r="F43" s="125">
        <v>0.0</v>
      </c>
      <c r="G43" s="125">
        <v>15.0</v>
      </c>
      <c r="H43" s="125">
        <v>0.0</v>
      </c>
      <c r="I43" s="125">
        <v>0.0</v>
      </c>
      <c r="J43" s="125">
        <v>0.0</v>
      </c>
      <c r="K43" s="125">
        <v>0.0</v>
      </c>
      <c r="L43" s="125">
        <v>0.0</v>
      </c>
      <c r="M43" s="125">
        <v>0.0</v>
      </c>
      <c r="N43" s="125">
        <v>0.0</v>
      </c>
      <c r="O43" s="125">
        <v>0.0</v>
      </c>
      <c r="P43" s="125">
        <v>0.0</v>
      </c>
      <c r="Q43" s="125">
        <v>0.0</v>
      </c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  <c r="X43" s="125">
        <v>0.0</v>
      </c>
    </row>
    <row r="44" ht="15.75" customHeight="1">
      <c r="A44" s="125">
        <v>7.0</v>
      </c>
      <c r="B44" s="125" t="s">
        <v>147</v>
      </c>
      <c r="C44" s="125">
        <v>12.0</v>
      </c>
      <c r="D44" s="126">
        <v>66.0</v>
      </c>
      <c r="E44" s="153">
        <v>0.0</v>
      </c>
      <c r="F44" s="125">
        <v>0.0</v>
      </c>
      <c r="G44" s="125">
        <v>0.0</v>
      </c>
      <c r="H44" s="125">
        <v>0.0</v>
      </c>
      <c r="I44" s="125">
        <v>0.0</v>
      </c>
      <c r="J44" s="125">
        <v>0.0</v>
      </c>
      <c r="K44" s="125">
        <v>1.0</v>
      </c>
      <c r="L44" s="125">
        <v>0.0</v>
      </c>
      <c r="M44" s="125">
        <v>0.0</v>
      </c>
      <c r="N44" s="125">
        <v>0.0</v>
      </c>
      <c r="O44" s="125">
        <v>0.0</v>
      </c>
      <c r="P44" s="125">
        <v>0.0</v>
      </c>
      <c r="Q44" s="125">
        <v>0.0</v>
      </c>
      <c r="R44" s="125">
        <v>0.0</v>
      </c>
      <c r="S44" s="125">
        <v>0.0</v>
      </c>
      <c r="T44" s="125">
        <v>0.0</v>
      </c>
      <c r="U44" s="125">
        <v>0.0</v>
      </c>
      <c r="V44" s="125">
        <v>0.0</v>
      </c>
      <c r="W44" s="125">
        <v>0.0</v>
      </c>
      <c r="X44" s="125">
        <v>0.0</v>
      </c>
    </row>
    <row r="45" ht="15.75" customHeight="1">
      <c r="A45" s="125">
        <v>7.0</v>
      </c>
      <c r="B45" s="125" t="s">
        <v>148</v>
      </c>
      <c r="C45" s="125">
        <v>12.0</v>
      </c>
      <c r="D45" s="126">
        <v>66.0</v>
      </c>
      <c r="E45" s="153">
        <v>0.0</v>
      </c>
      <c r="F45" s="125">
        <v>0.0</v>
      </c>
      <c r="G45" s="125">
        <v>0.0</v>
      </c>
      <c r="H45" s="125">
        <v>0.0</v>
      </c>
      <c r="I45" s="125">
        <v>0.0</v>
      </c>
      <c r="J45" s="125">
        <v>0.0</v>
      </c>
      <c r="K45" s="125">
        <v>0.0</v>
      </c>
      <c r="L45" s="125">
        <v>0.0</v>
      </c>
      <c r="M45" s="125">
        <v>0.0</v>
      </c>
      <c r="N45" s="125">
        <v>0.0</v>
      </c>
      <c r="O45" s="125">
        <v>15.0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  <c r="X45" s="125">
        <v>0.0</v>
      </c>
    </row>
    <row r="46" ht="15.75" customHeight="1">
      <c r="A46" s="125">
        <v>7.0</v>
      </c>
      <c r="B46" s="125" t="s">
        <v>149</v>
      </c>
      <c r="C46" s="125">
        <v>12.0</v>
      </c>
      <c r="D46" s="126">
        <v>66.0</v>
      </c>
      <c r="E46" s="153">
        <v>0.0</v>
      </c>
      <c r="F46" s="125">
        <v>0.0</v>
      </c>
      <c r="G46" s="125">
        <v>0.0</v>
      </c>
      <c r="H46" s="125">
        <v>1.0</v>
      </c>
      <c r="I46" s="125">
        <v>0.0</v>
      </c>
      <c r="J46" s="125">
        <v>0.0</v>
      </c>
      <c r="K46" s="125">
        <v>0.0</v>
      </c>
      <c r="L46" s="125">
        <v>0.0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5">
        <v>0.0</v>
      </c>
      <c r="V46" s="125">
        <v>0.0</v>
      </c>
      <c r="W46" s="125">
        <v>0.0</v>
      </c>
      <c r="X46" s="125">
        <v>0.0</v>
      </c>
    </row>
    <row r="47" ht="15.75" customHeight="1">
      <c r="A47" s="125">
        <v>7.0</v>
      </c>
      <c r="B47" s="125" t="s">
        <v>150</v>
      </c>
      <c r="C47" s="125">
        <v>12.0</v>
      </c>
      <c r="D47" s="126">
        <v>66.0</v>
      </c>
      <c r="E47" s="153">
        <v>0.0</v>
      </c>
      <c r="F47" s="125">
        <v>30.0</v>
      </c>
      <c r="G47" s="125">
        <v>0.0</v>
      </c>
      <c r="H47" s="125">
        <v>0.0</v>
      </c>
      <c r="I47" s="125">
        <v>0.0</v>
      </c>
      <c r="J47" s="125">
        <v>0.0</v>
      </c>
      <c r="K47" s="125">
        <v>0.0</v>
      </c>
      <c r="L47" s="125">
        <v>0.0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25">
        <v>0.0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  <c r="X47" s="125">
        <v>0.0</v>
      </c>
    </row>
    <row r="48" ht="15.75" customHeight="1">
      <c r="A48" s="125">
        <v>7.0</v>
      </c>
      <c r="B48" s="125" t="s">
        <v>151</v>
      </c>
      <c r="C48" s="125">
        <v>12.0</v>
      </c>
      <c r="D48" s="126">
        <v>66.0</v>
      </c>
      <c r="E48" s="153">
        <v>0.0</v>
      </c>
      <c r="F48" s="125">
        <v>0.0</v>
      </c>
      <c r="G48" s="125">
        <v>15.0</v>
      </c>
      <c r="H48" s="125">
        <v>0.0</v>
      </c>
      <c r="I48" s="125">
        <v>0.0</v>
      </c>
      <c r="J48" s="125">
        <v>0.0</v>
      </c>
      <c r="K48" s="125">
        <v>0.0</v>
      </c>
      <c r="L48" s="125">
        <v>0.0</v>
      </c>
      <c r="M48" s="125">
        <v>0.0</v>
      </c>
      <c r="N48" s="125">
        <v>0.0</v>
      </c>
      <c r="O48" s="125">
        <v>0.0</v>
      </c>
      <c r="P48" s="125">
        <v>0.0</v>
      </c>
      <c r="Q48" s="125">
        <v>0.0</v>
      </c>
      <c r="R48" s="125">
        <v>0.0</v>
      </c>
      <c r="S48" s="125">
        <v>0.0</v>
      </c>
      <c r="T48" s="125">
        <v>0.0</v>
      </c>
      <c r="U48" s="125">
        <v>0.0</v>
      </c>
      <c r="V48" s="125">
        <v>0.0</v>
      </c>
      <c r="W48" s="125">
        <v>0.0</v>
      </c>
      <c r="X48" s="125">
        <v>0.0</v>
      </c>
    </row>
    <row r="49" ht="15.75" customHeight="1">
      <c r="A49" s="125">
        <v>8.0</v>
      </c>
      <c r="B49" s="125" t="s">
        <v>147</v>
      </c>
      <c r="C49" s="125">
        <v>15.0</v>
      </c>
      <c r="D49" s="126">
        <v>81.0</v>
      </c>
      <c r="E49" s="153">
        <v>0.0</v>
      </c>
      <c r="F49" s="125">
        <v>0.0</v>
      </c>
      <c r="G49" s="125">
        <v>0.0</v>
      </c>
      <c r="H49" s="125">
        <v>0.0</v>
      </c>
      <c r="I49" s="125">
        <v>0.0</v>
      </c>
      <c r="J49" s="125">
        <v>1.0</v>
      </c>
      <c r="K49" s="125">
        <v>0.0</v>
      </c>
      <c r="L49" s="125">
        <v>0.0</v>
      </c>
      <c r="M49" s="125">
        <v>0.0</v>
      </c>
      <c r="N49" s="125">
        <v>30.0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5">
        <v>0.0</v>
      </c>
      <c r="V49" s="125">
        <v>0.0</v>
      </c>
      <c r="W49" s="125">
        <v>0.0</v>
      </c>
      <c r="X49" s="125">
        <v>0.0</v>
      </c>
    </row>
    <row r="50" ht="15.75" customHeight="1">
      <c r="A50" s="125">
        <v>8.0</v>
      </c>
      <c r="B50" s="125" t="s">
        <v>148</v>
      </c>
      <c r="C50" s="125">
        <v>15.0</v>
      </c>
      <c r="D50" s="126">
        <v>81.0</v>
      </c>
      <c r="E50" s="153">
        <v>0.0</v>
      </c>
      <c r="F50" s="125">
        <v>0.0</v>
      </c>
      <c r="G50" s="125">
        <v>0.0</v>
      </c>
      <c r="H50" s="125">
        <v>0.0</v>
      </c>
      <c r="I50" s="125">
        <v>0.0</v>
      </c>
      <c r="J50" s="125">
        <v>0.0</v>
      </c>
      <c r="K50" s="125">
        <v>0.0</v>
      </c>
      <c r="L50" s="125">
        <v>0.0</v>
      </c>
      <c r="M50" s="125">
        <v>1.0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  <c r="X50" s="125">
        <v>0.0</v>
      </c>
    </row>
    <row r="51" ht="15.75" customHeight="1">
      <c r="A51" s="125">
        <v>8.0</v>
      </c>
      <c r="B51" s="125" t="s">
        <v>149</v>
      </c>
      <c r="C51" s="125">
        <v>15.0</v>
      </c>
      <c r="D51" s="126">
        <v>81.0</v>
      </c>
      <c r="E51" s="153">
        <v>0.0</v>
      </c>
      <c r="F51" s="125">
        <v>0.0</v>
      </c>
      <c r="G51" s="125">
        <v>0.0</v>
      </c>
      <c r="H51" s="125">
        <v>0.0</v>
      </c>
      <c r="I51" s="125">
        <v>0.0</v>
      </c>
      <c r="J51" s="125">
        <v>0.0</v>
      </c>
      <c r="K51" s="125">
        <v>0.0</v>
      </c>
      <c r="L51" s="125">
        <v>0.0</v>
      </c>
      <c r="M51" s="125">
        <v>0.0</v>
      </c>
      <c r="N51" s="125">
        <v>0.0</v>
      </c>
      <c r="O51" s="125">
        <v>0.0</v>
      </c>
      <c r="P51" s="125">
        <v>15.0</v>
      </c>
      <c r="Q51" s="125">
        <v>0.0</v>
      </c>
      <c r="R51" s="125">
        <v>0.0</v>
      </c>
      <c r="S51" s="125">
        <v>0.0</v>
      </c>
      <c r="T51" s="125">
        <v>0.0</v>
      </c>
      <c r="U51" s="125">
        <v>0.0</v>
      </c>
      <c r="V51" s="125">
        <v>0.0</v>
      </c>
      <c r="W51" s="125">
        <v>0.0</v>
      </c>
      <c r="X51" s="125">
        <v>0.0</v>
      </c>
    </row>
    <row r="52" ht="15.75" customHeight="1">
      <c r="A52" s="125">
        <v>8.0</v>
      </c>
      <c r="B52" s="125" t="s">
        <v>150</v>
      </c>
      <c r="C52" s="125">
        <v>15.0</v>
      </c>
      <c r="D52" s="126">
        <v>81.0</v>
      </c>
      <c r="E52" s="153">
        <v>0.0</v>
      </c>
      <c r="F52" s="125">
        <v>0.0</v>
      </c>
      <c r="G52" s="125">
        <v>0.0</v>
      </c>
      <c r="H52" s="125">
        <v>0.0</v>
      </c>
      <c r="I52" s="125">
        <v>1.0</v>
      </c>
      <c r="J52" s="125">
        <v>0.0</v>
      </c>
      <c r="K52" s="125">
        <v>0.0</v>
      </c>
      <c r="L52" s="125">
        <v>0.0</v>
      </c>
      <c r="M52" s="125">
        <v>0.0</v>
      </c>
      <c r="N52" s="125">
        <v>0.0</v>
      </c>
      <c r="O52" s="125">
        <v>0.0</v>
      </c>
      <c r="P52" s="125">
        <v>0.0</v>
      </c>
      <c r="Q52" s="125">
        <v>0.0</v>
      </c>
      <c r="R52" s="125">
        <v>0.0</v>
      </c>
      <c r="S52" s="125">
        <v>0.0</v>
      </c>
      <c r="T52" s="125">
        <v>0.0</v>
      </c>
      <c r="U52" s="125">
        <v>0.0</v>
      </c>
      <c r="V52" s="125">
        <v>0.0</v>
      </c>
      <c r="W52" s="125">
        <v>0.0</v>
      </c>
      <c r="X52" s="125">
        <v>0.0</v>
      </c>
    </row>
    <row r="53" ht="15.75" customHeight="1">
      <c r="A53" s="125">
        <v>8.0</v>
      </c>
      <c r="B53" s="125" t="s">
        <v>151</v>
      </c>
      <c r="C53" s="125">
        <v>15.0</v>
      </c>
      <c r="D53" s="126">
        <v>81.0</v>
      </c>
      <c r="E53" s="153">
        <v>0.0</v>
      </c>
      <c r="F53" s="125">
        <v>0.0</v>
      </c>
      <c r="G53" s="125">
        <v>0.0</v>
      </c>
      <c r="H53" s="125">
        <v>1.0</v>
      </c>
      <c r="I53" s="125">
        <v>0.0</v>
      </c>
      <c r="J53" s="125">
        <v>0.0</v>
      </c>
      <c r="K53" s="125">
        <v>0.0</v>
      </c>
      <c r="L53" s="125">
        <v>0.0</v>
      </c>
      <c r="M53" s="125">
        <v>0.0</v>
      </c>
      <c r="N53" s="125">
        <v>0.0</v>
      </c>
      <c r="O53" s="125">
        <v>0.0</v>
      </c>
      <c r="P53" s="125">
        <v>0.0</v>
      </c>
      <c r="Q53" s="125">
        <v>0.0</v>
      </c>
      <c r="R53" s="125">
        <v>0.0</v>
      </c>
      <c r="S53" s="125">
        <v>0.0</v>
      </c>
      <c r="T53" s="125">
        <v>0.0</v>
      </c>
      <c r="U53" s="125">
        <v>0.0</v>
      </c>
      <c r="V53" s="125">
        <v>0.0</v>
      </c>
      <c r="W53" s="125">
        <v>0.0</v>
      </c>
      <c r="X53" s="125">
        <v>0.0</v>
      </c>
    </row>
    <row r="54" ht="15.75" customHeight="1">
      <c r="A54" s="125">
        <v>9.0</v>
      </c>
      <c r="B54" s="125" t="s">
        <v>147</v>
      </c>
      <c r="C54" s="125">
        <v>17.0</v>
      </c>
      <c r="D54" s="126">
        <v>98.0</v>
      </c>
      <c r="E54" s="153">
        <v>70.0</v>
      </c>
      <c r="F54" s="125">
        <v>30.0</v>
      </c>
      <c r="G54" s="125">
        <v>0.0</v>
      </c>
      <c r="H54" s="125">
        <v>1.0</v>
      </c>
      <c r="I54" s="125">
        <v>0.0</v>
      </c>
      <c r="J54" s="125">
        <v>0.0</v>
      </c>
      <c r="K54" s="125">
        <v>0.0</v>
      </c>
      <c r="L54" s="125">
        <v>0.0</v>
      </c>
      <c r="M54" s="125">
        <v>0.0</v>
      </c>
      <c r="N54" s="125">
        <v>0.0</v>
      </c>
      <c r="O54" s="125">
        <v>0.0</v>
      </c>
      <c r="P54" s="125">
        <v>0.0</v>
      </c>
      <c r="Q54" s="125">
        <v>0.0</v>
      </c>
      <c r="R54" s="125">
        <v>0.0</v>
      </c>
      <c r="S54" s="125">
        <v>0.0</v>
      </c>
      <c r="T54" s="125">
        <v>0.0</v>
      </c>
      <c r="U54" s="125">
        <v>0.0</v>
      </c>
      <c r="V54" s="125">
        <v>0.0</v>
      </c>
      <c r="W54" s="125">
        <v>0.0</v>
      </c>
      <c r="X54" s="125">
        <v>0.0</v>
      </c>
    </row>
    <row r="55" ht="15.75" customHeight="1">
      <c r="A55" s="125">
        <v>9.0</v>
      </c>
      <c r="B55" s="125" t="s">
        <v>148</v>
      </c>
      <c r="C55" s="125">
        <v>17.0</v>
      </c>
      <c r="D55" s="126">
        <v>98.0</v>
      </c>
      <c r="E55" s="153">
        <v>0.0</v>
      </c>
      <c r="F55" s="125">
        <v>0.0</v>
      </c>
      <c r="G55" s="125">
        <v>0.0</v>
      </c>
      <c r="H55" s="125">
        <v>0.0</v>
      </c>
      <c r="I55" s="125">
        <v>0.0</v>
      </c>
      <c r="J55" s="125">
        <v>0.0</v>
      </c>
      <c r="K55" s="125">
        <v>1.0</v>
      </c>
      <c r="L55" s="125">
        <v>0.0</v>
      </c>
      <c r="M55" s="125">
        <v>0.0</v>
      </c>
      <c r="N55" s="125">
        <v>0.0</v>
      </c>
      <c r="O55" s="125">
        <v>0.0</v>
      </c>
      <c r="P55" s="125">
        <v>0.0</v>
      </c>
      <c r="Q55" s="125">
        <v>15.0</v>
      </c>
      <c r="R55" s="125">
        <v>0.0</v>
      </c>
      <c r="S55" s="125">
        <v>0.0</v>
      </c>
      <c r="T55" s="125">
        <v>0.0</v>
      </c>
      <c r="U55" s="125">
        <v>0.0</v>
      </c>
      <c r="V55" s="125">
        <v>0.0</v>
      </c>
      <c r="W55" s="125">
        <v>0.0</v>
      </c>
      <c r="X55" s="125">
        <v>0.0</v>
      </c>
    </row>
    <row r="56" ht="15.75" customHeight="1">
      <c r="A56" s="125">
        <v>9.0</v>
      </c>
      <c r="B56" s="125" t="s">
        <v>149</v>
      </c>
      <c r="C56" s="125">
        <v>17.0</v>
      </c>
      <c r="D56" s="126">
        <v>98.0</v>
      </c>
      <c r="E56" s="153">
        <v>0.0</v>
      </c>
      <c r="F56" s="125">
        <v>0.0</v>
      </c>
      <c r="G56" s="125">
        <v>0.0</v>
      </c>
      <c r="H56" s="125">
        <v>0.0</v>
      </c>
      <c r="I56" s="125">
        <v>0.0</v>
      </c>
      <c r="J56" s="125">
        <v>0.0</v>
      </c>
      <c r="K56" s="125">
        <v>0.0</v>
      </c>
      <c r="L56" s="125">
        <v>0.0</v>
      </c>
      <c r="M56" s="125">
        <v>0.0</v>
      </c>
      <c r="N56" s="125">
        <v>0.0</v>
      </c>
      <c r="O56" s="125">
        <v>0.0</v>
      </c>
      <c r="P56" s="125">
        <v>15.0</v>
      </c>
      <c r="Q56" s="125">
        <v>0.0</v>
      </c>
      <c r="R56" s="125">
        <v>0.0</v>
      </c>
      <c r="S56" s="125">
        <v>0.0</v>
      </c>
      <c r="T56" s="125">
        <v>0.0</v>
      </c>
      <c r="U56" s="125">
        <v>0.0</v>
      </c>
      <c r="V56" s="125">
        <v>0.0</v>
      </c>
      <c r="W56" s="125">
        <v>0.0</v>
      </c>
      <c r="X56" s="125">
        <v>0.0</v>
      </c>
    </row>
    <row r="57" ht="15.75" customHeight="1">
      <c r="A57" s="125">
        <v>9.0</v>
      </c>
      <c r="B57" s="125" t="s">
        <v>150</v>
      </c>
      <c r="C57" s="125">
        <v>17.0</v>
      </c>
      <c r="D57" s="126">
        <v>98.0</v>
      </c>
      <c r="E57" s="153">
        <v>0.0</v>
      </c>
      <c r="F57" s="125">
        <v>0.0</v>
      </c>
      <c r="G57" s="125">
        <v>0.0</v>
      </c>
      <c r="H57" s="125">
        <v>0.0</v>
      </c>
      <c r="I57" s="125">
        <v>0.0</v>
      </c>
      <c r="J57" s="125">
        <v>0.0</v>
      </c>
      <c r="K57" s="125">
        <v>0.0</v>
      </c>
      <c r="L57" s="125">
        <v>0.0</v>
      </c>
      <c r="M57" s="125">
        <v>0.0</v>
      </c>
      <c r="N57" s="125">
        <v>0.0</v>
      </c>
      <c r="O57" s="125">
        <v>15.0</v>
      </c>
      <c r="P57" s="125">
        <v>0.0</v>
      </c>
      <c r="Q57" s="125">
        <v>0.0</v>
      </c>
      <c r="R57" s="125">
        <v>0.0</v>
      </c>
      <c r="S57" s="125">
        <v>0.0</v>
      </c>
      <c r="T57" s="125">
        <v>0.0</v>
      </c>
      <c r="U57" s="125">
        <v>0.0</v>
      </c>
      <c r="V57" s="125">
        <v>0.0</v>
      </c>
      <c r="W57" s="125">
        <v>0.0</v>
      </c>
      <c r="X57" s="125">
        <v>0.0</v>
      </c>
    </row>
    <row r="58" ht="15.75" customHeight="1">
      <c r="A58" s="125">
        <v>9.0</v>
      </c>
      <c r="B58" s="125" t="s">
        <v>151</v>
      </c>
      <c r="C58" s="125">
        <v>17.0</v>
      </c>
      <c r="D58" s="126">
        <v>98.0</v>
      </c>
      <c r="E58" s="153">
        <v>0.0</v>
      </c>
      <c r="F58" s="125">
        <v>0.0</v>
      </c>
      <c r="G58" s="125">
        <v>15.0</v>
      </c>
      <c r="H58" s="125">
        <v>0.0</v>
      </c>
      <c r="I58" s="125">
        <v>0.0</v>
      </c>
      <c r="J58" s="125">
        <v>0.0</v>
      </c>
      <c r="K58" s="125">
        <v>0.0</v>
      </c>
      <c r="L58" s="125">
        <v>0.0</v>
      </c>
      <c r="M58" s="125">
        <v>0.0</v>
      </c>
      <c r="N58" s="125">
        <v>0.0</v>
      </c>
      <c r="O58" s="125">
        <v>0.0</v>
      </c>
      <c r="P58" s="125">
        <v>0.0</v>
      </c>
      <c r="Q58" s="125">
        <v>0.0</v>
      </c>
      <c r="R58" s="125">
        <v>0.0</v>
      </c>
      <c r="S58" s="125">
        <v>0.0</v>
      </c>
      <c r="T58" s="125">
        <v>0.0</v>
      </c>
      <c r="U58" s="125">
        <v>0.0</v>
      </c>
      <c r="V58" s="125">
        <v>0.0</v>
      </c>
      <c r="W58" s="125">
        <v>0.0</v>
      </c>
      <c r="X58" s="125">
        <v>0.0</v>
      </c>
    </row>
    <row r="59" ht="15.75" customHeight="1">
      <c r="A59" s="125">
        <v>10.0</v>
      </c>
      <c r="B59" s="125" t="s">
        <v>147</v>
      </c>
      <c r="C59" s="125">
        <v>8.0</v>
      </c>
      <c r="D59" s="126">
        <v>106.0</v>
      </c>
      <c r="E59" s="153">
        <v>0.0</v>
      </c>
      <c r="F59" s="125">
        <v>0.0</v>
      </c>
      <c r="G59" s="125">
        <v>0.0</v>
      </c>
      <c r="H59" s="125">
        <v>0.0</v>
      </c>
      <c r="I59" s="125">
        <v>0.0</v>
      </c>
      <c r="J59" s="125">
        <v>0.0</v>
      </c>
      <c r="K59" s="125">
        <v>0.0</v>
      </c>
      <c r="L59" s="125">
        <v>0.0</v>
      </c>
      <c r="M59" s="125">
        <v>0.0</v>
      </c>
      <c r="N59" s="125">
        <v>0.0</v>
      </c>
      <c r="O59" s="125">
        <v>20.0</v>
      </c>
      <c r="P59" s="125">
        <v>0.0</v>
      </c>
      <c r="Q59" s="125">
        <v>0.0</v>
      </c>
      <c r="R59" s="125">
        <v>0.0</v>
      </c>
      <c r="S59" s="125">
        <v>0.0</v>
      </c>
      <c r="T59" s="125">
        <v>0.0</v>
      </c>
      <c r="U59" s="125">
        <v>0.0</v>
      </c>
      <c r="V59" s="125">
        <v>0.0</v>
      </c>
      <c r="W59" s="125">
        <v>0.0</v>
      </c>
      <c r="X59" s="125">
        <v>0.0</v>
      </c>
    </row>
    <row r="60" ht="15.75" customHeight="1">
      <c r="A60" s="125">
        <v>10.0</v>
      </c>
      <c r="B60" s="125" t="s">
        <v>148</v>
      </c>
      <c r="C60" s="125">
        <v>8.0</v>
      </c>
      <c r="D60" s="126">
        <v>106.0</v>
      </c>
      <c r="E60" s="153">
        <v>0.0</v>
      </c>
      <c r="F60" s="125">
        <v>0.0</v>
      </c>
      <c r="G60" s="125">
        <v>0.0</v>
      </c>
      <c r="H60" s="125">
        <v>0.0</v>
      </c>
      <c r="I60" s="125">
        <v>0.0</v>
      </c>
      <c r="J60" s="125">
        <v>0.0</v>
      </c>
      <c r="K60" s="125">
        <v>0.0</v>
      </c>
      <c r="L60" s="125">
        <v>0.0</v>
      </c>
      <c r="M60" s="125">
        <v>0.0</v>
      </c>
      <c r="N60" s="125">
        <v>15.0</v>
      </c>
      <c r="O60" s="125">
        <v>0.0</v>
      </c>
      <c r="P60" s="125">
        <v>0.0</v>
      </c>
      <c r="Q60" s="125">
        <v>0.0</v>
      </c>
      <c r="R60" s="125">
        <v>0.0</v>
      </c>
      <c r="S60" s="125">
        <v>0.0</v>
      </c>
      <c r="T60" s="125">
        <v>0.0</v>
      </c>
      <c r="U60" s="125">
        <v>0.0</v>
      </c>
      <c r="V60" s="125">
        <v>0.0</v>
      </c>
      <c r="W60" s="125">
        <v>0.0</v>
      </c>
      <c r="X60" s="125">
        <v>0.0</v>
      </c>
    </row>
    <row r="61" ht="15.75" customHeight="1">
      <c r="A61" s="125">
        <v>10.0</v>
      </c>
      <c r="B61" s="125" t="s">
        <v>149</v>
      </c>
      <c r="C61" s="125">
        <v>8.0</v>
      </c>
      <c r="D61" s="126">
        <v>106.0</v>
      </c>
      <c r="E61" s="153">
        <v>0.0</v>
      </c>
      <c r="F61" s="125">
        <v>0.0</v>
      </c>
      <c r="G61" s="125">
        <v>0.0</v>
      </c>
      <c r="H61" s="125">
        <v>0.0</v>
      </c>
      <c r="I61" s="125">
        <v>0.0</v>
      </c>
      <c r="J61" s="125">
        <v>1.0</v>
      </c>
      <c r="K61" s="125">
        <v>0.0</v>
      </c>
      <c r="L61" s="125">
        <v>0.0</v>
      </c>
      <c r="M61" s="125">
        <v>0.0</v>
      </c>
      <c r="N61" s="125">
        <v>0.0</v>
      </c>
      <c r="O61" s="125">
        <v>0.0</v>
      </c>
      <c r="P61" s="125">
        <v>0.0</v>
      </c>
      <c r="Q61" s="125">
        <v>0.0</v>
      </c>
      <c r="R61" s="125">
        <v>0.0</v>
      </c>
      <c r="S61" s="125">
        <v>0.0</v>
      </c>
      <c r="T61" s="125">
        <v>0.0</v>
      </c>
      <c r="U61" s="125">
        <v>0.0</v>
      </c>
      <c r="V61" s="125">
        <v>0.0</v>
      </c>
      <c r="W61" s="125">
        <v>0.0</v>
      </c>
      <c r="X61" s="125">
        <v>0.0</v>
      </c>
    </row>
    <row r="62" ht="15.75" customHeight="1">
      <c r="A62" s="125">
        <v>10.0</v>
      </c>
      <c r="B62" s="125" t="s">
        <v>150</v>
      </c>
      <c r="C62" s="125">
        <v>8.0</v>
      </c>
      <c r="D62" s="126">
        <v>106.0</v>
      </c>
      <c r="E62" s="153">
        <v>0.0</v>
      </c>
      <c r="F62" s="125">
        <v>0.0</v>
      </c>
      <c r="G62" s="125">
        <v>0.0</v>
      </c>
      <c r="H62" s="125">
        <v>0.0</v>
      </c>
      <c r="I62" s="125">
        <v>1.0</v>
      </c>
      <c r="J62" s="125">
        <v>0.0</v>
      </c>
      <c r="K62" s="125">
        <v>0.0</v>
      </c>
      <c r="L62" s="125">
        <v>0.0</v>
      </c>
      <c r="M62" s="125">
        <v>0.0</v>
      </c>
      <c r="N62" s="125">
        <v>0.0</v>
      </c>
      <c r="O62" s="125">
        <v>0.0</v>
      </c>
      <c r="P62" s="125">
        <v>0.0</v>
      </c>
      <c r="Q62" s="125">
        <v>0.0</v>
      </c>
      <c r="R62" s="125">
        <v>0.0</v>
      </c>
      <c r="S62" s="125">
        <v>0.0</v>
      </c>
      <c r="T62" s="125">
        <v>0.0</v>
      </c>
      <c r="U62" s="125">
        <v>0.0</v>
      </c>
      <c r="V62" s="125">
        <v>0.0</v>
      </c>
      <c r="W62" s="125">
        <v>0.0</v>
      </c>
      <c r="X62" s="125">
        <v>0.0</v>
      </c>
    </row>
    <row r="63" ht="15.75" customHeight="1">
      <c r="A63" s="125">
        <v>10.0</v>
      </c>
      <c r="B63" s="125" t="s">
        <v>151</v>
      </c>
      <c r="C63" s="125">
        <v>8.0</v>
      </c>
      <c r="D63" s="126">
        <v>106.0</v>
      </c>
      <c r="E63" s="153">
        <v>0.0</v>
      </c>
      <c r="F63" s="125">
        <v>0.0</v>
      </c>
      <c r="G63" s="125">
        <v>0.0</v>
      </c>
      <c r="H63" s="125">
        <v>1.0</v>
      </c>
      <c r="I63" s="125">
        <v>0.0</v>
      </c>
      <c r="J63" s="125">
        <v>0.0</v>
      </c>
      <c r="K63" s="125">
        <v>0.0</v>
      </c>
      <c r="L63" s="125">
        <v>0.0</v>
      </c>
      <c r="M63" s="125">
        <v>0.0</v>
      </c>
      <c r="N63" s="125">
        <v>0.0</v>
      </c>
      <c r="O63" s="125">
        <v>0.0</v>
      </c>
      <c r="P63" s="125">
        <v>0.0</v>
      </c>
      <c r="Q63" s="125">
        <v>0.0</v>
      </c>
      <c r="R63" s="125">
        <v>0.0</v>
      </c>
      <c r="S63" s="125">
        <v>0.0</v>
      </c>
      <c r="T63" s="125">
        <v>0.0</v>
      </c>
      <c r="U63" s="125">
        <v>0.0</v>
      </c>
      <c r="V63" s="125">
        <v>0.0</v>
      </c>
      <c r="W63" s="125">
        <v>0.0</v>
      </c>
      <c r="X63" s="125">
        <v>0.0</v>
      </c>
    </row>
    <row r="64" ht="15.75" customHeight="1">
      <c r="A64" s="125">
        <v>11.0</v>
      </c>
      <c r="B64" s="125" t="s">
        <v>147</v>
      </c>
      <c r="C64" s="125">
        <v>10.0</v>
      </c>
      <c r="D64" s="126">
        <v>116.0</v>
      </c>
      <c r="E64" s="153">
        <v>0.0</v>
      </c>
      <c r="F64" s="125">
        <v>0.0</v>
      </c>
      <c r="G64" s="125">
        <v>0.0</v>
      </c>
      <c r="H64" s="125">
        <v>0.0</v>
      </c>
      <c r="I64" s="125">
        <v>0.0</v>
      </c>
      <c r="J64" s="125">
        <v>0.0</v>
      </c>
      <c r="K64" s="125">
        <v>0.0</v>
      </c>
      <c r="L64" s="125">
        <v>0.0</v>
      </c>
      <c r="M64" s="125">
        <v>0.0</v>
      </c>
      <c r="N64" s="125">
        <v>15.0</v>
      </c>
      <c r="O64" s="125">
        <v>0.0</v>
      </c>
      <c r="P64" s="125">
        <v>0.0</v>
      </c>
      <c r="Q64" s="125">
        <v>0.0</v>
      </c>
      <c r="R64" s="125">
        <v>0.0</v>
      </c>
      <c r="S64" s="125">
        <v>0.0</v>
      </c>
      <c r="T64" s="125">
        <v>0.0</v>
      </c>
      <c r="U64" s="125">
        <v>0.0</v>
      </c>
      <c r="V64" s="125">
        <v>0.0</v>
      </c>
      <c r="W64" s="125">
        <v>0.0</v>
      </c>
      <c r="X64" s="125">
        <v>0.0</v>
      </c>
    </row>
    <row r="65" ht="15.75" customHeight="1">
      <c r="A65" s="125">
        <v>11.0</v>
      </c>
      <c r="B65" s="125" t="s">
        <v>148</v>
      </c>
      <c r="C65" s="125">
        <v>10.0</v>
      </c>
      <c r="D65" s="126">
        <v>116.0</v>
      </c>
      <c r="E65" s="153">
        <v>0.0</v>
      </c>
      <c r="F65" s="125">
        <v>0.0</v>
      </c>
      <c r="G65" s="125">
        <v>0.0</v>
      </c>
      <c r="H65" s="125">
        <v>0.0</v>
      </c>
      <c r="I65" s="125">
        <v>0.0</v>
      </c>
      <c r="J65" s="125">
        <v>0.0</v>
      </c>
      <c r="K65" s="125">
        <v>0.0</v>
      </c>
      <c r="L65" s="125">
        <v>0.0</v>
      </c>
      <c r="M65" s="125">
        <v>0.0</v>
      </c>
      <c r="N65" s="125">
        <v>0.0</v>
      </c>
      <c r="O65" s="125">
        <v>0.0</v>
      </c>
      <c r="P65" s="125">
        <v>10.0</v>
      </c>
      <c r="Q65" s="125">
        <v>0.0</v>
      </c>
      <c r="R65" s="125">
        <v>0.0</v>
      </c>
      <c r="S65" s="125">
        <v>0.0</v>
      </c>
      <c r="T65" s="125">
        <v>0.0</v>
      </c>
      <c r="U65" s="125">
        <v>0.0</v>
      </c>
      <c r="V65" s="125">
        <v>0.0</v>
      </c>
      <c r="W65" s="125">
        <v>0.0</v>
      </c>
      <c r="X65" s="125">
        <v>0.0</v>
      </c>
    </row>
    <row r="66" ht="15.75" customHeight="1">
      <c r="A66" s="125">
        <v>11.0</v>
      </c>
      <c r="B66" s="125" t="s">
        <v>149</v>
      </c>
      <c r="C66" s="125">
        <v>10.0</v>
      </c>
      <c r="D66" s="126">
        <v>116.0</v>
      </c>
      <c r="E66" s="153">
        <v>0.0</v>
      </c>
      <c r="F66" s="125">
        <v>0.0</v>
      </c>
      <c r="G66" s="125">
        <v>0.0</v>
      </c>
      <c r="H66" s="125">
        <v>0.0</v>
      </c>
      <c r="I66" s="125">
        <v>0.0</v>
      </c>
      <c r="J66" s="125">
        <v>0.0</v>
      </c>
      <c r="K66" s="125">
        <v>1.0</v>
      </c>
      <c r="L66" s="125">
        <v>0.0</v>
      </c>
      <c r="M66" s="125">
        <v>0.0</v>
      </c>
      <c r="N66" s="125">
        <v>0.0</v>
      </c>
      <c r="O66" s="125">
        <v>0.0</v>
      </c>
      <c r="P66" s="125">
        <v>0.0</v>
      </c>
      <c r="Q66" s="125">
        <v>0.0</v>
      </c>
      <c r="R66" s="125">
        <v>0.0</v>
      </c>
      <c r="S66" s="125">
        <v>0.0</v>
      </c>
      <c r="T66" s="125">
        <v>0.0</v>
      </c>
      <c r="U66" s="125">
        <v>0.0</v>
      </c>
      <c r="V66" s="125">
        <v>0.0</v>
      </c>
      <c r="W66" s="125">
        <v>0.0</v>
      </c>
      <c r="X66" s="125">
        <v>0.0</v>
      </c>
    </row>
    <row r="67" ht="15.75" customHeight="1">
      <c r="A67" s="125">
        <v>11.0</v>
      </c>
      <c r="B67" s="125" t="s">
        <v>150</v>
      </c>
      <c r="C67" s="125">
        <v>10.0</v>
      </c>
      <c r="D67" s="126">
        <v>116.0</v>
      </c>
      <c r="E67" s="153">
        <v>0.0</v>
      </c>
      <c r="F67" s="125">
        <v>0.0</v>
      </c>
      <c r="G67" s="125">
        <v>0.0</v>
      </c>
      <c r="H67" s="125">
        <v>0.0</v>
      </c>
      <c r="I67" s="125">
        <v>0.0</v>
      </c>
      <c r="J67" s="125">
        <v>0.0</v>
      </c>
      <c r="K67" s="125">
        <v>0.0</v>
      </c>
      <c r="L67" s="125">
        <v>0.0</v>
      </c>
      <c r="M67" s="125">
        <v>0.0</v>
      </c>
      <c r="N67" s="125">
        <v>0.0</v>
      </c>
      <c r="O67" s="125">
        <v>10.0</v>
      </c>
      <c r="P67" s="125">
        <v>0.0</v>
      </c>
      <c r="Q67" s="125">
        <v>0.0</v>
      </c>
      <c r="R67" s="125">
        <v>0.0</v>
      </c>
      <c r="S67" s="125">
        <v>0.0</v>
      </c>
      <c r="T67" s="125">
        <v>0.0</v>
      </c>
      <c r="U67" s="125">
        <v>0.0</v>
      </c>
      <c r="V67" s="125">
        <v>0.0</v>
      </c>
      <c r="W67" s="125">
        <v>0.0</v>
      </c>
      <c r="X67" s="125">
        <v>0.0</v>
      </c>
    </row>
    <row r="68" ht="15.75" customHeight="1">
      <c r="A68" s="125">
        <v>11.0</v>
      </c>
      <c r="B68" s="125" t="s">
        <v>151</v>
      </c>
      <c r="C68" s="125">
        <v>10.0</v>
      </c>
      <c r="D68" s="126">
        <v>116.0</v>
      </c>
      <c r="E68" s="153">
        <v>0.0</v>
      </c>
      <c r="F68" s="125">
        <v>30.0</v>
      </c>
      <c r="G68" s="125">
        <v>0.0</v>
      </c>
      <c r="H68" s="125">
        <v>0.0</v>
      </c>
      <c r="I68" s="125">
        <v>0.0</v>
      </c>
      <c r="J68" s="125">
        <v>0.0</v>
      </c>
      <c r="K68" s="125">
        <v>0.0</v>
      </c>
      <c r="L68" s="125">
        <v>0.0</v>
      </c>
      <c r="M68" s="125">
        <v>0.0</v>
      </c>
      <c r="N68" s="125">
        <v>0.0</v>
      </c>
      <c r="O68" s="125">
        <v>0.0</v>
      </c>
      <c r="P68" s="125">
        <v>0.0</v>
      </c>
      <c r="Q68" s="125">
        <v>0.0</v>
      </c>
      <c r="R68" s="125">
        <v>0.0</v>
      </c>
      <c r="S68" s="125">
        <v>0.0</v>
      </c>
      <c r="T68" s="125">
        <v>0.0</v>
      </c>
      <c r="U68" s="125">
        <v>0.0</v>
      </c>
      <c r="V68" s="125">
        <v>0.0</v>
      </c>
      <c r="W68" s="125">
        <v>0.0</v>
      </c>
      <c r="X68" s="125">
        <v>0.0</v>
      </c>
    </row>
    <row r="69" ht="15.75" customHeight="1">
      <c r="A69" s="125">
        <v>12.0</v>
      </c>
      <c r="B69" s="125" t="s">
        <v>147</v>
      </c>
      <c r="C69" s="125">
        <v>12.0</v>
      </c>
      <c r="D69" s="126">
        <v>128.0</v>
      </c>
      <c r="E69" s="153">
        <v>0.0</v>
      </c>
      <c r="F69" s="125">
        <v>0.0</v>
      </c>
      <c r="G69" s="125">
        <v>0.0</v>
      </c>
      <c r="H69" s="125">
        <v>0.0</v>
      </c>
      <c r="I69" s="125">
        <v>0.0</v>
      </c>
      <c r="J69" s="125">
        <v>0.0</v>
      </c>
      <c r="K69" s="125">
        <v>0.0</v>
      </c>
      <c r="L69" s="125">
        <v>0.0</v>
      </c>
      <c r="M69" s="125">
        <v>1.0</v>
      </c>
      <c r="N69" s="125">
        <v>0.0</v>
      </c>
      <c r="O69" s="125">
        <v>0.0</v>
      </c>
      <c r="P69" s="125">
        <v>0.0</v>
      </c>
      <c r="Q69" s="125">
        <v>0.0</v>
      </c>
      <c r="R69" s="125">
        <v>0.0</v>
      </c>
      <c r="S69" s="125">
        <v>0.0</v>
      </c>
      <c r="T69" s="125">
        <v>0.0</v>
      </c>
      <c r="U69" s="125">
        <v>0.0</v>
      </c>
      <c r="V69" s="125">
        <v>0.0</v>
      </c>
      <c r="W69" s="125">
        <v>0.0</v>
      </c>
      <c r="X69" s="125">
        <v>0.0</v>
      </c>
    </row>
    <row r="70" ht="15.75" customHeight="1">
      <c r="A70" s="125">
        <v>12.0</v>
      </c>
      <c r="B70" s="125" t="s">
        <v>148</v>
      </c>
      <c r="C70" s="125">
        <v>12.0</v>
      </c>
      <c r="D70" s="126">
        <v>128.0</v>
      </c>
      <c r="E70" s="153">
        <v>0.0</v>
      </c>
      <c r="F70" s="125">
        <v>0.0</v>
      </c>
      <c r="G70" s="125">
        <v>0.0</v>
      </c>
      <c r="H70" s="125">
        <v>0.0</v>
      </c>
      <c r="I70" s="125">
        <v>0.0</v>
      </c>
      <c r="J70" s="125">
        <v>0.0</v>
      </c>
      <c r="K70" s="125">
        <v>0.0</v>
      </c>
      <c r="L70" s="125">
        <v>1.0</v>
      </c>
      <c r="M70" s="125">
        <v>0.0</v>
      </c>
      <c r="N70" s="125">
        <v>0.0</v>
      </c>
      <c r="O70" s="125">
        <v>0.0</v>
      </c>
      <c r="P70" s="125">
        <v>0.0</v>
      </c>
      <c r="Q70" s="125">
        <v>0.0</v>
      </c>
      <c r="R70" s="125">
        <v>0.0</v>
      </c>
      <c r="S70" s="125">
        <v>0.0</v>
      </c>
      <c r="T70" s="125">
        <v>0.0</v>
      </c>
      <c r="U70" s="125">
        <v>0.0</v>
      </c>
      <c r="V70" s="125">
        <v>0.0</v>
      </c>
      <c r="W70" s="125">
        <v>0.0</v>
      </c>
      <c r="X70" s="125">
        <v>0.0</v>
      </c>
    </row>
    <row r="71" ht="15.75" customHeight="1">
      <c r="A71" s="125">
        <v>12.0</v>
      </c>
      <c r="B71" s="125" t="s">
        <v>149</v>
      </c>
      <c r="C71" s="125">
        <v>12.0</v>
      </c>
      <c r="D71" s="126">
        <v>128.0</v>
      </c>
      <c r="E71" s="153">
        <v>0.0</v>
      </c>
      <c r="F71" s="125">
        <v>0.0</v>
      </c>
      <c r="G71" s="125">
        <v>0.0</v>
      </c>
      <c r="H71" s="125">
        <v>1.0</v>
      </c>
      <c r="I71" s="125">
        <v>0.0</v>
      </c>
      <c r="J71" s="125">
        <v>0.0</v>
      </c>
      <c r="K71" s="125">
        <v>0.0</v>
      </c>
      <c r="L71" s="125">
        <v>0.0</v>
      </c>
      <c r="M71" s="125">
        <v>0.0</v>
      </c>
      <c r="N71" s="125">
        <v>0.0</v>
      </c>
      <c r="O71" s="125">
        <v>0.0</v>
      </c>
      <c r="P71" s="125">
        <v>0.0</v>
      </c>
      <c r="Q71" s="125">
        <v>0.0</v>
      </c>
      <c r="R71" s="125">
        <v>0.0</v>
      </c>
      <c r="S71" s="125">
        <v>0.0</v>
      </c>
      <c r="T71" s="125">
        <v>0.0</v>
      </c>
      <c r="U71" s="125">
        <v>0.0</v>
      </c>
      <c r="V71" s="125">
        <v>0.0</v>
      </c>
      <c r="W71" s="125">
        <v>0.0</v>
      </c>
      <c r="X71" s="125">
        <v>0.0</v>
      </c>
    </row>
    <row r="72" ht="15.75" customHeight="1">
      <c r="A72" s="125">
        <v>12.0</v>
      </c>
      <c r="B72" s="125" t="s">
        <v>150</v>
      </c>
      <c r="C72" s="125">
        <v>12.0</v>
      </c>
      <c r="D72" s="126">
        <v>128.0</v>
      </c>
      <c r="E72" s="153">
        <v>0.0</v>
      </c>
      <c r="F72" s="125">
        <v>30.0</v>
      </c>
      <c r="G72" s="125">
        <v>0.0</v>
      </c>
      <c r="H72" s="125">
        <v>0.0</v>
      </c>
      <c r="I72" s="125">
        <v>0.0</v>
      </c>
      <c r="J72" s="125">
        <v>0.0</v>
      </c>
      <c r="K72" s="125">
        <v>0.0</v>
      </c>
      <c r="L72" s="125">
        <v>0.0</v>
      </c>
      <c r="M72" s="125">
        <v>0.0</v>
      </c>
      <c r="N72" s="125">
        <v>0.0</v>
      </c>
      <c r="O72" s="125">
        <v>0.0</v>
      </c>
      <c r="P72" s="125">
        <v>0.0</v>
      </c>
      <c r="Q72" s="125">
        <v>0.0</v>
      </c>
      <c r="R72" s="125">
        <v>0.0</v>
      </c>
      <c r="S72" s="125">
        <v>0.0</v>
      </c>
      <c r="T72" s="125">
        <v>0.0</v>
      </c>
      <c r="U72" s="125">
        <v>0.0</v>
      </c>
      <c r="V72" s="125">
        <v>0.0</v>
      </c>
      <c r="W72" s="125">
        <v>0.0</v>
      </c>
      <c r="X72" s="125">
        <v>0.0</v>
      </c>
    </row>
    <row r="73" ht="15.75" customHeight="1">
      <c r="A73" s="125">
        <v>12.0</v>
      </c>
      <c r="B73" s="125" t="s">
        <v>151</v>
      </c>
      <c r="C73" s="125">
        <v>12.0</v>
      </c>
      <c r="D73" s="126">
        <v>128.0</v>
      </c>
      <c r="E73" s="153">
        <v>0.0</v>
      </c>
      <c r="F73" s="125">
        <v>0.0</v>
      </c>
      <c r="G73" s="125">
        <v>15.0</v>
      </c>
      <c r="H73" s="125">
        <v>0.0</v>
      </c>
      <c r="I73" s="125">
        <v>0.0</v>
      </c>
      <c r="J73" s="125">
        <v>0.0</v>
      </c>
      <c r="K73" s="125">
        <v>0.0</v>
      </c>
      <c r="L73" s="125">
        <v>0.0</v>
      </c>
      <c r="M73" s="125">
        <v>0.0</v>
      </c>
      <c r="N73" s="125">
        <v>0.0</v>
      </c>
      <c r="O73" s="125">
        <v>0.0</v>
      </c>
      <c r="P73" s="125">
        <v>0.0</v>
      </c>
      <c r="Q73" s="125">
        <v>0.0</v>
      </c>
      <c r="R73" s="125">
        <v>0.0</v>
      </c>
      <c r="S73" s="125">
        <v>0.0</v>
      </c>
      <c r="T73" s="125">
        <v>0.0</v>
      </c>
      <c r="U73" s="125">
        <v>0.0</v>
      </c>
      <c r="V73" s="125">
        <v>0.0</v>
      </c>
      <c r="W73" s="125">
        <v>0.0</v>
      </c>
      <c r="X73" s="125">
        <v>0.0</v>
      </c>
    </row>
    <row r="74" ht="15.75" customHeight="1">
      <c r="A74" s="125">
        <v>13.0</v>
      </c>
      <c r="B74" s="125" t="s">
        <v>147</v>
      </c>
      <c r="C74" s="125">
        <v>15.0</v>
      </c>
      <c r="D74" s="126">
        <v>143.0</v>
      </c>
      <c r="E74" s="153">
        <v>65.0</v>
      </c>
      <c r="F74" s="125">
        <v>0.0</v>
      </c>
      <c r="G74" s="125">
        <v>0.0</v>
      </c>
      <c r="H74" s="125">
        <v>0.0</v>
      </c>
      <c r="I74" s="125">
        <v>0.0</v>
      </c>
      <c r="J74" s="125">
        <v>0.0</v>
      </c>
      <c r="K74" s="125">
        <v>0.0</v>
      </c>
      <c r="L74" s="125">
        <v>0.0</v>
      </c>
      <c r="M74" s="125">
        <v>0.0</v>
      </c>
      <c r="N74" s="125">
        <v>0.0</v>
      </c>
      <c r="O74" s="125">
        <v>0.0</v>
      </c>
      <c r="P74" s="125">
        <v>0.0</v>
      </c>
      <c r="Q74" s="125">
        <v>0.0</v>
      </c>
      <c r="R74" s="125">
        <v>0.0</v>
      </c>
      <c r="S74" s="125">
        <v>0.0</v>
      </c>
      <c r="T74" s="125">
        <v>0.0</v>
      </c>
      <c r="U74" s="125">
        <v>0.0</v>
      </c>
      <c r="V74" s="125">
        <v>0.0</v>
      </c>
      <c r="W74" s="125">
        <v>0.0</v>
      </c>
      <c r="X74" s="125">
        <v>0.0</v>
      </c>
    </row>
    <row r="75" ht="15.75" customHeight="1">
      <c r="A75" s="125">
        <v>13.0</v>
      </c>
      <c r="B75" s="125" t="s">
        <v>148</v>
      </c>
      <c r="C75" s="125">
        <v>15.0</v>
      </c>
      <c r="D75" s="126">
        <v>143.0</v>
      </c>
      <c r="E75" s="153">
        <v>0.0</v>
      </c>
      <c r="F75" s="125">
        <v>0.0</v>
      </c>
      <c r="G75" s="125">
        <v>0.0</v>
      </c>
      <c r="H75" s="125">
        <v>0.0</v>
      </c>
      <c r="I75" s="125">
        <v>0.0</v>
      </c>
      <c r="J75" s="125">
        <v>1.0</v>
      </c>
      <c r="K75" s="125">
        <v>0.0</v>
      </c>
      <c r="L75" s="125">
        <v>0.0</v>
      </c>
      <c r="M75" s="125">
        <v>0.0</v>
      </c>
      <c r="N75" s="125">
        <v>0.0</v>
      </c>
      <c r="O75" s="125">
        <v>0.0</v>
      </c>
      <c r="P75" s="125">
        <v>0.0</v>
      </c>
      <c r="Q75" s="125">
        <v>0.0</v>
      </c>
      <c r="R75" s="125">
        <v>0.0</v>
      </c>
      <c r="S75" s="125">
        <v>0.0</v>
      </c>
      <c r="T75" s="125">
        <v>0.0</v>
      </c>
      <c r="U75" s="125">
        <v>0.0</v>
      </c>
      <c r="V75" s="125">
        <v>0.0</v>
      </c>
      <c r="W75" s="125">
        <v>0.0</v>
      </c>
      <c r="X75" s="125">
        <v>0.0</v>
      </c>
    </row>
    <row r="76" ht="15.75" customHeight="1">
      <c r="A76" s="125">
        <v>13.0</v>
      </c>
      <c r="B76" s="125" t="s">
        <v>149</v>
      </c>
      <c r="C76" s="125">
        <v>15.0</v>
      </c>
      <c r="D76" s="126">
        <v>143.0</v>
      </c>
      <c r="E76" s="153">
        <v>0.0</v>
      </c>
      <c r="F76" s="125">
        <v>0.0</v>
      </c>
      <c r="G76" s="125">
        <v>0.0</v>
      </c>
      <c r="H76" s="125">
        <v>0.0</v>
      </c>
      <c r="I76" s="125">
        <v>0.0</v>
      </c>
      <c r="J76" s="125">
        <v>0.0</v>
      </c>
      <c r="K76" s="125">
        <v>0.0</v>
      </c>
      <c r="L76" s="125">
        <v>0.0</v>
      </c>
      <c r="M76" s="125">
        <v>0.0</v>
      </c>
      <c r="N76" s="125">
        <v>0.0</v>
      </c>
      <c r="O76" s="125">
        <v>0.0</v>
      </c>
      <c r="P76" s="125">
        <v>15.0</v>
      </c>
      <c r="Q76" s="125">
        <v>0.0</v>
      </c>
      <c r="R76" s="125">
        <v>0.0</v>
      </c>
      <c r="S76" s="125">
        <v>0.0</v>
      </c>
      <c r="T76" s="125">
        <v>0.0</v>
      </c>
      <c r="U76" s="125">
        <v>0.0</v>
      </c>
      <c r="V76" s="125">
        <v>0.0</v>
      </c>
      <c r="W76" s="125">
        <v>0.0</v>
      </c>
      <c r="X76" s="125">
        <v>0.0</v>
      </c>
    </row>
    <row r="77" ht="15.75" customHeight="1">
      <c r="A77" s="125">
        <v>13.0</v>
      </c>
      <c r="B77" s="125" t="s">
        <v>150</v>
      </c>
      <c r="C77" s="125">
        <v>15.0</v>
      </c>
      <c r="D77" s="126">
        <v>143.0</v>
      </c>
      <c r="E77" s="153">
        <v>0.0</v>
      </c>
      <c r="F77" s="125">
        <v>0.0</v>
      </c>
      <c r="G77" s="125">
        <v>0.0</v>
      </c>
      <c r="H77" s="125">
        <v>0.0</v>
      </c>
      <c r="I77" s="125">
        <v>0.0</v>
      </c>
      <c r="J77" s="125">
        <v>0.0</v>
      </c>
      <c r="K77" s="125">
        <v>1.0</v>
      </c>
      <c r="L77" s="125">
        <v>0.0</v>
      </c>
      <c r="M77" s="125">
        <v>0.0</v>
      </c>
      <c r="N77" s="125">
        <v>0.0</v>
      </c>
      <c r="O77" s="125">
        <v>0.0</v>
      </c>
      <c r="P77" s="125">
        <v>0.0</v>
      </c>
      <c r="Q77" s="125">
        <v>0.0</v>
      </c>
      <c r="R77" s="125">
        <v>0.0</v>
      </c>
      <c r="S77" s="125">
        <v>0.0</v>
      </c>
      <c r="T77" s="125">
        <v>0.0</v>
      </c>
      <c r="U77" s="125">
        <v>0.0</v>
      </c>
      <c r="V77" s="125">
        <v>0.0</v>
      </c>
      <c r="W77" s="125">
        <v>0.0</v>
      </c>
      <c r="X77" s="125">
        <v>0.0</v>
      </c>
    </row>
    <row r="78" ht="15.75" customHeight="1">
      <c r="A78" s="125">
        <v>13.0</v>
      </c>
      <c r="B78" s="125" t="s">
        <v>151</v>
      </c>
      <c r="C78" s="125">
        <v>15.0</v>
      </c>
      <c r="D78" s="126">
        <v>143.0</v>
      </c>
      <c r="E78" s="153">
        <v>0.0</v>
      </c>
      <c r="F78" s="125">
        <v>0.0</v>
      </c>
      <c r="G78" s="125">
        <v>0.0</v>
      </c>
      <c r="H78" s="125">
        <v>0.0</v>
      </c>
      <c r="I78" s="125">
        <v>0.0</v>
      </c>
      <c r="J78" s="125">
        <v>0.0</v>
      </c>
      <c r="K78" s="125">
        <v>0.0</v>
      </c>
      <c r="L78" s="125">
        <v>0.0</v>
      </c>
      <c r="M78" s="125">
        <v>0.0</v>
      </c>
      <c r="N78" s="125">
        <v>0.0</v>
      </c>
      <c r="O78" s="125">
        <v>15.0</v>
      </c>
      <c r="P78" s="125">
        <v>0.0</v>
      </c>
      <c r="Q78" s="125">
        <v>0.0</v>
      </c>
      <c r="R78" s="125">
        <v>0.0</v>
      </c>
      <c r="S78" s="125">
        <v>0.0</v>
      </c>
      <c r="T78" s="125">
        <v>0.0</v>
      </c>
      <c r="U78" s="125">
        <v>0.0</v>
      </c>
      <c r="V78" s="125">
        <v>0.0</v>
      </c>
      <c r="W78" s="125">
        <v>0.0</v>
      </c>
      <c r="X78" s="125">
        <v>0.0</v>
      </c>
    </row>
    <row r="79" ht="15.75" customHeight="1">
      <c r="A79" s="125">
        <v>14.0</v>
      </c>
      <c r="B79" s="125" t="s">
        <v>147</v>
      </c>
      <c r="C79" s="125">
        <v>17.0</v>
      </c>
      <c r="D79" s="126">
        <v>160.0</v>
      </c>
      <c r="E79" s="153">
        <v>0.0</v>
      </c>
      <c r="F79" s="125">
        <v>0.0</v>
      </c>
      <c r="G79" s="125">
        <v>0.0</v>
      </c>
      <c r="H79" s="125">
        <v>0.0</v>
      </c>
      <c r="I79" s="125">
        <v>0.0</v>
      </c>
      <c r="J79" s="125">
        <v>0.0</v>
      </c>
      <c r="K79" s="125">
        <v>0.0</v>
      </c>
      <c r="L79" s="125">
        <v>0.0</v>
      </c>
      <c r="M79" s="125">
        <v>0.0</v>
      </c>
      <c r="N79" s="125">
        <v>20.0</v>
      </c>
      <c r="O79" s="125">
        <v>0.0</v>
      </c>
      <c r="P79" s="125">
        <v>0.0</v>
      </c>
      <c r="Q79" s="125">
        <v>0.0</v>
      </c>
      <c r="R79" s="125">
        <v>0.0</v>
      </c>
      <c r="S79" s="125">
        <v>0.0</v>
      </c>
      <c r="T79" s="125">
        <v>0.0</v>
      </c>
      <c r="U79" s="125">
        <v>0.0</v>
      </c>
      <c r="V79" s="125">
        <v>0.0</v>
      </c>
      <c r="W79" s="125">
        <v>0.0</v>
      </c>
      <c r="X79" s="125">
        <v>0.0</v>
      </c>
    </row>
    <row r="80" ht="15.75" customHeight="1">
      <c r="A80" s="125">
        <v>14.0</v>
      </c>
      <c r="B80" s="125" t="s">
        <v>148</v>
      </c>
      <c r="C80" s="125">
        <v>17.0</v>
      </c>
      <c r="D80" s="126">
        <v>160.0</v>
      </c>
      <c r="E80" s="153">
        <v>0.0</v>
      </c>
      <c r="F80" s="125">
        <v>0.0</v>
      </c>
      <c r="G80" s="125">
        <v>0.0</v>
      </c>
      <c r="H80" s="125">
        <v>0.0</v>
      </c>
      <c r="I80" s="125">
        <v>0.0</v>
      </c>
      <c r="J80" s="125">
        <v>0.0</v>
      </c>
      <c r="K80" s="125">
        <v>0.0</v>
      </c>
      <c r="L80" s="125">
        <v>0.0</v>
      </c>
      <c r="M80" s="125">
        <v>1.0</v>
      </c>
      <c r="N80" s="125">
        <v>0.0</v>
      </c>
      <c r="O80" s="125">
        <v>0.0</v>
      </c>
      <c r="P80" s="125">
        <v>0.0</v>
      </c>
      <c r="Q80" s="125">
        <v>0.0</v>
      </c>
      <c r="R80" s="125">
        <v>0.0</v>
      </c>
      <c r="S80" s="125">
        <v>0.0</v>
      </c>
      <c r="T80" s="125">
        <v>0.0</v>
      </c>
      <c r="U80" s="125">
        <v>0.0</v>
      </c>
      <c r="V80" s="125">
        <v>0.0</v>
      </c>
      <c r="W80" s="125">
        <v>0.0</v>
      </c>
      <c r="X80" s="125">
        <v>0.0</v>
      </c>
    </row>
    <row r="81" ht="15.75" customHeight="1">
      <c r="A81" s="125">
        <v>14.0</v>
      </c>
      <c r="B81" s="125" t="s">
        <v>149</v>
      </c>
      <c r="C81" s="125">
        <v>17.0</v>
      </c>
      <c r="D81" s="126">
        <v>160.0</v>
      </c>
      <c r="E81" s="153">
        <v>0.0</v>
      </c>
      <c r="F81" s="125">
        <v>0.0</v>
      </c>
      <c r="G81" s="125">
        <v>0.0</v>
      </c>
      <c r="H81" s="125">
        <v>0.0</v>
      </c>
      <c r="I81" s="125">
        <v>0.0</v>
      </c>
      <c r="J81" s="125">
        <v>0.0</v>
      </c>
      <c r="K81" s="125">
        <v>0.0</v>
      </c>
      <c r="L81" s="125">
        <v>1.0</v>
      </c>
      <c r="M81" s="125">
        <v>0.0</v>
      </c>
      <c r="N81" s="125">
        <v>0.0</v>
      </c>
      <c r="O81" s="125">
        <v>0.0</v>
      </c>
      <c r="P81" s="125">
        <v>0.0</v>
      </c>
      <c r="Q81" s="125">
        <v>0.0</v>
      </c>
      <c r="R81" s="125">
        <v>0.0</v>
      </c>
      <c r="S81" s="125">
        <v>0.0</v>
      </c>
      <c r="T81" s="125">
        <v>0.0</v>
      </c>
      <c r="U81" s="125">
        <v>0.0</v>
      </c>
      <c r="V81" s="125">
        <v>0.0</v>
      </c>
      <c r="W81" s="125">
        <v>0.0</v>
      </c>
      <c r="X81" s="125">
        <v>0.0</v>
      </c>
    </row>
    <row r="82" ht="15.75" customHeight="1">
      <c r="A82" s="125">
        <v>14.0</v>
      </c>
      <c r="B82" s="125" t="s">
        <v>150</v>
      </c>
      <c r="C82" s="125">
        <v>17.0</v>
      </c>
      <c r="D82" s="126">
        <v>160.0</v>
      </c>
      <c r="E82" s="153">
        <v>0.0</v>
      </c>
      <c r="F82" s="125">
        <v>0.0</v>
      </c>
      <c r="G82" s="125">
        <v>0.0</v>
      </c>
      <c r="H82" s="125">
        <v>0.0</v>
      </c>
      <c r="I82" s="125">
        <v>0.0</v>
      </c>
      <c r="J82" s="125">
        <v>0.0</v>
      </c>
      <c r="K82" s="125">
        <v>1.0</v>
      </c>
      <c r="L82" s="125">
        <v>0.0</v>
      </c>
      <c r="M82" s="125">
        <v>0.0</v>
      </c>
      <c r="N82" s="125">
        <v>0.0</v>
      </c>
      <c r="O82" s="125">
        <v>0.0</v>
      </c>
      <c r="P82" s="125">
        <v>0.0</v>
      </c>
      <c r="Q82" s="125">
        <v>0.0</v>
      </c>
      <c r="R82" s="125">
        <v>0.0</v>
      </c>
      <c r="S82" s="125">
        <v>0.0</v>
      </c>
      <c r="T82" s="125">
        <v>0.0</v>
      </c>
      <c r="U82" s="125">
        <v>0.0</v>
      </c>
      <c r="V82" s="125">
        <v>0.0</v>
      </c>
      <c r="W82" s="125">
        <v>0.0</v>
      </c>
      <c r="X82" s="125">
        <v>0.0</v>
      </c>
    </row>
    <row r="83" ht="15.75" customHeight="1">
      <c r="A83" s="125">
        <v>14.0</v>
      </c>
      <c r="B83" s="125" t="s">
        <v>151</v>
      </c>
      <c r="C83" s="125">
        <v>17.0</v>
      </c>
      <c r="D83" s="126">
        <v>160.0</v>
      </c>
      <c r="E83" s="153">
        <v>0.0</v>
      </c>
      <c r="F83" s="125">
        <v>30.0</v>
      </c>
      <c r="G83" s="125">
        <v>0.0</v>
      </c>
      <c r="H83" s="125">
        <v>0.0</v>
      </c>
      <c r="I83" s="125">
        <v>0.0</v>
      </c>
      <c r="J83" s="125">
        <v>0.0</v>
      </c>
      <c r="K83" s="125">
        <v>0.0</v>
      </c>
      <c r="L83" s="125">
        <v>0.0</v>
      </c>
      <c r="M83" s="125">
        <v>0.0</v>
      </c>
      <c r="N83" s="125">
        <v>0.0</v>
      </c>
      <c r="O83" s="125">
        <v>0.0</v>
      </c>
      <c r="P83" s="125">
        <v>0.0</v>
      </c>
      <c r="Q83" s="125">
        <v>0.0</v>
      </c>
      <c r="R83" s="125">
        <v>0.0</v>
      </c>
      <c r="S83" s="125">
        <v>0.0</v>
      </c>
      <c r="T83" s="125">
        <v>0.0</v>
      </c>
      <c r="U83" s="125">
        <v>0.0</v>
      </c>
      <c r="V83" s="125">
        <v>0.0</v>
      </c>
      <c r="W83" s="125">
        <v>0.0</v>
      </c>
      <c r="X83" s="125">
        <v>0.0</v>
      </c>
    </row>
    <row r="84" ht="15.75" customHeight="1">
      <c r="A84" s="125">
        <v>15.0</v>
      </c>
      <c r="B84" s="125" t="s">
        <v>147</v>
      </c>
      <c r="C84" s="125">
        <v>25.0</v>
      </c>
      <c r="D84" s="126">
        <v>185.0</v>
      </c>
      <c r="E84" s="153">
        <v>150.0</v>
      </c>
      <c r="F84" s="125">
        <v>0.0</v>
      </c>
      <c r="G84" s="125">
        <v>0.0</v>
      </c>
      <c r="H84" s="125">
        <v>0.0</v>
      </c>
      <c r="I84" s="125">
        <v>0.0</v>
      </c>
      <c r="J84" s="125">
        <v>0.0</v>
      </c>
      <c r="K84" s="125">
        <v>1.0</v>
      </c>
      <c r="L84" s="125">
        <v>0.0</v>
      </c>
      <c r="M84" s="125">
        <v>0.0</v>
      </c>
      <c r="N84" s="125">
        <v>0.0</v>
      </c>
      <c r="O84" s="125">
        <v>30.0</v>
      </c>
      <c r="P84" s="125">
        <v>0.0</v>
      </c>
      <c r="Q84" s="125">
        <v>0.0</v>
      </c>
      <c r="R84" s="125">
        <v>0.0</v>
      </c>
      <c r="S84" s="125">
        <v>0.0</v>
      </c>
      <c r="T84" s="125">
        <v>0.0</v>
      </c>
      <c r="U84" s="125">
        <v>0.0</v>
      </c>
      <c r="V84" s="125">
        <v>0.0</v>
      </c>
      <c r="W84" s="125">
        <v>0.0</v>
      </c>
      <c r="X84" s="125">
        <v>0.0</v>
      </c>
    </row>
    <row r="85" ht="15.75" customHeight="1">
      <c r="A85" s="125">
        <v>15.0</v>
      </c>
      <c r="B85" s="125" t="s">
        <v>148</v>
      </c>
      <c r="C85" s="125">
        <v>25.0</v>
      </c>
      <c r="D85" s="126">
        <v>185.0</v>
      </c>
      <c r="E85" s="153">
        <v>0.0</v>
      </c>
      <c r="F85" s="125">
        <v>50.0</v>
      </c>
      <c r="G85" s="125">
        <v>0.0</v>
      </c>
      <c r="H85" s="125">
        <v>0.0</v>
      </c>
      <c r="I85" s="125">
        <v>0.0</v>
      </c>
      <c r="J85" s="125">
        <v>0.0</v>
      </c>
      <c r="K85" s="125">
        <v>0.0</v>
      </c>
      <c r="L85" s="125">
        <v>0.0</v>
      </c>
      <c r="M85" s="125">
        <v>0.0</v>
      </c>
      <c r="N85" s="125">
        <v>60.0</v>
      </c>
      <c r="O85" s="125">
        <v>0.0</v>
      </c>
      <c r="P85" s="125">
        <v>0.0</v>
      </c>
      <c r="Q85" s="125">
        <v>0.0</v>
      </c>
      <c r="R85" s="125">
        <v>0.0</v>
      </c>
      <c r="S85" s="125">
        <v>0.0</v>
      </c>
      <c r="T85" s="125">
        <v>0.0</v>
      </c>
      <c r="U85" s="125">
        <v>0.0</v>
      </c>
      <c r="V85" s="125">
        <v>0.0</v>
      </c>
      <c r="W85" s="125">
        <v>0.0</v>
      </c>
      <c r="X85" s="125">
        <v>0.0</v>
      </c>
    </row>
    <row r="86" ht="15.75" customHeight="1">
      <c r="A86" s="125">
        <v>15.0</v>
      </c>
      <c r="B86" s="125" t="s">
        <v>149</v>
      </c>
      <c r="C86" s="125">
        <v>25.0</v>
      </c>
      <c r="D86" s="126">
        <v>185.0</v>
      </c>
      <c r="E86" s="153">
        <v>0.0</v>
      </c>
      <c r="F86" s="125">
        <v>0.0</v>
      </c>
      <c r="G86" s="125">
        <v>0.0</v>
      </c>
      <c r="H86" s="125">
        <v>0.0</v>
      </c>
      <c r="I86" s="125">
        <v>0.0</v>
      </c>
      <c r="J86" s="125">
        <v>0.0</v>
      </c>
      <c r="K86" s="125">
        <v>0.0</v>
      </c>
      <c r="L86" s="125">
        <v>0.0</v>
      </c>
      <c r="M86" s="125">
        <v>0.0</v>
      </c>
      <c r="N86" s="125">
        <v>0.0</v>
      </c>
      <c r="O86" s="125">
        <v>0.0</v>
      </c>
      <c r="P86" s="125">
        <v>30.0</v>
      </c>
      <c r="Q86" s="125">
        <v>0.0</v>
      </c>
      <c r="R86" s="125">
        <v>0.0</v>
      </c>
      <c r="S86" s="125">
        <v>0.0</v>
      </c>
      <c r="T86" s="125">
        <v>0.0</v>
      </c>
      <c r="U86" s="125">
        <v>0.0</v>
      </c>
      <c r="V86" s="125">
        <v>0.0</v>
      </c>
      <c r="W86" s="125">
        <v>0.0</v>
      </c>
      <c r="X86" s="125">
        <v>0.0</v>
      </c>
    </row>
    <row r="87" ht="15.75" customHeight="1">
      <c r="A87" s="125">
        <v>15.0</v>
      </c>
      <c r="B87" s="125" t="s">
        <v>150</v>
      </c>
      <c r="C87" s="125">
        <v>25.0</v>
      </c>
      <c r="D87" s="126">
        <v>185.0</v>
      </c>
      <c r="E87" s="153">
        <v>0.0</v>
      </c>
      <c r="F87" s="125">
        <v>0.0</v>
      </c>
      <c r="G87" s="125">
        <v>0.0</v>
      </c>
      <c r="H87" s="125">
        <v>0.0</v>
      </c>
      <c r="I87" s="125">
        <v>0.0</v>
      </c>
      <c r="J87" s="125">
        <v>0.0</v>
      </c>
      <c r="K87" s="125">
        <v>0.0</v>
      </c>
      <c r="L87" s="125">
        <v>1.0</v>
      </c>
      <c r="M87" s="125">
        <v>0.0</v>
      </c>
      <c r="N87" s="125">
        <v>0.0</v>
      </c>
      <c r="O87" s="125">
        <v>0.0</v>
      </c>
      <c r="P87" s="125">
        <v>0.0</v>
      </c>
      <c r="Q87" s="125">
        <v>0.0</v>
      </c>
      <c r="R87" s="125">
        <v>0.0</v>
      </c>
      <c r="S87" s="125">
        <v>0.0</v>
      </c>
      <c r="T87" s="125">
        <v>0.0</v>
      </c>
      <c r="U87" s="125">
        <v>0.0</v>
      </c>
      <c r="V87" s="125">
        <v>0.0</v>
      </c>
      <c r="W87" s="125">
        <v>0.0</v>
      </c>
      <c r="X87" s="125">
        <v>0.0</v>
      </c>
    </row>
    <row r="88" ht="15.75" customHeight="1">
      <c r="A88" s="125">
        <v>15.0</v>
      </c>
      <c r="B88" s="125" t="s">
        <v>151</v>
      </c>
      <c r="C88" s="125">
        <v>25.0</v>
      </c>
      <c r="D88" s="126">
        <v>185.0</v>
      </c>
      <c r="E88" s="153">
        <v>0.0</v>
      </c>
      <c r="F88" s="125">
        <v>0.0</v>
      </c>
      <c r="G88" s="125">
        <v>30.0</v>
      </c>
      <c r="H88" s="125">
        <v>0.0</v>
      </c>
      <c r="I88" s="125">
        <v>0.0</v>
      </c>
      <c r="J88" s="125">
        <v>0.0</v>
      </c>
      <c r="K88" s="125">
        <v>0.0</v>
      </c>
      <c r="L88" s="125">
        <v>0.0</v>
      </c>
      <c r="M88" s="125">
        <v>0.0</v>
      </c>
      <c r="N88" s="125">
        <v>0.0</v>
      </c>
      <c r="O88" s="125">
        <v>0.0</v>
      </c>
      <c r="P88" s="125">
        <v>0.0</v>
      </c>
      <c r="Q88" s="125">
        <v>0.0</v>
      </c>
      <c r="R88" s="125">
        <v>0.0</v>
      </c>
      <c r="S88" s="125">
        <v>0.0</v>
      </c>
      <c r="T88" s="125">
        <v>0.0</v>
      </c>
      <c r="U88" s="125">
        <v>0.0</v>
      </c>
      <c r="V88" s="125">
        <v>0.0</v>
      </c>
      <c r="W88" s="125">
        <v>0.0</v>
      </c>
      <c r="X88" s="125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14" t="s">
        <v>134</v>
      </c>
    </row>
    <row r="2" ht="19.5" customHeight="1">
      <c r="A2" s="116" t="s">
        <v>114</v>
      </c>
      <c r="B2" s="116"/>
    </row>
    <row r="3">
      <c r="A3" s="149" t="s">
        <v>135</v>
      </c>
      <c r="B3" s="150">
        <v>15.0</v>
      </c>
    </row>
    <row r="4">
      <c r="A4" s="149" t="s">
        <v>136</v>
      </c>
      <c r="B4" s="150">
        <v>5.0</v>
      </c>
    </row>
    <row r="5">
      <c r="A5" s="149" t="s">
        <v>137</v>
      </c>
      <c r="B5" s="150" t="b">
        <f>TRUE()</f>
        <v>1</v>
      </c>
    </row>
    <row r="6">
      <c r="A6" s="149" t="s">
        <v>138</v>
      </c>
      <c r="B6" s="150">
        <v>10.0</v>
      </c>
    </row>
    <row r="7">
      <c r="A7" s="149" t="s">
        <v>139</v>
      </c>
      <c r="B7" s="150">
        <v>4.0</v>
      </c>
    </row>
    <row r="8">
      <c r="A8" s="149" t="s">
        <v>140</v>
      </c>
      <c r="B8" s="150">
        <f>SUMIFS($C$14:$C$88,$B$14:$B$88,"1st")</f>
        <v>185</v>
      </c>
    </row>
    <row r="9">
      <c r="A9" s="149" t="s">
        <v>141</v>
      </c>
      <c r="B9" s="150">
        <f>SUMIFS($C$14:$C$88,$B$14:$B$88,"1st",$A$14:$A$88,"&gt;="&amp;$B$6)</f>
        <v>87</v>
      </c>
    </row>
    <row r="10">
      <c r="A10" s="149" t="s">
        <v>142</v>
      </c>
      <c r="B10" s="150">
        <f>SUMIFS($C$14:$C$88,$B$14:$B$88,"1st",$A$14:$A$88,"&lt;="&amp;$B$7)</f>
        <v>36</v>
      </c>
    </row>
    <row r="12" ht="19.5" customHeight="1">
      <c r="A12" s="116" t="s">
        <v>116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</row>
    <row r="13">
      <c r="A13" s="151" t="s">
        <v>143</v>
      </c>
      <c r="B13" s="151" t="s">
        <v>144</v>
      </c>
      <c r="C13" s="151" t="s">
        <v>145</v>
      </c>
      <c r="D13" s="121" t="s">
        <v>146</v>
      </c>
      <c r="E13" s="122" t="s">
        <v>82</v>
      </c>
      <c r="F13" s="123" t="s">
        <v>68</v>
      </c>
      <c r="G13" s="123" t="s">
        <v>103</v>
      </c>
      <c r="H13" s="123" t="s">
        <v>69</v>
      </c>
      <c r="I13" s="123" t="s">
        <v>70</v>
      </c>
      <c r="J13" s="123" t="s">
        <v>71</v>
      </c>
      <c r="K13" s="123" t="s">
        <v>72</v>
      </c>
      <c r="L13" s="123" t="s">
        <v>73</v>
      </c>
      <c r="M13" s="123" t="s">
        <v>74</v>
      </c>
      <c r="N13" s="123" t="s">
        <v>75</v>
      </c>
      <c r="O13" s="123" t="s">
        <v>76</v>
      </c>
      <c r="P13" s="123" t="s">
        <v>77</v>
      </c>
      <c r="Q13" s="123" t="s">
        <v>78</v>
      </c>
      <c r="R13" s="123" t="s">
        <v>104</v>
      </c>
      <c r="S13" s="123" t="s">
        <v>105</v>
      </c>
      <c r="T13" s="123" t="s">
        <v>106</v>
      </c>
      <c r="U13" s="123" t="s">
        <v>107</v>
      </c>
      <c r="V13" s="123" t="s">
        <v>108</v>
      </c>
      <c r="W13" s="123" t="s">
        <v>109</v>
      </c>
      <c r="X13" s="123" t="s">
        <v>110</v>
      </c>
      <c r="Y13" s="152"/>
      <c r="Z13" s="152"/>
    </row>
    <row r="14">
      <c r="A14" s="125">
        <v>1.0</v>
      </c>
      <c r="B14" s="125" t="s">
        <v>147</v>
      </c>
      <c r="C14" s="125">
        <v>5.0</v>
      </c>
      <c r="D14" s="126">
        <v>5.0</v>
      </c>
      <c r="E14" s="153">
        <v>30.0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  <c r="W14" s="125">
        <v>0.0</v>
      </c>
      <c r="X14" s="125">
        <v>0.0</v>
      </c>
    </row>
    <row r="15">
      <c r="A15" s="125">
        <v>1.0</v>
      </c>
      <c r="B15" s="125" t="s">
        <v>148</v>
      </c>
      <c r="C15" s="125">
        <v>5.0</v>
      </c>
      <c r="D15" s="126">
        <v>5.0</v>
      </c>
      <c r="E15" s="153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15.0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  <c r="W15" s="125">
        <v>0.0</v>
      </c>
      <c r="X15" s="125">
        <v>0.0</v>
      </c>
    </row>
    <row r="16">
      <c r="A16" s="125">
        <v>1.0</v>
      </c>
      <c r="B16" s="125" t="s">
        <v>149</v>
      </c>
      <c r="C16" s="125">
        <v>5.0</v>
      </c>
      <c r="D16" s="126">
        <v>5.0</v>
      </c>
      <c r="E16" s="153">
        <v>0.0</v>
      </c>
      <c r="F16" s="125">
        <v>0.0</v>
      </c>
      <c r="G16" s="125">
        <v>0.0</v>
      </c>
      <c r="H16" s="125">
        <v>0.0</v>
      </c>
      <c r="I16" s="125">
        <v>0.0</v>
      </c>
      <c r="J16" s="125">
        <v>1.0</v>
      </c>
      <c r="K16" s="125">
        <v>0.0</v>
      </c>
      <c r="L16" s="125">
        <v>0.0</v>
      </c>
      <c r="M16" s="125">
        <v>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</row>
    <row r="17">
      <c r="A17" s="125">
        <v>1.0</v>
      </c>
      <c r="B17" s="125" t="s">
        <v>150</v>
      </c>
      <c r="C17" s="125">
        <v>5.0</v>
      </c>
      <c r="D17" s="126">
        <v>5.0</v>
      </c>
      <c r="E17" s="153">
        <v>0.0</v>
      </c>
      <c r="F17" s="125">
        <v>0.0</v>
      </c>
      <c r="G17" s="125">
        <v>0.0</v>
      </c>
      <c r="H17" s="125">
        <v>0.0</v>
      </c>
      <c r="I17" s="125">
        <v>0.0</v>
      </c>
      <c r="J17" s="125">
        <v>0.0</v>
      </c>
      <c r="K17" s="125">
        <v>0.0</v>
      </c>
      <c r="L17" s="125">
        <v>1.0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25">
        <v>0.0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</row>
    <row r="18">
      <c r="A18" s="125">
        <v>1.0</v>
      </c>
      <c r="B18" s="125" t="s">
        <v>151</v>
      </c>
      <c r="C18" s="125">
        <v>5.0</v>
      </c>
      <c r="D18" s="126">
        <v>5.0</v>
      </c>
      <c r="E18" s="153">
        <v>0.0</v>
      </c>
      <c r="F18" s="125">
        <v>0.0</v>
      </c>
      <c r="G18" s="125">
        <v>0.0</v>
      </c>
      <c r="H18" s="125">
        <v>0.0</v>
      </c>
      <c r="I18" s="125">
        <v>0.0</v>
      </c>
      <c r="J18" s="125">
        <v>0.0</v>
      </c>
      <c r="K18" s="125">
        <v>0.0</v>
      </c>
      <c r="L18" s="125">
        <v>0.0</v>
      </c>
      <c r="M18" s="125">
        <v>0.0</v>
      </c>
      <c r="N18" s="125">
        <v>0.0</v>
      </c>
      <c r="O18" s="125">
        <v>0.0</v>
      </c>
      <c r="P18" s="125">
        <v>10.0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</row>
    <row r="19">
      <c r="A19" s="125">
        <v>2.0</v>
      </c>
      <c r="B19" s="125" t="s">
        <v>147</v>
      </c>
      <c r="C19" s="125">
        <v>6.0</v>
      </c>
      <c r="D19" s="126">
        <v>11.0</v>
      </c>
      <c r="E19" s="153">
        <v>0.0</v>
      </c>
      <c r="F19" s="125">
        <v>0.0</v>
      </c>
      <c r="G19" s="125">
        <v>0.0</v>
      </c>
      <c r="H19" s="125">
        <v>0.0</v>
      </c>
      <c r="I19" s="125">
        <v>0.0</v>
      </c>
      <c r="J19" s="125">
        <v>0.0</v>
      </c>
      <c r="K19" s="125">
        <v>0.0</v>
      </c>
      <c r="L19" s="125">
        <v>0.0</v>
      </c>
      <c r="M19" s="125">
        <v>0.0</v>
      </c>
      <c r="N19" s="125">
        <v>15.0</v>
      </c>
      <c r="O19" s="125">
        <v>0.0</v>
      </c>
      <c r="P19" s="125">
        <v>0.0</v>
      </c>
      <c r="Q19" s="125">
        <v>0.0</v>
      </c>
      <c r="R19" s="125">
        <v>0.0</v>
      </c>
      <c r="S19" s="125">
        <v>0.0</v>
      </c>
      <c r="T19" s="125">
        <v>0.0</v>
      </c>
      <c r="U19" s="125">
        <v>0.0</v>
      </c>
      <c r="V19" s="125">
        <v>0.0</v>
      </c>
      <c r="W19" s="125">
        <v>0.0</v>
      </c>
      <c r="X19" s="125">
        <v>0.0</v>
      </c>
    </row>
    <row r="20">
      <c r="A20" s="125">
        <v>2.0</v>
      </c>
      <c r="B20" s="125" t="s">
        <v>148</v>
      </c>
      <c r="C20" s="125">
        <v>6.0</v>
      </c>
      <c r="D20" s="126">
        <v>11.0</v>
      </c>
      <c r="E20" s="153">
        <v>0.0</v>
      </c>
      <c r="F20" s="125">
        <v>0.0</v>
      </c>
      <c r="G20" s="125">
        <v>0.0</v>
      </c>
      <c r="H20" s="125">
        <v>0.0</v>
      </c>
      <c r="I20" s="125">
        <v>0.0</v>
      </c>
      <c r="J20" s="125">
        <v>0.0</v>
      </c>
      <c r="K20" s="125">
        <v>0.0</v>
      </c>
      <c r="L20" s="125">
        <v>0.0</v>
      </c>
      <c r="M20" s="125">
        <v>1.0</v>
      </c>
      <c r="N20" s="125">
        <v>0.0</v>
      </c>
      <c r="O20" s="125">
        <v>0.0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  <c r="X20" s="125">
        <v>0.0</v>
      </c>
    </row>
    <row r="21" ht="15.75" customHeight="1">
      <c r="A21" s="125">
        <v>2.0</v>
      </c>
      <c r="B21" s="125" t="s">
        <v>149</v>
      </c>
      <c r="C21" s="125">
        <v>6.0</v>
      </c>
      <c r="D21" s="126">
        <v>11.0</v>
      </c>
      <c r="E21" s="153">
        <v>0.0</v>
      </c>
      <c r="F21" s="125">
        <v>0.0</v>
      </c>
      <c r="G21" s="125">
        <v>0.0</v>
      </c>
      <c r="H21" s="125">
        <v>0.0</v>
      </c>
      <c r="I21" s="125">
        <v>1.0</v>
      </c>
      <c r="J21" s="125">
        <v>0.0</v>
      </c>
      <c r="K21" s="125">
        <v>0.0</v>
      </c>
      <c r="L21" s="125">
        <v>0.0</v>
      </c>
      <c r="M21" s="125">
        <v>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25">
        <v>0.0</v>
      </c>
      <c r="V21" s="125">
        <v>0.0</v>
      </c>
      <c r="W21" s="125">
        <v>0.0</v>
      </c>
      <c r="X21" s="125">
        <v>0.0</v>
      </c>
    </row>
    <row r="22" ht="15.75" customHeight="1">
      <c r="A22" s="125">
        <v>2.0</v>
      </c>
      <c r="B22" s="125" t="s">
        <v>150</v>
      </c>
      <c r="C22" s="125">
        <v>6.0</v>
      </c>
      <c r="D22" s="126">
        <v>11.0</v>
      </c>
      <c r="E22" s="153">
        <v>0.0</v>
      </c>
      <c r="F22" s="125">
        <v>0.0</v>
      </c>
      <c r="G22" s="125">
        <v>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0.0</v>
      </c>
      <c r="M22" s="125">
        <v>0.0</v>
      </c>
      <c r="N22" s="125">
        <v>0.0</v>
      </c>
      <c r="O22" s="125">
        <v>10.0</v>
      </c>
      <c r="P22" s="125">
        <v>0.0</v>
      </c>
      <c r="Q22" s="125">
        <v>0.0</v>
      </c>
      <c r="R22" s="125">
        <v>0.0</v>
      </c>
      <c r="S22" s="125">
        <v>0.0</v>
      </c>
      <c r="T22" s="125">
        <v>0.0</v>
      </c>
      <c r="U22" s="125">
        <v>0.0</v>
      </c>
      <c r="V22" s="125">
        <v>0.0</v>
      </c>
      <c r="W22" s="125">
        <v>0.0</v>
      </c>
      <c r="X22" s="125">
        <v>0.0</v>
      </c>
    </row>
    <row r="23" ht="15.75" customHeight="1">
      <c r="A23" s="125">
        <v>2.0</v>
      </c>
      <c r="B23" s="125" t="s">
        <v>151</v>
      </c>
      <c r="C23" s="125">
        <v>6.0</v>
      </c>
      <c r="D23" s="126">
        <v>11.0</v>
      </c>
      <c r="E23" s="153">
        <v>0.0</v>
      </c>
      <c r="F23" s="125">
        <v>0.0</v>
      </c>
      <c r="G23" s="125">
        <v>10.0</v>
      </c>
      <c r="H23" s="125">
        <v>0.0</v>
      </c>
      <c r="I23" s="125">
        <v>0.0</v>
      </c>
      <c r="J23" s="125">
        <v>0.0</v>
      </c>
      <c r="K23" s="125">
        <v>0.0</v>
      </c>
      <c r="L23" s="125">
        <v>0.0</v>
      </c>
      <c r="M23" s="125">
        <v>0.0</v>
      </c>
      <c r="N23" s="125">
        <v>0.0</v>
      </c>
      <c r="O23" s="125">
        <v>0.0</v>
      </c>
      <c r="P23" s="125">
        <v>0.0</v>
      </c>
      <c r="Q23" s="125">
        <v>0.0</v>
      </c>
      <c r="R23" s="125">
        <v>0.0</v>
      </c>
      <c r="S23" s="125">
        <v>0.0</v>
      </c>
      <c r="T23" s="125">
        <v>0.0</v>
      </c>
      <c r="U23" s="125">
        <v>0.0</v>
      </c>
      <c r="V23" s="125">
        <v>0.0</v>
      </c>
      <c r="W23" s="125">
        <v>0.0</v>
      </c>
      <c r="X23" s="125">
        <v>0.0</v>
      </c>
    </row>
    <row r="24" ht="15.75" customHeight="1">
      <c r="A24" s="125">
        <v>3.0</v>
      </c>
      <c r="B24" s="125" t="s">
        <v>147</v>
      </c>
      <c r="C24" s="125">
        <v>10.0</v>
      </c>
      <c r="D24" s="126">
        <v>21.0</v>
      </c>
      <c r="E24" s="153">
        <v>0.0</v>
      </c>
      <c r="F24" s="125">
        <v>0.0</v>
      </c>
      <c r="G24" s="125">
        <v>0.0</v>
      </c>
      <c r="H24" s="125">
        <v>0.0</v>
      </c>
      <c r="I24" s="125">
        <v>0.0</v>
      </c>
      <c r="J24" s="125">
        <v>0.0</v>
      </c>
      <c r="K24" s="125">
        <v>0.0</v>
      </c>
      <c r="L24" s="125">
        <v>0.0</v>
      </c>
      <c r="M24" s="125">
        <v>0.0</v>
      </c>
      <c r="N24" s="125">
        <v>0.0</v>
      </c>
      <c r="O24" s="125">
        <v>0.0</v>
      </c>
      <c r="P24" s="125">
        <v>0.0</v>
      </c>
      <c r="Q24" s="125">
        <v>20.0</v>
      </c>
      <c r="R24" s="125">
        <v>0.0</v>
      </c>
      <c r="S24" s="125">
        <v>0.0</v>
      </c>
      <c r="T24" s="125">
        <v>0.0</v>
      </c>
      <c r="U24" s="125">
        <v>0.0</v>
      </c>
      <c r="V24" s="125">
        <v>0.0</v>
      </c>
      <c r="W24" s="125">
        <v>0.0</v>
      </c>
      <c r="X24" s="125">
        <v>0.0</v>
      </c>
    </row>
    <row r="25" ht="15.75" customHeight="1">
      <c r="A25" s="125">
        <v>3.0</v>
      </c>
      <c r="B25" s="125" t="s">
        <v>148</v>
      </c>
      <c r="C25" s="125">
        <v>10.0</v>
      </c>
      <c r="D25" s="126">
        <v>21.0</v>
      </c>
      <c r="E25" s="153">
        <v>0.0</v>
      </c>
      <c r="F25" s="125">
        <v>0.0</v>
      </c>
      <c r="G25" s="125">
        <v>0.0</v>
      </c>
      <c r="H25" s="125">
        <v>0.0</v>
      </c>
      <c r="I25" s="125">
        <v>0.0</v>
      </c>
      <c r="J25" s="125">
        <v>0.0</v>
      </c>
      <c r="K25" s="125">
        <v>0.0</v>
      </c>
      <c r="L25" s="125">
        <v>1.0</v>
      </c>
      <c r="M25" s="125">
        <v>0.0</v>
      </c>
      <c r="N25" s="125">
        <v>0.0</v>
      </c>
      <c r="O25" s="125">
        <v>0.0</v>
      </c>
      <c r="P25" s="125">
        <v>0.0</v>
      </c>
      <c r="Q25" s="125">
        <v>0.0</v>
      </c>
      <c r="R25" s="125">
        <v>0.0</v>
      </c>
      <c r="S25" s="125">
        <v>0.0</v>
      </c>
      <c r="T25" s="125">
        <v>0.0</v>
      </c>
      <c r="U25" s="125">
        <v>0.0</v>
      </c>
      <c r="V25" s="125">
        <v>0.0</v>
      </c>
      <c r="W25" s="125">
        <v>0.0</v>
      </c>
      <c r="X25" s="125">
        <v>0.0</v>
      </c>
    </row>
    <row r="26" ht="15.75" customHeight="1">
      <c r="A26" s="125">
        <v>3.0</v>
      </c>
      <c r="B26" s="125" t="s">
        <v>149</v>
      </c>
      <c r="C26" s="125">
        <v>10.0</v>
      </c>
      <c r="D26" s="126">
        <v>21.0</v>
      </c>
      <c r="E26" s="153">
        <v>0.0</v>
      </c>
      <c r="F26" s="125">
        <v>0.0</v>
      </c>
      <c r="G26" s="125">
        <v>0.0</v>
      </c>
      <c r="H26" s="125">
        <v>0.0</v>
      </c>
      <c r="I26" s="125">
        <v>0.0</v>
      </c>
      <c r="J26" s="125">
        <v>0.0</v>
      </c>
      <c r="K26" s="125">
        <v>0.0</v>
      </c>
      <c r="L26" s="125">
        <v>0.0</v>
      </c>
      <c r="M26" s="125">
        <v>0.0</v>
      </c>
      <c r="N26" s="125">
        <v>0.0</v>
      </c>
      <c r="O26" s="125">
        <v>0.0</v>
      </c>
      <c r="P26" s="125">
        <v>10.0</v>
      </c>
      <c r="Q26" s="125">
        <v>0.0</v>
      </c>
      <c r="R26" s="125">
        <v>0.0</v>
      </c>
      <c r="S26" s="125">
        <v>0.0</v>
      </c>
      <c r="T26" s="125">
        <v>0.0</v>
      </c>
      <c r="U26" s="125">
        <v>0.0</v>
      </c>
      <c r="V26" s="125">
        <v>0.0</v>
      </c>
      <c r="W26" s="125">
        <v>0.0</v>
      </c>
      <c r="X26" s="125">
        <v>0.0</v>
      </c>
    </row>
    <row r="27" ht="15.75" customHeight="1">
      <c r="A27" s="125">
        <v>3.0</v>
      </c>
      <c r="B27" s="125" t="s">
        <v>150</v>
      </c>
      <c r="C27" s="125">
        <v>10.0</v>
      </c>
      <c r="D27" s="126">
        <v>21.0</v>
      </c>
      <c r="E27" s="153">
        <v>0.0</v>
      </c>
      <c r="F27" s="125">
        <v>0.0</v>
      </c>
      <c r="G27" s="125">
        <v>0.0</v>
      </c>
      <c r="H27" s="125">
        <v>1.0</v>
      </c>
      <c r="I27" s="125">
        <v>0.0</v>
      </c>
      <c r="J27" s="125">
        <v>0.0</v>
      </c>
      <c r="K27" s="125">
        <v>0.0</v>
      </c>
      <c r="L27" s="125">
        <v>0.0</v>
      </c>
      <c r="M27" s="125">
        <v>0.0</v>
      </c>
      <c r="N27" s="125">
        <v>0.0</v>
      </c>
      <c r="O27" s="125">
        <v>0.0</v>
      </c>
      <c r="P27" s="125">
        <v>0.0</v>
      </c>
      <c r="Q27" s="125">
        <v>0.0</v>
      </c>
      <c r="R27" s="125">
        <v>0.0</v>
      </c>
      <c r="S27" s="125">
        <v>0.0</v>
      </c>
      <c r="T27" s="125">
        <v>0.0</v>
      </c>
      <c r="U27" s="125">
        <v>0.0</v>
      </c>
      <c r="V27" s="125">
        <v>0.0</v>
      </c>
      <c r="W27" s="125">
        <v>0.0</v>
      </c>
      <c r="X27" s="125">
        <v>0.0</v>
      </c>
    </row>
    <row r="28" ht="15.75" customHeight="1">
      <c r="A28" s="125">
        <v>3.0</v>
      </c>
      <c r="B28" s="125" t="s">
        <v>151</v>
      </c>
      <c r="C28" s="125">
        <v>10.0</v>
      </c>
      <c r="D28" s="126">
        <v>21.0</v>
      </c>
      <c r="E28" s="153">
        <v>0.0</v>
      </c>
      <c r="F28" s="125">
        <v>20.0</v>
      </c>
      <c r="G28" s="125">
        <v>0.0</v>
      </c>
      <c r="H28" s="125">
        <v>0.0</v>
      </c>
      <c r="I28" s="125">
        <v>0.0</v>
      </c>
      <c r="J28" s="125">
        <v>0.0</v>
      </c>
      <c r="K28" s="125">
        <v>0.0</v>
      </c>
      <c r="L28" s="125">
        <v>0.0</v>
      </c>
      <c r="M28" s="125">
        <v>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</row>
    <row r="29" ht="15.75" customHeight="1">
      <c r="A29" s="125">
        <v>4.0</v>
      </c>
      <c r="B29" s="125" t="s">
        <v>147</v>
      </c>
      <c r="C29" s="125">
        <v>15.0</v>
      </c>
      <c r="D29" s="126">
        <v>36.0</v>
      </c>
      <c r="E29" s="153">
        <v>55.0</v>
      </c>
      <c r="F29" s="125">
        <v>0.0</v>
      </c>
      <c r="G29" s="125">
        <v>0.0</v>
      </c>
      <c r="H29" s="125">
        <v>1.0</v>
      </c>
      <c r="I29" s="125">
        <v>0.0</v>
      </c>
      <c r="J29" s="125">
        <v>0.0</v>
      </c>
      <c r="K29" s="125">
        <v>0.0</v>
      </c>
      <c r="L29" s="125">
        <v>0.0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25">
        <v>0.0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</row>
    <row r="30" ht="15.75" customHeight="1">
      <c r="A30" s="125">
        <v>4.0</v>
      </c>
      <c r="B30" s="125" t="s">
        <v>148</v>
      </c>
      <c r="C30" s="125">
        <v>15.0</v>
      </c>
      <c r="D30" s="126">
        <v>36.0</v>
      </c>
      <c r="E30" s="153">
        <v>0.0</v>
      </c>
      <c r="F30" s="125">
        <v>0.0</v>
      </c>
      <c r="G30" s="125">
        <v>0.0</v>
      </c>
      <c r="H30" s="125">
        <v>0.0</v>
      </c>
      <c r="I30" s="125">
        <v>0.0</v>
      </c>
      <c r="J30" s="125">
        <v>0.0</v>
      </c>
      <c r="K30" s="125">
        <v>0.0</v>
      </c>
      <c r="L30" s="125">
        <v>0.0</v>
      </c>
      <c r="M30" s="125">
        <v>0.0</v>
      </c>
      <c r="N30" s="125">
        <v>20.0</v>
      </c>
      <c r="O30" s="125">
        <v>0.0</v>
      </c>
      <c r="P30" s="125">
        <v>0.0</v>
      </c>
      <c r="Q30" s="125">
        <v>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</row>
    <row r="31" ht="15.75" customHeight="1">
      <c r="A31" s="125">
        <v>4.0</v>
      </c>
      <c r="B31" s="125" t="s">
        <v>149</v>
      </c>
      <c r="C31" s="125">
        <v>15.0</v>
      </c>
      <c r="D31" s="126">
        <v>36.0</v>
      </c>
      <c r="E31" s="153">
        <v>0.0</v>
      </c>
      <c r="F31" s="125">
        <v>0.0</v>
      </c>
      <c r="G31" s="125">
        <v>0.0</v>
      </c>
      <c r="H31" s="125">
        <v>0.0</v>
      </c>
      <c r="I31" s="125">
        <v>0.0</v>
      </c>
      <c r="J31" s="125">
        <v>0.0</v>
      </c>
      <c r="K31" s="125">
        <v>0.0</v>
      </c>
      <c r="L31" s="125">
        <v>0.0</v>
      </c>
      <c r="M31" s="125">
        <v>1.0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25">
        <v>0.0</v>
      </c>
      <c r="V31" s="125">
        <v>0.0</v>
      </c>
      <c r="W31" s="125">
        <v>0.0</v>
      </c>
      <c r="X31" s="125">
        <v>0.0</v>
      </c>
    </row>
    <row r="32" ht="15.75" customHeight="1">
      <c r="A32" s="125">
        <v>4.0</v>
      </c>
      <c r="B32" s="125" t="s">
        <v>150</v>
      </c>
      <c r="C32" s="125">
        <v>15.0</v>
      </c>
      <c r="D32" s="126">
        <v>36.0</v>
      </c>
      <c r="E32" s="153">
        <v>0.0</v>
      </c>
      <c r="F32" s="125">
        <v>0.0</v>
      </c>
      <c r="G32" s="125">
        <v>0.0</v>
      </c>
      <c r="H32" s="125">
        <v>0.0</v>
      </c>
      <c r="I32" s="125">
        <v>1.0</v>
      </c>
      <c r="J32" s="125">
        <v>0.0</v>
      </c>
      <c r="K32" s="125">
        <v>0.0</v>
      </c>
      <c r="L32" s="125">
        <v>0.0</v>
      </c>
      <c r="M32" s="125">
        <v>0.0</v>
      </c>
      <c r="N32" s="125">
        <v>0.0</v>
      </c>
      <c r="O32" s="125">
        <v>0.0</v>
      </c>
      <c r="P32" s="125">
        <v>0.0</v>
      </c>
      <c r="Q32" s="125">
        <v>0.0</v>
      </c>
      <c r="R32" s="125">
        <v>0.0</v>
      </c>
      <c r="S32" s="125">
        <v>0.0</v>
      </c>
      <c r="T32" s="125">
        <v>0.0</v>
      </c>
      <c r="U32" s="125">
        <v>0.0</v>
      </c>
      <c r="V32" s="125">
        <v>0.0</v>
      </c>
      <c r="W32" s="125">
        <v>0.0</v>
      </c>
      <c r="X32" s="125">
        <v>0.0</v>
      </c>
    </row>
    <row r="33" ht="15.75" customHeight="1">
      <c r="A33" s="125">
        <v>4.0</v>
      </c>
      <c r="B33" s="125" t="s">
        <v>151</v>
      </c>
      <c r="C33" s="125">
        <v>15.0</v>
      </c>
      <c r="D33" s="126">
        <v>36.0</v>
      </c>
      <c r="E33" s="153">
        <v>0.0</v>
      </c>
      <c r="F33" s="125">
        <v>0.0</v>
      </c>
      <c r="G33" s="125">
        <v>0.0</v>
      </c>
      <c r="H33" s="125">
        <v>0.0</v>
      </c>
      <c r="I33" s="125">
        <v>0.0</v>
      </c>
      <c r="J33" s="125">
        <v>0.0</v>
      </c>
      <c r="K33" s="125">
        <v>0.0</v>
      </c>
      <c r="L33" s="125">
        <v>0.0</v>
      </c>
      <c r="M33" s="125">
        <v>0.0</v>
      </c>
      <c r="N33" s="125">
        <v>0.0</v>
      </c>
      <c r="O33" s="125">
        <v>15.0</v>
      </c>
      <c r="P33" s="125">
        <v>0.0</v>
      </c>
      <c r="Q33" s="125">
        <v>0.0</v>
      </c>
      <c r="R33" s="125">
        <v>0.0</v>
      </c>
      <c r="S33" s="125">
        <v>0.0</v>
      </c>
      <c r="T33" s="125">
        <v>0.0</v>
      </c>
      <c r="U33" s="125">
        <v>0.0</v>
      </c>
      <c r="V33" s="125">
        <v>0.0</v>
      </c>
      <c r="W33" s="125">
        <v>0.0</v>
      </c>
      <c r="X33" s="125">
        <v>0.0</v>
      </c>
    </row>
    <row r="34" ht="15.75" customHeight="1">
      <c r="A34" s="125">
        <v>5.0</v>
      </c>
      <c r="B34" s="125" t="s">
        <v>147</v>
      </c>
      <c r="C34" s="125">
        <v>8.0</v>
      </c>
      <c r="D34" s="126">
        <v>44.0</v>
      </c>
      <c r="E34" s="153">
        <v>0.0</v>
      </c>
      <c r="F34" s="125">
        <v>0.0</v>
      </c>
      <c r="G34" s="125">
        <v>0.0</v>
      </c>
      <c r="H34" s="125">
        <v>0.0</v>
      </c>
      <c r="I34" s="125">
        <v>0.0</v>
      </c>
      <c r="J34" s="125">
        <v>0.0</v>
      </c>
      <c r="K34" s="125">
        <v>0.0</v>
      </c>
      <c r="L34" s="125">
        <v>1.0</v>
      </c>
      <c r="M34" s="125">
        <v>0.0</v>
      </c>
      <c r="N34" s="125">
        <v>0.0</v>
      </c>
      <c r="O34" s="125">
        <v>0.0</v>
      </c>
      <c r="P34" s="125">
        <v>0.0</v>
      </c>
      <c r="Q34" s="125">
        <v>0.0</v>
      </c>
      <c r="R34" s="125">
        <v>0.0</v>
      </c>
      <c r="S34" s="125">
        <v>0.0</v>
      </c>
      <c r="T34" s="125">
        <v>0.0</v>
      </c>
      <c r="U34" s="125">
        <v>0.0</v>
      </c>
      <c r="V34" s="125">
        <v>0.0</v>
      </c>
      <c r="W34" s="125">
        <v>0.0</v>
      </c>
      <c r="X34" s="125">
        <v>0.0</v>
      </c>
    </row>
    <row r="35" ht="15.75" customHeight="1">
      <c r="A35" s="125">
        <v>5.0</v>
      </c>
      <c r="B35" s="125" t="s">
        <v>148</v>
      </c>
      <c r="C35" s="125">
        <v>8.0</v>
      </c>
      <c r="D35" s="126">
        <v>44.0</v>
      </c>
      <c r="E35" s="153">
        <v>0.0</v>
      </c>
      <c r="F35" s="125">
        <v>0.0</v>
      </c>
      <c r="G35" s="125">
        <v>0.0</v>
      </c>
      <c r="H35" s="125">
        <v>0.0</v>
      </c>
      <c r="I35" s="125">
        <v>0.0</v>
      </c>
      <c r="J35" s="125">
        <v>0.0</v>
      </c>
      <c r="K35" s="125">
        <v>0.0</v>
      </c>
      <c r="L35" s="125">
        <v>0.0</v>
      </c>
      <c r="M35" s="125">
        <v>0.0</v>
      </c>
      <c r="N35" s="125">
        <v>0.0</v>
      </c>
      <c r="O35" s="125">
        <v>0.0</v>
      </c>
      <c r="P35" s="125">
        <v>10.0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</row>
    <row r="36" ht="15.75" customHeight="1">
      <c r="A36" s="125">
        <v>5.0</v>
      </c>
      <c r="B36" s="125" t="s">
        <v>149</v>
      </c>
      <c r="C36" s="125">
        <v>8.0</v>
      </c>
      <c r="D36" s="126">
        <v>44.0</v>
      </c>
      <c r="E36" s="153">
        <v>0.0</v>
      </c>
      <c r="F36" s="125">
        <v>0.0</v>
      </c>
      <c r="G36" s="125">
        <v>0.0</v>
      </c>
      <c r="H36" s="125">
        <v>0.0</v>
      </c>
      <c r="I36" s="125">
        <v>1.0</v>
      </c>
      <c r="J36" s="125">
        <v>0.0</v>
      </c>
      <c r="K36" s="125">
        <v>0.0</v>
      </c>
      <c r="L36" s="125">
        <v>0.0</v>
      </c>
      <c r="M36" s="125">
        <v>0.0</v>
      </c>
      <c r="N36" s="125">
        <v>0.0</v>
      </c>
      <c r="O36" s="125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25">
        <v>0.0</v>
      </c>
      <c r="V36" s="125">
        <v>0.0</v>
      </c>
      <c r="W36" s="125">
        <v>0.0</v>
      </c>
      <c r="X36" s="125">
        <v>0.0</v>
      </c>
    </row>
    <row r="37" ht="15.75" customHeight="1">
      <c r="A37" s="125">
        <v>5.0</v>
      </c>
      <c r="B37" s="125" t="s">
        <v>150</v>
      </c>
      <c r="C37" s="125">
        <v>8.0</v>
      </c>
      <c r="D37" s="126">
        <v>44.0</v>
      </c>
      <c r="E37" s="153">
        <v>0.0</v>
      </c>
      <c r="F37" s="125">
        <v>0.0</v>
      </c>
      <c r="G37" s="125">
        <v>0.0</v>
      </c>
      <c r="H37" s="125">
        <v>0.0</v>
      </c>
      <c r="I37" s="125">
        <v>0.0</v>
      </c>
      <c r="J37" s="125">
        <v>0.0</v>
      </c>
      <c r="K37" s="125">
        <v>0.0</v>
      </c>
      <c r="L37" s="125">
        <v>0.0</v>
      </c>
      <c r="M37" s="125">
        <v>0.0</v>
      </c>
      <c r="N37" s="125">
        <v>0.0</v>
      </c>
      <c r="O37" s="125">
        <v>10.0</v>
      </c>
      <c r="P37" s="125">
        <v>0.0</v>
      </c>
      <c r="Q37" s="125">
        <v>0.0</v>
      </c>
      <c r="R37" s="125">
        <v>0.0</v>
      </c>
      <c r="S37" s="125">
        <v>0.0</v>
      </c>
      <c r="T37" s="125">
        <v>0.0</v>
      </c>
      <c r="U37" s="125">
        <v>0.0</v>
      </c>
      <c r="V37" s="125">
        <v>0.0</v>
      </c>
      <c r="W37" s="125">
        <v>0.0</v>
      </c>
      <c r="X37" s="125">
        <v>0.0</v>
      </c>
    </row>
    <row r="38" ht="15.75" customHeight="1">
      <c r="A38" s="125">
        <v>5.0</v>
      </c>
      <c r="B38" s="125" t="s">
        <v>151</v>
      </c>
      <c r="C38" s="125">
        <v>8.0</v>
      </c>
      <c r="D38" s="126">
        <v>44.0</v>
      </c>
      <c r="E38" s="153">
        <v>0.0</v>
      </c>
      <c r="F38" s="125">
        <v>0.0</v>
      </c>
      <c r="G38" s="125">
        <v>0.0</v>
      </c>
      <c r="H38" s="125">
        <v>1.0</v>
      </c>
      <c r="I38" s="125">
        <v>0.0</v>
      </c>
      <c r="J38" s="125">
        <v>0.0</v>
      </c>
      <c r="K38" s="125">
        <v>0.0</v>
      </c>
      <c r="L38" s="125">
        <v>0.0</v>
      </c>
      <c r="M38" s="125">
        <v>0.0</v>
      </c>
      <c r="N38" s="125">
        <v>0.0</v>
      </c>
      <c r="O38" s="125">
        <v>0.0</v>
      </c>
      <c r="P38" s="125">
        <v>0.0</v>
      </c>
      <c r="Q38" s="125">
        <v>0.0</v>
      </c>
      <c r="R38" s="125">
        <v>0.0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  <c r="X38" s="125">
        <v>0.0</v>
      </c>
    </row>
    <row r="39" ht="15.75" customHeight="1">
      <c r="A39" s="125">
        <v>6.0</v>
      </c>
      <c r="B39" s="125" t="s">
        <v>147</v>
      </c>
      <c r="C39" s="125">
        <v>10.0</v>
      </c>
      <c r="D39" s="126">
        <v>54.0</v>
      </c>
      <c r="E39" s="153">
        <v>50.0</v>
      </c>
      <c r="F39" s="125">
        <v>0.0</v>
      </c>
      <c r="G39" s="125">
        <v>0.0</v>
      </c>
      <c r="H39" s="125">
        <v>0.0</v>
      </c>
      <c r="I39" s="125">
        <v>0.0</v>
      </c>
      <c r="J39" s="125">
        <v>0.0</v>
      </c>
      <c r="K39" s="125">
        <v>0.0</v>
      </c>
      <c r="L39" s="125">
        <v>0.0</v>
      </c>
      <c r="M39" s="125">
        <v>0.0</v>
      </c>
      <c r="N39" s="125">
        <v>0.0</v>
      </c>
      <c r="O39" s="125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  <c r="X39" s="125">
        <v>0.0</v>
      </c>
    </row>
    <row r="40" ht="15.75" customHeight="1">
      <c r="A40" s="125">
        <v>6.0</v>
      </c>
      <c r="B40" s="125" t="s">
        <v>148</v>
      </c>
      <c r="C40" s="125">
        <v>10.0</v>
      </c>
      <c r="D40" s="126">
        <v>54.0</v>
      </c>
      <c r="E40" s="153">
        <v>0.0</v>
      </c>
      <c r="F40" s="125">
        <v>0.0</v>
      </c>
      <c r="G40" s="125">
        <v>0.0</v>
      </c>
      <c r="H40" s="125">
        <v>0.0</v>
      </c>
      <c r="I40" s="125">
        <v>0.0</v>
      </c>
      <c r="J40" s="125">
        <v>0.0</v>
      </c>
      <c r="K40" s="125">
        <v>0.0</v>
      </c>
      <c r="L40" s="125">
        <v>0.0</v>
      </c>
      <c r="M40" s="125">
        <v>0.0</v>
      </c>
      <c r="N40" s="125">
        <v>15.0</v>
      </c>
      <c r="O40" s="125">
        <v>0.0</v>
      </c>
      <c r="P40" s="125">
        <v>0.0</v>
      </c>
      <c r="Q40" s="125">
        <v>0.0</v>
      </c>
      <c r="R40" s="125">
        <v>0.0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  <c r="X40" s="125">
        <v>0.0</v>
      </c>
    </row>
    <row r="41" ht="15.75" customHeight="1">
      <c r="A41" s="125">
        <v>6.0</v>
      </c>
      <c r="B41" s="125" t="s">
        <v>149</v>
      </c>
      <c r="C41" s="125">
        <v>10.0</v>
      </c>
      <c r="D41" s="126">
        <v>54.0</v>
      </c>
      <c r="E41" s="153">
        <v>0.0</v>
      </c>
      <c r="F41" s="125">
        <v>0.0</v>
      </c>
      <c r="G41" s="125">
        <v>0.0</v>
      </c>
      <c r="H41" s="125">
        <v>0.0</v>
      </c>
      <c r="I41" s="125">
        <v>0.0</v>
      </c>
      <c r="J41" s="125">
        <v>1.0</v>
      </c>
      <c r="K41" s="125">
        <v>0.0</v>
      </c>
      <c r="L41" s="125">
        <v>0.0</v>
      </c>
      <c r="M41" s="125">
        <v>0.0</v>
      </c>
      <c r="N41" s="125">
        <v>0.0</v>
      </c>
      <c r="O41" s="125">
        <v>0.0</v>
      </c>
      <c r="P41" s="125">
        <v>0.0</v>
      </c>
      <c r="Q41" s="125">
        <v>0.0</v>
      </c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  <c r="X41" s="125">
        <v>0.0</v>
      </c>
    </row>
    <row r="42" ht="15.75" customHeight="1">
      <c r="A42" s="125">
        <v>6.0</v>
      </c>
      <c r="B42" s="125" t="s">
        <v>150</v>
      </c>
      <c r="C42" s="125">
        <v>10.0</v>
      </c>
      <c r="D42" s="126">
        <v>54.0</v>
      </c>
      <c r="E42" s="153">
        <v>0.0</v>
      </c>
      <c r="F42" s="125">
        <v>0.0</v>
      </c>
      <c r="G42" s="125">
        <v>0.0</v>
      </c>
      <c r="H42" s="125">
        <v>0.0</v>
      </c>
      <c r="I42" s="125">
        <v>0.0</v>
      </c>
      <c r="J42" s="125">
        <v>0.0</v>
      </c>
      <c r="K42" s="125">
        <v>0.0</v>
      </c>
      <c r="L42" s="125">
        <v>1.0</v>
      </c>
      <c r="M42" s="125">
        <v>0.0</v>
      </c>
      <c r="N42" s="125">
        <v>0.0</v>
      </c>
      <c r="O42" s="125">
        <v>0.0</v>
      </c>
      <c r="P42" s="125">
        <v>0.0</v>
      </c>
      <c r="Q42" s="125">
        <v>0.0</v>
      </c>
      <c r="R42" s="125">
        <v>0.0</v>
      </c>
      <c r="S42" s="125">
        <v>0.0</v>
      </c>
      <c r="T42" s="125">
        <v>0.0</v>
      </c>
      <c r="U42" s="125">
        <v>0.0</v>
      </c>
      <c r="V42" s="125">
        <v>0.0</v>
      </c>
      <c r="W42" s="125">
        <v>0.0</v>
      </c>
      <c r="X42" s="125">
        <v>0.0</v>
      </c>
    </row>
    <row r="43" ht="15.75" customHeight="1">
      <c r="A43" s="125">
        <v>6.0</v>
      </c>
      <c r="B43" s="125" t="s">
        <v>151</v>
      </c>
      <c r="C43" s="125">
        <v>10.0</v>
      </c>
      <c r="D43" s="126">
        <v>54.0</v>
      </c>
      <c r="E43" s="153">
        <v>0.0</v>
      </c>
      <c r="F43" s="125">
        <v>0.0</v>
      </c>
      <c r="G43" s="125">
        <v>15.0</v>
      </c>
      <c r="H43" s="125">
        <v>0.0</v>
      </c>
      <c r="I43" s="125">
        <v>0.0</v>
      </c>
      <c r="J43" s="125">
        <v>0.0</v>
      </c>
      <c r="K43" s="125">
        <v>0.0</v>
      </c>
      <c r="L43" s="125">
        <v>0.0</v>
      </c>
      <c r="M43" s="125">
        <v>0.0</v>
      </c>
      <c r="N43" s="125">
        <v>0.0</v>
      </c>
      <c r="O43" s="125">
        <v>0.0</v>
      </c>
      <c r="P43" s="125">
        <v>0.0</v>
      </c>
      <c r="Q43" s="125">
        <v>0.0</v>
      </c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  <c r="X43" s="125">
        <v>0.0</v>
      </c>
    </row>
    <row r="44" ht="15.75" customHeight="1">
      <c r="A44" s="125">
        <v>7.0</v>
      </c>
      <c r="B44" s="125" t="s">
        <v>147</v>
      </c>
      <c r="C44" s="125">
        <v>12.0</v>
      </c>
      <c r="D44" s="126">
        <v>66.0</v>
      </c>
      <c r="E44" s="153">
        <v>0.0</v>
      </c>
      <c r="F44" s="125">
        <v>0.0</v>
      </c>
      <c r="G44" s="125">
        <v>0.0</v>
      </c>
      <c r="H44" s="125">
        <v>0.0</v>
      </c>
      <c r="I44" s="125">
        <v>0.0</v>
      </c>
      <c r="J44" s="125">
        <v>0.0</v>
      </c>
      <c r="K44" s="125">
        <v>1.0</v>
      </c>
      <c r="L44" s="125">
        <v>0.0</v>
      </c>
      <c r="M44" s="125">
        <v>0.0</v>
      </c>
      <c r="N44" s="125">
        <v>0.0</v>
      </c>
      <c r="O44" s="125">
        <v>0.0</v>
      </c>
      <c r="P44" s="125">
        <v>0.0</v>
      </c>
      <c r="Q44" s="125">
        <v>0.0</v>
      </c>
      <c r="R44" s="125">
        <v>0.0</v>
      </c>
      <c r="S44" s="125">
        <v>0.0</v>
      </c>
      <c r="T44" s="125">
        <v>0.0</v>
      </c>
      <c r="U44" s="125">
        <v>0.0</v>
      </c>
      <c r="V44" s="125">
        <v>0.0</v>
      </c>
      <c r="W44" s="125">
        <v>0.0</v>
      </c>
      <c r="X44" s="125">
        <v>0.0</v>
      </c>
    </row>
    <row r="45" ht="15.75" customHeight="1">
      <c r="A45" s="125">
        <v>7.0</v>
      </c>
      <c r="B45" s="125" t="s">
        <v>148</v>
      </c>
      <c r="C45" s="125">
        <v>12.0</v>
      </c>
      <c r="D45" s="126">
        <v>66.0</v>
      </c>
      <c r="E45" s="153">
        <v>0.0</v>
      </c>
      <c r="F45" s="125">
        <v>0.0</v>
      </c>
      <c r="G45" s="125">
        <v>0.0</v>
      </c>
      <c r="H45" s="125">
        <v>0.0</v>
      </c>
      <c r="I45" s="125">
        <v>0.0</v>
      </c>
      <c r="J45" s="125">
        <v>0.0</v>
      </c>
      <c r="K45" s="125">
        <v>0.0</v>
      </c>
      <c r="L45" s="125">
        <v>0.0</v>
      </c>
      <c r="M45" s="125">
        <v>0.0</v>
      </c>
      <c r="N45" s="125">
        <v>0.0</v>
      </c>
      <c r="O45" s="125">
        <v>15.0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  <c r="X45" s="125">
        <v>0.0</v>
      </c>
    </row>
    <row r="46" ht="15.75" customHeight="1">
      <c r="A46" s="125">
        <v>7.0</v>
      </c>
      <c r="B46" s="125" t="s">
        <v>149</v>
      </c>
      <c r="C46" s="125">
        <v>12.0</v>
      </c>
      <c r="D46" s="126">
        <v>66.0</v>
      </c>
      <c r="E46" s="153">
        <v>0.0</v>
      </c>
      <c r="F46" s="125">
        <v>0.0</v>
      </c>
      <c r="G46" s="125">
        <v>0.0</v>
      </c>
      <c r="H46" s="125">
        <v>1.0</v>
      </c>
      <c r="I46" s="125">
        <v>0.0</v>
      </c>
      <c r="J46" s="125">
        <v>0.0</v>
      </c>
      <c r="K46" s="125">
        <v>0.0</v>
      </c>
      <c r="L46" s="125">
        <v>0.0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5">
        <v>0.0</v>
      </c>
      <c r="V46" s="125">
        <v>0.0</v>
      </c>
      <c r="W46" s="125">
        <v>0.0</v>
      </c>
      <c r="X46" s="125">
        <v>0.0</v>
      </c>
    </row>
    <row r="47" ht="15.75" customHeight="1">
      <c r="A47" s="125">
        <v>7.0</v>
      </c>
      <c r="B47" s="125" t="s">
        <v>150</v>
      </c>
      <c r="C47" s="125">
        <v>12.0</v>
      </c>
      <c r="D47" s="126">
        <v>66.0</v>
      </c>
      <c r="E47" s="153">
        <v>0.0</v>
      </c>
      <c r="F47" s="125">
        <v>30.0</v>
      </c>
      <c r="G47" s="125">
        <v>0.0</v>
      </c>
      <c r="H47" s="125">
        <v>0.0</v>
      </c>
      <c r="I47" s="125">
        <v>0.0</v>
      </c>
      <c r="J47" s="125">
        <v>0.0</v>
      </c>
      <c r="K47" s="125">
        <v>0.0</v>
      </c>
      <c r="L47" s="125">
        <v>0.0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25">
        <v>0.0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  <c r="X47" s="125">
        <v>0.0</v>
      </c>
    </row>
    <row r="48" ht="15.75" customHeight="1">
      <c r="A48" s="125">
        <v>7.0</v>
      </c>
      <c r="B48" s="125" t="s">
        <v>151</v>
      </c>
      <c r="C48" s="125">
        <v>12.0</v>
      </c>
      <c r="D48" s="126">
        <v>66.0</v>
      </c>
      <c r="E48" s="153">
        <v>0.0</v>
      </c>
      <c r="F48" s="125">
        <v>0.0</v>
      </c>
      <c r="G48" s="125">
        <v>15.0</v>
      </c>
      <c r="H48" s="125">
        <v>0.0</v>
      </c>
      <c r="I48" s="125">
        <v>0.0</v>
      </c>
      <c r="J48" s="125">
        <v>0.0</v>
      </c>
      <c r="K48" s="125">
        <v>0.0</v>
      </c>
      <c r="L48" s="125">
        <v>0.0</v>
      </c>
      <c r="M48" s="125">
        <v>0.0</v>
      </c>
      <c r="N48" s="125">
        <v>0.0</v>
      </c>
      <c r="O48" s="125">
        <v>0.0</v>
      </c>
      <c r="P48" s="125">
        <v>0.0</v>
      </c>
      <c r="Q48" s="125">
        <v>0.0</v>
      </c>
      <c r="R48" s="125">
        <v>0.0</v>
      </c>
      <c r="S48" s="125">
        <v>0.0</v>
      </c>
      <c r="T48" s="125">
        <v>0.0</v>
      </c>
      <c r="U48" s="125">
        <v>0.0</v>
      </c>
      <c r="V48" s="125">
        <v>0.0</v>
      </c>
      <c r="W48" s="125">
        <v>0.0</v>
      </c>
      <c r="X48" s="125">
        <v>0.0</v>
      </c>
    </row>
    <row r="49" ht="15.75" customHeight="1">
      <c r="A49" s="125">
        <v>8.0</v>
      </c>
      <c r="B49" s="125" t="s">
        <v>147</v>
      </c>
      <c r="C49" s="125">
        <v>15.0</v>
      </c>
      <c r="D49" s="126">
        <v>81.0</v>
      </c>
      <c r="E49" s="153">
        <v>0.0</v>
      </c>
      <c r="F49" s="125">
        <v>0.0</v>
      </c>
      <c r="G49" s="125">
        <v>0.0</v>
      </c>
      <c r="H49" s="125">
        <v>0.0</v>
      </c>
      <c r="I49" s="125">
        <v>0.0</v>
      </c>
      <c r="J49" s="125">
        <v>1.0</v>
      </c>
      <c r="K49" s="125">
        <v>0.0</v>
      </c>
      <c r="L49" s="125">
        <v>0.0</v>
      </c>
      <c r="M49" s="125">
        <v>0.0</v>
      </c>
      <c r="N49" s="125">
        <v>30.0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5">
        <v>0.0</v>
      </c>
      <c r="V49" s="125">
        <v>0.0</v>
      </c>
      <c r="W49" s="125">
        <v>0.0</v>
      </c>
      <c r="X49" s="125">
        <v>0.0</v>
      </c>
    </row>
    <row r="50" ht="15.75" customHeight="1">
      <c r="A50" s="125">
        <v>8.0</v>
      </c>
      <c r="B50" s="125" t="s">
        <v>148</v>
      </c>
      <c r="C50" s="125">
        <v>15.0</v>
      </c>
      <c r="D50" s="126">
        <v>81.0</v>
      </c>
      <c r="E50" s="153">
        <v>0.0</v>
      </c>
      <c r="F50" s="125">
        <v>0.0</v>
      </c>
      <c r="G50" s="125">
        <v>0.0</v>
      </c>
      <c r="H50" s="125">
        <v>0.0</v>
      </c>
      <c r="I50" s="125">
        <v>0.0</v>
      </c>
      <c r="J50" s="125">
        <v>0.0</v>
      </c>
      <c r="K50" s="125">
        <v>0.0</v>
      </c>
      <c r="L50" s="125">
        <v>0.0</v>
      </c>
      <c r="M50" s="125">
        <v>1.0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  <c r="X50" s="125">
        <v>0.0</v>
      </c>
    </row>
    <row r="51" ht="15.75" customHeight="1">
      <c r="A51" s="125">
        <v>8.0</v>
      </c>
      <c r="B51" s="125" t="s">
        <v>149</v>
      </c>
      <c r="C51" s="125">
        <v>15.0</v>
      </c>
      <c r="D51" s="126">
        <v>81.0</v>
      </c>
      <c r="E51" s="153">
        <v>0.0</v>
      </c>
      <c r="F51" s="125">
        <v>0.0</v>
      </c>
      <c r="G51" s="125">
        <v>0.0</v>
      </c>
      <c r="H51" s="125">
        <v>0.0</v>
      </c>
      <c r="I51" s="125">
        <v>0.0</v>
      </c>
      <c r="J51" s="125">
        <v>0.0</v>
      </c>
      <c r="K51" s="125">
        <v>0.0</v>
      </c>
      <c r="L51" s="125">
        <v>0.0</v>
      </c>
      <c r="M51" s="125">
        <v>0.0</v>
      </c>
      <c r="N51" s="125">
        <v>0.0</v>
      </c>
      <c r="O51" s="125">
        <v>0.0</v>
      </c>
      <c r="P51" s="125">
        <v>15.0</v>
      </c>
      <c r="Q51" s="125">
        <v>0.0</v>
      </c>
      <c r="R51" s="125">
        <v>0.0</v>
      </c>
      <c r="S51" s="125">
        <v>0.0</v>
      </c>
      <c r="T51" s="125">
        <v>0.0</v>
      </c>
      <c r="U51" s="125">
        <v>0.0</v>
      </c>
      <c r="V51" s="125">
        <v>0.0</v>
      </c>
      <c r="W51" s="125">
        <v>0.0</v>
      </c>
      <c r="X51" s="125">
        <v>0.0</v>
      </c>
    </row>
    <row r="52" ht="15.75" customHeight="1">
      <c r="A52" s="125">
        <v>8.0</v>
      </c>
      <c r="B52" s="125" t="s">
        <v>150</v>
      </c>
      <c r="C52" s="125">
        <v>15.0</v>
      </c>
      <c r="D52" s="126">
        <v>81.0</v>
      </c>
      <c r="E52" s="153">
        <v>0.0</v>
      </c>
      <c r="F52" s="125">
        <v>0.0</v>
      </c>
      <c r="G52" s="125">
        <v>0.0</v>
      </c>
      <c r="H52" s="125">
        <v>0.0</v>
      </c>
      <c r="I52" s="125">
        <v>1.0</v>
      </c>
      <c r="J52" s="125">
        <v>0.0</v>
      </c>
      <c r="K52" s="125">
        <v>0.0</v>
      </c>
      <c r="L52" s="125">
        <v>0.0</v>
      </c>
      <c r="M52" s="125">
        <v>0.0</v>
      </c>
      <c r="N52" s="125">
        <v>0.0</v>
      </c>
      <c r="O52" s="125">
        <v>0.0</v>
      </c>
      <c r="P52" s="125">
        <v>0.0</v>
      </c>
      <c r="Q52" s="125">
        <v>0.0</v>
      </c>
      <c r="R52" s="125">
        <v>0.0</v>
      </c>
      <c r="S52" s="125">
        <v>0.0</v>
      </c>
      <c r="T52" s="125">
        <v>0.0</v>
      </c>
      <c r="U52" s="125">
        <v>0.0</v>
      </c>
      <c r="V52" s="125">
        <v>0.0</v>
      </c>
      <c r="W52" s="125">
        <v>0.0</v>
      </c>
      <c r="X52" s="125">
        <v>0.0</v>
      </c>
    </row>
    <row r="53" ht="15.75" customHeight="1">
      <c r="A53" s="125">
        <v>8.0</v>
      </c>
      <c r="B53" s="125" t="s">
        <v>151</v>
      </c>
      <c r="C53" s="125">
        <v>15.0</v>
      </c>
      <c r="D53" s="126">
        <v>81.0</v>
      </c>
      <c r="E53" s="153">
        <v>0.0</v>
      </c>
      <c r="F53" s="125">
        <v>0.0</v>
      </c>
      <c r="G53" s="125">
        <v>0.0</v>
      </c>
      <c r="H53" s="125">
        <v>1.0</v>
      </c>
      <c r="I53" s="125">
        <v>0.0</v>
      </c>
      <c r="J53" s="125">
        <v>0.0</v>
      </c>
      <c r="K53" s="125">
        <v>0.0</v>
      </c>
      <c r="L53" s="125">
        <v>0.0</v>
      </c>
      <c r="M53" s="125">
        <v>0.0</v>
      </c>
      <c r="N53" s="125">
        <v>0.0</v>
      </c>
      <c r="O53" s="125">
        <v>0.0</v>
      </c>
      <c r="P53" s="125">
        <v>0.0</v>
      </c>
      <c r="Q53" s="125">
        <v>0.0</v>
      </c>
      <c r="R53" s="125">
        <v>0.0</v>
      </c>
      <c r="S53" s="125">
        <v>0.0</v>
      </c>
      <c r="T53" s="125">
        <v>0.0</v>
      </c>
      <c r="U53" s="125">
        <v>0.0</v>
      </c>
      <c r="V53" s="125">
        <v>0.0</v>
      </c>
      <c r="W53" s="125">
        <v>0.0</v>
      </c>
      <c r="X53" s="125">
        <v>0.0</v>
      </c>
    </row>
    <row r="54" ht="15.75" customHeight="1">
      <c r="A54" s="125">
        <v>9.0</v>
      </c>
      <c r="B54" s="125" t="s">
        <v>147</v>
      </c>
      <c r="C54" s="125">
        <v>17.0</v>
      </c>
      <c r="D54" s="126">
        <v>98.0</v>
      </c>
      <c r="E54" s="153">
        <v>70.0</v>
      </c>
      <c r="F54" s="125">
        <v>30.0</v>
      </c>
      <c r="G54" s="125">
        <v>0.0</v>
      </c>
      <c r="H54" s="125">
        <v>1.0</v>
      </c>
      <c r="I54" s="125">
        <v>0.0</v>
      </c>
      <c r="J54" s="125">
        <v>0.0</v>
      </c>
      <c r="K54" s="125">
        <v>0.0</v>
      </c>
      <c r="L54" s="125">
        <v>0.0</v>
      </c>
      <c r="M54" s="125">
        <v>0.0</v>
      </c>
      <c r="N54" s="125">
        <v>0.0</v>
      </c>
      <c r="O54" s="125">
        <v>0.0</v>
      </c>
      <c r="P54" s="125">
        <v>0.0</v>
      </c>
      <c r="Q54" s="125">
        <v>0.0</v>
      </c>
      <c r="R54" s="125">
        <v>0.0</v>
      </c>
      <c r="S54" s="125">
        <v>0.0</v>
      </c>
      <c r="T54" s="125">
        <v>0.0</v>
      </c>
      <c r="U54" s="125">
        <v>0.0</v>
      </c>
      <c r="V54" s="125">
        <v>0.0</v>
      </c>
      <c r="W54" s="125">
        <v>0.0</v>
      </c>
      <c r="X54" s="125">
        <v>0.0</v>
      </c>
    </row>
    <row r="55" ht="15.75" customHeight="1">
      <c r="A55" s="125">
        <v>9.0</v>
      </c>
      <c r="B55" s="125" t="s">
        <v>148</v>
      </c>
      <c r="C55" s="125">
        <v>17.0</v>
      </c>
      <c r="D55" s="126">
        <v>98.0</v>
      </c>
      <c r="E55" s="153">
        <v>0.0</v>
      </c>
      <c r="F55" s="125">
        <v>0.0</v>
      </c>
      <c r="G55" s="125">
        <v>0.0</v>
      </c>
      <c r="H55" s="125">
        <v>0.0</v>
      </c>
      <c r="I55" s="125">
        <v>0.0</v>
      </c>
      <c r="J55" s="125">
        <v>0.0</v>
      </c>
      <c r="K55" s="125">
        <v>1.0</v>
      </c>
      <c r="L55" s="125">
        <v>0.0</v>
      </c>
      <c r="M55" s="125">
        <v>0.0</v>
      </c>
      <c r="N55" s="125">
        <v>0.0</v>
      </c>
      <c r="O55" s="125">
        <v>0.0</v>
      </c>
      <c r="P55" s="125">
        <v>0.0</v>
      </c>
      <c r="Q55" s="125">
        <v>15.0</v>
      </c>
      <c r="R55" s="125">
        <v>0.0</v>
      </c>
      <c r="S55" s="125">
        <v>0.0</v>
      </c>
      <c r="T55" s="125">
        <v>0.0</v>
      </c>
      <c r="U55" s="125">
        <v>0.0</v>
      </c>
      <c r="V55" s="125">
        <v>0.0</v>
      </c>
      <c r="W55" s="125">
        <v>0.0</v>
      </c>
      <c r="X55" s="125">
        <v>0.0</v>
      </c>
    </row>
    <row r="56" ht="15.75" customHeight="1">
      <c r="A56" s="125">
        <v>9.0</v>
      </c>
      <c r="B56" s="125" t="s">
        <v>149</v>
      </c>
      <c r="C56" s="125">
        <v>17.0</v>
      </c>
      <c r="D56" s="126">
        <v>98.0</v>
      </c>
      <c r="E56" s="153">
        <v>0.0</v>
      </c>
      <c r="F56" s="125">
        <v>0.0</v>
      </c>
      <c r="G56" s="125">
        <v>0.0</v>
      </c>
      <c r="H56" s="125">
        <v>0.0</v>
      </c>
      <c r="I56" s="125">
        <v>0.0</v>
      </c>
      <c r="J56" s="125">
        <v>0.0</v>
      </c>
      <c r="K56" s="125">
        <v>0.0</v>
      </c>
      <c r="L56" s="125">
        <v>0.0</v>
      </c>
      <c r="M56" s="125">
        <v>0.0</v>
      </c>
      <c r="N56" s="125">
        <v>0.0</v>
      </c>
      <c r="O56" s="125">
        <v>0.0</v>
      </c>
      <c r="P56" s="125">
        <v>15.0</v>
      </c>
      <c r="Q56" s="125">
        <v>0.0</v>
      </c>
      <c r="R56" s="125">
        <v>0.0</v>
      </c>
      <c r="S56" s="125">
        <v>0.0</v>
      </c>
      <c r="T56" s="125">
        <v>0.0</v>
      </c>
      <c r="U56" s="125">
        <v>0.0</v>
      </c>
      <c r="V56" s="125">
        <v>0.0</v>
      </c>
      <c r="W56" s="125">
        <v>0.0</v>
      </c>
      <c r="X56" s="125">
        <v>0.0</v>
      </c>
    </row>
    <row r="57" ht="15.75" customHeight="1">
      <c r="A57" s="125">
        <v>9.0</v>
      </c>
      <c r="B57" s="125" t="s">
        <v>150</v>
      </c>
      <c r="C57" s="125">
        <v>17.0</v>
      </c>
      <c r="D57" s="126">
        <v>98.0</v>
      </c>
      <c r="E57" s="153">
        <v>0.0</v>
      </c>
      <c r="F57" s="125">
        <v>0.0</v>
      </c>
      <c r="G57" s="125">
        <v>0.0</v>
      </c>
      <c r="H57" s="125">
        <v>0.0</v>
      </c>
      <c r="I57" s="125">
        <v>0.0</v>
      </c>
      <c r="J57" s="125">
        <v>0.0</v>
      </c>
      <c r="K57" s="125">
        <v>0.0</v>
      </c>
      <c r="L57" s="125">
        <v>0.0</v>
      </c>
      <c r="M57" s="125">
        <v>0.0</v>
      </c>
      <c r="N57" s="125">
        <v>0.0</v>
      </c>
      <c r="O57" s="125">
        <v>15.0</v>
      </c>
      <c r="P57" s="125">
        <v>0.0</v>
      </c>
      <c r="Q57" s="125">
        <v>0.0</v>
      </c>
      <c r="R57" s="125">
        <v>0.0</v>
      </c>
      <c r="S57" s="125">
        <v>0.0</v>
      </c>
      <c r="T57" s="125">
        <v>0.0</v>
      </c>
      <c r="U57" s="125">
        <v>0.0</v>
      </c>
      <c r="V57" s="125">
        <v>0.0</v>
      </c>
      <c r="W57" s="125">
        <v>0.0</v>
      </c>
      <c r="X57" s="125">
        <v>0.0</v>
      </c>
    </row>
    <row r="58" ht="15.75" customHeight="1">
      <c r="A58" s="125">
        <v>9.0</v>
      </c>
      <c r="B58" s="125" t="s">
        <v>151</v>
      </c>
      <c r="C58" s="125">
        <v>17.0</v>
      </c>
      <c r="D58" s="126">
        <v>98.0</v>
      </c>
      <c r="E58" s="153">
        <v>0.0</v>
      </c>
      <c r="F58" s="125">
        <v>0.0</v>
      </c>
      <c r="G58" s="125">
        <v>15.0</v>
      </c>
      <c r="H58" s="125">
        <v>0.0</v>
      </c>
      <c r="I58" s="125">
        <v>0.0</v>
      </c>
      <c r="J58" s="125">
        <v>0.0</v>
      </c>
      <c r="K58" s="125">
        <v>0.0</v>
      </c>
      <c r="L58" s="125">
        <v>0.0</v>
      </c>
      <c r="M58" s="125">
        <v>0.0</v>
      </c>
      <c r="N58" s="125">
        <v>0.0</v>
      </c>
      <c r="O58" s="125">
        <v>0.0</v>
      </c>
      <c r="P58" s="125">
        <v>0.0</v>
      </c>
      <c r="Q58" s="125">
        <v>0.0</v>
      </c>
      <c r="R58" s="125">
        <v>0.0</v>
      </c>
      <c r="S58" s="125">
        <v>0.0</v>
      </c>
      <c r="T58" s="125">
        <v>0.0</v>
      </c>
      <c r="U58" s="125">
        <v>0.0</v>
      </c>
      <c r="V58" s="125">
        <v>0.0</v>
      </c>
      <c r="W58" s="125">
        <v>0.0</v>
      </c>
      <c r="X58" s="125">
        <v>0.0</v>
      </c>
    </row>
    <row r="59" ht="15.75" customHeight="1">
      <c r="A59" s="125">
        <v>10.0</v>
      </c>
      <c r="B59" s="125" t="s">
        <v>147</v>
      </c>
      <c r="C59" s="125">
        <v>8.0</v>
      </c>
      <c r="D59" s="126">
        <v>106.0</v>
      </c>
      <c r="E59" s="153">
        <v>0.0</v>
      </c>
      <c r="F59" s="125">
        <v>0.0</v>
      </c>
      <c r="G59" s="125">
        <v>0.0</v>
      </c>
      <c r="H59" s="125">
        <v>0.0</v>
      </c>
      <c r="I59" s="125">
        <v>0.0</v>
      </c>
      <c r="J59" s="125">
        <v>0.0</v>
      </c>
      <c r="K59" s="125">
        <v>0.0</v>
      </c>
      <c r="L59" s="125">
        <v>0.0</v>
      </c>
      <c r="M59" s="125">
        <v>0.0</v>
      </c>
      <c r="N59" s="125">
        <v>0.0</v>
      </c>
      <c r="O59" s="125">
        <v>20.0</v>
      </c>
      <c r="P59" s="125">
        <v>0.0</v>
      </c>
      <c r="Q59" s="125">
        <v>0.0</v>
      </c>
      <c r="R59" s="125">
        <v>0.0</v>
      </c>
      <c r="S59" s="125">
        <v>0.0</v>
      </c>
      <c r="T59" s="125">
        <v>0.0</v>
      </c>
      <c r="U59" s="125">
        <v>0.0</v>
      </c>
      <c r="V59" s="125">
        <v>0.0</v>
      </c>
      <c r="W59" s="125">
        <v>0.0</v>
      </c>
      <c r="X59" s="125">
        <v>0.0</v>
      </c>
    </row>
    <row r="60" ht="15.75" customHeight="1">
      <c r="A60" s="125">
        <v>10.0</v>
      </c>
      <c r="B60" s="125" t="s">
        <v>148</v>
      </c>
      <c r="C60" s="125">
        <v>8.0</v>
      </c>
      <c r="D60" s="126">
        <v>106.0</v>
      </c>
      <c r="E60" s="153">
        <v>0.0</v>
      </c>
      <c r="F60" s="125">
        <v>0.0</v>
      </c>
      <c r="G60" s="125">
        <v>0.0</v>
      </c>
      <c r="H60" s="125">
        <v>0.0</v>
      </c>
      <c r="I60" s="125">
        <v>0.0</v>
      </c>
      <c r="J60" s="125">
        <v>0.0</v>
      </c>
      <c r="K60" s="125">
        <v>0.0</v>
      </c>
      <c r="L60" s="125">
        <v>0.0</v>
      </c>
      <c r="M60" s="125">
        <v>0.0</v>
      </c>
      <c r="N60" s="125">
        <v>15.0</v>
      </c>
      <c r="O60" s="125">
        <v>0.0</v>
      </c>
      <c r="P60" s="125">
        <v>0.0</v>
      </c>
      <c r="Q60" s="125">
        <v>0.0</v>
      </c>
      <c r="R60" s="125">
        <v>0.0</v>
      </c>
      <c r="S60" s="125">
        <v>0.0</v>
      </c>
      <c r="T60" s="125">
        <v>0.0</v>
      </c>
      <c r="U60" s="125">
        <v>0.0</v>
      </c>
      <c r="V60" s="125">
        <v>0.0</v>
      </c>
      <c r="W60" s="125">
        <v>0.0</v>
      </c>
      <c r="X60" s="125">
        <v>0.0</v>
      </c>
    </row>
    <row r="61" ht="15.75" customHeight="1">
      <c r="A61" s="125">
        <v>10.0</v>
      </c>
      <c r="B61" s="125" t="s">
        <v>149</v>
      </c>
      <c r="C61" s="125">
        <v>8.0</v>
      </c>
      <c r="D61" s="126">
        <v>106.0</v>
      </c>
      <c r="E61" s="153">
        <v>0.0</v>
      </c>
      <c r="F61" s="125">
        <v>0.0</v>
      </c>
      <c r="G61" s="125">
        <v>0.0</v>
      </c>
      <c r="H61" s="125">
        <v>0.0</v>
      </c>
      <c r="I61" s="125">
        <v>0.0</v>
      </c>
      <c r="J61" s="125">
        <v>1.0</v>
      </c>
      <c r="K61" s="125">
        <v>0.0</v>
      </c>
      <c r="L61" s="125">
        <v>0.0</v>
      </c>
      <c r="M61" s="125">
        <v>0.0</v>
      </c>
      <c r="N61" s="125">
        <v>0.0</v>
      </c>
      <c r="O61" s="125">
        <v>0.0</v>
      </c>
      <c r="P61" s="125">
        <v>0.0</v>
      </c>
      <c r="Q61" s="125">
        <v>0.0</v>
      </c>
      <c r="R61" s="125">
        <v>0.0</v>
      </c>
      <c r="S61" s="125">
        <v>0.0</v>
      </c>
      <c r="T61" s="125">
        <v>0.0</v>
      </c>
      <c r="U61" s="125">
        <v>0.0</v>
      </c>
      <c r="V61" s="125">
        <v>0.0</v>
      </c>
      <c r="W61" s="125">
        <v>0.0</v>
      </c>
      <c r="X61" s="125">
        <v>0.0</v>
      </c>
    </row>
    <row r="62" ht="15.75" customHeight="1">
      <c r="A62" s="125">
        <v>10.0</v>
      </c>
      <c r="B62" s="125" t="s">
        <v>150</v>
      </c>
      <c r="C62" s="125">
        <v>8.0</v>
      </c>
      <c r="D62" s="126">
        <v>106.0</v>
      </c>
      <c r="E62" s="153">
        <v>0.0</v>
      </c>
      <c r="F62" s="125">
        <v>0.0</v>
      </c>
      <c r="G62" s="125">
        <v>0.0</v>
      </c>
      <c r="H62" s="125">
        <v>0.0</v>
      </c>
      <c r="I62" s="125">
        <v>1.0</v>
      </c>
      <c r="J62" s="125">
        <v>0.0</v>
      </c>
      <c r="K62" s="125">
        <v>0.0</v>
      </c>
      <c r="L62" s="125">
        <v>0.0</v>
      </c>
      <c r="M62" s="125">
        <v>0.0</v>
      </c>
      <c r="N62" s="125">
        <v>0.0</v>
      </c>
      <c r="O62" s="125">
        <v>0.0</v>
      </c>
      <c r="P62" s="125">
        <v>0.0</v>
      </c>
      <c r="Q62" s="125">
        <v>0.0</v>
      </c>
      <c r="R62" s="125">
        <v>0.0</v>
      </c>
      <c r="S62" s="125">
        <v>0.0</v>
      </c>
      <c r="T62" s="125">
        <v>0.0</v>
      </c>
      <c r="U62" s="125">
        <v>0.0</v>
      </c>
      <c r="V62" s="125">
        <v>0.0</v>
      </c>
      <c r="W62" s="125">
        <v>0.0</v>
      </c>
      <c r="X62" s="125">
        <v>0.0</v>
      </c>
    </row>
    <row r="63" ht="15.75" customHeight="1">
      <c r="A63" s="125">
        <v>10.0</v>
      </c>
      <c r="B63" s="125" t="s">
        <v>151</v>
      </c>
      <c r="C63" s="125">
        <v>8.0</v>
      </c>
      <c r="D63" s="126">
        <v>106.0</v>
      </c>
      <c r="E63" s="153">
        <v>0.0</v>
      </c>
      <c r="F63" s="125">
        <v>0.0</v>
      </c>
      <c r="G63" s="125">
        <v>0.0</v>
      </c>
      <c r="H63" s="125">
        <v>1.0</v>
      </c>
      <c r="I63" s="125">
        <v>0.0</v>
      </c>
      <c r="J63" s="125">
        <v>0.0</v>
      </c>
      <c r="K63" s="125">
        <v>0.0</v>
      </c>
      <c r="L63" s="125">
        <v>0.0</v>
      </c>
      <c r="M63" s="125">
        <v>0.0</v>
      </c>
      <c r="N63" s="125">
        <v>0.0</v>
      </c>
      <c r="O63" s="125">
        <v>0.0</v>
      </c>
      <c r="P63" s="125">
        <v>0.0</v>
      </c>
      <c r="Q63" s="125">
        <v>0.0</v>
      </c>
      <c r="R63" s="125">
        <v>0.0</v>
      </c>
      <c r="S63" s="125">
        <v>0.0</v>
      </c>
      <c r="T63" s="125">
        <v>0.0</v>
      </c>
      <c r="U63" s="125">
        <v>0.0</v>
      </c>
      <c r="V63" s="125">
        <v>0.0</v>
      </c>
      <c r="W63" s="125">
        <v>0.0</v>
      </c>
      <c r="X63" s="125">
        <v>0.0</v>
      </c>
    </row>
    <row r="64" ht="15.75" customHeight="1">
      <c r="A64" s="125">
        <v>11.0</v>
      </c>
      <c r="B64" s="125" t="s">
        <v>147</v>
      </c>
      <c r="C64" s="125">
        <v>10.0</v>
      </c>
      <c r="D64" s="126">
        <v>116.0</v>
      </c>
      <c r="E64" s="153">
        <v>0.0</v>
      </c>
      <c r="F64" s="125">
        <v>0.0</v>
      </c>
      <c r="G64" s="125">
        <v>0.0</v>
      </c>
      <c r="H64" s="125">
        <v>0.0</v>
      </c>
      <c r="I64" s="125">
        <v>0.0</v>
      </c>
      <c r="J64" s="125">
        <v>0.0</v>
      </c>
      <c r="K64" s="125">
        <v>0.0</v>
      </c>
      <c r="L64" s="125">
        <v>0.0</v>
      </c>
      <c r="M64" s="125">
        <v>0.0</v>
      </c>
      <c r="N64" s="125">
        <v>15.0</v>
      </c>
      <c r="O64" s="125">
        <v>0.0</v>
      </c>
      <c r="P64" s="125">
        <v>0.0</v>
      </c>
      <c r="Q64" s="125">
        <v>0.0</v>
      </c>
      <c r="R64" s="125">
        <v>0.0</v>
      </c>
      <c r="S64" s="125">
        <v>0.0</v>
      </c>
      <c r="T64" s="125">
        <v>0.0</v>
      </c>
      <c r="U64" s="125">
        <v>0.0</v>
      </c>
      <c r="V64" s="125">
        <v>0.0</v>
      </c>
      <c r="W64" s="125">
        <v>0.0</v>
      </c>
      <c r="X64" s="125">
        <v>0.0</v>
      </c>
    </row>
    <row r="65" ht="15.75" customHeight="1">
      <c r="A65" s="125">
        <v>11.0</v>
      </c>
      <c r="B65" s="125" t="s">
        <v>148</v>
      </c>
      <c r="C65" s="125">
        <v>10.0</v>
      </c>
      <c r="D65" s="126">
        <v>116.0</v>
      </c>
      <c r="E65" s="153">
        <v>0.0</v>
      </c>
      <c r="F65" s="125">
        <v>0.0</v>
      </c>
      <c r="G65" s="125">
        <v>0.0</v>
      </c>
      <c r="H65" s="125">
        <v>0.0</v>
      </c>
      <c r="I65" s="125">
        <v>0.0</v>
      </c>
      <c r="J65" s="125">
        <v>0.0</v>
      </c>
      <c r="K65" s="125">
        <v>0.0</v>
      </c>
      <c r="L65" s="125">
        <v>0.0</v>
      </c>
      <c r="M65" s="125">
        <v>0.0</v>
      </c>
      <c r="N65" s="125">
        <v>0.0</v>
      </c>
      <c r="O65" s="125">
        <v>0.0</v>
      </c>
      <c r="P65" s="125">
        <v>10.0</v>
      </c>
      <c r="Q65" s="125">
        <v>0.0</v>
      </c>
      <c r="R65" s="125">
        <v>0.0</v>
      </c>
      <c r="S65" s="125">
        <v>0.0</v>
      </c>
      <c r="T65" s="125">
        <v>0.0</v>
      </c>
      <c r="U65" s="125">
        <v>0.0</v>
      </c>
      <c r="V65" s="125">
        <v>0.0</v>
      </c>
      <c r="W65" s="125">
        <v>0.0</v>
      </c>
      <c r="X65" s="125">
        <v>0.0</v>
      </c>
    </row>
    <row r="66" ht="15.75" customHeight="1">
      <c r="A66" s="125">
        <v>11.0</v>
      </c>
      <c r="B66" s="125" t="s">
        <v>149</v>
      </c>
      <c r="C66" s="125">
        <v>10.0</v>
      </c>
      <c r="D66" s="126">
        <v>116.0</v>
      </c>
      <c r="E66" s="153">
        <v>0.0</v>
      </c>
      <c r="F66" s="125">
        <v>0.0</v>
      </c>
      <c r="G66" s="125">
        <v>0.0</v>
      </c>
      <c r="H66" s="125">
        <v>0.0</v>
      </c>
      <c r="I66" s="125">
        <v>0.0</v>
      </c>
      <c r="J66" s="125">
        <v>0.0</v>
      </c>
      <c r="K66" s="125">
        <v>1.0</v>
      </c>
      <c r="L66" s="125">
        <v>0.0</v>
      </c>
      <c r="M66" s="125">
        <v>0.0</v>
      </c>
      <c r="N66" s="125">
        <v>0.0</v>
      </c>
      <c r="O66" s="125">
        <v>0.0</v>
      </c>
      <c r="P66" s="125">
        <v>0.0</v>
      </c>
      <c r="Q66" s="125">
        <v>0.0</v>
      </c>
      <c r="R66" s="125">
        <v>0.0</v>
      </c>
      <c r="S66" s="125">
        <v>0.0</v>
      </c>
      <c r="T66" s="125">
        <v>0.0</v>
      </c>
      <c r="U66" s="125">
        <v>0.0</v>
      </c>
      <c r="V66" s="125">
        <v>0.0</v>
      </c>
      <c r="W66" s="125">
        <v>0.0</v>
      </c>
      <c r="X66" s="125">
        <v>0.0</v>
      </c>
    </row>
    <row r="67" ht="15.75" customHeight="1">
      <c r="A67" s="125">
        <v>11.0</v>
      </c>
      <c r="B67" s="125" t="s">
        <v>150</v>
      </c>
      <c r="C67" s="125">
        <v>10.0</v>
      </c>
      <c r="D67" s="126">
        <v>116.0</v>
      </c>
      <c r="E67" s="153">
        <v>0.0</v>
      </c>
      <c r="F67" s="125">
        <v>0.0</v>
      </c>
      <c r="G67" s="125">
        <v>0.0</v>
      </c>
      <c r="H67" s="125">
        <v>0.0</v>
      </c>
      <c r="I67" s="125">
        <v>0.0</v>
      </c>
      <c r="J67" s="125">
        <v>0.0</v>
      </c>
      <c r="K67" s="125">
        <v>0.0</v>
      </c>
      <c r="L67" s="125">
        <v>0.0</v>
      </c>
      <c r="M67" s="125">
        <v>0.0</v>
      </c>
      <c r="N67" s="125">
        <v>0.0</v>
      </c>
      <c r="O67" s="125">
        <v>10.0</v>
      </c>
      <c r="P67" s="125">
        <v>0.0</v>
      </c>
      <c r="Q67" s="125">
        <v>0.0</v>
      </c>
      <c r="R67" s="125">
        <v>0.0</v>
      </c>
      <c r="S67" s="125">
        <v>0.0</v>
      </c>
      <c r="T67" s="125">
        <v>0.0</v>
      </c>
      <c r="U67" s="125">
        <v>0.0</v>
      </c>
      <c r="V67" s="125">
        <v>0.0</v>
      </c>
      <c r="W67" s="125">
        <v>0.0</v>
      </c>
      <c r="X67" s="125">
        <v>0.0</v>
      </c>
    </row>
    <row r="68" ht="15.75" customHeight="1">
      <c r="A68" s="125">
        <v>11.0</v>
      </c>
      <c r="B68" s="125" t="s">
        <v>151</v>
      </c>
      <c r="C68" s="125">
        <v>10.0</v>
      </c>
      <c r="D68" s="126">
        <v>116.0</v>
      </c>
      <c r="E68" s="153">
        <v>0.0</v>
      </c>
      <c r="F68" s="125">
        <v>30.0</v>
      </c>
      <c r="G68" s="125">
        <v>0.0</v>
      </c>
      <c r="H68" s="125">
        <v>0.0</v>
      </c>
      <c r="I68" s="125">
        <v>0.0</v>
      </c>
      <c r="J68" s="125">
        <v>0.0</v>
      </c>
      <c r="K68" s="125">
        <v>0.0</v>
      </c>
      <c r="L68" s="125">
        <v>0.0</v>
      </c>
      <c r="M68" s="125">
        <v>0.0</v>
      </c>
      <c r="N68" s="125">
        <v>0.0</v>
      </c>
      <c r="O68" s="125">
        <v>0.0</v>
      </c>
      <c r="P68" s="125">
        <v>0.0</v>
      </c>
      <c r="Q68" s="125">
        <v>0.0</v>
      </c>
      <c r="R68" s="125">
        <v>0.0</v>
      </c>
      <c r="S68" s="125">
        <v>0.0</v>
      </c>
      <c r="T68" s="125">
        <v>0.0</v>
      </c>
      <c r="U68" s="125">
        <v>0.0</v>
      </c>
      <c r="V68" s="125">
        <v>0.0</v>
      </c>
      <c r="W68" s="125">
        <v>0.0</v>
      </c>
      <c r="X68" s="125">
        <v>0.0</v>
      </c>
    </row>
    <row r="69" ht="15.75" customHeight="1">
      <c r="A69" s="125">
        <v>12.0</v>
      </c>
      <c r="B69" s="125" t="s">
        <v>147</v>
      </c>
      <c r="C69" s="125">
        <v>12.0</v>
      </c>
      <c r="D69" s="126">
        <v>128.0</v>
      </c>
      <c r="E69" s="153">
        <v>0.0</v>
      </c>
      <c r="F69" s="125">
        <v>0.0</v>
      </c>
      <c r="G69" s="125">
        <v>0.0</v>
      </c>
      <c r="H69" s="125">
        <v>0.0</v>
      </c>
      <c r="I69" s="125">
        <v>0.0</v>
      </c>
      <c r="J69" s="125">
        <v>0.0</v>
      </c>
      <c r="K69" s="125">
        <v>0.0</v>
      </c>
      <c r="L69" s="125">
        <v>0.0</v>
      </c>
      <c r="M69" s="125">
        <v>1.0</v>
      </c>
      <c r="N69" s="125">
        <v>0.0</v>
      </c>
      <c r="O69" s="125">
        <v>0.0</v>
      </c>
      <c r="P69" s="125">
        <v>0.0</v>
      </c>
      <c r="Q69" s="125">
        <v>0.0</v>
      </c>
      <c r="R69" s="125">
        <v>0.0</v>
      </c>
      <c r="S69" s="125">
        <v>0.0</v>
      </c>
      <c r="T69" s="125">
        <v>0.0</v>
      </c>
      <c r="U69" s="125">
        <v>0.0</v>
      </c>
      <c r="V69" s="125">
        <v>0.0</v>
      </c>
      <c r="W69" s="125">
        <v>0.0</v>
      </c>
      <c r="X69" s="125">
        <v>0.0</v>
      </c>
    </row>
    <row r="70" ht="15.75" customHeight="1">
      <c r="A70" s="125">
        <v>12.0</v>
      </c>
      <c r="B70" s="125" t="s">
        <v>148</v>
      </c>
      <c r="C70" s="125">
        <v>12.0</v>
      </c>
      <c r="D70" s="126">
        <v>128.0</v>
      </c>
      <c r="E70" s="153">
        <v>0.0</v>
      </c>
      <c r="F70" s="125">
        <v>0.0</v>
      </c>
      <c r="G70" s="125">
        <v>0.0</v>
      </c>
      <c r="H70" s="125">
        <v>0.0</v>
      </c>
      <c r="I70" s="125">
        <v>0.0</v>
      </c>
      <c r="J70" s="125">
        <v>0.0</v>
      </c>
      <c r="K70" s="125">
        <v>0.0</v>
      </c>
      <c r="L70" s="125">
        <v>1.0</v>
      </c>
      <c r="M70" s="125">
        <v>0.0</v>
      </c>
      <c r="N70" s="125">
        <v>0.0</v>
      </c>
      <c r="O70" s="125">
        <v>0.0</v>
      </c>
      <c r="P70" s="125">
        <v>0.0</v>
      </c>
      <c r="Q70" s="125">
        <v>0.0</v>
      </c>
      <c r="R70" s="125">
        <v>0.0</v>
      </c>
      <c r="S70" s="125">
        <v>0.0</v>
      </c>
      <c r="T70" s="125">
        <v>0.0</v>
      </c>
      <c r="U70" s="125">
        <v>0.0</v>
      </c>
      <c r="V70" s="125">
        <v>0.0</v>
      </c>
      <c r="W70" s="125">
        <v>0.0</v>
      </c>
      <c r="X70" s="125">
        <v>0.0</v>
      </c>
    </row>
    <row r="71" ht="15.75" customHeight="1">
      <c r="A71" s="125">
        <v>12.0</v>
      </c>
      <c r="B71" s="125" t="s">
        <v>149</v>
      </c>
      <c r="C71" s="125">
        <v>12.0</v>
      </c>
      <c r="D71" s="126">
        <v>128.0</v>
      </c>
      <c r="E71" s="153">
        <v>0.0</v>
      </c>
      <c r="F71" s="125">
        <v>0.0</v>
      </c>
      <c r="G71" s="125">
        <v>0.0</v>
      </c>
      <c r="H71" s="125">
        <v>1.0</v>
      </c>
      <c r="I71" s="125">
        <v>0.0</v>
      </c>
      <c r="J71" s="125">
        <v>0.0</v>
      </c>
      <c r="K71" s="125">
        <v>0.0</v>
      </c>
      <c r="L71" s="125">
        <v>0.0</v>
      </c>
      <c r="M71" s="125">
        <v>0.0</v>
      </c>
      <c r="N71" s="125">
        <v>0.0</v>
      </c>
      <c r="O71" s="125">
        <v>0.0</v>
      </c>
      <c r="P71" s="125">
        <v>0.0</v>
      </c>
      <c r="Q71" s="125">
        <v>0.0</v>
      </c>
      <c r="R71" s="125">
        <v>0.0</v>
      </c>
      <c r="S71" s="125">
        <v>0.0</v>
      </c>
      <c r="T71" s="125">
        <v>0.0</v>
      </c>
      <c r="U71" s="125">
        <v>0.0</v>
      </c>
      <c r="V71" s="125">
        <v>0.0</v>
      </c>
      <c r="W71" s="125">
        <v>0.0</v>
      </c>
      <c r="X71" s="125">
        <v>0.0</v>
      </c>
    </row>
    <row r="72" ht="15.75" customHeight="1">
      <c r="A72" s="125">
        <v>12.0</v>
      </c>
      <c r="B72" s="125" t="s">
        <v>150</v>
      </c>
      <c r="C72" s="125">
        <v>12.0</v>
      </c>
      <c r="D72" s="126">
        <v>128.0</v>
      </c>
      <c r="E72" s="153">
        <v>0.0</v>
      </c>
      <c r="F72" s="125">
        <v>30.0</v>
      </c>
      <c r="G72" s="125">
        <v>0.0</v>
      </c>
      <c r="H72" s="125">
        <v>0.0</v>
      </c>
      <c r="I72" s="125">
        <v>0.0</v>
      </c>
      <c r="J72" s="125">
        <v>0.0</v>
      </c>
      <c r="K72" s="125">
        <v>0.0</v>
      </c>
      <c r="L72" s="125">
        <v>0.0</v>
      </c>
      <c r="M72" s="125">
        <v>0.0</v>
      </c>
      <c r="N72" s="125">
        <v>0.0</v>
      </c>
      <c r="O72" s="125">
        <v>0.0</v>
      </c>
      <c r="P72" s="125">
        <v>0.0</v>
      </c>
      <c r="Q72" s="125">
        <v>0.0</v>
      </c>
      <c r="R72" s="125">
        <v>0.0</v>
      </c>
      <c r="S72" s="125">
        <v>0.0</v>
      </c>
      <c r="T72" s="125">
        <v>0.0</v>
      </c>
      <c r="U72" s="125">
        <v>0.0</v>
      </c>
      <c r="V72" s="125">
        <v>0.0</v>
      </c>
      <c r="W72" s="125">
        <v>0.0</v>
      </c>
      <c r="X72" s="125">
        <v>0.0</v>
      </c>
    </row>
    <row r="73" ht="15.75" customHeight="1">
      <c r="A73" s="125">
        <v>12.0</v>
      </c>
      <c r="B73" s="125" t="s">
        <v>151</v>
      </c>
      <c r="C73" s="125">
        <v>12.0</v>
      </c>
      <c r="D73" s="126">
        <v>128.0</v>
      </c>
      <c r="E73" s="153">
        <v>0.0</v>
      </c>
      <c r="F73" s="125">
        <v>0.0</v>
      </c>
      <c r="G73" s="125">
        <v>15.0</v>
      </c>
      <c r="H73" s="125">
        <v>0.0</v>
      </c>
      <c r="I73" s="125">
        <v>0.0</v>
      </c>
      <c r="J73" s="125">
        <v>0.0</v>
      </c>
      <c r="K73" s="125">
        <v>0.0</v>
      </c>
      <c r="L73" s="125">
        <v>0.0</v>
      </c>
      <c r="M73" s="125">
        <v>0.0</v>
      </c>
      <c r="N73" s="125">
        <v>0.0</v>
      </c>
      <c r="O73" s="125">
        <v>0.0</v>
      </c>
      <c r="P73" s="125">
        <v>0.0</v>
      </c>
      <c r="Q73" s="125">
        <v>0.0</v>
      </c>
      <c r="R73" s="125">
        <v>0.0</v>
      </c>
      <c r="S73" s="125">
        <v>0.0</v>
      </c>
      <c r="T73" s="125">
        <v>0.0</v>
      </c>
      <c r="U73" s="125">
        <v>0.0</v>
      </c>
      <c r="V73" s="125">
        <v>0.0</v>
      </c>
      <c r="W73" s="125">
        <v>0.0</v>
      </c>
      <c r="X73" s="125">
        <v>0.0</v>
      </c>
    </row>
    <row r="74" ht="15.75" customHeight="1">
      <c r="A74" s="125">
        <v>13.0</v>
      </c>
      <c r="B74" s="125" t="s">
        <v>147</v>
      </c>
      <c r="C74" s="125">
        <v>15.0</v>
      </c>
      <c r="D74" s="126">
        <v>143.0</v>
      </c>
      <c r="E74" s="153">
        <v>65.0</v>
      </c>
      <c r="F74" s="125">
        <v>0.0</v>
      </c>
      <c r="G74" s="125">
        <v>0.0</v>
      </c>
      <c r="H74" s="125">
        <v>0.0</v>
      </c>
      <c r="I74" s="125">
        <v>0.0</v>
      </c>
      <c r="J74" s="125">
        <v>0.0</v>
      </c>
      <c r="K74" s="125">
        <v>0.0</v>
      </c>
      <c r="L74" s="125">
        <v>0.0</v>
      </c>
      <c r="M74" s="125">
        <v>0.0</v>
      </c>
      <c r="N74" s="125">
        <v>0.0</v>
      </c>
      <c r="O74" s="125">
        <v>0.0</v>
      </c>
      <c r="P74" s="125">
        <v>0.0</v>
      </c>
      <c r="Q74" s="125">
        <v>0.0</v>
      </c>
      <c r="R74" s="125">
        <v>0.0</v>
      </c>
      <c r="S74" s="125">
        <v>0.0</v>
      </c>
      <c r="T74" s="125">
        <v>0.0</v>
      </c>
      <c r="U74" s="125">
        <v>0.0</v>
      </c>
      <c r="V74" s="125">
        <v>0.0</v>
      </c>
      <c r="W74" s="125">
        <v>0.0</v>
      </c>
      <c r="X74" s="125">
        <v>0.0</v>
      </c>
    </row>
    <row r="75" ht="15.75" customHeight="1">
      <c r="A75" s="125">
        <v>13.0</v>
      </c>
      <c r="B75" s="125" t="s">
        <v>148</v>
      </c>
      <c r="C75" s="125">
        <v>15.0</v>
      </c>
      <c r="D75" s="126">
        <v>143.0</v>
      </c>
      <c r="E75" s="153">
        <v>0.0</v>
      </c>
      <c r="F75" s="125">
        <v>0.0</v>
      </c>
      <c r="G75" s="125">
        <v>0.0</v>
      </c>
      <c r="H75" s="125">
        <v>0.0</v>
      </c>
      <c r="I75" s="125">
        <v>0.0</v>
      </c>
      <c r="J75" s="125">
        <v>1.0</v>
      </c>
      <c r="K75" s="125">
        <v>0.0</v>
      </c>
      <c r="L75" s="125">
        <v>0.0</v>
      </c>
      <c r="M75" s="125">
        <v>0.0</v>
      </c>
      <c r="N75" s="125">
        <v>0.0</v>
      </c>
      <c r="O75" s="125">
        <v>0.0</v>
      </c>
      <c r="P75" s="125">
        <v>0.0</v>
      </c>
      <c r="Q75" s="125">
        <v>0.0</v>
      </c>
      <c r="R75" s="125">
        <v>0.0</v>
      </c>
      <c r="S75" s="125">
        <v>0.0</v>
      </c>
      <c r="T75" s="125">
        <v>0.0</v>
      </c>
      <c r="U75" s="125">
        <v>0.0</v>
      </c>
      <c r="V75" s="125">
        <v>0.0</v>
      </c>
      <c r="W75" s="125">
        <v>0.0</v>
      </c>
      <c r="X75" s="125">
        <v>0.0</v>
      </c>
    </row>
    <row r="76" ht="15.75" customHeight="1">
      <c r="A76" s="125">
        <v>13.0</v>
      </c>
      <c r="B76" s="125" t="s">
        <v>149</v>
      </c>
      <c r="C76" s="125">
        <v>15.0</v>
      </c>
      <c r="D76" s="126">
        <v>143.0</v>
      </c>
      <c r="E76" s="153">
        <v>0.0</v>
      </c>
      <c r="F76" s="125">
        <v>0.0</v>
      </c>
      <c r="G76" s="125">
        <v>0.0</v>
      </c>
      <c r="H76" s="125">
        <v>0.0</v>
      </c>
      <c r="I76" s="125">
        <v>0.0</v>
      </c>
      <c r="J76" s="125">
        <v>0.0</v>
      </c>
      <c r="K76" s="125">
        <v>0.0</v>
      </c>
      <c r="L76" s="125">
        <v>0.0</v>
      </c>
      <c r="M76" s="125">
        <v>0.0</v>
      </c>
      <c r="N76" s="125">
        <v>0.0</v>
      </c>
      <c r="O76" s="125">
        <v>0.0</v>
      </c>
      <c r="P76" s="125">
        <v>15.0</v>
      </c>
      <c r="Q76" s="125">
        <v>0.0</v>
      </c>
      <c r="R76" s="125">
        <v>0.0</v>
      </c>
      <c r="S76" s="125">
        <v>0.0</v>
      </c>
      <c r="T76" s="125">
        <v>0.0</v>
      </c>
      <c r="U76" s="125">
        <v>0.0</v>
      </c>
      <c r="V76" s="125">
        <v>0.0</v>
      </c>
      <c r="W76" s="125">
        <v>0.0</v>
      </c>
      <c r="X76" s="125">
        <v>0.0</v>
      </c>
    </row>
    <row r="77" ht="15.75" customHeight="1">
      <c r="A77" s="125">
        <v>13.0</v>
      </c>
      <c r="B77" s="125" t="s">
        <v>150</v>
      </c>
      <c r="C77" s="125">
        <v>15.0</v>
      </c>
      <c r="D77" s="126">
        <v>143.0</v>
      </c>
      <c r="E77" s="153">
        <v>0.0</v>
      </c>
      <c r="F77" s="125">
        <v>0.0</v>
      </c>
      <c r="G77" s="125">
        <v>0.0</v>
      </c>
      <c r="H77" s="125">
        <v>0.0</v>
      </c>
      <c r="I77" s="125">
        <v>0.0</v>
      </c>
      <c r="J77" s="125">
        <v>0.0</v>
      </c>
      <c r="K77" s="125">
        <v>1.0</v>
      </c>
      <c r="L77" s="125">
        <v>0.0</v>
      </c>
      <c r="M77" s="125">
        <v>0.0</v>
      </c>
      <c r="N77" s="125">
        <v>0.0</v>
      </c>
      <c r="O77" s="125">
        <v>0.0</v>
      </c>
      <c r="P77" s="125">
        <v>0.0</v>
      </c>
      <c r="Q77" s="125">
        <v>0.0</v>
      </c>
      <c r="R77" s="125">
        <v>0.0</v>
      </c>
      <c r="S77" s="125">
        <v>0.0</v>
      </c>
      <c r="T77" s="125">
        <v>0.0</v>
      </c>
      <c r="U77" s="125">
        <v>0.0</v>
      </c>
      <c r="V77" s="125">
        <v>0.0</v>
      </c>
      <c r="W77" s="125">
        <v>0.0</v>
      </c>
      <c r="X77" s="125">
        <v>0.0</v>
      </c>
    </row>
    <row r="78" ht="15.75" customHeight="1">
      <c r="A78" s="125">
        <v>13.0</v>
      </c>
      <c r="B78" s="125" t="s">
        <v>151</v>
      </c>
      <c r="C78" s="125">
        <v>15.0</v>
      </c>
      <c r="D78" s="126">
        <v>143.0</v>
      </c>
      <c r="E78" s="153">
        <v>0.0</v>
      </c>
      <c r="F78" s="125">
        <v>0.0</v>
      </c>
      <c r="G78" s="125">
        <v>0.0</v>
      </c>
      <c r="H78" s="125">
        <v>0.0</v>
      </c>
      <c r="I78" s="125">
        <v>0.0</v>
      </c>
      <c r="J78" s="125">
        <v>0.0</v>
      </c>
      <c r="K78" s="125">
        <v>0.0</v>
      </c>
      <c r="L78" s="125">
        <v>0.0</v>
      </c>
      <c r="M78" s="125">
        <v>0.0</v>
      </c>
      <c r="N78" s="125">
        <v>0.0</v>
      </c>
      <c r="O78" s="125">
        <v>15.0</v>
      </c>
      <c r="P78" s="125">
        <v>0.0</v>
      </c>
      <c r="Q78" s="125">
        <v>0.0</v>
      </c>
      <c r="R78" s="125">
        <v>0.0</v>
      </c>
      <c r="S78" s="125">
        <v>0.0</v>
      </c>
      <c r="T78" s="125">
        <v>0.0</v>
      </c>
      <c r="U78" s="125">
        <v>0.0</v>
      </c>
      <c r="V78" s="125">
        <v>0.0</v>
      </c>
      <c r="W78" s="125">
        <v>0.0</v>
      </c>
      <c r="X78" s="125">
        <v>0.0</v>
      </c>
    </row>
    <row r="79" ht="15.75" customHeight="1">
      <c r="A79" s="125">
        <v>14.0</v>
      </c>
      <c r="B79" s="125" t="s">
        <v>147</v>
      </c>
      <c r="C79" s="125">
        <v>17.0</v>
      </c>
      <c r="D79" s="126">
        <v>160.0</v>
      </c>
      <c r="E79" s="153">
        <v>0.0</v>
      </c>
      <c r="F79" s="125">
        <v>0.0</v>
      </c>
      <c r="G79" s="125">
        <v>0.0</v>
      </c>
      <c r="H79" s="125">
        <v>0.0</v>
      </c>
      <c r="I79" s="125">
        <v>0.0</v>
      </c>
      <c r="J79" s="125">
        <v>0.0</v>
      </c>
      <c r="K79" s="125">
        <v>0.0</v>
      </c>
      <c r="L79" s="125">
        <v>0.0</v>
      </c>
      <c r="M79" s="125">
        <v>0.0</v>
      </c>
      <c r="N79" s="125">
        <v>20.0</v>
      </c>
      <c r="O79" s="125">
        <v>0.0</v>
      </c>
      <c r="P79" s="125">
        <v>0.0</v>
      </c>
      <c r="Q79" s="125">
        <v>0.0</v>
      </c>
      <c r="R79" s="125">
        <v>0.0</v>
      </c>
      <c r="S79" s="125">
        <v>0.0</v>
      </c>
      <c r="T79" s="125">
        <v>0.0</v>
      </c>
      <c r="U79" s="125">
        <v>0.0</v>
      </c>
      <c r="V79" s="125">
        <v>0.0</v>
      </c>
      <c r="W79" s="125">
        <v>0.0</v>
      </c>
      <c r="X79" s="125">
        <v>0.0</v>
      </c>
    </row>
    <row r="80" ht="15.75" customHeight="1">
      <c r="A80" s="125">
        <v>14.0</v>
      </c>
      <c r="B80" s="125" t="s">
        <v>148</v>
      </c>
      <c r="C80" s="125">
        <v>17.0</v>
      </c>
      <c r="D80" s="126">
        <v>160.0</v>
      </c>
      <c r="E80" s="153">
        <v>0.0</v>
      </c>
      <c r="F80" s="125">
        <v>0.0</v>
      </c>
      <c r="G80" s="125">
        <v>0.0</v>
      </c>
      <c r="H80" s="125">
        <v>0.0</v>
      </c>
      <c r="I80" s="125">
        <v>0.0</v>
      </c>
      <c r="J80" s="125">
        <v>0.0</v>
      </c>
      <c r="K80" s="125">
        <v>0.0</v>
      </c>
      <c r="L80" s="125">
        <v>0.0</v>
      </c>
      <c r="M80" s="125">
        <v>1.0</v>
      </c>
      <c r="N80" s="125">
        <v>0.0</v>
      </c>
      <c r="O80" s="125">
        <v>0.0</v>
      </c>
      <c r="P80" s="125">
        <v>0.0</v>
      </c>
      <c r="Q80" s="125">
        <v>0.0</v>
      </c>
      <c r="R80" s="125">
        <v>0.0</v>
      </c>
      <c r="S80" s="125">
        <v>0.0</v>
      </c>
      <c r="T80" s="125">
        <v>0.0</v>
      </c>
      <c r="U80" s="125">
        <v>0.0</v>
      </c>
      <c r="V80" s="125">
        <v>0.0</v>
      </c>
      <c r="W80" s="125">
        <v>0.0</v>
      </c>
      <c r="X80" s="125">
        <v>0.0</v>
      </c>
    </row>
    <row r="81" ht="15.75" customHeight="1">
      <c r="A81" s="125">
        <v>14.0</v>
      </c>
      <c r="B81" s="125" t="s">
        <v>149</v>
      </c>
      <c r="C81" s="125">
        <v>17.0</v>
      </c>
      <c r="D81" s="126">
        <v>160.0</v>
      </c>
      <c r="E81" s="153">
        <v>0.0</v>
      </c>
      <c r="F81" s="125">
        <v>0.0</v>
      </c>
      <c r="G81" s="125">
        <v>0.0</v>
      </c>
      <c r="H81" s="125">
        <v>0.0</v>
      </c>
      <c r="I81" s="125">
        <v>0.0</v>
      </c>
      <c r="J81" s="125">
        <v>0.0</v>
      </c>
      <c r="K81" s="125">
        <v>0.0</v>
      </c>
      <c r="L81" s="125">
        <v>1.0</v>
      </c>
      <c r="M81" s="125">
        <v>0.0</v>
      </c>
      <c r="N81" s="125">
        <v>0.0</v>
      </c>
      <c r="O81" s="125">
        <v>0.0</v>
      </c>
      <c r="P81" s="125">
        <v>0.0</v>
      </c>
      <c r="Q81" s="125">
        <v>0.0</v>
      </c>
      <c r="R81" s="125">
        <v>0.0</v>
      </c>
      <c r="S81" s="125">
        <v>0.0</v>
      </c>
      <c r="T81" s="125">
        <v>0.0</v>
      </c>
      <c r="U81" s="125">
        <v>0.0</v>
      </c>
      <c r="V81" s="125">
        <v>0.0</v>
      </c>
      <c r="W81" s="125">
        <v>0.0</v>
      </c>
      <c r="X81" s="125">
        <v>0.0</v>
      </c>
    </row>
    <row r="82" ht="15.75" customHeight="1">
      <c r="A82" s="125">
        <v>14.0</v>
      </c>
      <c r="B82" s="125" t="s">
        <v>150</v>
      </c>
      <c r="C82" s="125">
        <v>17.0</v>
      </c>
      <c r="D82" s="126">
        <v>160.0</v>
      </c>
      <c r="E82" s="153">
        <v>0.0</v>
      </c>
      <c r="F82" s="125">
        <v>0.0</v>
      </c>
      <c r="G82" s="125">
        <v>0.0</v>
      </c>
      <c r="H82" s="125">
        <v>0.0</v>
      </c>
      <c r="I82" s="125">
        <v>0.0</v>
      </c>
      <c r="J82" s="125">
        <v>0.0</v>
      </c>
      <c r="K82" s="125">
        <v>1.0</v>
      </c>
      <c r="L82" s="125">
        <v>0.0</v>
      </c>
      <c r="M82" s="125">
        <v>0.0</v>
      </c>
      <c r="N82" s="125">
        <v>0.0</v>
      </c>
      <c r="O82" s="125">
        <v>0.0</v>
      </c>
      <c r="P82" s="125">
        <v>0.0</v>
      </c>
      <c r="Q82" s="125">
        <v>0.0</v>
      </c>
      <c r="R82" s="125">
        <v>0.0</v>
      </c>
      <c r="S82" s="125">
        <v>0.0</v>
      </c>
      <c r="T82" s="125">
        <v>0.0</v>
      </c>
      <c r="U82" s="125">
        <v>0.0</v>
      </c>
      <c r="V82" s="125">
        <v>0.0</v>
      </c>
      <c r="W82" s="125">
        <v>0.0</v>
      </c>
      <c r="X82" s="125">
        <v>0.0</v>
      </c>
    </row>
    <row r="83" ht="15.75" customHeight="1">
      <c r="A83" s="125">
        <v>14.0</v>
      </c>
      <c r="B83" s="125" t="s">
        <v>151</v>
      </c>
      <c r="C83" s="125">
        <v>17.0</v>
      </c>
      <c r="D83" s="126">
        <v>160.0</v>
      </c>
      <c r="E83" s="153">
        <v>0.0</v>
      </c>
      <c r="F83" s="125">
        <v>30.0</v>
      </c>
      <c r="G83" s="125">
        <v>0.0</v>
      </c>
      <c r="H83" s="125">
        <v>0.0</v>
      </c>
      <c r="I83" s="125">
        <v>0.0</v>
      </c>
      <c r="J83" s="125">
        <v>0.0</v>
      </c>
      <c r="K83" s="125">
        <v>0.0</v>
      </c>
      <c r="L83" s="125">
        <v>0.0</v>
      </c>
      <c r="M83" s="125">
        <v>0.0</v>
      </c>
      <c r="N83" s="125">
        <v>0.0</v>
      </c>
      <c r="O83" s="125">
        <v>0.0</v>
      </c>
      <c r="P83" s="125">
        <v>0.0</v>
      </c>
      <c r="Q83" s="125">
        <v>0.0</v>
      </c>
      <c r="R83" s="125">
        <v>0.0</v>
      </c>
      <c r="S83" s="125">
        <v>0.0</v>
      </c>
      <c r="T83" s="125">
        <v>0.0</v>
      </c>
      <c r="U83" s="125">
        <v>0.0</v>
      </c>
      <c r="V83" s="125">
        <v>0.0</v>
      </c>
      <c r="W83" s="125">
        <v>0.0</v>
      </c>
      <c r="X83" s="125">
        <v>0.0</v>
      </c>
    </row>
    <row r="84" ht="15.75" customHeight="1">
      <c r="A84" s="125">
        <v>15.0</v>
      </c>
      <c r="B84" s="125" t="s">
        <v>147</v>
      </c>
      <c r="C84" s="125">
        <v>25.0</v>
      </c>
      <c r="D84" s="126">
        <v>185.0</v>
      </c>
      <c r="E84" s="153">
        <v>150.0</v>
      </c>
      <c r="F84" s="125">
        <v>0.0</v>
      </c>
      <c r="G84" s="125">
        <v>0.0</v>
      </c>
      <c r="H84" s="125">
        <v>0.0</v>
      </c>
      <c r="I84" s="125">
        <v>0.0</v>
      </c>
      <c r="J84" s="125">
        <v>0.0</v>
      </c>
      <c r="K84" s="125">
        <v>1.0</v>
      </c>
      <c r="L84" s="125">
        <v>0.0</v>
      </c>
      <c r="M84" s="125">
        <v>0.0</v>
      </c>
      <c r="N84" s="125">
        <v>0.0</v>
      </c>
      <c r="O84" s="125">
        <v>30.0</v>
      </c>
      <c r="P84" s="125">
        <v>0.0</v>
      </c>
      <c r="Q84" s="125">
        <v>0.0</v>
      </c>
      <c r="R84" s="125">
        <v>0.0</v>
      </c>
      <c r="S84" s="125">
        <v>0.0</v>
      </c>
      <c r="T84" s="125">
        <v>0.0</v>
      </c>
      <c r="U84" s="125">
        <v>0.0</v>
      </c>
      <c r="V84" s="125">
        <v>0.0</v>
      </c>
      <c r="W84" s="125">
        <v>0.0</v>
      </c>
      <c r="X84" s="125">
        <v>0.0</v>
      </c>
    </row>
    <row r="85" ht="15.75" customHeight="1">
      <c r="A85" s="125">
        <v>15.0</v>
      </c>
      <c r="B85" s="125" t="s">
        <v>148</v>
      </c>
      <c r="C85" s="125">
        <v>25.0</v>
      </c>
      <c r="D85" s="126">
        <v>185.0</v>
      </c>
      <c r="E85" s="153">
        <v>0.0</v>
      </c>
      <c r="F85" s="125">
        <v>50.0</v>
      </c>
      <c r="G85" s="125">
        <v>0.0</v>
      </c>
      <c r="H85" s="125">
        <v>0.0</v>
      </c>
      <c r="I85" s="125">
        <v>0.0</v>
      </c>
      <c r="J85" s="125">
        <v>0.0</v>
      </c>
      <c r="K85" s="125">
        <v>0.0</v>
      </c>
      <c r="L85" s="125">
        <v>0.0</v>
      </c>
      <c r="M85" s="125">
        <v>0.0</v>
      </c>
      <c r="N85" s="125">
        <v>60.0</v>
      </c>
      <c r="O85" s="125">
        <v>0.0</v>
      </c>
      <c r="P85" s="125">
        <v>0.0</v>
      </c>
      <c r="Q85" s="125">
        <v>0.0</v>
      </c>
      <c r="R85" s="125">
        <v>0.0</v>
      </c>
      <c r="S85" s="125">
        <v>0.0</v>
      </c>
      <c r="T85" s="125">
        <v>0.0</v>
      </c>
      <c r="U85" s="125">
        <v>0.0</v>
      </c>
      <c r="V85" s="125">
        <v>0.0</v>
      </c>
      <c r="W85" s="125">
        <v>0.0</v>
      </c>
      <c r="X85" s="125">
        <v>0.0</v>
      </c>
    </row>
    <row r="86" ht="15.75" customHeight="1">
      <c r="A86" s="125">
        <v>15.0</v>
      </c>
      <c r="B86" s="125" t="s">
        <v>149</v>
      </c>
      <c r="C86" s="125">
        <v>25.0</v>
      </c>
      <c r="D86" s="126">
        <v>185.0</v>
      </c>
      <c r="E86" s="153">
        <v>0.0</v>
      </c>
      <c r="F86" s="125">
        <v>0.0</v>
      </c>
      <c r="G86" s="125">
        <v>0.0</v>
      </c>
      <c r="H86" s="125">
        <v>0.0</v>
      </c>
      <c r="I86" s="125">
        <v>0.0</v>
      </c>
      <c r="J86" s="125">
        <v>0.0</v>
      </c>
      <c r="K86" s="125">
        <v>0.0</v>
      </c>
      <c r="L86" s="125">
        <v>0.0</v>
      </c>
      <c r="M86" s="125">
        <v>0.0</v>
      </c>
      <c r="N86" s="125">
        <v>0.0</v>
      </c>
      <c r="O86" s="125">
        <v>0.0</v>
      </c>
      <c r="P86" s="125">
        <v>30.0</v>
      </c>
      <c r="Q86" s="125">
        <v>0.0</v>
      </c>
      <c r="R86" s="125">
        <v>0.0</v>
      </c>
      <c r="S86" s="125">
        <v>0.0</v>
      </c>
      <c r="T86" s="125">
        <v>0.0</v>
      </c>
      <c r="U86" s="125">
        <v>0.0</v>
      </c>
      <c r="V86" s="125">
        <v>0.0</v>
      </c>
      <c r="W86" s="125">
        <v>0.0</v>
      </c>
      <c r="X86" s="125">
        <v>0.0</v>
      </c>
    </row>
    <row r="87" ht="15.75" customHeight="1">
      <c r="A87" s="125">
        <v>15.0</v>
      </c>
      <c r="B87" s="125" t="s">
        <v>150</v>
      </c>
      <c r="C87" s="125">
        <v>25.0</v>
      </c>
      <c r="D87" s="126">
        <v>185.0</v>
      </c>
      <c r="E87" s="153">
        <v>0.0</v>
      </c>
      <c r="F87" s="125">
        <v>0.0</v>
      </c>
      <c r="G87" s="125">
        <v>0.0</v>
      </c>
      <c r="H87" s="125">
        <v>0.0</v>
      </c>
      <c r="I87" s="125">
        <v>0.0</v>
      </c>
      <c r="J87" s="125">
        <v>0.0</v>
      </c>
      <c r="K87" s="125">
        <v>0.0</v>
      </c>
      <c r="L87" s="125">
        <v>1.0</v>
      </c>
      <c r="M87" s="125">
        <v>0.0</v>
      </c>
      <c r="N87" s="125">
        <v>0.0</v>
      </c>
      <c r="O87" s="125">
        <v>0.0</v>
      </c>
      <c r="P87" s="125">
        <v>0.0</v>
      </c>
      <c r="Q87" s="125">
        <v>0.0</v>
      </c>
      <c r="R87" s="125">
        <v>0.0</v>
      </c>
      <c r="S87" s="125">
        <v>0.0</v>
      </c>
      <c r="T87" s="125">
        <v>0.0</v>
      </c>
      <c r="U87" s="125">
        <v>0.0</v>
      </c>
      <c r="V87" s="125">
        <v>0.0</v>
      </c>
      <c r="W87" s="125">
        <v>0.0</v>
      </c>
      <c r="X87" s="125">
        <v>0.0</v>
      </c>
    </row>
    <row r="88" ht="15.75" customHeight="1">
      <c r="A88" s="125">
        <v>15.0</v>
      </c>
      <c r="B88" s="125" t="s">
        <v>151</v>
      </c>
      <c r="C88" s="125">
        <v>25.0</v>
      </c>
      <c r="D88" s="126">
        <v>185.0</v>
      </c>
      <c r="E88" s="153">
        <v>0.0</v>
      </c>
      <c r="F88" s="125">
        <v>0.0</v>
      </c>
      <c r="G88" s="125">
        <v>30.0</v>
      </c>
      <c r="H88" s="125">
        <v>0.0</v>
      </c>
      <c r="I88" s="125">
        <v>0.0</v>
      </c>
      <c r="J88" s="125">
        <v>0.0</v>
      </c>
      <c r="K88" s="125">
        <v>0.0</v>
      </c>
      <c r="L88" s="125">
        <v>0.0</v>
      </c>
      <c r="M88" s="125">
        <v>0.0</v>
      </c>
      <c r="N88" s="125">
        <v>0.0</v>
      </c>
      <c r="O88" s="125">
        <v>0.0</v>
      </c>
      <c r="P88" s="125">
        <v>0.0</v>
      </c>
      <c r="Q88" s="125">
        <v>0.0</v>
      </c>
      <c r="R88" s="125">
        <v>0.0</v>
      </c>
      <c r="S88" s="125">
        <v>0.0</v>
      </c>
      <c r="T88" s="125">
        <v>0.0</v>
      </c>
      <c r="U88" s="125">
        <v>0.0</v>
      </c>
      <c r="V88" s="125">
        <v>0.0</v>
      </c>
      <c r="W88" s="125">
        <v>0.0</v>
      </c>
      <c r="X88" s="125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5" priority="1" operator="greaterThan">
      <formula>0</formula>
    </cfRule>
  </conditionalFormatting>
  <conditionalFormatting sqref="A14:X88">
    <cfRule type="expression" dxfId="6" priority="2">
      <formula>ISEVEN(INT((ROW()-ROW($A$14))/$B$4)+1)</formula>
    </cfRule>
  </conditionalFormatting>
  <conditionalFormatting sqref="A1:D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14" t="s">
        <v>34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</row>
    <row r="3">
      <c r="A3" s="149" t="s">
        <v>152</v>
      </c>
      <c r="B3" s="150">
        <v>4.0</v>
      </c>
    </row>
    <row r="4">
      <c r="A4" s="149" t="s">
        <v>153</v>
      </c>
      <c r="B4" s="150">
        <v>1.0</v>
      </c>
    </row>
    <row r="5">
      <c r="A5" s="149" t="s">
        <v>154</v>
      </c>
      <c r="B5" s="150">
        <v>15.0</v>
      </c>
    </row>
    <row r="6">
      <c r="A6" s="149" t="s">
        <v>155</v>
      </c>
      <c r="B6" s="150">
        <v>2.0</v>
      </c>
    </row>
    <row r="7">
      <c r="A7" s="149" t="s">
        <v>156</v>
      </c>
      <c r="B7" s="150" t="b">
        <f>TRUE()</f>
        <v>1</v>
      </c>
    </row>
    <row r="9" ht="19.5" customHeight="1">
      <c r="A9" s="116" t="s">
        <v>116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ht="90.0" customHeight="1">
      <c r="A10" s="120" t="s">
        <v>157</v>
      </c>
      <c r="B10" s="121" t="s">
        <v>158</v>
      </c>
      <c r="C10" s="122" t="s">
        <v>82</v>
      </c>
      <c r="D10" s="123" t="s">
        <v>68</v>
      </c>
      <c r="E10" s="123" t="s">
        <v>103</v>
      </c>
      <c r="F10" s="123" t="s">
        <v>69</v>
      </c>
      <c r="G10" s="123" t="s">
        <v>70</v>
      </c>
      <c r="H10" s="123" t="s">
        <v>71</v>
      </c>
      <c r="I10" s="123" t="s">
        <v>72</v>
      </c>
      <c r="J10" s="123" t="s">
        <v>73</v>
      </c>
      <c r="K10" s="123" t="s">
        <v>74</v>
      </c>
      <c r="L10" s="123" t="s">
        <v>75</v>
      </c>
      <c r="M10" s="123" t="s">
        <v>76</v>
      </c>
      <c r="N10" s="123" t="s">
        <v>77</v>
      </c>
      <c r="O10" s="123" t="s">
        <v>78</v>
      </c>
      <c r="P10" s="123" t="s">
        <v>118</v>
      </c>
      <c r="Q10" s="123" t="s">
        <v>104</v>
      </c>
      <c r="R10" s="123" t="s">
        <v>105</v>
      </c>
      <c r="S10" s="123" t="s">
        <v>106</v>
      </c>
      <c r="T10" s="123" t="s">
        <v>107</v>
      </c>
      <c r="U10" s="123" t="s">
        <v>108</v>
      </c>
      <c r="V10" s="123" t="s">
        <v>109</v>
      </c>
      <c r="W10" s="123" t="s">
        <v>110</v>
      </c>
    </row>
    <row r="11">
      <c r="A11" s="125">
        <v>1.0</v>
      </c>
      <c r="B11" s="126">
        <v>30.0</v>
      </c>
      <c r="C11" s="153">
        <v>0.0</v>
      </c>
      <c r="D11" s="125">
        <v>0.0</v>
      </c>
      <c r="E11" s="125">
        <v>0.0</v>
      </c>
      <c r="F11" s="125">
        <v>0.0</v>
      </c>
      <c r="G11" s="125">
        <v>1.0</v>
      </c>
      <c r="H11" s="125">
        <v>0.0</v>
      </c>
      <c r="I11" s="125">
        <v>0.0</v>
      </c>
      <c r="J11" s="125">
        <v>0.0</v>
      </c>
      <c r="K11" s="125">
        <v>0.0</v>
      </c>
      <c r="L11" s="125">
        <v>0.0</v>
      </c>
      <c r="M11" s="125">
        <v>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5">
        <v>0.0</v>
      </c>
      <c r="V11" s="125">
        <v>0.0</v>
      </c>
      <c r="W11" s="125">
        <v>0.0</v>
      </c>
    </row>
    <row r="12">
      <c r="A12" s="125">
        <v>2.0</v>
      </c>
      <c r="B12" s="126">
        <v>80.0</v>
      </c>
      <c r="C12" s="153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0.0</v>
      </c>
      <c r="M12" s="125">
        <v>10.0</v>
      </c>
      <c r="N12" s="125">
        <v>0.0</v>
      </c>
      <c r="O12" s="125">
        <v>0.0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  <c r="W12" s="125">
        <v>0.0</v>
      </c>
    </row>
    <row r="13">
      <c r="A13" s="125">
        <v>3.0</v>
      </c>
      <c r="B13" s="126">
        <v>150.0</v>
      </c>
      <c r="C13" s="153">
        <v>0.0</v>
      </c>
      <c r="D13" s="125">
        <v>0.0</v>
      </c>
      <c r="E13" s="125">
        <v>0.0</v>
      </c>
      <c r="F13" s="125">
        <v>0.0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  <c r="N13" s="125">
        <v>10.0</v>
      </c>
      <c r="O13" s="125">
        <v>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  <c r="W13" s="125">
        <v>0.0</v>
      </c>
    </row>
    <row r="14">
      <c r="A14" s="125">
        <v>4.0</v>
      </c>
      <c r="B14" s="126">
        <v>250.0</v>
      </c>
      <c r="C14" s="153">
        <v>0.0</v>
      </c>
      <c r="D14" s="125">
        <v>0.0</v>
      </c>
      <c r="E14" s="125">
        <v>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30.0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  <c r="W14" s="125">
        <v>0.0</v>
      </c>
    </row>
    <row r="15">
      <c r="A15" s="125">
        <v>5.0</v>
      </c>
      <c r="B15" s="126">
        <v>370.0</v>
      </c>
      <c r="C15" s="153">
        <v>25.0</v>
      </c>
      <c r="D15" s="125">
        <v>0.0</v>
      </c>
      <c r="E15" s="125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  <c r="W15" s="125">
        <v>0.0</v>
      </c>
    </row>
    <row r="16">
      <c r="A16" s="125">
        <v>6.0</v>
      </c>
      <c r="B16" s="126">
        <v>520.0</v>
      </c>
      <c r="C16" s="153">
        <v>0.0</v>
      </c>
      <c r="D16" s="125">
        <v>0.0</v>
      </c>
      <c r="E16" s="125">
        <v>0.0</v>
      </c>
      <c r="F16" s="125">
        <v>1.0</v>
      </c>
      <c r="G16" s="125">
        <v>0.0</v>
      </c>
      <c r="H16" s="125">
        <v>0.0</v>
      </c>
      <c r="I16" s="125">
        <v>0.0</v>
      </c>
      <c r="J16" s="125">
        <v>0.0</v>
      </c>
      <c r="K16" s="125">
        <v>0.0</v>
      </c>
      <c r="L16" s="125">
        <v>0.0</v>
      </c>
      <c r="M16" s="125">
        <v>0.0</v>
      </c>
      <c r="N16" s="125">
        <v>0.0</v>
      </c>
      <c r="O16" s="125">
        <v>10.0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</row>
    <row r="17">
      <c r="A17" s="125">
        <v>7.0</v>
      </c>
      <c r="B17" s="126">
        <v>690.0</v>
      </c>
      <c r="C17" s="153">
        <v>0.0</v>
      </c>
      <c r="D17" s="125">
        <v>0.0</v>
      </c>
      <c r="E17" s="125">
        <v>0.0</v>
      </c>
      <c r="F17" s="125">
        <v>0.0</v>
      </c>
      <c r="G17" s="125">
        <v>0.0</v>
      </c>
      <c r="H17" s="125">
        <v>0.0</v>
      </c>
      <c r="I17" s="125">
        <v>0.0</v>
      </c>
      <c r="J17" s="125">
        <v>0.0</v>
      </c>
      <c r="K17" s="125">
        <v>0.0</v>
      </c>
      <c r="L17" s="125">
        <v>60.0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25">
        <v>0.0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</row>
    <row r="18">
      <c r="A18" s="125">
        <v>8.0</v>
      </c>
      <c r="B18" s="126">
        <v>890.0</v>
      </c>
      <c r="C18" s="153">
        <v>0.0</v>
      </c>
      <c r="D18" s="125">
        <v>0.0</v>
      </c>
      <c r="E18" s="125">
        <v>0.0</v>
      </c>
      <c r="F18" s="125">
        <v>0.0</v>
      </c>
      <c r="G18" s="125">
        <v>0.0</v>
      </c>
      <c r="H18" s="125">
        <v>0.0</v>
      </c>
      <c r="I18" s="125">
        <v>0.0</v>
      </c>
      <c r="J18" s="125">
        <v>0.0</v>
      </c>
      <c r="K18" s="125">
        <v>0.0</v>
      </c>
      <c r="L18" s="125">
        <v>0.0</v>
      </c>
      <c r="M18" s="125">
        <v>15.0</v>
      </c>
      <c r="N18" s="125">
        <v>0.0</v>
      </c>
      <c r="O18" s="125">
        <v>0.0</v>
      </c>
      <c r="P18" s="125">
        <v>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</row>
    <row r="19">
      <c r="A19" s="125">
        <v>9.0</v>
      </c>
      <c r="B19" s="126">
        <v>1110.0</v>
      </c>
      <c r="C19" s="153">
        <v>25.0</v>
      </c>
      <c r="D19" s="125">
        <v>0.0</v>
      </c>
      <c r="E19" s="125">
        <v>0.0</v>
      </c>
      <c r="F19" s="125">
        <v>0.0</v>
      </c>
      <c r="G19" s="125">
        <v>0.0</v>
      </c>
      <c r="H19" s="125">
        <v>0.0</v>
      </c>
      <c r="I19" s="125">
        <v>0.0</v>
      </c>
      <c r="J19" s="125">
        <v>0.0</v>
      </c>
      <c r="K19" s="125">
        <v>0.0</v>
      </c>
      <c r="L19" s="125">
        <v>0.0</v>
      </c>
      <c r="M19" s="125">
        <v>0.0</v>
      </c>
      <c r="N19" s="125">
        <v>0.0</v>
      </c>
      <c r="O19" s="125">
        <v>0.0</v>
      </c>
      <c r="P19" s="125">
        <v>0.0</v>
      </c>
      <c r="Q19" s="125">
        <v>0.0</v>
      </c>
      <c r="R19" s="125">
        <v>0.0</v>
      </c>
      <c r="S19" s="125">
        <v>0.0</v>
      </c>
      <c r="T19" s="125">
        <v>0.0</v>
      </c>
      <c r="U19" s="125">
        <v>0.0</v>
      </c>
      <c r="V19" s="125">
        <v>0.0</v>
      </c>
      <c r="W19" s="125">
        <v>0.0</v>
      </c>
    </row>
    <row r="20">
      <c r="A20" s="125">
        <v>10.0</v>
      </c>
      <c r="B20" s="126">
        <v>1360.0</v>
      </c>
      <c r="C20" s="153">
        <v>0.0</v>
      </c>
      <c r="D20" s="125">
        <v>0.0</v>
      </c>
      <c r="E20" s="125">
        <v>0.0</v>
      </c>
      <c r="F20" s="125">
        <v>0.0</v>
      </c>
      <c r="G20" s="125">
        <v>0.0</v>
      </c>
      <c r="H20" s="125">
        <v>0.0</v>
      </c>
      <c r="I20" s="125">
        <v>0.0</v>
      </c>
      <c r="J20" s="125">
        <v>0.0</v>
      </c>
      <c r="K20" s="125">
        <v>0.0</v>
      </c>
      <c r="L20" s="125">
        <v>0.0</v>
      </c>
      <c r="M20" s="125">
        <v>0.0</v>
      </c>
      <c r="N20" s="125">
        <v>15.0</v>
      </c>
      <c r="O20" s="125">
        <v>0.0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</row>
    <row r="21" ht="15.75" customHeight="1">
      <c r="A21" s="125">
        <v>11.0</v>
      </c>
      <c r="B21" s="126">
        <v>1630.0</v>
      </c>
      <c r="C21" s="153">
        <v>0.0</v>
      </c>
      <c r="D21" s="125">
        <v>0.0</v>
      </c>
      <c r="E21" s="125">
        <v>0.0</v>
      </c>
      <c r="F21" s="125">
        <v>0.0</v>
      </c>
      <c r="G21" s="125">
        <v>0.0</v>
      </c>
      <c r="H21" s="125">
        <v>0.0</v>
      </c>
      <c r="I21" s="125">
        <v>1.0</v>
      </c>
      <c r="J21" s="125">
        <v>0.0</v>
      </c>
      <c r="K21" s="125">
        <v>0.0</v>
      </c>
      <c r="L21" s="125">
        <v>0.0</v>
      </c>
      <c r="M21" s="125">
        <v>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25">
        <v>0.0</v>
      </c>
      <c r="V21" s="125">
        <v>0.0</v>
      </c>
      <c r="W21" s="125">
        <v>0.0</v>
      </c>
    </row>
    <row r="22" ht="15.75" customHeight="1">
      <c r="A22" s="125">
        <v>12.0</v>
      </c>
      <c r="B22" s="126">
        <v>1930.0</v>
      </c>
      <c r="C22" s="153">
        <v>0.0</v>
      </c>
      <c r="D22" s="125">
        <v>0.0</v>
      </c>
      <c r="E22" s="125">
        <v>0.0</v>
      </c>
      <c r="F22" s="125">
        <v>0.0</v>
      </c>
      <c r="G22" s="125">
        <v>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60.0</v>
      </c>
      <c r="M22" s="125">
        <v>0.0</v>
      </c>
      <c r="N22" s="125">
        <v>0.0</v>
      </c>
      <c r="O22" s="125">
        <v>15.0</v>
      </c>
      <c r="P22" s="125">
        <v>0.0</v>
      </c>
      <c r="Q22" s="125">
        <v>0.0</v>
      </c>
      <c r="R22" s="125">
        <v>0.0</v>
      </c>
      <c r="S22" s="125">
        <v>0.0</v>
      </c>
      <c r="T22" s="125">
        <v>0.0</v>
      </c>
      <c r="U22" s="125">
        <v>0.0</v>
      </c>
      <c r="V22" s="125">
        <v>0.0</v>
      </c>
      <c r="W22" s="125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5" priority="1" operator="greaterThan">
      <formula>0</formula>
    </cfRule>
  </conditionalFormatting>
  <conditionalFormatting sqref="A1:B1000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54" t="s">
        <v>34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AH1" s="155" t="s">
        <v>159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AH2" s="156" t="s">
        <v>160</v>
      </c>
      <c r="AI2" s="157" t="s">
        <v>161</v>
      </c>
    </row>
    <row r="3">
      <c r="A3" s="158" t="s">
        <v>152</v>
      </c>
      <c r="B3" s="159">
        <v>3.0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AH3" s="156" t="s">
        <v>162</v>
      </c>
      <c r="AI3" s="157" t="s">
        <v>163</v>
      </c>
    </row>
    <row r="4">
      <c r="A4" s="158" t="s">
        <v>153</v>
      </c>
      <c r="B4" s="160">
        <v>1.0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>
      <c r="A5" s="158" t="s">
        <v>154</v>
      </c>
      <c r="B5" s="160">
        <v>15.0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AH5" s="161" t="s">
        <v>164</v>
      </c>
      <c r="AI5" s="161" t="s">
        <v>165</v>
      </c>
      <c r="AJ5" s="161" t="s">
        <v>166</v>
      </c>
      <c r="AK5" s="161" t="s">
        <v>167</v>
      </c>
      <c r="AL5" s="161" t="s">
        <v>168</v>
      </c>
      <c r="AM5" s="161" t="s">
        <v>169</v>
      </c>
      <c r="AN5" s="161" t="s">
        <v>170</v>
      </c>
      <c r="AO5" s="161" t="s">
        <v>171</v>
      </c>
      <c r="AP5" s="161" t="s">
        <v>172</v>
      </c>
      <c r="AQ5" s="161" t="s">
        <v>173</v>
      </c>
      <c r="AR5" s="161" t="s">
        <v>174</v>
      </c>
    </row>
    <row r="6">
      <c r="A6" s="158" t="s">
        <v>155</v>
      </c>
      <c r="B6" s="160">
        <v>2.0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AH6" s="162">
        <f>IF(1&lt;=$B$3,1,"")</f>
        <v>1</v>
      </c>
      <c r="AI6" s="163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64" t="str">
        <f t="array" ref="AJ6">IF($AH6="","",IF(AI6=0,"{}",LET(m,AI6,s,MMULT(SEQUENCE(1,m,1,0),$C$11:$W$22),"{"&amp;TEXTJOIN(", ",TRUE,IF(s&gt;0,$C$10:$W$10&amp;": "&amp;ROUND(s,2),""))&amp;"}")))</f>
        <v>{}</v>
      </c>
      <c r="AK6" s="163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164" t="str">
        <f t="array" ref="AL6">IF($AH6="","",IF(AK6=0,"{}",LET(m,AK6,s,MMULT(SEQUENCE(1,m,1,0),$C$11:$W$22),"{"&amp;TEXTJOIN(", ",TRUE,IF(s&gt;0,$C$10:$W$10&amp;": "&amp;ROUND(s,2),""))&amp;"}")))</f>
        <v>{Chuck: 1}</v>
      </c>
      <c r="AM6" s="163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164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163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164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163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64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58" t="s">
        <v>156</v>
      </c>
      <c r="B7" s="160" t="b">
        <f>TRUE()</f>
        <v>1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AH7" s="162">
        <f>IF(2&lt;=$B$3,2,"")</f>
        <v>2</v>
      </c>
      <c r="AI7" s="163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64" t="str">
        <f t="array" ref="AJ7">IF($AH7="","",IF(AI7=0,"{}",LET(m,AI7,s,MMULT(SEQUENCE(1,m,1,0),$C$11:$W$22),"{"&amp;TEXTJOIN(", ",TRUE,IF(s&gt;0,$C$10:$W$10&amp;": "&amp;ROUND(s,2),""))&amp;"}")))</f>
        <v>{Chuck: 1}</v>
      </c>
      <c r="AK7" s="163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64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63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64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63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64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63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164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AH8" s="162">
        <f>IF(3&lt;=$B$3,3,"")</f>
        <v>3</v>
      </c>
      <c r="AI8" s="163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64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63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64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63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64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63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164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163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164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16" t="s">
        <v>116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AH9" s="162" t="str">
        <f>IF(4&lt;=$B$3,4,"")</f>
        <v/>
      </c>
      <c r="AI9" s="163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64" t="str">
        <f t="array" ref="AJ9">IF($AH9="","",IF(AI9=0,"{}",LET(m,AI9,s,MMULT(SEQUENCE(1,m,1,0),$C$11:$W$22),"{"&amp;TEXTJOIN(", ",TRUE,IF(s&gt;0,$C$10:$W$10&amp;": "&amp;ROUND(s,2),""))&amp;"}")))</f>
        <v/>
      </c>
      <c r="AK9" s="163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64" t="str">
        <f t="array" ref="AL9">IF($AH9="","",IF(AK9=0,"{}",LET(m,AK9,s,MMULT(SEQUENCE(1,m,1,0),$C$11:$W$22),"{"&amp;TEXTJOIN(", ",TRUE,IF(s&gt;0,$C$10:$W$10&amp;": "&amp;ROUND(s,2),""))&amp;"}")))</f>
        <v/>
      </c>
      <c r="AM9" s="163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64" t="str">
        <f t="array" ref="AN9">IF($AH9="","",IF(AM9=0,"{}",LET(m,AM9,s,MMULT(SEQUENCE(1,m,1,0),$C$11:$W$22),"{"&amp;TEXTJOIN(", ",TRUE,IF(s&gt;0,$C$10:$W$10&amp;": "&amp;ROUND(s,2),""))&amp;"}")))</f>
        <v/>
      </c>
      <c r="AO9" s="163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64" t="str">
        <f t="array" ref="AP9">IF($AH9="","",IF(AO9=0,"{}",LET(m,AO9,s,MMULT(SEQUENCE(1,m,1,0),$C$11:$W$22),"{"&amp;TEXTJOIN(", ",TRUE,IF(s&gt;0,$C$10:$W$10&amp;": "&amp;ROUND(s,2),""))&amp;"}")))</f>
        <v/>
      </c>
      <c r="AQ9" s="163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64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65" t="s">
        <v>157</v>
      </c>
      <c r="B10" s="166" t="s">
        <v>158</v>
      </c>
      <c r="C10" s="167" t="s">
        <v>82</v>
      </c>
      <c r="D10" s="168" t="s">
        <v>68</v>
      </c>
      <c r="E10" s="168" t="s">
        <v>103</v>
      </c>
      <c r="F10" s="168" t="s">
        <v>69</v>
      </c>
      <c r="G10" s="168" t="s">
        <v>70</v>
      </c>
      <c r="H10" s="168" t="s">
        <v>71</v>
      </c>
      <c r="I10" s="168" t="s">
        <v>72</v>
      </c>
      <c r="J10" s="168" t="s">
        <v>73</v>
      </c>
      <c r="K10" s="168" t="s">
        <v>74</v>
      </c>
      <c r="L10" s="168" t="s">
        <v>75</v>
      </c>
      <c r="M10" s="168" t="s">
        <v>76</v>
      </c>
      <c r="N10" s="168" t="s">
        <v>77</v>
      </c>
      <c r="O10" s="168" t="s">
        <v>78</v>
      </c>
      <c r="P10" s="168" t="s">
        <v>118</v>
      </c>
      <c r="Q10" s="168" t="s">
        <v>104</v>
      </c>
      <c r="R10" s="168" t="s">
        <v>105</v>
      </c>
      <c r="S10" s="168" t="s">
        <v>106</v>
      </c>
      <c r="T10" s="168" t="s">
        <v>107</v>
      </c>
      <c r="U10" s="168" t="s">
        <v>108</v>
      </c>
      <c r="V10" s="168" t="s">
        <v>109</v>
      </c>
      <c r="W10" s="168" t="s">
        <v>110</v>
      </c>
      <c r="AH10" s="162" t="str">
        <f>IF(5&lt;=$B$3,5,"")</f>
        <v/>
      </c>
      <c r="AI10" s="163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64" t="str">
        <f t="array" ref="AJ10">IF($AH10="","",IF(AI10=0,"{}",LET(m,AI10,s,MMULT(SEQUENCE(1,m,1,0),$C$11:$W$22),"{"&amp;TEXTJOIN(", ",TRUE,IF(s&gt;0,$C$10:$W$10&amp;": "&amp;ROUND(s,2),""))&amp;"}")))</f>
        <v/>
      </c>
      <c r="AK10" s="163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64" t="str">
        <f t="array" ref="AL10">IF($AH10="","",IF(AK10=0,"{}",LET(m,AK10,s,MMULT(SEQUENCE(1,m,1,0),$C$11:$W$22),"{"&amp;TEXTJOIN(", ",TRUE,IF(s&gt;0,$C$10:$W$10&amp;": "&amp;ROUND(s,2),""))&amp;"}")))</f>
        <v/>
      </c>
      <c r="AM10" s="163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64" t="str">
        <f t="array" ref="AN10">IF($AH10="","",IF(AM10=0,"{}",LET(m,AM10,s,MMULT(SEQUENCE(1,m,1,0),$C$11:$W$22),"{"&amp;TEXTJOIN(", ",TRUE,IF(s&gt;0,$C$10:$W$10&amp;": "&amp;ROUND(s,2),""))&amp;"}")))</f>
        <v/>
      </c>
      <c r="AO10" s="163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64" t="str">
        <f t="array" ref="AP10">IF($AH10="","",IF(AO10=0,"{}",LET(m,AO10,s,MMULT(SEQUENCE(1,m,1,0),$C$11:$W$22),"{"&amp;TEXTJOIN(", ",TRUE,IF(s&gt;0,$C$10:$W$10&amp;": "&amp;ROUND(s,2),""))&amp;"}")))</f>
        <v/>
      </c>
      <c r="AQ10" s="163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64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69">
        <v>1.0</v>
      </c>
      <c r="B11" s="170">
        <v>30.0</v>
      </c>
      <c r="C11" s="171">
        <v>0.0</v>
      </c>
      <c r="D11" s="169">
        <v>0.0</v>
      </c>
      <c r="E11" s="169">
        <v>0.0</v>
      </c>
      <c r="F11" s="169">
        <v>0.0</v>
      </c>
      <c r="G11" s="169">
        <v>1.0</v>
      </c>
      <c r="H11" s="169">
        <v>0.0</v>
      </c>
      <c r="I11" s="169">
        <v>0.0</v>
      </c>
      <c r="J11" s="169">
        <v>0.0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69">
        <v>0.0</v>
      </c>
      <c r="U11" s="169">
        <v>0.0</v>
      </c>
      <c r="V11" s="169">
        <v>0.0</v>
      </c>
      <c r="W11" s="169">
        <v>0.0</v>
      </c>
      <c r="AH11" s="162" t="str">
        <f>IF(6&lt;=$B$3,6,"")</f>
        <v/>
      </c>
      <c r="AI11" s="163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64" t="str">
        <f t="array" ref="AJ11">IF($AH11="","",IF(AI11=0,"{}",LET(m,AI11,s,MMULT(SEQUENCE(1,m,1,0),$C$11:$W$22),"{"&amp;TEXTJOIN(", ",TRUE,IF(s&gt;0,$C$10:$W$10&amp;": "&amp;ROUND(s,2),""))&amp;"}")))</f>
        <v/>
      </c>
      <c r="AK11" s="163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64" t="str">
        <f t="array" ref="AL11">IF($AH11="","",IF(AK11=0,"{}",LET(m,AK11,s,MMULT(SEQUENCE(1,m,1,0),$C$11:$W$22),"{"&amp;TEXTJOIN(", ",TRUE,IF(s&gt;0,$C$10:$W$10&amp;": "&amp;ROUND(s,2),""))&amp;"}")))</f>
        <v/>
      </c>
      <c r="AM11" s="163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64" t="str">
        <f t="array" ref="AN11">IF($AH11="","",IF(AM11=0,"{}",LET(m,AM11,s,MMULT(SEQUENCE(1,m,1,0),$C$11:$W$22),"{"&amp;TEXTJOIN(", ",TRUE,IF(s&gt;0,$C$10:$W$10&amp;": "&amp;ROUND(s,2),""))&amp;"}")))</f>
        <v/>
      </c>
      <c r="AO11" s="163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64" t="str">
        <f t="array" ref="AP11">IF($AH11="","",IF(AO11=0,"{}",LET(m,AO11,s,MMULT(SEQUENCE(1,m,1,0),$C$11:$W$22),"{"&amp;TEXTJOIN(", ",TRUE,IF(s&gt;0,$C$10:$W$10&amp;": "&amp;ROUND(s,2),""))&amp;"}")))</f>
        <v/>
      </c>
      <c r="AQ11" s="163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64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69">
        <v>2.0</v>
      </c>
      <c r="B12" s="170">
        <v>80.0</v>
      </c>
      <c r="C12" s="171">
        <v>0.0</v>
      </c>
      <c r="D12" s="169">
        <v>0.0</v>
      </c>
      <c r="E12" s="169">
        <v>0.0</v>
      </c>
      <c r="F12" s="169">
        <v>0.0</v>
      </c>
      <c r="G12" s="169">
        <v>0.0</v>
      </c>
      <c r="H12" s="169">
        <v>0.0</v>
      </c>
      <c r="I12" s="169">
        <v>0.0</v>
      </c>
      <c r="J12" s="169">
        <v>0.0</v>
      </c>
      <c r="K12" s="169">
        <v>0.0</v>
      </c>
      <c r="L12" s="169">
        <v>0.0</v>
      </c>
      <c r="M12" s="169">
        <v>10.0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W12" s="169">
        <v>0.0</v>
      </c>
      <c r="AH12" s="162" t="str">
        <f>IF(7&lt;=$B$3,7,"")</f>
        <v/>
      </c>
      <c r="AI12" s="163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64" t="str">
        <f t="array" ref="AJ12">IF($AH12="","",IF(AI12=0,"{}",LET(m,AI12,s,MMULT(SEQUENCE(1,m,1,0),$C$11:$W$22),"{"&amp;TEXTJOIN(", ",TRUE,IF(s&gt;0,$C$10:$W$10&amp;": "&amp;ROUND(s,2),""))&amp;"}")))</f>
        <v/>
      </c>
      <c r="AK12" s="163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64" t="str">
        <f t="array" ref="AL12">IF($AH12="","",IF(AK12=0,"{}",LET(m,AK12,s,MMULT(SEQUENCE(1,m,1,0),$C$11:$W$22),"{"&amp;TEXTJOIN(", ",TRUE,IF(s&gt;0,$C$10:$W$10&amp;": "&amp;ROUND(s,2),""))&amp;"}")))</f>
        <v/>
      </c>
      <c r="AM12" s="163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64" t="str">
        <f t="array" ref="AN12">IF($AH12="","",IF(AM12=0,"{}",LET(m,AM12,s,MMULT(SEQUENCE(1,m,1,0),$C$11:$W$22),"{"&amp;TEXTJOIN(", ",TRUE,IF(s&gt;0,$C$10:$W$10&amp;": "&amp;ROUND(s,2),""))&amp;"}")))</f>
        <v/>
      </c>
      <c r="AO12" s="163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64" t="str">
        <f t="array" ref="AP12">IF($AH12="","",IF(AO12=0,"{}",LET(m,AO12,s,MMULT(SEQUENCE(1,m,1,0),$C$11:$W$22),"{"&amp;TEXTJOIN(", ",TRUE,IF(s&gt;0,$C$10:$W$10&amp;": "&amp;ROUND(s,2),""))&amp;"}")))</f>
        <v/>
      </c>
      <c r="AQ12" s="163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64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69">
        <v>3.0</v>
      </c>
      <c r="B13" s="170">
        <v>150.0</v>
      </c>
      <c r="C13" s="171">
        <v>0.0</v>
      </c>
      <c r="D13" s="169">
        <v>0.0</v>
      </c>
      <c r="E13" s="169">
        <v>0.0</v>
      </c>
      <c r="F13" s="169">
        <v>0.0</v>
      </c>
      <c r="G13" s="169">
        <v>0.0</v>
      </c>
      <c r="H13" s="169">
        <v>0.0</v>
      </c>
      <c r="I13" s="169">
        <v>0.0</v>
      </c>
      <c r="J13" s="169">
        <v>0.0</v>
      </c>
      <c r="K13" s="169">
        <v>0.0</v>
      </c>
      <c r="L13" s="169">
        <v>0.0</v>
      </c>
      <c r="M13" s="169">
        <v>0.0</v>
      </c>
      <c r="N13" s="169">
        <v>10.0</v>
      </c>
      <c r="O13" s="169">
        <v>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  <c r="W13" s="169">
        <v>0.0</v>
      </c>
    </row>
    <row r="14">
      <c r="A14" s="169">
        <v>4.0</v>
      </c>
      <c r="B14" s="170">
        <v>250.0</v>
      </c>
      <c r="C14" s="171">
        <v>0.0</v>
      </c>
      <c r="D14" s="169">
        <v>0.0</v>
      </c>
      <c r="E14" s="169">
        <v>0.0</v>
      </c>
      <c r="F14" s="169">
        <v>0.0</v>
      </c>
      <c r="G14" s="169">
        <v>0.0</v>
      </c>
      <c r="H14" s="169">
        <v>0.0</v>
      </c>
      <c r="I14" s="169">
        <v>0.0</v>
      </c>
      <c r="J14" s="169">
        <v>0.0</v>
      </c>
      <c r="K14" s="169">
        <v>0.0</v>
      </c>
      <c r="L14" s="169">
        <v>30.0</v>
      </c>
      <c r="M14" s="169">
        <v>0.0</v>
      </c>
      <c r="N14" s="169">
        <v>0.0</v>
      </c>
      <c r="O14" s="169">
        <v>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  <c r="W14" s="169">
        <v>0.0</v>
      </c>
    </row>
    <row r="15">
      <c r="A15" s="169">
        <v>5.0</v>
      </c>
      <c r="B15" s="170">
        <v>370.0</v>
      </c>
      <c r="C15" s="171">
        <v>25.0</v>
      </c>
      <c r="D15" s="169">
        <v>0.0</v>
      </c>
      <c r="E15" s="169">
        <v>0.0</v>
      </c>
      <c r="F15" s="169">
        <v>0.0</v>
      </c>
      <c r="G15" s="169">
        <v>0.0</v>
      </c>
      <c r="H15" s="169">
        <v>0.0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</row>
    <row r="16">
      <c r="A16" s="169">
        <v>6.0</v>
      </c>
      <c r="B16" s="170">
        <v>520.0</v>
      </c>
      <c r="C16" s="171">
        <v>0.0</v>
      </c>
      <c r="D16" s="169">
        <v>0.0</v>
      </c>
      <c r="E16" s="169">
        <v>0.0</v>
      </c>
      <c r="F16" s="169">
        <v>1.0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10.0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</row>
    <row r="17">
      <c r="A17" s="169">
        <v>7.0</v>
      </c>
      <c r="B17" s="170">
        <v>690.0</v>
      </c>
      <c r="C17" s="171">
        <v>0.0</v>
      </c>
      <c r="D17" s="169">
        <v>0.0</v>
      </c>
      <c r="E17" s="169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60.0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</row>
    <row r="18">
      <c r="A18" s="169">
        <v>8.0</v>
      </c>
      <c r="B18" s="170">
        <v>890.0</v>
      </c>
      <c r="C18" s="171">
        <v>0.0</v>
      </c>
      <c r="D18" s="169">
        <v>0.0</v>
      </c>
      <c r="E18" s="169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15.0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</row>
    <row r="19">
      <c r="A19" s="169">
        <v>9.0</v>
      </c>
      <c r="B19" s="170">
        <v>1110.0</v>
      </c>
      <c r="C19" s="171">
        <v>25.0</v>
      </c>
      <c r="D19" s="169">
        <v>0.0</v>
      </c>
      <c r="E19" s="169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</row>
    <row r="20">
      <c r="A20" s="169">
        <v>10.0</v>
      </c>
      <c r="B20" s="170">
        <v>1360.0</v>
      </c>
      <c r="C20" s="171">
        <v>0.0</v>
      </c>
      <c r="D20" s="169">
        <v>0.0</v>
      </c>
      <c r="E20" s="169">
        <v>0.0</v>
      </c>
      <c r="F20" s="169">
        <v>0.0</v>
      </c>
      <c r="G20" s="169">
        <v>0.0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15.0</v>
      </c>
      <c r="O20" s="169">
        <v>0.0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</row>
    <row r="21" ht="15.75" customHeight="1">
      <c r="A21" s="169">
        <v>11.0</v>
      </c>
      <c r="B21" s="170">
        <v>1630.0</v>
      </c>
      <c r="C21" s="171">
        <v>0.0</v>
      </c>
      <c r="D21" s="169">
        <v>0.0</v>
      </c>
      <c r="E21" s="169">
        <v>0.0</v>
      </c>
      <c r="F21" s="169">
        <v>0.0</v>
      </c>
      <c r="G21" s="169">
        <v>0.0</v>
      </c>
      <c r="H21" s="169">
        <v>0.0</v>
      </c>
      <c r="I21" s="169">
        <v>1.0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</row>
    <row r="22" ht="15.75" customHeight="1">
      <c r="A22" s="169">
        <v>12.0</v>
      </c>
      <c r="B22" s="170">
        <v>1930.0</v>
      </c>
      <c r="C22" s="171">
        <v>0.0</v>
      </c>
      <c r="D22" s="169">
        <v>0.0</v>
      </c>
      <c r="E22" s="169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60.0</v>
      </c>
      <c r="M22" s="169">
        <v>0.0</v>
      </c>
      <c r="N22" s="169">
        <v>0.0</v>
      </c>
      <c r="O22" s="169">
        <v>15.0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5" priority="1" operator="greaterThan">
      <formula>0</formula>
    </cfRule>
  </conditionalFormatting>
  <conditionalFormatting sqref="A1:B26">
    <cfRule type="expression" dxfId="7" priority="2">
      <formula>ISFORMULA(A1)</formula>
    </cfRule>
  </conditionalFormatting>
  <conditionalFormatting sqref="A11:W22">
    <cfRule type="expression" dxfId="6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14" t="s">
        <v>44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</row>
    <row r="3">
      <c r="A3" s="149" t="s">
        <v>152</v>
      </c>
      <c r="B3" s="150">
        <v>3.0</v>
      </c>
    </row>
    <row r="4">
      <c r="A4" s="149" t="s">
        <v>153</v>
      </c>
      <c r="B4" s="150">
        <v>1.0</v>
      </c>
    </row>
    <row r="5">
      <c r="A5" s="149" t="s">
        <v>154</v>
      </c>
      <c r="B5" s="150">
        <v>15.0</v>
      </c>
    </row>
    <row r="6">
      <c r="A6" s="149" t="s">
        <v>175</v>
      </c>
      <c r="B6" s="150">
        <v>1.0</v>
      </c>
    </row>
    <row r="7">
      <c r="A7" s="149" t="s">
        <v>176</v>
      </c>
      <c r="B7" s="150">
        <v>2.0</v>
      </c>
    </row>
    <row r="8">
      <c r="A8" s="149" t="s">
        <v>177</v>
      </c>
      <c r="B8" s="150">
        <v>3.0</v>
      </c>
    </row>
    <row r="10" ht="19.5" customHeight="1">
      <c r="A10" s="116" t="s">
        <v>116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</row>
    <row r="11" ht="90.0" customHeight="1">
      <c r="A11" s="121" t="s">
        <v>178</v>
      </c>
      <c r="B11" s="122" t="s">
        <v>82</v>
      </c>
      <c r="C11" s="123" t="s">
        <v>68</v>
      </c>
      <c r="D11" s="123" t="s">
        <v>103</v>
      </c>
      <c r="E11" s="123" t="s">
        <v>69</v>
      </c>
      <c r="F11" s="123" t="s">
        <v>70</v>
      </c>
      <c r="G11" s="123" t="s">
        <v>71</v>
      </c>
      <c r="H11" s="123" t="s">
        <v>72</v>
      </c>
      <c r="I11" s="123" t="s">
        <v>73</v>
      </c>
      <c r="J11" s="123" t="s">
        <v>74</v>
      </c>
      <c r="K11" s="123" t="s">
        <v>75</v>
      </c>
      <c r="L11" s="123" t="s">
        <v>76</v>
      </c>
      <c r="M11" s="123" t="s">
        <v>77</v>
      </c>
      <c r="N11" s="123" t="s">
        <v>78</v>
      </c>
      <c r="O11" s="123" t="s">
        <v>118</v>
      </c>
      <c r="P11" s="123" t="s">
        <v>104</v>
      </c>
      <c r="Q11" s="123" t="s">
        <v>105</v>
      </c>
      <c r="R11" s="123" t="s">
        <v>106</v>
      </c>
      <c r="S11" s="123" t="s">
        <v>107</v>
      </c>
      <c r="T11" s="123" t="s">
        <v>108</v>
      </c>
      <c r="U11" s="123" t="s">
        <v>109</v>
      </c>
      <c r="V11" s="123" t="s">
        <v>110</v>
      </c>
    </row>
    <row r="12">
      <c r="A12" s="172" t="s">
        <v>179</v>
      </c>
      <c r="B12" s="153">
        <v>0.0</v>
      </c>
      <c r="C12" s="125">
        <v>0.0</v>
      </c>
      <c r="D12" s="125">
        <v>0.0</v>
      </c>
      <c r="E12" s="125">
        <v>1.0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60.0</v>
      </c>
      <c r="L12" s="125">
        <v>0.0</v>
      </c>
      <c r="M12" s="125">
        <v>0.0</v>
      </c>
      <c r="N12" s="125">
        <v>0.0</v>
      </c>
      <c r="O12" s="173">
        <v>5.0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</row>
    <row r="13">
      <c r="A13" s="172" t="s">
        <v>180</v>
      </c>
      <c r="B13" s="153">
        <v>10.0</v>
      </c>
      <c r="C13" s="125">
        <v>0.0</v>
      </c>
      <c r="D13" s="125">
        <v>0.0</v>
      </c>
      <c r="E13" s="125">
        <v>0.0</v>
      </c>
      <c r="F13" s="125">
        <v>1.0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  <c r="N13" s="125">
        <v>0.0</v>
      </c>
      <c r="O13" s="173">
        <v>10.0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</row>
    <row r="14">
      <c r="A14" s="172" t="s">
        <v>181</v>
      </c>
      <c r="B14" s="153">
        <v>0.0</v>
      </c>
      <c r="C14" s="125">
        <v>0.0</v>
      </c>
      <c r="D14" s="125">
        <v>0.0</v>
      </c>
      <c r="E14" s="125">
        <v>0.0</v>
      </c>
      <c r="F14" s="125">
        <v>0.0</v>
      </c>
      <c r="G14" s="125">
        <v>1.0</v>
      </c>
      <c r="H14" s="125">
        <v>0.0</v>
      </c>
      <c r="I14" s="125">
        <v>0.0</v>
      </c>
      <c r="J14" s="125">
        <v>1.0</v>
      </c>
      <c r="K14" s="125">
        <v>30.0</v>
      </c>
      <c r="L14" s="125">
        <v>0.0</v>
      </c>
      <c r="M14" s="125">
        <v>0.0</v>
      </c>
      <c r="N14" s="125">
        <v>0.0</v>
      </c>
      <c r="O14" s="173">
        <v>20.0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</row>
    <row r="15">
      <c r="A15" s="172" t="s">
        <v>182</v>
      </c>
      <c r="B15" s="153">
        <v>15.0</v>
      </c>
      <c r="C15" s="125">
        <v>0.0</v>
      </c>
      <c r="D15" s="125">
        <v>0.0</v>
      </c>
      <c r="E15" s="125">
        <v>0.0</v>
      </c>
      <c r="F15" s="125">
        <v>0.0</v>
      </c>
      <c r="G15" s="125">
        <v>0.0</v>
      </c>
      <c r="H15" s="125">
        <v>0.0</v>
      </c>
      <c r="I15" s="125">
        <v>1.0</v>
      </c>
      <c r="J15" s="125">
        <v>0.0</v>
      </c>
      <c r="K15" s="125">
        <v>0.0</v>
      </c>
      <c r="L15" s="125">
        <v>10.0</v>
      </c>
      <c r="M15" s="125">
        <v>0.0</v>
      </c>
      <c r="N15" s="125">
        <v>0.0</v>
      </c>
      <c r="O15" s="173">
        <v>50.0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</row>
    <row r="16">
      <c r="A16" s="172" t="s">
        <v>183</v>
      </c>
      <c r="B16" s="153">
        <v>40.0</v>
      </c>
      <c r="C16" s="125">
        <v>0.0</v>
      </c>
      <c r="D16" s="125">
        <v>0.0</v>
      </c>
      <c r="E16" s="125">
        <v>0.0</v>
      </c>
      <c r="F16" s="125">
        <v>0.0</v>
      </c>
      <c r="G16" s="125">
        <v>0.0</v>
      </c>
      <c r="H16" s="125">
        <v>1.0</v>
      </c>
      <c r="I16" s="125">
        <v>0.0</v>
      </c>
      <c r="J16" s="125">
        <v>0.0</v>
      </c>
      <c r="K16" s="125">
        <v>0.0</v>
      </c>
      <c r="L16" s="125">
        <v>0.0</v>
      </c>
      <c r="M16" s="125">
        <v>10.0</v>
      </c>
      <c r="N16" s="125">
        <v>0.0</v>
      </c>
      <c r="O16" s="173">
        <v>70.0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54" t="s">
        <v>44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AH1" s="155" t="s">
        <v>159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AH2" s="156" t="s">
        <v>160</v>
      </c>
      <c r="AI2" s="174" t="s">
        <v>184</v>
      </c>
      <c r="AT2" s="156" t="s">
        <v>185</v>
      </c>
      <c r="AU2" s="175">
        <v>0.8</v>
      </c>
    </row>
    <row r="3">
      <c r="A3" s="158" t="s">
        <v>152</v>
      </c>
      <c r="B3" s="159">
        <v>4.0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AH3" s="156" t="s">
        <v>162</v>
      </c>
      <c r="AI3" s="174" t="s">
        <v>163</v>
      </c>
    </row>
    <row r="4">
      <c r="A4" s="158" t="s">
        <v>153</v>
      </c>
      <c r="B4" s="160">
        <v>1.0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AT4" s="176" t="s">
        <v>186</v>
      </c>
      <c r="AU4" s="176" t="s">
        <v>187</v>
      </c>
      <c r="AV4" s="176" t="s">
        <v>188</v>
      </c>
    </row>
    <row r="5">
      <c r="A5" s="158" t="s">
        <v>154</v>
      </c>
      <c r="B5" s="160">
        <v>15.0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AH5" s="161" t="s">
        <v>164</v>
      </c>
      <c r="AI5" s="161" t="s">
        <v>165</v>
      </c>
      <c r="AJ5" s="161" t="s">
        <v>166</v>
      </c>
      <c r="AK5" s="161" t="s">
        <v>167</v>
      </c>
      <c r="AL5" s="161" t="s">
        <v>168</v>
      </c>
      <c r="AM5" s="161" t="s">
        <v>169</v>
      </c>
      <c r="AN5" s="161" t="s">
        <v>170</v>
      </c>
      <c r="AO5" s="161" t="s">
        <v>171</v>
      </c>
      <c r="AP5" s="161" t="s">
        <v>172</v>
      </c>
      <c r="AQ5" s="161" t="s">
        <v>173</v>
      </c>
      <c r="AR5" s="161" t="s">
        <v>174</v>
      </c>
      <c r="AT5" s="177">
        <v>1.0</v>
      </c>
      <c r="AU5" s="178">
        <v>16.0</v>
      </c>
      <c r="AV5" s="179">
        <f t="shared" ref="AV5:AV9" si="1">SUM($AU$5:$AU5)/$AU$2</f>
        <v>20</v>
      </c>
    </row>
    <row r="6">
      <c r="A6" s="158" t="s">
        <v>175</v>
      </c>
      <c r="B6" s="160">
        <v>1.0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AH6" s="162">
        <f>IF(1&lt;=$B$3,1,"")</f>
        <v>1</v>
      </c>
      <c r="AI6" s="163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64" t="str">
        <f t="array" ref="AJ6">IF($AH6="","",IF(AI6=0,"{}",LET(m,AI6,s,MMULT(SEQUENCE(1,m,1,0),$B$12:$V$16),"{"&amp;TEXTJOIN(", ",TRUE,IF(s&gt;0,$B$11:$V$11&amp;": "&amp;ROUND(s,2),""))&amp;"}")))</f>
        <v>{}</v>
      </c>
      <c r="AK6" s="163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64" t="str">
        <f t="array" ref="AL6">IF($AH6="","",IF(AK6=0,"{}",LET(m,AK6,s,MMULT(SEQUENCE(1,m,1,0),$B$12:$V$16),"{"&amp;TEXTJOIN(", ",TRUE,IF(s&gt;0,$B$11:$V$11&amp;": "&amp;ROUND(s,2),""))&amp;"}")))</f>
        <v>{}</v>
      </c>
      <c r="AM6" s="163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64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63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64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63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64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77">
        <v>2.0</v>
      </c>
      <c r="AU6" s="178">
        <v>25.0</v>
      </c>
      <c r="AV6" s="179">
        <f t="shared" si="1"/>
        <v>51.25</v>
      </c>
    </row>
    <row r="7">
      <c r="A7" s="158" t="s">
        <v>176</v>
      </c>
      <c r="B7" s="160">
        <v>2.0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AH7" s="162">
        <f>IF(2&lt;=$B$3,2,"")</f>
        <v>2</v>
      </c>
      <c r="AI7" s="163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64" t="str">
        <f t="array" ref="AJ7">IF($AH7="","",IF(AI7=0,"{}",LET(m,AI7,s,MMULT(SEQUENCE(1,m,1,0),$B$12:$V$16),"{"&amp;TEXTJOIN(", ",TRUE,IF(s&gt;0,$B$11:$V$11&amp;": "&amp;ROUND(s,2),""))&amp;"}")))</f>
        <v>{}</v>
      </c>
      <c r="AK7" s="163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64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63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64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63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64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63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64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77">
        <v>3.0</v>
      </c>
      <c r="AU7" s="178">
        <v>36.0</v>
      </c>
      <c r="AV7" s="179">
        <f t="shared" si="1"/>
        <v>96.25</v>
      </c>
    </row>
    <row r="8">
      <c r="A8" s="158" t="s">
        <v>177</v>
      </c>
      <c r="B8" s="160">
        <v>3.0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AH8" s="162">
        <f>IF(3&lt;=$B$3,3,"")</f>
        <v>3</v>
      </c>
      <c r="AI8" s="163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64" t="str">
        <f t="array" ref="AJ8">IF($AH8="","",IF(AI8=0,"{}",LET(m,AI8,s,MMULT(SEQUENCE(1,m,1,0),$B$12:$V$16),"{"&amp;TEXTJOIN(", ",TRUE,IF(s&gt;0,$B$11:$V$11&amp;": "&amp;ROUND(s,2),""))&amp;"}")))</f>
        <v>{}</v>
      </c>
      <c r="AK8" s="163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64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63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64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63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64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63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64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77">
        <v>4.0</v>
      </c>
      <c r="AU8" s="178">
        <v>49.0</v>
      </c>
      <c r="AV8" s="179">
        <f t="shared" si="1"/>
        <v>157.5</v>
      </c>
    </row>
    <row r="9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AH9" s="162">
        <f>IF(4&lt;=$B$3,4,"")</f>
        <v>4</v>
      </c>
      <c r="AI9" s="163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164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163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64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63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64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63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64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63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64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77">
        <v>5.0</v>
      </c>
      <c r="AU9" s="178">
        <v>64.0</v>
      </c>
      <c r="AV9" s="179">
        <f t="shared" si="1"/>
        <v>237.5</v>
      </c>
    </row>
    <row r="10" ht="19.5" customHeight="1">
      <c r="A10" s="116" t="s">
        <v>116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AH10" s="162" t="str">
        <f>IF(5&lt;=$B$3,5,"")</f>
        <v/>
      </c>
      <c r="AI10" s="163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64" t="str">
        <f t="array" ref="AJ10">IF($AH10="","",IF(AI10=0,"{}",LET(m,AI10,s,MMULT(SEQUENCE(1,m,1,0),$B$12:$V$16),"{"&amp;TEXTJOIN(", ",TRUE,IF(s&gt;0,$B$11:$V$11&amp;": "&amp;ROUND(s,2),""))&amp;"}")))</f>
        <v/>
      </c>
      <c r="AK10" s="163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64" t="str">
        <f t="array" ref="AL10">IF($AH10="","",IF(AK10=0,"{}",LET(m,AK10,s,MMULT(SEQUENCE(1,m,1,0),$B$12:$V$16),"{"&amp;TEXTJOIN(", ",TRUE,IF(s&gt;0,$B$11:$V$11&amp;": "&amp;ROUND(s,2),""))&amp;"}")))</f>
        <v/>
      </c>
      <c r="AM10" s="163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64" t="str">
        <f t="array" ref="AN10">IF($AH10="","",IF(AM10=0,"{}",LET(m,AM10,s,MMULT(SEQUENCE(1,m,1,0),$B$12:$V$16),"{"&amp;TEXTJOIN(", ",TRUE,IF(s&gt;0,$B$11:$V$11&amp;": "&amp;ROUND(s,2),""))&amp;"}")))</f>
        <v/>
      </c>
      <c r="AO10" s="163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64" t="str">
        <f t="array" ref="AP10">IF($AH10="","",IF(AO10=0,"{}",LET(m,AO10,s,MMULT(SEQUENCE(1,m,1,0),$B$12:$V$16),"{"&amp;TEXTJOIN(", ",TRUE,IF(s&gt;0,$B$11:$V$11&amp;": "&amp;ROUND(s,2),""))&amp;"}")))</f>
        <v/>
      </c>
      <c r="AQ10" s="163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64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66" t="s">
        <v>178</v>
      </c>
      <c r="B11" s="167" t="s">
        <v>82</v>
      </c>
      <c r="C11" s="168" t="s">
        <v>68</v>
      </c>
      <c r="D11" s="168" t="s">
        <v>103</v>
      </c>
      <c r="E11" s="168" t="s">
        <v>69</v>
      </c>
      <c r="F11" s="168" t="s">
        <v>70</v>
      </c>
      <c r="G11" s="168" t="s">
        <v>71</v>
      </c>
      <c r="H11" s="168" t="s">
        <v>72</v>
      </c>
      <c r="I11" s="168" t="s">
        <v>73</v>
      </c>
      <c r="J11" s="168" t="s">
        <v>74</v>
      </c>
      <c r="K11" s="168" t="s">
        <v>75</v>
      </c>
      <c r="L11" s="168" t="s">
        <v>76</v>
      </c>
      <c r="M11" s="168" t="s">
        <v>77</v>
      </c>
      <c r="N11" s="168" t="s">
        <v>78</v>
      </c>
      <c r="O11" s="168" t="s">
        <v>118</v>
      </c>
      <c r="P11" s="168" t="s">
        <v>104</v>
      </c>
      <c r="Q11" s="168" t="s">
        <v>105</v>
      </c>
      <c r="R11" s="168" t="s">
        <v>106</v>
      </c>
      <c r="S11" s="168" t="s">
        <v>107</v>
      </c>
      <c r="T11" s="168" t="s">
        <v>108</v>
      </c>
      <c r="U11" s="168" t="s">
        <v>109</v>
      </c>
      <c r="V11" s="168" t="s">
        <v>110</v>
      </c>
      <c r="AH11" s="162" t="str">
        <f>IF(6&lt;=$B$3,6,"")</f>
        <v/>
      </c>
      <c r="AI11" s="163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64" t="str">
        <f t="array" ref="AJ11">IF($AH11="","",IF(AI11=0,"{}",LET(m,AI11,s,MMULT(SEQUENCE(1,m,1,0),$B$12:$V$16),"{"&amp;TEXTJOIN(", ",TRUE,IF(s&gt;0,$B$11:$V$11&amp;": "&amp;ROUND(s,2),""))&amp;"}")))</f>
        <v/>
      </c>
      <c r="AK11" s="163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64" t="str">
        <f t="array" ref="AL11">IF($AH11="","",IF(AK11=0,"{}",LET(m,AK11,s,MMULT(SEQUENCE(1,m,1,0),$B$12:$V$16),"{"&amp;TEXTJOIN(", ",TRUE,IF(s&gt;0,$B$11:$V$11&amp;": "&amp;ROUND(s,2),""))&amp;"}")))</f>
        <v/>
      </c>
      <c r="AM11" s="163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64" t="str">
        <f t="array" ref="AN11">IF($AH11="","",IF(AM11=0,"{}",LET(m,AM11,s,MMULT(SEQUENCE(1,m,1,0),$B$12:$V$16),"{"&amp;TEXTJOIN(", ",TRUE,IF(s&gt;0,$B$11:$V$11&amp;": "&amp;ROUND(s,2),""))&amp;"}")))</f>
        <v/>
      </c>
      <c r="AO11" s="163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64" t="str">
        <f t="array" ref="AP11">IF($AH11="","",IF(AO11=0,"{}",LET(m,AO11,s,MMULT(SEQUENCE(1,m,1,0),$B$12:$V$16),"{"&amp;TEXTJOIN(", ",TRUE,IF(s&gt;0,$B$11:$V$11&amp;": "&amp;ROUND(s,2),""))&amp;"}")))</f>
        <v/>
      </c>
      <c r="AQ11" s="163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64" t="str">
        <f t="array" ref="AR11">IF($AH11="","",IF(AQ11=0,"{}",LET(m,AQ11,s,MMULT(SEQUENCE(1,m,1,0),$B$12:$V$16),"{"&amp;TEXTJOIN(", ",TRUE,IF(s&gt;0,$B$11:$V$11&amp;": "&amp;ROUND(s,2),""))&amp;"}")))</f>
        <v/>
      </c>
      <c r="AT11" s="180"/>
    </row>
    <row r="12">
      <c r="A12" s="181" t="s">
        <v>179</v>
      </c>
      <c r="B12" s="171">
        <v>0.0</v>
      </c>
      <c r="C12" s="169">
        <v>0.0</v>
      </c>
      <c r="D12" s="169">
        <v>0.0</v>
      </c>
      <c r="E12" s="169">
        <v>1.0</v>
      </c>
      <c r="F12" s="169">
        <v>0.0</v>
      </c>
      <c r="G12" s="169">
        <v>0.0</v>
      </c>
      <c r="H12" s="169">
        <v>0.0</v>
      </c>
      <c r="I12" s="169">
        <v>0.0</v>
      </c>
      <c r="J12" s="169">
        <v>0.0</v>
      </c>
      <c r="K12" s="169">
        <v>60.0</v>
      </c>
      <c r="L12" s="169">
        <v>0.0</v>
      </c>
      <c r="M12" s="169">
        <v>0.0</v>
      </c>
      <c r="N12" s="169">
        <v>0.0</v>
      </c>
      <c r="O12" s="182">
        <v>5.0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AH12" s="162" t="str">
        <f>IF(7&lt;=$B$3,7,"")</f>
        <v/>
      </c>
      <c r="AI12" s="163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64" t="str">
        <f t="array" ref="AJ12">IF($AH12="","",IF(AI12=0,"{}",LET(m,AI12,s,MMULT(SEQUENCE(1,m,1,0),$B$12:$V$16),"{"&amp;TEXTJOIN(", ",TRUE,IF(s&gt;0,$B$11:$V$11&amp;": "&amp;ROUND(s,2),""))&amp;"}")))</f>
        <v/>
      </c>
      <c r="AK12" s="163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64" t="str">
        <f t="array" ref="AL12">IF($AH12="","",IF(AK12=0,"{}",LET(m,AK12,s,MMULT(SEQUENCE(1,m,1,0),$B$12:$V$16),"{"&amp;TEXTJOIN(", ",TRUE,IF(s&gt;0,$B$11:$V$11&amp;": "&amp;ROUND(s,2),""))&amp;"}")))</f>
        <v/>
      </c>
      <c r="AM12" s="163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64" t="str">
        <f t="array" ref="AN12">IF($AH12="","",IF(AM12=0,"{}",LET(m,AM12,s,MMULT(SEQUENCE(1,m,1,0),$B$12:$V$16),"{"&amp;TEXTJOIN(", ",TRUE,IF(s&gt;0,$B$11:$V$11&amp;": "&amp;ROUND(s,2),""))&amp;"}")))</f>
        <v/>
      </c>
      <c r="AO12" s="163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64" t="str">
        <f t="array" ref="AP12">IF($AH12="","",IF(AO12=0,"{}",LET(m,AO12,s,MMULT(SEQUENCE(1,m,1,0),$B$12:$V$16),"{"&amp;TEXTJOIN(", ",TRUE,IF(s&gt;0,$B$11:$V$11&amp;": "&amp;ROUND(s,2),""))&amp;"}")))</f>
        <v/>
      </c>
      <c r="AQ12" s="163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64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81" t="s">
        <v>180</v>
      </c>
      <c r="B13" s="171">
        <v>10.0</v>
      </c>
      <c r="C13" s="169">
        <v>0.0</v>
      </c>
      <c r="D13" s="169">
        <v>0.0</v>
      </c>
      <c r="E13" s="169">
        <v>0.0</v>
      </c>
      <c r="F13" s="169">
        <v>1.0</v>
      </c>
      <c r="G13" s="169">
        <v>0.0</v>
      </c>
      <c r="H13" s="169">
        <v>0.0</v>
      </c>
      <c r="I13" s="169">
        <v>0.0</v>
      </c>
      <c r="J13" s="169">
        <v>0.0</v>
      </c>
      <c r="K13" s="169">
        <v>0.0</v>
      </c>
      <c r="L13" s="169">
        <v>0.0</v>
      </c>
      <c r="M13" s="169">
        <v>0.0</v>
      </c>
      <c r="N13" s="169">
        <v>0.0</v>
      </c>
      <c r="O13" s="182">
        <v>10.0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</row>
    <row r="14">
      <c r="A14" s="181" t="s">
        <v>181</v>
      </c>
      <c r="B14" s="171">
        <v>0.0</v>
      </c>
      <c r="C14" s="169">
        <v>0.0</v>
      </c>
      <c r="D14" s="169">
        <v>0.0</v>
      </c>
      <c r="E14" s="169">
        <v>0.0</v>
      </c>
      <c r="F14" s="169">
        <v>0.0</v>
      </c>
      <c r="G14" s="169">
        <v>1.0</v>
      </c>
      <c r="H14" s="169">
        <v>0.0</v>
      </c>
      <c r="I14" s="169">
        <v>0.0</v>
      </c>
      <c r="J14" s="169">
        <v>1.0</v>
      </c>
      <c r="K14" s="169">
        <v>30.0</v>
      </c>
      <c r="L14" s="169">
        <v>0.0</v>
      </c>
      <c r="M14" s="169">
        <v>0.0</v>
      </c>
      <c r="N14" s="169">
        <v>0.0</v>
      </c>
      <c r="O14" s="182">
        <v>20.0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</row>
    <row r="15">
      <c r="A15" s="181" t="s">
        <v>182</v>
      </c>
      <c r="B15" s="171">
        <v>15.0</v>
      </c>
      <c r="C15" s="169">
        <v>0.0</v>
      </c>
      <c r="D15" s="169">
        <v>0.0</v>
      </c>
      <c r="E15" s="169">
        <v>0.0</v>
      </c>
      <c r="F15" s="169">
        <v>0.0</v>
      </c>
      <c r="G15" s="169">
        <v>0.0</v>
      </c>
      <c r="H15" s="169">
        <v>0.0</v>
      </c>
      <c r="I15" s="169">
        <v>1.0</v>
      </c>
      <c r="J15" s="169">
        <v>0.0</v>
      </c>
      <c r="K15" s="169">
        <v>0.0</v>
      </c>
      <c r="L15" s="169">
        <v>10.0</v>
      </c>
      <c r="M15" s="169">
        <v>0.0</v>
      </c>
      <c r="N15" s="169">
        <v>0.0</v>
      </c>
      <c r="O15" s="182">
        <v>50.0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</row>
    <row r="16">
      <c r="A16" s="181" t="s">
        <v>183</v>
      </c>
      <c r="B16" s="183">
        <v>40.0</v>
      </c>
      <c r="C16" s="169">
        <v>0.0</v>
      </c>
      <c r="D16" s="169">
        <v>0.0</v>
      </c>
      <c r="E16" s="169">
        <v>0.0</v>
      </c>
      <c r="F16" s="169">
        <v>0.0</v>
      </c>
      <c r="G16" s="169">
        <v>0.0</v>
      </c>
      <c r="H16" s="169">
        <v>1.0</v>
      </c>
      <c r="I16" s="169">
        <v>0.0</v>
      </c>
      <c r="J16" s="169">
        <v>0.0</v>
      </c>
      <c r="K16" s="169">
        <v>0.0</v>
      </c>
      <c r="L16" s="169">
        <v>0.0</v>
      </c>
      <c r="M16" s="169">
        <v>10.0</v>
      </c>
      <c r="N16" s="169">
        <v>0.0</v>
      </c>
      <c r="O16" s="182">
        <v>70.0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</row>
    <row r="21" ht="15.75" customHeight="1">
      <c r="A21" s="114"/>
    </row>
  </sheetData>
  <conditionalFormatting sqref="B12:V16">
    <cfRule type="cellIs" dxfId="5" priority="1" operator="greaterThan">
      <formula>0</formula>
    </cfRule>
  </conditionalFormatting>
  <conditionalFormatting sqref="A12:V16">
    <cfRule type="expression" dxfId="6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14" t="s">
        <v>189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</row>
    <row r="3">
      <c r="A3" s="149" t="s">
        <v>190</v>
      </c>
      <c r="B3" s="184">
        <v>4.0</v>
      </c>
    </row>
    <row r="4">
      <c r="A4" s="149" t="s">
        <v>191</v>
      </c>
      <c r="B4" s="150">
        <v>5.0</v>
      </c>
    </row>
    <row r="5">
      <c r="A5" s="149" t="s">
        <v>192</v>
      </c>
      <c r="B5" s="150" t="b">
        <f>TRUE()</f>
        <v>1</v>
      </c>
    </row>
    <row r="7" ht="19.5" customHeight="1">
      <c r="A7" s="116" t="s">
        <v>116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ht="90.0" customHeight="1">
      <c r="A8" s="120" t="s">
        <v>193</v>
      </c>
      <c r="B8" s="121" t="s">
        <v>194</v>
      </c>
      <c r="C8" s="122" t="s">
        <v>82</v>
      </c>
      <c r="D8" s="123" t="s">
        <v>68</v>
      </c>
      <c r="E8" s="123" t="s">
        <v>103</v>
      </c>
      <c r="F8" s="123" t="s">
        <v>69</v>
      </c>
      <c r="G8" s="123" t="s">
        <v>70</v>
      </c>
      <c r="H8" s="123" t="s">
        <v>71</v>
      </c>
      <c r="I8" s="123" t="s">
        <v>72</v>
      </c>
      <c r="J8" s="123" t="s">
        <v>73</v>
      </c>
      <c r="K8" s="123" t="s">
        <v>74</v>
      </c>
      <c r="L8" s="123" t="s">
        <v>75</v>
      </c>
      <c r="M8" s="123" t="s">
        <v>76</v>
      </c>
      <c r="N8" s="123" t="s">
        <v>77</v>
      </c>
      <c r="O8" s="123" t="s">
        <v>78</v>
      </c>
      <c r="P8" s="123" t="s">
        <v>118</v>
      </c>
      <c r="Q8" s="123" t="s">
        <v>104</v>
      </c>
      <c r="R8" s="123" t="s">
        <v>105</v>
      </c>
      <c r="S8" s="123" t="s">
        <v>106</v>
      </c>
      <c r="T8" s="123" t="s">
        <v>107</v>
      </c>
      <c r="U8" s="123" t="s">
        <v>108</v>
      </c>
      <c r="V8" s="123" t="s">
        <v>109</v>
      </c>
      <c r="W8" s="123" t="s">
        <v>110</v>
      </c>
    </row>
    <row r="9">
      <c r="A9" s="125">
        <v>1.0</v>
      </c>
      <c r="B9" s="126">
        <v>15.0</v>
      </c>
      <c r="C9" s="153">
        <v>0.0</v>
      </c>
      <c r="D9" s="125">
        <v>0.0</v>
      </c>
      <c r="E9" s="125">
        <v>0.0</v>
      </c>
      <c r="F9" s="125">
        <v>0.0</v>
      </c>
      <c r="G9" s="125">
        <v>1.0</v>
      </c>
      <c r="H9" s="125">
        <v>0.0</v>
      </c>
      <c r="I9" s="125">
        <v>0.0</v>
      </c>
      <c r="J9" s="125">
        <v>0.0</v>
      </c>
      <c r="K9" s="125">
        <v>0.0</v>
      </c>
      <c r="L9" s="125">
        <v>0.0</v>
      </c>
      <c r="M9" s="125">
        <v>0.0</v>
      </c>
      <c r="N9" s="125">
        <v>0.0</v>
      </c>
      <c r="O9" s="125">
        <v>0.0</v>
      </c>
      <c r="P9" s="125">
        <v>0.0</v>
      </c>
      <c r="Q9" s="125">
        <v>0.0</v>
      </c>
      <c r="R9" s="125">
        <v>0.0</v>
      </c>
      <c r="S9" s="125">
        <v>0.0</v>
      </c>
      <c r="T9" s="125">
        <v>0.0</v>
      </c>
      <c r="U9" s="125">
        <v>0.0</v>
      </c>
      <c r="V9" s="125">
        <v>0.0</v>
      </c>
      <c r="W9" s="125">
        <v>0.0</v>
      </c>
    </row>
    <row r="10">
      <c r="A10" s="125">
        <v>2.0</v>
      </c>
      <c r="B10" s="126">
        <v>40.0</v>
      </c>
      <c r="C10" s="153">
        <v>0.0</v>
      </c>
      <c r="D10" s="125">
        <v>0.0</v>
      </c>
      <c r="E10" s="125">
        <v>0.0</v>
      </c>
      <c r="F10" s="125">
        <v>0.0</v>
      </c>
      <c r="G10" s="125">
        <v>0.0</v>
      </c>
      <c r="H10" s="125">
        <v>0.0</v>
      </c>
      <c r="I10" s="125">
        <v>0.0</v>
      </c>
      <c r="J10" s="125">
        <v>0.0</v>
      </c>
      <c r="K10" s="125">
        <v>0.0</v>
      </c>
      <c r="L10" s="125">
        <v>0.0</v>
      </c>
      <c r="M10" s="125">
        <v>10.0</v>
      </c>
      <c r="N10" s="125">
        <v>0.0</v>
      </c>
      <c r="O10" s="125">
        <v>0.0</v>
      </c>
      <c r="P10" s="125">
        <v>0.0</v>
      </c>
      <c r="Q10" s="125">
        <v>0.0</v>
      </c>
      <c r="R10" s="125">
        <v>0.0</v>
      </c>
      <c r="S10" s="125">
        <v>0.0</v>
      </c>
      <c r="T10" s="125">
        <v>0.0</v>
      </c>
      <c r="U10" s="125">
        <v>0.0</v>
      </c>
      <c r="V10" s="125">
        <v>0.0</v>
      </c>
      <c r="W10" s="125">
        <v>0.0</v>
      </c>
    </row>
    <row r="11">
      <c r="A11" s="125">
        <v>3.0</v>
      </c>
      <c r="B11" s="126">
        <v>70.0</v>
      </c>
      <c r="C11" s="153">
        <v>0.0</v>
      </c>
      <c r="D11" s="125">
        <v>0.0</v>
      </c>
      <c r="E11" s="125">
        <v>0.0</v>
      </c>
      <c r="F11" s="125">
        <v>0.0</v>
      </c>
      <c r="G11" s="125">
        <v>0.0</v>
      </c>
      <c r="H11" s="125">
        <v>0.0</v>
      </c>
      <c r="I11" s="125">
        <v>0.0</v>
      </c>
      <c r="J11" s="125">
        <v>0.0</v>
      </c>
      <c r="K11" s="125">
        <v>0.0</v>
      </c>
      <c r="L11" s="125">
        <v>0.0</v>
      </c>
      <c r="M11" s="125">
        <v>0.0</v>
      </c>
      <c r="N11" s="125">
        <v>10.0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5">
        <v>0.0</v>
      </c>
      <c r="V11" s="125">
        <v>0.0</v>
      </c>
      <c r="W11" s="125">
        <v>0.0</v>
      </c>
    </row>
    <row r="12">
      <c r="A12" s="125">
        <v>4.0</v>
      </c>
      <c r="B12" s="126">
        <v>110.0</v>
      </c>
      <c r="C12" s="153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30.0</v>
      </c>
      <c r="M12" s="125">
        <v>0.0</v>
      </c>
      <c r="N12" s="125">
        <v>0.0</v>
      </c>
      <c r="O12" s="125">
        <v>0.0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  <c r="W12" s="125">
        <v>0.0</v>
      </c>
    </row>
    <row r="13">
      <c r="A13" s="125">
        <v>5.0</v>
      </c>
      <c r="B13" s="126">
        <v>160.0</v>
      </c>
      <c r="C13" s="153">
        <v>25.0</v>
      </c>
      <c r="D13" s="125">
        <v>0.0</v>
      </c>
      <c r="E13" s="125">
        <v>0.0</v>
      </c>
      <c r="F13" s="125">
        <v>0.0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  <c r="N13" s="125">
        <v>0.0</v>
      </c>
      <c r="O13" s="125">
        <v>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  <c r="W13" s="125">
        <v>0.0</v>
      </c>
    </row>
    <row r="14">
      <c r="A14" s="125">
        <v>6.0</v>
      </c>
      <c r="B14" s="126">
        <v>220.0</v>
      </c>
      <c r="C14" s="153">
        <v>0.0</v>
      </c>
      <c r="D14" s="125">
        <v>0.0</v>
      </c>
      <c r="E14" s="125">
        <v>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10.0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  <c r="W14" s="125">
        <v>0.0</v>
      </c>
    </row>
    <row r="15">
      <c r="A15" s="125">
        <v>7.0</v>
      </c>
      <c r="B15" s="126">
        <v>290.0</v>
      </c>
      <c r="C15" s="153">
        <v>0.0</v>
      </c>
      <c r="D15" s="125">
        <v>0.0</v>
      </c>
      <c r="E15" s="125">
        <v>0.0</v>
      </c>
      <c r="F15" s="125">
        <v>1.0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  <c r="W15" s="125">
        <v>0.0</v>
      </c>
    </row>
    <row r="16">
      <c r="A16" s="125">
        <v>8.0</v>
      </c>
      <c r="B16" s="126">
        <v>370.0</v>
      </c>
      <c r="C16" s="153">
        <v>0.0</v>
      </c>
      <c r="D16" s="125">
        <v>0.0</v>
      </c>
      <c r="E16" s="125">
        <v>0.0</v>
      </c>
      <c r="F16" s="125">
        <v>0.0</v>
      </c>
      <c r="G16" s="125">
        <v>0.0</v>
      </c>
      <c r="H16" s="125">
        <v>0.0</v>
      </c>
      <c r="I16" s="125">
        <v>0.0</v>
      </c>
      <c r="J16" s="125">
        <v>0.0</v>
      </c>
      <c r="K16" s="125">
        <v>0.0</v>
      </c>
      <c r="L16" s="125">
        <v>60.0</v>
      </c>
      <c r="M16" s="125">
        <v>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  <c r="W16" s="125">
        <v>0.0</v>
      </c>
    </row>
    <row r="17">
      <c r="A17" s="125">
        <v>9.0</v>
      </c>
      <c r="B17" s="126">
        <v>460.0</v>
      </c>
      <c r="C17" s="153">
        <v>0.0</v>
      </c>
      <c r="D17" s="125">
        <v>0.0</v>
      </c>
      <c r="E17" s="125">
        <v>0.0</v>
      </c>
      <c r="F17" s="125">
        <v>0.0</v>
      </c>
      <c r="G17" s="125">
        <v>0.0</v>
      </c>
      <c r="H17" s="125">
        <v>0.0</v>
      </c>
      <c r="I17" s="125">
        <v>0.0</v>
      </c>
      <c r="J17" s="125">
        <v>0.0</v>
      </c>
      <c r="K17" s="125">
        <v>0.0</v>
      </c>
      <c r="L17" s="125">
        <v>0.0</v>
      </c>
      <c r="M17" s="125">
        <v>15.0</v>
      </c>
      <c r="N17" s="125">
        <v>0.0</v>
      </c>
      <c r="O17" s="125">
        <v>0.0</v>
      </c>
      <c r="P17" s="125">
        <v>0.0</v>
      </c>
      <c r="Q17" s="125">
        <v>0.0</v>
      </c>
      <c r="R17" s="125">
        <v>0.0</v>
      </c>
      <c r="S17" s="125">
        <v>0.0</v>
      </c>
      <c r="T17" s="125">
        <v>0.0</v>
      </c>
      <c r="U17" s="125">
        <v>0.0</v>
      </c>
      <c r="V17" s="125">
        <v>0.0</v>
      </c>
      <c r="W17" s="125">
        <v>0.0</v>
      </c>
    </row>
    <row r="18">
      <c r="A18" s="125">
        <v>10.0</v>
      </c>
      <c r="B18" s="126">
        <v>560.0</v>
      </c>
      <c r="C18" s="153">
        <v>25.0</v>
      </c>
      <c r="D18" s="125">
        <v>0.0</v>
      </c>
      <c r="E18" s="125">
        <v>0.0</v>
      </c>
      <c r="F18" s="125">
        <v>0.0</v>
      </c>
      <c r="G18" s="125">
        <v>0.0</v>
      </c>
      <c r="H18" s="125">
        <v>0.0</v>
      </c>
      <c r="I18" s="125">
        <v>0.0</v>
      </c>
      <c r="J18" s="125">
        <v>0.0</v>
      </c>
      <c r="K18" s="125">
        <v>0.0</v>
      </c>
      <c r="L18" s="125">
        <v>0.0</v>
      </c>
      <c r="M18" s="125">
        <v>0.0</v>
      </c>
      <c r="N18" s="125">
        <v>0.0</v>
      </c>
      <c r="O18" s="125">
        <v>0.0</v>
      </c>
      <c r="P18" s="125">
        <v>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  <c r="W18" s="125">
        <v>0.0</v>
      </c>
    </row>
    <row r="19">
      <c r="A19" s="125">
        <v>11.0</v>
      </c>
      <c r="B19" s="126">
        <v>670.0</v>
      </c>
      <c r="C19" s="153">
        <v>0.0</v>
      </c>
      <c r="D19" s="125">
        <v>0.0</v>
      </c>
      <c r="E19" s="125">
        <v>0.0</v>
      </c>
      <c r="F19" s="125">
        <v>0.0</v>
      </c>
      <c r="G19" s="125">
        <v>0.0</v>
      </c>
      <c r="H19" s="125">
        <v>0.0</v>
      </c>
      <c r="I19" s="125">
        <v>0.0</v>
      </c>
      <c r="J19" s="125">
        <v>0.0</v>
      </c>
      <c r="K19" s="125">
        <v>0.0</v>
      </c>
      <c r="L19" s="125">
        <v>0.0</v>
      </c>
      <c r="M19" s="125">
        <v>0.0</v>
      </c>
      <c r="N19" s="125">
        <v>15.0</v>
      </c>
      <c r="O19" s="125">
        <v>0.0</v>
      </c>
      <c r="P19" s="125">
        <v>0.0</v>
      </c>
      <c r="Q19" s="125">
        <v>0.0</v>
      </c>
      <c r="R19" s="125">
        <v>0.0</v>
      </c>
      <c r="S19" s="125">
        <v>0.0</v>
      </c>
      <c r="T19" s="125">
        <v>0.0</v>
      </c>
      <c r="U19" s="125">
        <v>0.0</v>
      </c>
      <c r="V19" s="125">
        <v>0.0</v>
      </c>
      <c r="W19" s="125">
        <v>0.0</v>
      </c>
    </row>
    <row r="20">
      <c r="A20" s="125">
        <v>12.0</v>
      </c>
      <c r="B20" s="126">
        <v>790.0</v>
      </c>
      <c r="C20" s="153">
        <v>0.0</v>
      </c>
      <c r="D20" s="125">
        <v>0.0</v>
      </c>
      <c r="E20" s="125">
        <v>0.0</v>
      </c>
      <c r="F20" s="125">
        <v>0.0</v>
      </c>
      <c r="G20" s="125">
        <v>0.0</v>
      </c>
      <c r="H20" s="125">
        <v>0.0</v>
      </c>
      <c r="I20" s="125">
        <v>0.0</v>
      </c>
      <c r="J20" s="125">
        <v>0.0</v>
      </c>
      <c r="K20" s="125">
        <v>0.0</v>
      </c>
      <c r="L20" s="125">
        <v>0.0</v>
      </c>
      <c r="M20" s="125">
        <v>0.0</v>
      </c>
      <c r="N20" s="125">
        <v>0.0</v>
      </c>
      <c r="O20" s="125">
        <v>15.0</v>
      </c>
      <c r="P20" s="125">
        <v>0.0</v>
      </c>
      <c r="Q20" s="125">
        <v>0.0</v>
      </c>
      <c r="R20" s="125">
        <v>0.0</v>
      </c>
      <c r="S20" s="125">
        <v>0.0</v>
      </c>
      <c r="T20" s="125">
        <v>0.0</v>
      </c>
      <c r="U20" s="125">
        <v>0.0</v>
      </c>
      <c r="V20" s="125">
        <v>0.0</v>
      </c>
      <c r="W20" s="125">
        <v>0.0</v>
      </c>
    </row>
    <row r="21" ht="15.75" customHeight="1">
      <c r="A21" s="125">
        <v>13.0</v>
      </c>
      <c r="B21" s="126">
        <v>920.0</v>
      </c>
      <c r="C21" s="153">
        <v>0.0</v>
      </c>
      <c r="D21" s="125">
        <v>0.0</v>
      </c>
      <c r="E21" s="125">
        <v>0.0</v>
      </c>
      <c r="F21" s="125">
        <v>0.0</v>
      </c>
      <c r="G21" s="125">
        <v>0.0</v>
      </c>
      <c r="H21" s="125">
        <v>0.0</v>
      </c>
      <c r="I21" s="125">
        <v>1.0</v>
      </c>
      <c r="J21" s="125">
        <v>0.0</v>
      </c>
      <c r="K21" s="125">
        <v>0.0</v>
      </c>
      <c r="L21" s="125">
        <v>0.0</v>
      </c>
      <c r="M21" s="125">
        <v>0.0</v>
      </c>
      <c r="N21" s="125">
        <v>0.0</v>
      </c>
      <c r="O21" s="125">
        <v>0.0</v>
      </c>
      <c r="P21" s="125">
        <v>0.0</v>
      </c>
      <c r="Q21" s="125">
        <v>0.0</v>
      </c>
      <c r="R21" s="125">
        <v>0.0</v>
      </c>
      <c r="S21" s="125">
        <v>0.0</v>
      </c>
      <c r="T21" s="125">
        <v>0.0</v>
      </c>
      <c r="U21" s="125">
        <v>0.0</v>
      </c>
      <c r="V21" s="125">
        <v>0.0</v>
      </c>
      <c r="W21" s="125">
        <v>0.0</v>
      </c>
    </row>
    <row r="22" ht="15.75" customHeight="1">
      <c r="A22" s="125">
        <v>14.0</v>
      </c>
      <c r="B22" s="126">
        <v>1060.0</v>
      </c>
      <c r="C22" s="153">
        <v>0.0</v>
      </c>
      <c r="D22" s="125">
        <v>0.0</v>
      </c>
      <c r="E22" s="125">
        <v>0.0</v>
      </c>
      <c r="F22" s="125">
        <v>0.0</v>
      </c>
      <c r="G22" s="125">
        <v>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60.0</v>
      </c>
      <c r="M22" s="125">
        <v>0.0</v>
      </c>
      <c r="N22" s="125">
        <v>0.0</v>
      </c>
      <c r="O22" s="125">
        <v>0.0</v>
      </c>
      <c r="P22" s="125">
        <v>0.0</v>
      </c>
      <c r="Q22" s="125">
        <v>0.0</v>
      </c>
      <c r="R22" s="125">
        <v>0.0</v>
      </c>
      <c r="S22" s="125">
        <v>0.0</v>
      </c>
      <c r="T22" s="125">
        <v>0.0</v>
      </c>
      <c r="U22" s="125">
        <v>0.0</v>
      </c>
      <c r="V22" s="125">
        <v>0.0</v>
      </c>
      <c r="W22" s="125">
        <v>0.0</v>
      </c>
    </row>
    <row r="23" ht="15.75" customHeight="1">
      <c r="A23" s="125">
        <v>15.0</v>
      </c>
      <c r="B23" s="126">
        <v>1210.0</v>
      </c>
      <c r="C23" s="153">
        <v>0.0</v>
      </c>
      <c r="D23" s="125">
        <v>0.0</v>
      </c>
      <c r="E23" s="125">
        <v>0.0</v>
      </c>
      <c r="F23" s="125">
        <v>0.0</v>
      </c>
      <c r="G23" s="125">
        <v>0.0</v>
      </c>
      <c r="H23" s="125">
        <v>0.0</v>
      </c>
      <c r="I23" s="125">
        <v>0.0</v>
      </c>
      <c r="J23" s="125">
        <v>1.0</v>
      </c>
      <c r="K23" s="125">
        <v>0.0</v>
      </c>
      <c r="L23" s="125">
        <v>0.0</v>
      </c>
      <c r="M23" s="125">
        <v>0.0</v>
      </c>
      <c r="N23" s="125">
        <v>0.0</v>
      </c>
      <c r="O23" s="125">
        <v>0.0</v>
      </c>
      <c r="P23" s="125">
        <v>0.0</v>
      </c>
      <c r="Q23" s="125">
        <v>0.0</v>
      </c>
      <c r="R23" s="125">
        <v>0.0</v>
      </c>
      <c r="S23" s="125">
        <v>0.0</v>
      </c>
      <c r="T23" s="125">
        <v>0.0</v>
      </c>
      <c r="U23" s="125">
        <v>0.0</v>
      </c>
      <c r="V23" s="125">
        <v>0.0</v>
      </c>
      <c r="W23" s="125">
        <v>0.0</v>
      </c>
    </row>
    <row r="24" ht="15.75" customHeight="1">
      <c r="A24" s="185" t="s">
        <v>195</v>
      </c>
      <c r="B24" s="126"/>
      <c r="C24" s="153">
        <v>50.0</v>
      </c>
      <c r="D24" s="125">
        <v>0.0</v>
      </c>
      <c r="E24" s="125">
        <v>0.0</v>
      </c>
      <c r="F24" s="125">
        <v>0.0</v>
      </c>
      <c r="G24" s="125">
        <v>0.0</v>
      </c>
      <c r="H24" s="125">
        <v>1.0</v>
      </c>
      <c r="I24" s="125">
        <v>0.0</v>
      </c>
      <c r="J24" s="125">
        <v>0.0</v>
      </c>
      <c r="K24" s="125">
        <v>1.0</v>
      </c>
      <c r="L24" s="125">
        <v>0.0</v>
      </c>
      <c r="M24" s="125">
        <v>0.0</v>
      </c>
      <c r="N24" s="125">
        <v>0.0</v>
      </c>
      <c r="O24" s="125">
        <v>0.0</v>
      </c>
      <c r="P24" s="125">
        <v>0.0</v>
      </c>
      <c r="Q24" s="125">
        <v>0.0</v>
      </c>
      <c r="R24" s="125">
        <v>0.0</v>
      </c>
      <c r="S24" s="125">
        <v>0.0</v>
      </c>
      <c r="T24" s="125">
        <v>0.0</v>
      </c>
      <c r="U24" s="125">
        <v>0.0</v>
      </c>
      <c r="V24" s="125">
        <v>0.0</v>
      </c>
      <c r="W24" s="125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1000">
    <cfRule type="expression" dxfId="7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54" t="s">
        <v>189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AH1" s="155" t="s">
        <v>159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AH2" s="156" t="s">
        <v>160</v>
      </c>
      <c r="AI2" s="157" t="s">
        <v>161</v>
      </c>
    </row>
    <row r="3">
      <c r="A3" s="158" t="s">
        <v>190</v>
      </c>
      <c r="B3" s="159">
        <v>3.0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AH3" s="156" t="s">
        <v>162</v>
      </c>
      <c r="AI3" s="174" t="s">
        <v>163</v>
      </c>
    </row>
    <row r="4">
      <c r="A4" s="158" t="s">
        <v>191</v>
      </c>
      <c r="B4" s="160">
        <v>5.0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>
      <c r="A5" s="158" t="s">
        <v>192</v>
      </c>
      <c r="B5" s="160" t="b">
        <f>TRUE()</f>
        <v>1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AH5" s="161" t="s">
        <v>164</v>
      </c>
      <c r="AI5" s="161" t="s">
        <v>165</v>
      </c>
      <c r="AJ5" s="161" t="s">
        <v>166</v>
      </c>
      <c r="AK5" s="161" t="s">
        <v>167</v>
      </c>
      <c r="AL5" s="161" t="s">
        <v>168</v>
      </c>
      <c r="AM5" s="161" t="s">
        <v>169</v>
      </c>
      <c r="AN5" s="161" t="s">
        <v>170</v>
      </c>
      <c r="AO5" s="161" t="s">
        <v>171</v>
      </c>
      <c r="AP5" s="161" t="s">
        <v>172</v>
      </c>
      <c r="AQ5" s="161" t="s">
        <v>173</v>
      </c>
      <c r="AR5" s="161" t="s">
        <v>174</v>
      </c>
    </row>
    <row r="6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AH6" s="162">
        <f>IF(1&lt;=$B$3,1,"")</f>
        <v>1</v>
      </c>
      <c r="AI6" s="163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64" t="str">
        <f t="array" ref="AJ6">IF($AH6="","",IF(AI6=0,"{}",LET(m,IF(AI6=15,16,AI6),s,MMULT(SEQUENCE(1,m,1,0),$C$9:$W$24),"{"&amp;TEXTJOIN(", ",TRUE,IF(s&gt;0,$C$8:$W$8&amp;": "&amp;ROUND(s,2),""))&amp;"}")))</f>
        <v>{}</v>
      </c>
      <c r="AK6" s="163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64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63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64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63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164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163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64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16" t="s">
        <v>116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AH7" s="162">
        <f>IF(2&lt;=$B$3,2,"")</f>
        <v>2</v>
      </c>
      <c r="AI7" s="163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64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63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64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63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64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63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64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63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64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65" t="s">
        <v>193</v>
      </c>
      <c r="B8" s="166" t="s">
        <v>194</v>
      </c>
      <c r="C8" s="167" t="s">
        <v>82</v>
      </c>
      <c r="D8" s="168" t="s">
        <v>68</v>
      </c>
      <c r="E8" s="168" t="s">
        <v>103</v>
      </c>
      <c r="F8" s="168" t="s">
        <v>69</v>
      </c>
      <c r="G8" s="168" t="s">
        <v>70</v>
      </c>
      <c r="H8" s="168" t="s">
        <v>71</v>
      </c>
      <c r="I8" s="168" t="s">
        <v>72</v>
      </c>
      <c r="J8" s="168" t="s">
        <v>73</v>
      </c>
      <c r="K8" s="168" t="s">
        <v>74</v>
      </c>
      <c r="L8" s="168" t="s">
        <v>75</v>
      </c>
      <c r="M8" s="168" t="s">
        <v>76</v>
      </c>
      <c r="N8" s="168" t="s">
        <v>77</v>
      </c>
      <c r="O8" s="168" t="s">
        <v>78</v>
      </c>
      <c r="P8" s="168" t="s">
        <v>118</v>
      </c>
      <c r="Q8" s="168" t="s">
        <v>104</v>
      </c>
      <c r="R8" s="168" t="s">
        <v>105</v>
      </c>
      <c r="S8" s="168" t="s">
        <v>106</v>
      </c>
      <c r="T8" s="168" t="s">
        <v>107</v>
      </c>
      <c r="U8" s="168" t="s">
        <v>108</v>
      </c>
      <c r="V8" s="168" t="s">
        <v>109</v>
      </c>
      <c r="W8" s="168" t="s">
        <v>110</v>
      </c>
      <c r="AH8" s="162">
        <f>IF(3&lt;=$B$3,3,"")</f>
        <v>3</v>
      </c>
      <c r="AI8" s="163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64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63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64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63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64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63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64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63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64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69">
        <v>1.0</v>
      </c>
      <c r="B9" s="170">
        <v>15.0</v>
      </c>
      <c r="C9" s="171">
        <v>0.0</v>
      </c>
      <c r="D9" s="169">
        <v>0.0</v>
      </c>
      <c r="E9" s="169">
        <v>0.0</v>
      </c>
      <c r="F9" s="169">
        <v>0.0</v>
      </c>
      <c r="G9" s="169">
        <v>1.0</v>
      </c>
      <c r="H9" s="169">
        <v>0.0</v>
      </c>
      <c r="I9" s="169">
        <v>0.0</v>
      </c>
      <c r="J9" s="169">
        <v>0.0</v>
      </c>
      <c r="K9" s="169">
        <v>0.0</v>
      </c>
      <c r="L9" s="169">
        <v>0.0</v>
      </c>
      <c r="M9" s="169">
        <v>0.0</v>
      </c>
      <c r="N9" s="169">
        <v>0.0</v>
      </c>
      <c r="O9" s="169">
        <v>0.0</v>
      </c>
      <c r="P9" s="169">
        <v>0.0</v>
      </c>
      <c r="Q9" s="169">
        <v>0.0</v>
      </c>
      <c r="R9" s="169">
        <v>0.0</v>
      </c>
      <c r="S9" s="169">
        <v>0.0</v>
      </c>
      <c r="T9" s="169">
        <v>0.0</v>
      </c>
      <c r="U9" s="169">
        <v>0.0</v>
      </c>
      <c r="V9" s="169">
        <v>0.0</v>
      </c>
      <c r="W9" s="169">
        <v>0.0</v>
      </c>
      <c r="AH9" s="162" t="str">
        <f>IF(4&lt;=$B$3,4,"")</f>
        <v/>
      </c>
      <c r="AI9" s="163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64" t="str">
        <f t="array" ref="AJ9">IF($AH9="","",IF(AI9=0,"{}",LET(m,IF(AI9=15,16,AI9),s,MMULT(SEQUENCE(1,m,1,0),$C$9:$W$24),"{"&amp;TEXTJOIN(", ",TRUE,IF(s&gt;0,$C$8:$W$8&amp;": "&amp;ROUND(s,2),""))&amp;"}")))</f>
        <v/>
      </c>
      <c r="AK9" s="163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64" t="str">
        <f t="array" ref="AL9">IF($AH9="","",IF(AK9=0,"{}",LET(m,IF(AK9=15,16,AK9),s,MMULT(SEQUENCE(1,m,1,0),$C$9:$W$24),"{"&amp;TEXTJOIN(", ",TRUE,IF(s&gt;0,$C$8:$W$8&amp;": "&amp;ROUND(s,2),""))&amp;"}")))</f>
        <v/>
      </c>
      <c r="AM9" s="163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64" t="str">
        <f t="array" ref="AN9">IF($AH9="","",IF(AM9=0,"{}",LET(m,IF(AM9=15,16,AM9),s,MMULT(SEQUENCE(1,m,1,0),$C$9:$W$24),"{"&amp;TEXTJOIN(", ",TRUE,IF(s&gt;0,$C$8:$W$8&amp;": "&amp;ROUND(s,2),""))&amp;"}")))</f>
        <v/>
      </c>
      <c r="AO9" s="163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64" t="str">
        <f t="array" ref="AP9">IF($AH9="","",IF(AO9=0,"{}",LET(m,IF(AO9=15,16,AO9),s,MMULT(SEQUENCE(1,m,1,0),$C$9:$W$24),"{"&amp;TEXTJOIN(", ",TRUE,IF(s&gt;0,$C$8:$W$8&amp;": "&amp;ROUND(s,2),""))&amp;"}")))</f>
        <v/>
      </c>
      <c r="AQ9" s="163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64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69">
        <v>2.0</v>
      </c>
      <c r="B10" s="170">
        <v>40.0</v>
      </c>
      <c r="C10" s="171">
        <v>0.0</v>
      </c>
      <c r="D10" s="169">
        <v>0.0</v>
      </c>
      <c r="E10" s="169">
        <v>0.0</v>
      </c>
      <c r="F10" s="169">
        <v>0.0</v>
      </c>
      <c r="G10" s="169">
        <v>0.0</v>
      </c>
      <c r="H10" s="169">
        <v>0.0</v>
      </c>
      <c r="I10" s="169">
        <v>0.0</v>
      </c>
      <c r="J10" s="169">
        <v>0.0</v>
      </c>
      <c r="K10" s="169">
        <v>0.0</v>
      </c>
      <c r="L10" s="169">
        <v>0.0</v>
      </c>
      <c r="M10" s="169">
        <v>10.0</v>
      </c>
      <c r="N10" s="169">
        <v>0.0</v>
      </c>
      <c r="O10" s="169">
        <v>0.0</v>
      </c>
      <c r="P10" s="169">
        <v>0.0</v>
      </c>
      <c r="Q10" s="169">
        <v>0.0</v>
      </c>
      <c r="R10" s="169">
        <v>0.0</v>
      </c>
      <c r="S10" s="169">
        <v>0.0</v>
      </c>
      <c r="T10" s="169">
        <v>0.0</v>
      </c>
      <c r="U10" s="169">
        <v>0.0</v>
      </c>
      <c r="V10" s="169">
        <v>0.0</v>
      </c>
      <c r="W10" s="169">
        <v>0.0</v>
      </c>
      <c r="AH10" s="162" t="str">
        <f>IF(5&lt;=$B$3,5,"")</f>
        <v/>
      </c>
      <c r="AI10" s="163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64" t="str">
        <f t="array" ref="AJ10">IF($AH10="","",IF(AI10=0,"{}",LET(m,IF(AI10=15,16,AI10),s,MMULT(SEQUENCE(1,m,1,0),$C$9:$W$24),"{"&amp;TEXTJOIN(", ",TRUE,IF(s&gt;0,$C$8:$W$8&amp;": "&amp;ROUND(s,2),""))&amp;"}")))</f>
        <v/>
      </c>
      <c r="AK10" s="163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64" t="str">
        <f t="array" ref="AL10">IF($AH10="","",IF(AK10=0,"{}",LET(m,IF(AK10=15,16,AK10),s,MMULT(SEQUENCE(1,m,1,0),$C$9:$W$24),"{"&amp;TEXTJOIN(", ",TRUE,IF(s&gt;0,$C$8:$W$8&amp;": "&amp;ROUND(s,2),""))&amp;"}")))</f>
        <v/>
      </c>
      <c r="AM10" s="163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64" t="str">
        <f t="array" ref="AN10">IF($AH10="","",IF(AM10=0,"{}",LET(m,IF(AM10=15,16,AM10),s,MMULT(SEQUENCE(1,m,1,0),$C$9:$W$24),"{"&amp;TEXTJOIN(", ",TRUE,IF(s&gt;0,$C$8:$W$8&amp;": "&amp;ROUND(s,2),""))&amp;"}")))</f>
        <v/>
      </c>
      <c r="AO10" s="163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64" t="str">
        <f t="array" ref="AP10">IF($AH10="","",IF(AO10=0,"{}",LET(m,IF(AO10=15,16,AO10),s,MMULT(SEQUENCE(1,m,1,0),$C$9:$W$24),"{"&amp;TEXTJOIN(", ",TRUE,IF(s&gt;0,$C$8:$W$8&amp;": "&amp;ROUND(s,2),""))&amp;"}")))</f>
        <v/>
      </c>
      <c r="AQ10" s="163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64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69">
        <v>3.0</v>
      </c>
      <c r="B11" s="170">
        <v>70.0</v>
      </c>
      <c r="C11" s="171">
        <v>0.0</v>
      </c>
      <c r="D11" s="169">
        <v>0.0</v>
      </c>
      <c r="E11" s="169">
        <v>0.0</v>
      </c>
      <c r="F11" s="169">
        <v>0.0</v>
      </c>
      <c r="G11" s="169">
        <v>0.0</v>
      </c>
      <c r="H11" s="169">
        <v>0.0</v>
      </c>
      <c r="I11" s="169">
        <v>0.0</v>
      </c>
      <c r="J11" s="169">
        <v>0.0</v>
      </c>
      <c r="K11" s="169">
        <v>0.0</v>
      </c>
      <c r="L11" s="169">
        <v>0.0</v>
      </c>
      <c r="M11" s="169">
        <v>0.0</v>
      </c>
      <c r="N11" s="169">
        <v>10.0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69">
        <v>0.0</v>
      </c>
      <c r="U11" s="169">
        <v>0.0</v>
      </c>
      <c r="V11" s="169">
        <v>0.0</v>
      </c>
      <c r="W11" s="169">
        <v>0.0</v>
      </c>
      <c r="AH11" s="162" t="str">
        <f>IF(6&lt;=$B$3,6,"")</f>
        <v/>
      </c>
      <c r="AI11" s="163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64" t="str">
        <f t="array" ref="AJ11">IF($AH11="","",IF(AI11=0,"{}",LET(m,IF(AI11=15,16,AI11),s,MMULT(SEQUENCE(1,m,1,0),$C$9:$W$24),"{"&amp;TEXTJOIN(", ",TRUE,IF(s&gt;0,$C$8:$W$8&amp;": "&amp;ROUND(s,2),""))&amp;"}")))</f>
        <v/>
      </c>
      <c r="AK11" s="163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64" t="str">
        <f t="array" ref="AL11">IF($AH11="","",IF(AK11=0,"{}",LET(m,IF(AK11=15,16,AK11),s,MMULT(SEQUENCE(1,m,1,0),$C$9:$W$24),"{"&amp;TEXTJOIN(", ",TRUE,IF(s&gt;0,$C$8:$W$8&amp;": "&amp;ROUND(s,2),""))&amp;"}")))</f>
        <v/>
      </c>
      <c r="AM11" s="163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64" t="str">
        <f t="array" ref="AN11">IF($AH11="","",IF(AM11=0,"{}",LET(m,IF(AM11=15,16,AM11),s,MMULT(SEQUENCE(1,m,1,0),$C$9:$W$24),"{"&amp;TEXTJOIN(", ",TRUE,IF(s&gt;0,$C$8:$W$8&amp;": "&amp;ROUND(s,2),""))&amp;"}")))</f>
        <v/>
      </c>
      <c r="AO11" s="163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64" t="str">
        <f t="array" ref="AP11">IF($AH11="","",IF(AO11=0,"{}",LET(m,IF(AO11=15,16,AO11),s,MMULT(SEQUENCE(1,m,1,0),$C$9:$W$24),"{"&amp;TEXTJOIN(", ",TRUE,IF(s&gt;0,$C$8:$W$8&amp;": "&amp;ROUND(s,2),""))&amp;"}")))</f>
        <v/>
      </c>
      <c r="AQ11" s="163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64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69">
        <v>4.0</v>
      </c>
      <c r="B12" s="170">
        <v>110.0</v>
      </c>
      <c r="C12" s="171">
        <v>0.0</v>
      </c>
      <c r="D12" s="169">
        <v>0.0</v>
      </c>
      <c r="E12" s="169">
        <v>0.0</v>
      </c>
      <c r="F12" s="169">
        <v>0.0</v>
      </c>
      <c r="G12" s="169">
        <v>0.0</v>
      </c>
      <c r="H12" s="169">
        <v>0.0</v>
      </c>
      <c r="I12" s="169">
        <v>0.0</v>
      </c>
      <c r="J12" s="169">
        <v>0.0</v>
      </c>
      <c r="K12" s="169">
        <v>0.0</v>
      </c>
      <c r="L12" s="169">
        <v>30.0</v>
      </c>
      <c r="M12" s="169">
        <v>0.0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W12" s="169">
        <v>0.0</v>
      </c>
      <c r="AH12" s="162" t="str">
        <f>IF(7&lt;=$B$3,7,"")</f>
        <v/>
      </c>
      <c r="AI12" s="163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64" t="str">
        <f t="array" ref="AJ12">IF($AH12="","",IF(AI12=0,"{}",LET(m,IF(AI12=15,16,AI12),s,MMULT(SEQUENCE(1,m,1,0),$C$9:$W$24),"{"&amp;TEXTJOIN(", ",TRUE,IF(s&gt;0,$C$8:$W$8&amp;": "&amp;ROUND(s,2),""))&amp;"}")))</f>
        <v/>
      </c>
      <c r="AK12" s="163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64" t="str">
        <f t="array" ref="AL12">IF($AH12="","",IF(AK12=0,"{}",LET(m,IF(AK12=15,16,AK12),s,MMULT(SEQUENCE(1,m,1,0),$C$9:$W$24),"{"&amp;TEXTJOIN(", ",TRUE,IF(s&gt;0,$C$8:$W$8&amp;": "&amp;ROUND(s,2),""))&amp;"}")))</f>
        <v/>
      </c>
      <c r="AM12" s="163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64" t="str">
        <f t="array" ref="AN12">IF($AH12="","",IF(AM12=0,"{}",LET(m,IF(AM12=15,16,AM12),s,MMULT(SEQUENCE(1,m,1,0),$C$9:$W$24),"{"&amp;TEXTJOIN(", ",TRUE,IF(s&gt;0,$C$8:$W$8&amp;": "&amp;ROUND(s,2),""))&amp;"}")))</f>
        <v/>
      </c>
      <c r="AO12" s="163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64" t="str">
        <f t="array" ref="AP12">IF($AH12="","",IF(AO12=0,"{}",LET(m,IF(AO12=15,16,AO12),s,MMULT(SEQUENCE(1,m,1,0),$C$9:$W$24),"{"&amp;TEXTJOIN(", ",TRUE,IF(s&gt;0,$C$8:$W$8&amp;": "&amp;ROUND(s,2),""))&amp;"}")))</f>
        <v/>
      </c>
      <c r="AQ12" s="163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64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69">
        <v>5.0</v>
      </c>
      <c r="B13" s="170">
        <v>160.0</v>
      </c>
      <c r="C13" s="171">
        <v>25.0</v>
      </c>
      <c r="D13" s="169">
        <v>0.0</v>
      </c>
      <c r="E13" s="169">
        <v>0.0</v>
      </c>
      <c r="F13" s="169">
        <v>0.0</v>
      </c>
      <c r="G13" s="169">
        <v>0.0</v>
      </c>
      <c r="H13" s="169">
        <v>0.0</v>
      </c>
      <c r="I13" s="169">
        <v>0.0</v>
      </c>
      <c r="J13" s="169">
        <v>0.0</v>
      </c>
      <c r="K13" s="169">
        <v>0.0</v>
      </c>
      <c r="L13" s="169">
        <v>0.0</v>
      </c>
      <c r="M13" s="169">
        <v>0.0</v>
      </c>
      <c r="N13" s="169">
        <v>0.0</v>
      </c>
      <c r="O13" s="169">
        <v>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  <c r="W13" s="169">
        <v>0.0</v>
      </c>
    </row>
    <row r="14">
      <c r="A14" s="169">
        <v>6.0</v>
      </c>
      <c r="B14" s="170">
        <v>220.0</v>
      </c>
      <c r="C14" s="171">
        <v>0.0</v>
      </c>
      <c r="D14" s="169">
        <v>0.0</v>
      </c>
      <c r="E14" s="169">
        <v>0.0</v>
      </c>
      <c r="F14" s="169">
        <v>0.0</v>
      </c>
      <c r="G14" s="169">
        <v>0.0</v>
      </c>
      <c r="H14" s="169">
        <v>0.0</v>
      </c>
      <c r="I14" s="169">
        <v>0.0</v>
      </c>
      <c r="J14" s="169">
        <v>0.0</v>
      </c>
      <c r="K14" s="169">
        <v>0.0</v>
      </c>
      <c r="L14" s="169">
        <v>0.0</v>
      </c>
      <c r="M14" s="169">
        <v>0.0</v>
      </c>
      <c r="N14" s="169">
        <v>0.0</v>
      </c>
      <c r="O14" s="169">
        <v>10.0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  <c r="W14" s="169">
        <v>0.0</v>
      </c>
    </row>
    <row r="15">
      <c r="A15" s="169">
        <v>7.0</v>
      </c>
      <c r="B15" s="170">
        <v>290.0</v>
      </c>
      <c r="C15" s="171">
        <v>0.0</v>
      </c>
      <c r="D15" s="169">
        <v>0.0</v>
      </c>
      <c r="E15" s="169">
        <v>0.0</v>
      </c>
      <c r="F15" s="169">
        <v>1.0</v>
      </c>
      <c r="G15" s="169">
        <v>0.0</v>
      </c>
      <c r="H15" s="169">
        <v>0.0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W15" s="169">
        <v>0.0</v>
      </c>
    </row>
    <row r="16">
      <c r="A16" s="169">
        <v>8.0</v>
      </c>
      <c r="B16" s="170">
        <v>370.0</v>
      </c>
      <c r="C16" s="171">
        <v>0.0</v>
      </c>
      <c r="D16" s="169">
        <v>0.0</v>
      </c>
      <c r="E16" s="169">
        <v>0.0</v>
      </c>
      <c r="F16" s="169">
        <v>0.0</v>
      </c>
      <c r="G16" s="169">
        <v>0.0</v>
      </c>
      <c r="H16" s="169">
        <v>0.0</v>
      </c>
      <c r="I16" s="169">
        <v>0.0</v>
      </c>
      <c r="J16" s="169">
        <v>0.0</v>
      </c>
      <c r="K16" s="169">
        <v>0.0</v>
      </c>
      <c r="L16" s="169">
        <v>60.0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  <c r="W16" s="169">
        <v>0.0</v>
      </c>
    </row>
    <row r="17">
      <c r="A17" s="169">
        <v>9.0</v>
      </c>
      <c r="B17" s="170">
        <v>460.0</v>
      </c>
      <c r="C17" s="171">
        <v>0.0</v>
      </c>
      <c r="D17" s="169">
        <v>0.0</v>
      </c>
      <c r="E17" s="169">
        <v>0.0</v>
      </c>
      <c r="F17" s="169">
        <v>0.0</v>
      </c>
      <c r="G17" s="169">
        <v>0.0</v>
      </c>
      <c r="H17" s="169">
        <v>0.0</v>
      </c>
      <c r="I17" s="169">
        <v>0.0</v>
      </c>
      <c r="J17" s="169">
        <v>0.0</v>
      </c>
      <c r="K17" s="169">
        <v>0.0</v>
      </c>
      <c r="L17" s="169">
        <v>0.0</v>
      </c>
      <c r="M17" s="169">
        <v>15.0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  <c r="W17" s="169">
        <v>0.0</v>
      </c>
    </row>
    <row r="18">
      <c r="A18" s="169">
        <v>10.0</v>
      </c>
      <c r="B18" s="170">
        <v>560.0</v>
      </c>
      <c r="C18" s="171">
        <v>25.0</v>
      </c>
      <c r="D18" s="169">
        <v>0.0</v>
      </c>
      <c r="E18" s="169">
        <v>0.0</v>
      </c>
      <c r="F18" s="169">
        <v>0.0</v>
      </c>
      <c r="G18" s="169">
        <v>0.0</v>
      </c>
      <c r="H18" s="169">
        <v>0.0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  <c r="W18" s="169">
        <v>0.0</v>
      </c>
    </row>
    <row r="19">
      <c r="A19" s="169">
        <v>11.0</v>
      </c>
      <c r="B19" s="170">
        <v>670.0</v>
      </c>
      <c r="C19" s="171">
        <v>0.0</v>
      </c>
      <c r="D19" s="169">
        <v>0.0</v>
      </c>
      <c r="E19" s="169">
        <v>0.0</v>
      </c>
      <c r="F19" s="169">
        <v>0.0</v>
      </c>
      <c r="G19" s="169">
        <v>0.0</v>
      </c>
      <c r="H19" s="169">
        <v>0.0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15.0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  <c r="W19" s="169">
        <v>0.0</v>
      </c>
    </row>
    <row r="20">
      <c r="A20" s="169">
        <v>12.0</v>
      </c>
      <c r="B20" s="170">
        <v>790.0</v>
      </c>
      <c r="C20" s="171">
        <v>0.0</v>
      </c>
      <c r="D20" s="169">
        <v>0.0</v>
      </c>
      <c r="E20" s="169">
        <v>0.0</v>
      </c>
      <c r="F20" s="169">
        <v>0.0</v>
      </c>
      <c r="G20" s="169">
        <v>0.0</v>
      </c>
      <c r="H20" s="169">
        <v>0.0</v>
      </c>
      <c r="I20" s="169">
        <v>0.0</v>
      </c>
      <c r="J20" s="169">
        <v>0.0</v>
      </c>
      <c r="K20" s="169">
        <v>0.0</v>
      </c>
      <c r="L20" s="169">
        <v>0.0</v>
      </c>
      <c r="M20" s="169">
        <v>0.0</v>
      </c>
      <c r="N20" s="169">
        <v>0.0</v>
      </c>
      <c r="O20" s="169">
        <v>15.0</v>
      </c>
      <c r="P20" s="169">
        <v>0.0</v>
      </c>
      <c r="Q20" s="169">
        <v>0.0</v>
      </c>
      <c r="R20" s="169">
        <v>0.0</v>
      </c>
      <c r="S20" s="169">
        <v>0.0</v>
      </c>
      <c r="T20" s="169">
        <v>0.0</v>
      </c>
      <c r="U20" s="169">
        <v>0.0</v>
      </c>
      <c r="V20" s="169">
        <v>0.0</v>
      </c>
      <c r="W20" s="169">
        <v>0.0</v>
      </c>
    </row>
    <row r="21" ht="15.75" customHeight="1">
      <c r="A21" s="169">
        <v>13.0</v>
      </c>
      <c r="B21" s="170">
        <v>920.0</v>
      </c>
      <c r="C21" s="171">
        <v>0.0</v>
      </c>
      <c r="D21" s="169">
        <v>0.0</v>
      </c>
      <c r="E21" s="169">
        <v>0.0</v>
      </c>
      <c r="F21" s="169">
        <v>0.0</v>
      </c>
      <c r="G21" s="169">
        <v>0.0</v>
      </c>
      <c r="H21" s="169">
        <v>0.0</v>
      </c>
      <c r="I21" s="169">
        <v>1.0</v>
      </c>
      <c r="J21" s="169">
        <v>0.0</v>
      </c>
      <c r="K21" s="169">
        <v>0.0</v>
      </c>
      <c r="L21" s="169">
        <v>0.0</v>
      </c>
      <c r="M21" s="169">
        <v>0.0</v>
      </c>
      <c r="N21" s="169">
        <v>0.0</v>
      </c>
      <c r="O21" s="169">
        <v>0.0</v>
      </c>
      <c r="P21" s="169">
        <v>0.0</v>
      </c>
      <c r="Q21" s="169">
        <v>0.0</v>
      </c>
      <c r="R21" s="169">
        <v>0.0</v>
      </c>
      <c r="S21" s="169">
        <v>0.0</v>
      </c>
      <c r="T21" s="169">
        <v>0.0</v>
      </c>
      <c r="U21" s="169">
        <v>0.0</v>
      </c>
      <c r="V21" s="169">
        <v>0.0</v>
      </c>
      <c r="W21" s="169">
        <v>0.0</v>
      </c>
    </row>
    <row r="22" ht="15.75" customHeight="1">
      <c r="A22" s="169">
        <v>14.0</v>
      </c>
      <c r="B22" s="170">
        <v>1060.0</v>
      </c>
      <c r="C22" s="171">
        <v>0.0</v>
      </c>
      <c r="D22" s="169">
        <v>0.0</v>
      </c>
      <c r="E22" s="169">
        <v>0.0</v>
      </c>
      <c r="F22" s="169">
        <v>0.0</v>
      </c>
      <c r="G22" s="169">
        <v>0.0</v>
      </c>
      <c r="H22" s="169">
        <v>0.0</v>
      </c>
      <c r="I22" s="169">
        <v>0.0</v>
      </c>
      <c r="J22" s="169">
        <v>0.0</v>
      </c>
      <c r="K22" s="169">
        <v>0.0</v>
      </c>
      <c r="L22" s="169">
        <v>60.0</v>
      </c>
      <c r="M22" s="169">
        <v>0.0</v>
      </c>
      <c r="N22" s="169">
        <v>0.0</v>
      </c>
      <c r="O22" s="169">
        <v>0.0</v>
      </c>
      <c r="P22" s="169">
        <v>0.0</v>
      </c>
      <c r="Q22" s="169">
        <v>0.0</v>
      </c>
      <c r="R22" s="169">
        <v>0.0</v>
      </c>
      <c r="S22" s="169">
        <v>0.0</v>
      </c>
      <c r="T22" s="169">
        <v>0.0</v>
      </c>
      <c r="U22" s="169">
        <v>0.0</v>
      </c>
      <c r="V22" s="169">
        <v>0.0</v>
      </c>
      <c r="W22" s="169">
        <v>0.0</v>
      </c>
    </row>
    <row r="23" ht="15.75" customHeight="1">
      <c r="A23" s="169">
        <v>15.0</v>
      </c>
      <c r="B23" s="170">
        <v>1210.0</v>
      </c>
      <c r="C23" s="171">
        <v>0.0</v>
      </c>
      <c r="D23" s="169">
        <v>0.0</v>
      </c>
      <c r="E23" s="169">
        <v>0.0</v>
      </c>
      <c r="F23" s="169">
        <v>0.0</v>
      </c>
      <c r="G23" s="169">
        <v>0.0</v>
      </c>
      <c r="H23" s="169">
        <v>0.0</v>
      </c>
      <c r="I23" s="169">
        <v>0.0</v>
      </c>
      <c r="J23" s="169">
        <v>1.0</v>
      </c>
      <c r="K23" s="169">
        <v>0.0</v>
      </c>
      <c r="L23" s="169">
        <v>0.0</v>
      </c>
      <c r="M23" s="169">
        <v>0.0</v>
      </c>
      <c r="N23" s="169">
        <v>0.0</v>
      </c>
      <c r="O23" s="169">
        <v>0.0</v>
      </c>
      <c r="P23" s="169">
        <v>0.0</v>
      </c>
      <c r="Q23" s="169">
        <v>0.0</v>
      </c>
      <c r="R23" s="169">
        <v>0.0</v>
      </c>
      <c r="S23" s="169">
        <v>0.0</v>
      </c>
      <c r="T23" s="169">
        <v>0.0</v>
      </c>
      <c r="U23" s="169">
        <v>0.0</v>
      </c>
      <c r="V23" s="169">
        <v>0.0</v>
      </c>
      <c r="W23" s="169">
        <v>0.0</v>
      </c>
    </row>
    <row r="24" ht="15.75" customHeight="1">
      <c r="A24" s="186" t="s">
        <v>195</v>
      </c>
      <c r="B24" s="170"/>
      <c r="C24" s="171">
        <v>50.0</v>
      </c>
      <c r="D24" s="169">
        <v>0.0</v>
      </c>
      <c r="E24" s="169">
        <v>0.0</v>
      </c>
      <c r="F24" s="169">
        <v>0.0</v>
      </c>
      <c r="G24" s="169">
        <v>0.0</v>
      </c>
      <c r="H24" s="169">
        <v>1.0</v>
      </c>
      <c r="I24" s="169">
        <v>0.0</v>
      </c>
      <c r="J24" s="169">
        <v>0.0</v>
      </c>
      <c r="K24" s="169">
        <v>1.0</v>
      </c>
      <c r="L24" s="169">
        <v>0.0</v>
      </c>
      <c r="M24" s="169">
        <v>0.0</v>
      </c>
      <c r="N24" s="169">
        <v>0.0</v>
      </c>
      <c r="O24" s="169">
        <v>0.0</v>
      </c>
      <c r="P24" s="169">
        <v>0.0</v>
      </c>
      <c r="Q24" s="169">
        <v>0.0</v>
      </c>
      <c r="R24" s="169">
        <v>0.0</v>
      </c>
      <c r="S24" s="169">
        <v>0.0</v>
      </c>
      <c r="T24" s="169">
        <v>0.0</v>
      </c>
      <c r="U24" s="169">
        <v>0.0</v>
      </c>
      <c r="V24" s="169">
        <v>0.0</v>
      </c>
      <c r="W24" s="169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5" priority="1" operator="greaterThan">
      <formula>0</formula>
    </cfRule>
  </conditionalFormatting>
  <conditionalFormatting sqref="A9:W24">
    <cfRule type="expression" dxfId="6" priority="2">
      <formula>ISEVEN(ROW()-9+1)</formula>
    </cfRule>
  </conditionalFormatting>
  <conditionalFormatting sqref="A1:B2 A4:B24">
    <cfRule type="expression" dxfId="7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87" t="s">
        <v>43</v>
      </c>
    </row>
    <row r="2" ht="19.5" customHeight="1">
      <c r="A2" s="188" t="s">
        <v>114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</row>
    <row r="3">
      <c r="A3" s="189" t="s">
        <v>153</v>
      </c>
      <c r="B3" s="190">
        <v>1.0</v>
      </c>
    </row>
    <row r="4">
      <c r="A4" s="189" t="s">
        <v>154</v>
      </c>
      <c r="B4" s="190">
        <v>42.0</v>
      </c>
    </row>
    <row r="5">
      <c r="A5" s="189" t="s">
        <v>196</v>
      </c>
      <c r="B5" s="190">
        <v>60.0</v>
      </c>
    </row>
    <row r="6">
      <c r="A6" s="189" t="s">
        <v>197</v>
      </c>
      <c r="B6" s="190">
        <v>7.0</v>
      </c>
    </row>
    <row r="7">
      <c r="A7" s="189" t="s">
        <v>198</v>
      </c>
      <c r="B7" s="190">
        <v>1.0</v>
      </c>
    </row>
    <row r="8">
      <c r="A8" s="189" t="s">
        <v>199</v>
      </c>
      <c r="B8" s="190">
        <v>1000.0</v>
      </c>
    </row>
    <row r="9">
      <c r="A9" s="189" t="s">
        <v>200</v>
      </c>
      <c r="B9" s="190" t="s">
        <v>201</v>
      </c>
    </row>
    <row r="10">
      <c r="A10" s="189" t="s">
        <v>202</v>
      </c>
      <c r="B10" s="190" t="s">
        <v>203</v>
      </c>
    </row>
    <row r="12" ht="19.5" customHeight="1">
      <c r="A12" s="188" t="s">
        <v>204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</row>
    <row r="13">
      <c r="A13" s="120" t="s">
        <v>205</v>
      </c>
      <c r="B13" s="120" t="s">
        <v>206</v>
      </c>
    </row>
    <row r="14">
      <c r="A14" s="191" t="s">
        <v>207</v>
      </c>
      <c r="B14" s="192">
        <v>1.0</v>
      </c>
    </row>
    <row r="15">
      <c r="A15" s="191" t="s">
        <v>208</v>
      </c>
      <c r="B15" s="192">
        <v>10.0</v>
      </c>
    </row>
    <row r="16">
      <c r="A16" s="191" t="s">
        <v>209</v>
      </c>
      <c r="B16" s="192">
        <v>100.0</v>
      </c>
    </row>
    <row r="17">
      <c r="A17" s="191" t="s">
        <v>210</v>
      </c>
      <c r="B17" s="192">
        <v>200.0</v>
      </c>
    </row>
    <row r="18">
      <c r="A18" s="191" t="s">
        <v>211</v>
      </c>
      <c r="B18" s="192">
        <v>500.0</v>
      </c>
    </row>
    <row r="19">
      <c r="A19" s="191" t="s">
        <v>212</v>
      </c>
      <c r="B19" s="192">
        <v>1000.0</v>
      </c>
    </row>
    <row r="21" ht="19.5" customHeight="1">
      <c r="A21" s="188" t="s">
        <v>213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</row>
    <row r="22" ht="90.0" customHeight="1">
      <c r="A22" s="120" t="s">
        <v>157</v>
      </c>
      <c r="B22" s="120" t="s">
        <v>214</v>
      </c>
      <c r="C22" s="193" t="s">
        <v>82</v>
      </c>
      <c r="D22" s="193" t="s">
        <v>68</v>
      </c>
      <c r="E22" s="193" t="s">
        <v>103</v>
      </c>
      <c r="F22" s="193" t="s">
        <v>69</v>
      </c>
      <c r="G22" s="193" t="s">
        <v>70</v>
      </c>
      <c r="H22" s="193" t="s">
        <v>71</v>
      </c>
      <c r="I22" s="193" t="s">
        <v>72</v>
      </c>
      <c r="J22" s="193" t="s">
        <v>73</v>
      </c>
      <c r="K22" s="193" t="s">
        <v>74</v>
      </c>
      <c r="L22" s="193" t="s">
        <v>75</v>
      </c>
      <c r="M22" s="193" t="s">
        <v>76</v>
      </c>
      <c r="N22" s="193" t="s">
        <v>77</v>
      </c>
      <c r="O22" s="193" t="s">
        <v>78</v>
      </c>
      <c r="P22" s="193" t="s">
        <v>118</v>
      </c>
      <c r="Q22" s="193" t="s">
        <v>104</v>
      </c>
      <c r="R22" s="193" t="s">
        <v>105</v>
      </c>
      <c r="S22" s="193" t="s">
        <v>106</v>
      </c>
      <c r="T22" s="193" t="s">
        <v>107</v>
      </c>
      <c r="U22" s="193" t="s">
        <v>108</v>
      </c>
      <c r="V22" s="193" t="s">
        <v>109</v>
      </c>
      <c r="W22" s="193" t="s">
        <v>110</v>
      </c>
    </row>
    <row r="23" ht="15.75" customHeight="1">
      <c r="A23" s="191">
        <v>1.0</v>
      </c>
      <c r="B23" s="191">
        <v>100.0</v>
      </c>
      <c r="C23" s="191">
        <v>0.0</v>
      </c>
      <c r="D23" s="191">
        <v>0.0</v>
      </c>
      <c r="E23" s="191">
        <v>0.0</v>
      </c>
      <c r="F23" s="191">
        <v>0.0</v>
      </c>
      <c r="G23" s="191">
        <v>0.0</v>
      </c>
      <c r="H23" s="191">
        <v>0.0</v>
      </c>
      <c r="I23" s="191">
        <v>0.0</v>
      </c>
      <c r="J23" s="191">
        <v>0.0</v>
      </c>
      <c r="K23" s="191">
        <v>0.0</v>
      </c>
      <c r="L23" s="191">
        <v>30.0</v>
      </c>
      <c r="M23" s="191">
        <v>0.0</v>
      </c>
      <c r="N23" s="191">
        <v>0.0</v>
      </c>
      <c r="O23" s="191">
        <v>0.0</v>
      </c>
      <c r="P23" s="191">
        <v>0.0</v>
      </c>
      <c r="Q23" s="191">
        <v>0.0</v>
      </c>
      <c r="R23" s="191">
        <v>0.0</v>
      </c>
      <c r="S23" s="191">
        <v>0.0</v>
      </c>
      <c r="T23" s="191">
        <v>0.0</v>
      </c>
      <c r="U23" s="191">
        <v>0.0</v>
      </c>
      <c r="V23" s="191">
        <v>0.0</v>
      </c>
      <c r="W23" s="191">
        <v>0.0</v>
      </c>
    </row>
    <row r="24" ht="15.75" customHeight="1"/>
    <row r="25" ht="19.5" customHeight="1">
      <c r="A25" s="188" t="s">
        <v>215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</row>
    <row r="26" ht="90.0" customHeight="1">
      <c r="A26" s="120" t="s">
        <v>216</v>
      </c>
      <c r="C26" s="193" t="s">
        <v>82</v>
      </c>
      <c r="D26" s="193" t="s">
        <v>68</v>
      </c>
      <c r="E26" s="193" t="s">
        <v>103</v>
      </c>
      <c r="F26" s="193" t="s">
        <v>69</v>
      </c>
      <c r="G26" s="193" t="s">
        <v>70</v>
      </c>
      <c r="H26" s="193" t="s">
        <v>71</v>
      </c>
      <c r="I26" s="193" t="s">
        <v>72</v>
      </c>
      <c r="J26" s="193" t="s">
        <v>73</v>
      </c>
      <c r="K26" s="193" t="s">
        <v>74</v>
      </c>
      <c r="L26" s="193" t="s">
        <v>75</v>
      </c>
      <c r="M26" s="193" t="s">
        <v>76</v>
      </c>
      <c r="N26" s="193" t="s">
        <v>77</v>
      </c>
      <c r="O26" s="193" t="s">
        <v>78</v>
      </c>
      <c r="P26" s="193" t="s">
        <v>118</v>
      </c>
      <c r="Q26" s="193" t="s">
        <v>104</v>
      </c>
      <c r="R26" s="193" t="s">
        <v>105</v>
      </c>
      <c r="S26" s="193" t="s">
        <v>106</v>
      </c>
      <c r="T26" s="193" t="s">
        <v>107</v>
      </c>
      <c r="U26" s="193" t="s">
        <v>108</v>
      </c>
      <c r="V26" s="193" t="s">
        <v>109</v>
      </c>
      <c r="W26" s="193" t="s">
        <v>110</v>
      </c>
    </row>
    <row r="27" ht="15.75" customHeight="1">
      <c r="A27" s="191">
        <v>1.0</v>
      </c>
      <c r="C27" s="191">
        <v>300.0</v>
      </c>
      <c r="D27" s="191">
        <v>400.0</v>
      </c>
      <c r="E27" s="191">
        <v>0.0</v>
      </c>
      <c r="F27" s="191">
        <v>0.0</v>
      </c>
      <c r="G27" s="191">
        <v>0.0</v>
      </c>
      <c r="H27" s="191">
        <v>0.0</v>
      </c>
      <c r="I27" s="191">
        <v>0.0</v>
      </c>
      <c r="J27" s="191">
        <v>0.0</v>
      </c>
      <c r="K27" s="191">
        <v>1.0</v>
      </c>
      <c r="L27" s="191">
        <v>0.0</v>
      </c>
      <c r="M27" s="191">
        <v>0.0</v>
      </c>
      <c r="N27" s="191">
        <v>0.0</v>
      </c>
      <c r="O27" s="191">
        <v>0.0</v>
      </c>
      <c r="P27" s="191">
        <v>0.0</v>
      </c>
      <c r="Q27" s="191">
        <v>0.0</v>
      </c>
      <c r="R27" s="191">
        <v>0.0</v>
      </c>
      <c r="S27" s="191">
        <v>0.0</v>
      </c>
      <c r="T27" s="191">
        <v>0.0</v>
      </c>
      <c r="U27" s="191">
        <v>0.0</v>
      </c>
      <c r="V27" s="191">
        <v>0.0</v>
      </c>
      <c r="W27" s="191">
        <v>0.0</v>
      </c>
    </row>
    <row r="28" ht="15.75" customHeight="1">
      <c r="A28" s="191">
        <f t="shared" ref="A28:A86" si="1">A27+1</f>
        <v>2</v>
      </c>
      <c r="B28" s="194"/>
      <c r="C28" s="191">
        <v>200.0</v>
      </c>
      <c r="D28" s="191">
        <v>300.0</v>
      </c>
      <c r="E28" s="191">
        <v>0.0</v>
      </c>
      <c r="F28" s="191">
        <v>0.0</v>
      </c>
      <c r="G28" s="191">
        <v>0.0</v>
      </c>
      <c r="H28" s="191">
        <v>0.0</v>
      </c>
      <c r="I28" s="191">
        <v>0.0</v>
      </c>
      <c r="J28" s="191">
        <v>1.0</v>
      </c>
      <c r="K28" s="191">
        <v>0.0</v>
      </c>
      <c r="L28" s="191">
        <v>0.0</v>
      </c>
      <c r="M28" s="191">
        <v>0.0</v>
      </c>
      <c r="N28" s="191">
        <v>0.0</v>
      </c>
      <c r="O28" s="191">
        <v>0.0</v>
      </c>
      <c r="P28" s="191">
        <v>0.0</v>
      </c>
      <c r="Q28" s="191">
        <v>0.0</v>
      </c>
      <c r="R28" s="191">
        <v>0.0</v>
      </c>
      <c r="S28" s="191">
        <v>0.0</v>
      </c>
      <c r="T28" s="191">
        <v>0.0</v>
      </c>
      <c r="U28" s="191">
        <v>0.0</v>
      </c>
      <c r="V28" s="191">
        <v>0.0</v>
      </c>
      <c r="W28" s="191">
        <v>0.0</v>
      </c>
    </row>
    <row r="29" ht="15.75" customHeight="1">
      <c r="A29" s="191">
        <f t="shared" si="1"/>
        <v>3</v>
      </c>
      <c r="C29" s="191">
        <v>150.0</v>
      </c>
      <c r="D29" s="191">
        <v>240.0</v>
      </c>
      <c r="E29" s="191">
        <v>0.0</v>
      </c>
      <c r="F29" s="191">
        <v>0.0</v>
      </c>
      <c r="G29" s="191">
        <v>0.0</v>
      </c>
      <c r="H29" s="191">
        <v>0.0</v>
      </c>
      <c r="I29" s="191">
        <v>0.0</v>
      </c>
      <c r="J29" s="191">
        <v>1.0</v>
      </c>
      <c r="K29" s="191">
        <v>0.0</v>
      </c>
      <c r="L29" s="191">
        <v>0.0</v>
      </c>
      <c r="M29" s="191">
        <v>0.0</v>
      </c>
      <c r="N29" s="191">
        <v>0.0</v>
      </c>
      <c r="O29" s="191">
        <v>0.0</v>
      </c>
      <c r="P29" s="191">
        <v>0.0</v>
      </c>
      <c r="Q29" s="191">
        <v>0.0</v>
      </c>
      <c r="R29" s="191">
        <v>0.0</v>
      </c>
      <c r="S29" s="191">
        <v>0.0</v>
      </c>
      <c r="T29" s="191">
        <v>0.0</v>
      </c>
      <c r="U29" s="191">
        <v>0.0</v>
      </c>
      <c r="V29" s="191">
        <v>0.0</v>
      </c>
      <c r="W29" s="191">
        <v>0.0</v>
      </c>
    </row>
    <row r="30" ht="15.75" customHeight="1">
      <c r="A30" s="191">
        <f t="shared" si="1"/>
        <v>4</v>
      </c>
      <c r="B30" s="194"/>
      <c r="C30" s="191">
        <v>125.0</v>
      </c>
      <c r="D30" s="191">
        <v>200.0</v>
      </c>
      <c r="E30" s="191">
        <v>0.0</v>
      </c>
      <c r="F30" s="191">
        <v>0.0</v>
      </c>
      <c r="G30" s="191">
        <v>0.0</v>
      </c>
      <c r="H30" s="191">
        <v>0.0</v>
      </c>
      <c r="I30" s="191">
        <v>0.0</v>
      </c>
      <c r="J30" s="191">
        <v>1.0</v>
      </c>
      <c r="K30" s="191">
        <v>0.0</v>
      </c>
      <c r="L30" s="191">
        <v>0.0</v>
      </c>
      <c r="M30" s="191">
        <v>0.0</v>
      </c>
      <c r="N30" s="191">
        <v>0.0</v>
      </c>
      <c r="O30" s="191">
        <v>0.0</v>
      </c>
      <c r="P30" s="191">
        <v>0.0</v>
      </c>
      <c r="Q30" s="191">
        <v>0.0</v>
      </c>
      <c r="R30" s="191">
        <v>0.0</v>
      </c>
      <c r="S30" s="191">
        <v>0.0</v>
      </c>
      <c r="T30" s="191">
        <v>0.0</v>
      </c>
      <c r="U30" s="191">
        <v>0.0</v>
      </c>
      <c r="V30" s="191">
        <v>0.0</v>
      </c>
      <c r="W30" s="191">
        <v>0.0</v>
      </c>
    </row>
    <row r="31" ht="15.75" customHeight="1">
      <c r="A31" s="191">
        <f t="shared" si="1"/>
        <v>5</v>
      </c>
      <c r="C31" s="191">
        <v>100.0</v>
      </c>
      <c r="D31" s="191">
        <v>160.0</v>
      </c>
      <c r="E31" s="191">
        <v>0.0</v>
      </c>
      <c r="F31" s="191">
        <v>0.0</v>
      </c>
      <c r="G31" s="191">
        <v>0.0</v>
      </c>
      <c r="H31" s="191">
        <v>0.0</v>
      </c>
      <c r="I31" s="191">
        <v>0.0</v>
      </c>
      <c r="J31" s="191">
        <v>1.0</v>
      </c>
      <c r="K31" s="191">
        <v>0.0</v>
      </c>
      <c r="L31" s="191">
        <v>0.0</v>
      </c>
      <c r="M31" s="191">
        <v>0.0</v>
      </c>
      <c r="N31" s="191">
        <v>0.0</v>
      </c>
      <c r="O31" s="191">
        <v>0.0</v>
      </c>
      <c r="P31" s="191">
        <v>0.0</v>
      </c>
      <c r="Q31" s="191">
        <v>0.0</v>
      </c>
      <c r="R31" s="191">
        <v>0.0</v>
      </c>
      <c r="S31" s="191">
        <v>0.0</v>
      </c>
      <c r="T31" s="191">
        <v>0.0</v>
      </c>
      <c r="U31" s="191">
        <v>0.0</v>
      </c>
      <c r="V31" s="191">
        <v>0.0</v>
      </c>
      <c r="W31" s="191">
        <v>0.0</v>
      </c>
    </row>
    <row r="32" ht="15.75" customHeight="1">
      <c r="A32" s="191">
        <f t="shared" si="1"/>
        <v>6</v>
      </c>
      <c r="B32" s="194"/>
      <c r="C32" s="191">
        <v>0.0</v>
      </c>
      <c r="D32" s="191">
        <v>140.0</v>
      </c>
      <c r="E32" s="191">
        <v>0.0</v>
      </c>
      <c r="F32" s="191">
        <v>0.0</v>
      </c>
      <c r="G32" s="191">
        <v>0.0</v>
      </c>
      <c r="H32" s="191">
        <v>0.0</v>
      </c>
      <c r="I32" s="191">
        <v>1.0</v>
      </c>
      <c r="J32" s="191">
        <v>0.0</v>
      </c>
      <c r="K32" s="191">
        <v>0.0</v>
      </c>
      <c r="L32" s="191">
        <v>0.0</v>
      </c>
      <c r="M32" s="191">
        <v>0.0</v>
      </c>
      <c r="N32" s="191">
        <v>0.0</v>
      </c>
      <c r="O32" s="191">
        <v>0.0</v>
      </c>
      <c r="P32" s="191">
        <v>0.0</v>
      </c>
      <c r="Q32" s="191">
        <v>0.0</v>
      </c>
      <c r="R32" s="191">
        <v>0.0</v>
      </c>
      <c r="S32" s="191">
        <v>0.0</v>
      </c>
      <c r="T32" s="191">
        <v>0.0</v>
      </c>
      <c r="U32" s="191">
        <v>0.0</v>
      </c>
      <c r="V32" s="191">
        <v>0.0</v>
      </c>
      <c r="W32" s="191">
        <v>0.0</v>
      </c>
    </row>
    <row r="33" ht="15.75" customHeight="1">
      <c r="A33" s="191">
        <f t="shared" si="1"/>
        <v>7</v>
      </c>
      <c r="C33" s="191">
        <v>0.0</v>
      </c>
      <c r="D33" s="191">
        <v>125.0</v>
      </c>
      <c r="E33" s="191">
        <v>0.0</v>
      </c>
      <c r="F33" s="191">
        <v>0.0</v>
      </c>
      <c r="G33" s="191">
        <v>0.0</v>
      </c>
      <c r="H33" s="191">
        <v>0.0</v>
      </c>
      <c r="I33" s="191">
        <v>1.0</v>
      </c>
      <c r="J33" s="191">
        <v>0.0</v>
      </c>
      <c r="K33" s="191">
        <v>0.0</v>
      </c>
      <c r="L33" s="191">
        <v>0.0</v>
      </c>
      <c r="M33" s="191">
        <v>0.0</v>
      </c>
      <c r="N33" s="191">
        <v>0.0</v>
      </c>
      <c r="O33" s="191">
        <v>0.0</v>
      </c>
      <c r="P33" s="191">
        <v>0.0</v>
      </c>
      <c r="Q33" s="191">
        <v>0.0</v>
      </c>
      <c r="R33" s="191">
        <v>0.0</v>
      </c>
      <c r="S33" s="191">
        <v>0.0</v>
      </c>
      <c r="T33" s="191">
        <v>0.0</v>
      </c>
      <c r="U33" s="191">
        <v>0.0</v>
      </c>
      <c r="V33" s="191">
        <v>0.0</v>
      </c>
      <c r="W33" s="191">
        <v>0.0</v>
      </c>
    </row>
    <row r="34" ht="15.75" customHeight="1">
      <c r="A34" s="191">
        <f t="shared" si="1"/>
        <v>8</v>
      </c>
      <c r="B34" s="194"/>
      <c r="C34" s="191">
        <v>0.0</v>
      </c>
      <c r="D34" s="191">
        <v>120.0</v>
      </c>
      <c r="E34" s="191">
        <v>0.0</v>
      </c>
      <c r="F34" s="191">
        <v>0.0</v>
      </c>
      <c r="G34" s="191">
        <v>0.0</v>
      </c>
      <c r="H34" s="191">
        <v>0.0</v>
      </c>
      <c r="I34" s="191">
        <v>1.0</v>
      </c>
      <c r="J34" s="191">
        <v>0.0</v>
      </c>
      <c r="K34" s="191">
        <v>0.0</v>
      </c>
      <c r="L34" s="191">
        <v>0.0</v>
      </c>
      <c r="M34" s="191">
        <v>0.0</v>
      </c>
      <c r="N34" s="191">
        <v>0.0</v>
      </c>
      <c r="O34" s="191">
        <v>0.0</v>
      </c>
      <c r="P34" s="191">
        <v>0.0</v>
      </c>
      <c r="Q34" s="191">
        <v>0.0</v>
      </c>
      <c r="R34" s="191">
        <v>0.0</v>
      </c>
      <c r="S34" s="191">
        <v>0.0</v>
      </c>
      <c r="T34" s="191">
        <v>0.0</v>
      </c>
      <c r="U34" s="191">
        <v>0.0</v>
      </c>
      <c r="V34" s="191">
        <v>0.0</v>
      </c>
      <c r="W34" s="191">
        <v>0.0</v>
      </c>
    </row>
    <row r="35" ht="15.75" customHeight="1">
      <c r="A35" s="191">
        <f t="shared" si="1"/>
        <v>9</v>
      </c>
      <c r="C35" s="191">
        <v>0.0</v>
      </c>
      <c r="D35" s="191">
        <v>115.0</v>
      </c>
      <c r="E35" s="191">
        <v>0.0</v>
      </c>
      <c r="F35" s="191">
        <v>0.0</v>
      </c>
      <c r="G35" s="191">
        <v>0.0</v>
      </c>
      <c r="H35" s="191">
        <v>0.0</v>
      </c>
      <c r="I35" s="191">
        <v>1.0</v>
      </c>
      <c r="J35" s="191">
        <v>0.0</v>
      </c>
      <c r="K35" s="191">
        <v>0.0</v>
      </c>
      <c r="L35" s="191">
        <v>0.0</v>
      </c>
      <c r="M35" s="191">
        <v>0.0</v>
      </c>
      <c r="N35" s="191">
        <v>0.0</v>
      </c>
      <c r="O35" s="191">
        <v>0.0</v>
      </c>
      <c r="P35" s="191">
        <v>0.0</v>
      </c>
      <c r="Q35" s="191">
        <v>0.0</v>
      </c>
      <c r="R35" s="191">
        <v>0.0</v>
      </c>
      <c r="S35" s="191">
        <v>0.0</v>
      </c>
      <c r="T35" s="191">
        <v>0.0</v>
      </c>
      <c r="U35" s="191">
        <v>0.0</v>
      </c>
      <c r="V35" s="191">
        <v>0.0</v>
      </c>
      <c r="W35" s="191">
        <v>0.0</v>
      </c>
    </row>
    <row r="36" ht="15.75" customHeight="1">
      <c r="A36" s="191">
        <f t="shared" si="1"/>
        <v>10</v>
      </c>
      <c r="B36" s="194"/>
      <c r="C36" s="191">
        <v>0.0</v>
      </c>
      <c r="D36" s="191">
        <v>110.0</v>
      </c>
      <c r="E36" s="191">
        <v>0.0</v>
      </c>
      <c r="F36" s="191">
        <v>0.0</v>
      </c>
      <c r="G36" s="191">
        <v>0.0</v>
      </c>
      <c r="H36" s="191">
        <v>0.0</v>
      </c>
      <c r="I36" s="191">
        <v>1.0</v>
      </c>
      <c r="J36" s="191">
        <v>0.0</v>
      </c>
      <c r="K36" s="191">
        <v>0.0</v>
      </c>
      <c r="L36" s="191">
        <v>0.0</v>
      </c>
      <c r="M36" s="191">
        <v>0.0</v>
      </c>
      <c r="N36" s="191">
        <v>0.0</v>
      </c>
      <c r="O36" s="191">
        <v>0.0</v>
      </c>
      <c r="P36" s="191">
        <v>0.0</v>
      </c>
      <c r="Q36" s="191">
        <v>0.0</v>
      </c>
      <c r="R36" s="191">
        <v>0.0</v>
      </c>
      <c r="S36" s="191">
        <v>0.0</v>
      </c>
      <c r="T36" s="191">
        <v>0.0</v>
      </c>
      <c r="U36" s="191">
        <v>0.0</v>
      </c>
      <c r="V36" s="191">
        <v>0.0</v>
      </c>
      <c r="W36" s="191">
        <v>0.0</v>
      </c>
    </row>
    <row r="37" ht="15.75" customHeight="1">
      <c r="A37" s="191">
        <f t="shared" si="1"/>
        <v>11</v>
      </c>
      <c r="C37" s="191">
        <v>0.0</v>
      </c>
      <c r="D37" s="191">
        <v>105.0</v>
      </c>
      <c r="E37" s="191">
        <v>0.0</v>
      </c>
      <c r="F37" s="191">
        <v>0.0</v>
      </c>
      <c r="G37" s="191">
        <v>0.0</v>
      </c>
      <c r="H37" s="191">
        <v>1.0</v>
      </c>
      <c r="I37" s="191">
        <v>0.0</v>
      </c>
      <c r="J37" s="191">
        <v>0.0</v>
      </c>
      <c r="K37" s="191">
        <v>0.0</v>
      </c>
      <c r="L37" s="191">
        <v>0.0</v>
      </c>
      <c r="M37" s="191">
        <v>0.0</v>
      </c>
      <c r="N37" s="191">
        <v>0.0</v>
      </c>
      <c r="O37" s="191">
        <v>0.0</v>
      </c>
      <c r="P37" s="191">
        <v>0.0</v>
      </c>
      <c r="Q37" s="191">
        <v>0.0</v>
      </c>
      <c r="R37" s="191">
        <v>0.0</v>
      </c>
      <c r="S37" s="191">
        <v>0.0</v>
      </c>
      <c r="T37" s="191">
        <v>0.0</v>
      </c>
      <c r="U37" s="191">
        <v>0.0</v>
      </c>
      <c r="V37" s="191">
        <v>0.0</v>
      </c>
      <c r="W37" s="191">
        <v>0.0</v>
      </c>
    </row>
    <row r="38" ht="15.75" customHeight="1">
      <c r="A38" s="191">
        <f t="shared" si="1"/>
        <v>12</v>
      </c>
      <c r="B38" s="194"/>
      <c r="C38" s="191">
        <v>0.0</v>
      </c>
      <c r="D38" s="191">
        <v>100.0</v>
      </c>
      <c r="E38" s="191">
        <v>0.0</v>
      </c>
      <c r="F38" s="191">
        <v>0.0</v>
      </c>
      <c r="G38" s="191">
        <v>0.0</v>
      </c>
      <c r="H38" s="191">
        <v>1.0</v>
      </c>
      <c r="I38" s="191">
        <v>0.0</v>
      </c>
      <c r="J38" s="191">
        <v>0.0</v>
      </c>
      <c r="K38" s="191">
        <v>0.0</v>
      </c>
      <c r="L38" s="191">
        <v>0.0</v>
      </c>
      <c r="M38" s="191">
        <v>0.0</v>
      </c>
      <c r="N38" s="191">
        <v>0.0</v>
      </c>
      <c r="O38" s="191">
        <v>0.0</v>
      </c>
      <c r="P38" s="191">
        <v>0.0</v>
      </c>
      <c r="Q38" s="191">
        <v>0.0</v>
      </c>
      <c r="R38" s="191">
        <v>0.0</v>
      </c>
      <c r="S38" s="191">
        <v>0.0</v>
      </c>
      <c r="T38" s="191">
        <v>0.0</v>
      </c>
      <c r="U38" s="191">
        <v>0.0</v>
      </c>
      <c r="V38" s="191">
        <v>0.0</v>
      </c>
      <c r="W38" s="191">
        <v>0.0</v>
      </c>
    </row>
    <row r="39" ht="15.75" customHeight="1">
      <c r="A39" s="191">
        <f t="shared" si="1"/>
        <v>13</v>
      </c>
      <c r="C39" s="191">
        <v>0.0</v>
      </c>
      <c r="D39" s="191">
        <v>95.0</v>
      </c>
      <c r="E39" s="191">
        <v>0.0</v>
      </c>
      <c r="F39" s="191">
        <v>0.0</v>
      </c>
      <c r="G39" s="191">
        <v>1.0</v>
      </c>
      <c r="H39" s="191">
        <v>0.0</v>
      </c>
      <c r="I39" s="191">
        <v>0.0</v>
      </c>
      <c r="J39" s="191">
        <v>0.0</v>
      </c>
      <c r="K39" s="191">
        <v>0.0</v>
      </c>
      <c r="L39" s="191">
        <v>0.0</v>
      </c>
      <c r="M39" s="191">
        <v>0.0</v>
      </c>
      <c r="N39" s="191">
        <v>0.0</v>
      </c>
      <c r="O39" s="191">
        <v>0.0</v>
      </c>
      <c r="P39" s="191">
        <v>0.0</v>
      </c>
      <c r="Q39" s="191">
        <v>0.0</v>
      </c>
      <c r="R39" s="191">
        <v>0.0</v>
      </c>
      <c r="S39" s="191">
        <v>0.0</v>
      </c>
      <c r="T39" s="191">
        <v>0.0</v>
      </c>
      <c r="U39" s="191">
        <v>0.0</v>
      </c>
      <c r="V39" s="191">
        <v>0.0</v>
      </c>
      <c r="W39" s="191">
        <v>0.0</v>
      </c>
    </row>
    <row r="40" ht="15.75" customHeight="1">
      <c r="A40" s="191">
        <f t="shared" si="1"/>
        <v>14</v>
      </c>
      <c r="B40" s="194"/>
      <c r="C40" s="191">
        <v>0.0</v>
      </c>
      <c r="D40" s="191">
        <v>90.0</v>
      </c>
      <c r="E40" s="191">
        <v>0.0</v>
      </c>
      <c r="F40" s="191">
        <v>0.0</v>
      </c>
      <c r="G40" s="191">
        <v>1.0</v>
      </c>
      <c r="H40" s="191">
        <v>0.0</v>
      </c>
      <c r="I40" s="191">
        <v>0.0</v>
      </c>
      <c r="J40" s="191">
        <v>0.0</v>
      </c>
      <c r="K40" s="191">
        <v>0.0</v>
      </c>
      <c r="L40" s="191">
        <v>0.0</v>
      </c>
      <c r="M40" s="191">
        <v>0.0</v>
      </c>
      <c r="N40" s="191">
        <v>0.0</v>
      </c>
      <c r="O40" s="191">
        <v>0.0</v>
      </c>
      <c r="P40" s="191">
        <v>0.0</v>
      </c>
      <c r="Q40" s="191">
        <v>0.0</v>
      </c>
      <c r="R40" s="191">
        <v>0.0</v>
      </c>
      <c r="S40" s="191">
        <v>0.0</v>
      </c>
      <c r="T40" s="191">
        <v>0.0</v>
      </c>
      <c r="U40" s="191">
        <v>0.0</v>
      </c>
      <c r="V40" s="191">
        <v>0.0</v>
      </c>
      <c r="W40" s="191">
        <v>0.0</v>
      </c>
    </row>
    <row r="41" ht="15.75" customHeight="1">
      <c r="A41" s="191">
        <f t="shared" si="1"/>
        <v>15</v>
      </c>
      <c r="C41" s="191">
        <v>0.0</v>
      </c>
      <c r="D41" s="191">
        <v>85.0</v>
      </c>
      <c r="E41" s="191">
        <v>0.0</v>
      </c>
      <c r="F41" s="191">
        <v>1.0</v>
      </c>
      <c r="G41" s="191">
        <v>0.0</v>
      </c>
      <c r="H41" s="191">
        <v>0.0</v>
      </c>
      <c r="I41" s="191">
        <v>0.0</v>
      </c>
      <c r="J41" s="191">
        <v>0.0</v>
      </c>
      <c r="K41" s="191">
        <v>0.0</v>
      </c>
      <c r="L41" s="191">
        <v>0.0</v>
      </c>
      <c r="M41" s="191">
        <v>0.0</v>
      </c>
      <c r="N41" s="191">
        <v>0.0</v>
      </c>
      <c r="O41" s="191">
        <v>0.0</v>
      </c>
      <c r="P41" s="191">
        <v>0.0</v>
      </c>
      <c r="Q41" s="191">
        <v>0.0</v>
      </c>
      <c r="R41" s="191">
        <v>0.0</v>
      </c>
      <c r="S41" s="191">
        <v>0.0</v>
      </c>
      <c r="T41" s="191">
        <v>0.0</v>
      </c>
      <c r="U41" s="191">
        <v>0.0</v>
      </c>
      <c r="V41" s="191">
        <v>0.0</v>
      </c>
      <c r="W41" s="191">
        <v>0.0</v>
      </c>
    </row>
    <row r="42" ht="15.75" customHeight="1">
      <c r="A42" s="191">
        <f t="shared" si="1"/>
        <v>16</v>
      </c>
      <c r="B42" s="194"/>
      <c r="C42" s="191">
        <v>0.0</v>
      </c>
      <c r="D42" s="191">
        <v>80.0</v>
      </c>
      <c r="E42" s="191">
        <v>0.0</v>
      </c>
      <c r="F42" s="191">
        <v>1.0</v>
      </c>
      <c r="G42" s="191">
        <v>0.0</v>
      </c>
      <c r="H42" s="191">
        <v>0.0</v>
      </c>
      <c r="I42" s="191">
        <v>0.0</v>
      </c>
      <c r="J42" s="191">
        <v>0.0</v>
      </c>
      <c r="K42" s="191">
        <v>0.0</v>
      </c>
      <c r="L42" s="191">
        <v>0.0</v>
      </c>
      <c r="M42" s="191">
        <v>0.0</v>
      </c>
      <c r="N42" s="191">
        <v>0.0</v>
      </c>
      <c r="O42" s="191">
        <v>0.0</v>
      </c>
      <c r="P42" s="191">
        <v>0.0</v>
      </c>
      <c r="Q42" s="191">
        <v>0.0</v>
      </c>
      <c r="R42" s="191">
        <v>0.0</v>
      </c>
      <c r="S42" s="191">
        <v>0.0</v>
      </c>
      <c r="T42" s="191">
        <v>0.0</v>
      </c>
      <c r="U42" s="191">
        <v>0.0</v>
      </c>
      <c r="V42" s="191">
        <v>0.0</v>
      </c>
      <c r="W42" s="191">
        <v>0.0</v>
      </c>
    </row>
    <row r="43" ht="15.75" customHeight="1">
      <c r="A43" s="191">
        <f t="shared" si="1"/>
        <v>17</v>
      </c>
      <c r="C43" s="191">
        <v>0.0</v>
      </c>
      <c r="D43" s="191">
        <v>75.0</v>
      </c>
      <c r="E43" s="191">
        <v>0.0</v>
      </c>
      <c r="F43" s="191">
        <v>0.0</v>
      </c>
      <c r="G43" s="191">
        <v>0.0</v>
      </c>
      <c r="H43" s="191">
        <v>0.0</v>
      </c>
      <c r="I43" s="191">
        <v>0.0</v>
      </c>
      <c r="J43" s="191">
        <v>0.0</v>
      </c>
      <c r="K43" s="191">
        <v>0.0</v>
      </c>
      <c r="L43" s="191">
        <v>0.0</v>
      </c>
      <c r="M43" s="191">
        <v>0.0</v>
      </c>
      <c r="N43" s="191">
        <v>0.0</v>
      </c>
      <c r="O43" s="191">
        <v>0.0</v>
      </c>
      <c r="P43" s="191">
        <v>0.0</v>
      </c>
      <c r="Q43" s="191">
        <v>0.0</v>
      </c>
      <c r="R43" s="191">
        <v>0.0</v>
      </c>
      <c r="S43" s="191">
        <v>0.0</v>
      </c>
      <c r="T43" s="191">
        <v>0.0</v>
      </c>
      <c r="U43" s="191">
        <v>0.0</v>
      </c>
      <c r="V43" s="191">
        <v>0.0</v>
      </c>
      <c r="W43" s="191">
        <v>0.0</v>
      </c>
    </row>
    <row r="44" ht="15.75" customHeight="1">
      <c r="A44" s="191">
        <f t="shared" si="1"/>
        <v>18</v>
      </c>
      <c r="B44" s="194"/>
      <c r="C44" s="191">
        <v>0.0</v>
      </c>
      <c r="D44" s="191">
        <v>70.0</v>
      </c>
      <c r="E44" s="191">
        <v>0.0</v>
      </c>
      <c r="F44" s="191">
        <v>0.0</v>
      </c>
      <c r="G44" s="191">
        <v>0.0</v>
      </c>
      <c r="H44" s="191">
        <v>0.0</v>
      </c>
      <c r="I44" s="191">
        <v>0.0</v>
      </c>
      <c r="J44" s="191">
        <v>0.0</v>
      </c>
      <c r="K44" s="191">
        <v>0.0</v>
      </c>
      <c r="L44" s="191">
        <v>0.0</v>
      </c>
      <c r="M44" s="191">
        <v>0.0</v>
      </c>
      <c r="N44" s="191">
        <v>0.0</v>
      </c>
      <c r="O44" s="191">
        <v>0.0</v>
      </c>
      <c r="P44" s="191">
        <v>0.0</v>
      </c>
      <c r="Q44" s="191">
        <v>0.0</v>
      </c>
      <c r="R44" s="191">
        <v>0.0</v>
      </c>
      <c r="S44" s="191">
        <v>0.0</v>
      </c>
      <c r="T44" s="191">
        <v>0.0</v>
      </c>
      <c r="U44" s="191">
        <v>0.0</v>
      </c>
      <c r="V44" s="191">
        <v>0.0</v>
      </c>
      <c r="W44" s="191">
        <v>0.0</v>
      </c>
    </row>
    <row r="45" ht="15.75" customHeight="1">
      <c r="A45" s="191">
        <f t="shared" si="1"/>
        <v>19</v>
      </c>
      <c r="C45" s="191">
        <v>0.0</v>
      </c>
      <c r="D45" s="191">
        <v>65.0</v>
      </c>
      <c r="E45" s="191">
        <v>0.0</v>
      </c>
      <c r="F45" s="191">
        <v>0.0</v>
      </c>
      <c r="G45" s="191">
        <v>0.0</v>
      </c>
      <c r="H45" s="191">
        <v>0.0</v>
      </c>
      <c r="I45" s="191">
        <v>0.0</v>
      </c>
      <c r="J45" s="191">
        <v>0.0</v>
      </c>
      <c r="K45" s="191">
        <v>0.0</v>
      </c>
      <c r="L45" s="191">
        <v>0.0</v>
      </c>
      <c r="M45" s="191">
        <v>0.0</v>
      </c>
      <c r="N45" s="191">
        <v>0.0</v>
      </c>
      <c r="O45" s="191">
        <v>0.0</v>
      </c>
      <c r="P45" s="191">
        <v>0.0</v>
      </c>
      <c r="Q45" s="191">
        <v>0.0</v>
      </c>
      <c r="R45" s="191">
        <v>0.0</v>
      </c>
      <c r="S45" s="191">
        <v>0.0</v>
      </c>
      <c r="T45" s="191">
        <v>0.0</v>
      </c>
      <c r="U45" s="191">
        <v>0.0</v>
      </c>
      <c r="V45" s="191">
        <v>0.0</v>
      </c>
      <c r="W45" s="191">
        <v>0.0</v>
      </c>
    </row>
    <row r="46" ht="15.75" customHeight="1">
      <c r="A46" s="191">
        <f t="shared" si="1"/>
        <v>20</v>
      </c>
      <c r="B46" s="194"/>
      <c r="C46" s="191">
        <v>0.0</v>
      </c>
      <c r="D46" s="191">
        <v>60.0</v>
      </c>
      <c r="E46" s="191">
        <v>0.0</v>
      </c>
      <c r="F46" s="191">
        <v>0.0</v>
      </c>
      <c r="G46" s="191">
        <v>0.0</v>
      </c>
      <c r="H46" s="191">
        <v>0.0</v>
      </c>
      <c r="I46" s="191">
        <v>0.0</v>
      </c>
      <c r="J46" s="191">
        <v>0.0</v>
      </c>
      <c r="K46" s="191">
        <v>0.0</v>
      </c>
      <c r="L46" s="191">
        <v>0.0</v>
      </c>
      <c r="M46" s="191">
        <v>0.0</v>
      </c>
      <c r="N46" s="191">
        <v>0.0</v>
      </c>
      <c r="O46" s="191">
        <v>0.0</v>
      </c>
      <c r="P46" s="191">
        <v>0.0</v>
      </c>
      <c r="Q46" s="191">
        <v>0.0</v>
      </c>
      <c r="R46" s="191">
        <v>0.0</v>
      </c>
      <c r="S46" s="191">
        <v>0.0</v>
      </c>
      <c r="T46" s="191">
        <v>0.0</v>
      </c>
      <c r="U46" s="191">
        <v>0.0</v>
      </c>
      <c r="V46" s="191">
        <v>0.0</v>
      </c>
      <c r="W46" s="191">
        <v>0.0</v>
      </c>
    </row>
    <row r="47" ht="15.75" customHeight="1">
      <c r="A47" s="191">
        <f t="shared" si="1"/>
        <v>21</v>
      </c>
      <c r="C47" s="191">
        <v>0.0</v>
      </c>
      <c r="D47" s="191">
        <v>55.0</v>
      </c>
      <c r="E47" s="191">
        <v>0.0</v>
      </c>
      <c r="F47" s="191">
        <v>0.0</v>
      </c>
      <c r="G47" s="191">
        <v>0.0</v>
      </c>
      <c r="H47" s="191">
        <v>0.0</v>
      </c>
      <c r="I47" s="191">
        <v>0.0</v>
      </c>
      <c r="J47" s="191">
        <v>0.0</v>
      </c>
      <c r="K47" s="191">
        <v>0.0</v>
      </c>
      <c r="L47" s="191">
        <v>0.0</v>
      </c>
      <c r="M47" s="191">
        <v>0.0</v>
      </c>
      <c r="N47" s="191">
        <v>0.0</v>
      </c>
      <c r="O47" s="191">
        <v>0.0</v>
      </c>
      <c r="P47" s="191">
        <v>0.0</v>
      </c>
      <c r="Q47" s="191">
        <v>0.0</v>
      </c>
      <c r="R47" s="191">
        <v>0.0</v>
      </c>
      <c r="S47" s="191">
        <v>0.0</v>
      </c>
      <c r="T47" s="191">
        <v>0.0</v>
      </c>
      <c r="U47" s="191">
        <v>0.0</v>
      </c>
      <c r="V47" s="191">
        <v>0.0</v>
      </c>
      <c r="W47" s="191">
        <v>0.0</v>
      </c>
    </row>
    <row r="48" ht="15.75" customHeight="1">
      <c r="A48" s="191">
        <f t="shared" si="1"/>
        <v>22</v>
      </c>
      <c r="B48" s="194"/>
      <c r="C48" s="191">
        <v>0.0</v>
      </c>
      <c r="D48" s="191">
        <v>50.0</v>
      </c>
      <c r="E48" s="191">
        <v>0.0</v>
      </c>
      <c r="F48" s="191">
        <v>0.0</v>
      </c>
      <c r="G48" s="191">
        <v>0.0</v>
      </c>
      <c r="H48" s="191">
        <v>0.0</v>
      </c>
      <c r="I48" s="191">
        <v>0.0</v>
      </c>
      <c r="J48" s="191">
        <v>0.0</v>
      </c>
      <c r="K48" s="191">
        <v>0.0</v>
      </c>
      <c r="L48" s="191">
        <v>0.0</v>
      </c>
      <c r="M48" s="191">
        <v>0.0</v>
      </c>
      <c r="N48" s="191">
        <v>0.0</v>
      </c>
      <c r="O48" s="191">
        <v>0.0</v>
      </c>
      <c r="P48" s="191">
        <v>0.0</v>
      </c>
      <c r="Q48" s="191">
        <v>0.0</v>
      </c>
      <c r="R48" s="191">
        <v>0.0</v>
      </c>
      <c r="S48" s="191">
        <v>0.0</v>
      </c>
      <c r="T48" s="191">
        <v>0.0</v>
      </c>
      <c r="U48" s="191">
        <v>0.0</v>
      </c>
      <c r="V48" s="191">
        <v>0.0</v>
      </c>
      <c r="W48" s="191">
        <v>0.0</v>
      </c>
    </row>
    <row r="49" ht="15.75" customHeight="1">
      <c r="A49" s="191">
        <f t="shared" si="1"/>
        <v>23</v>
      </c>
      <c r="C49" s="191">
        <v>0.0</v>
      </c>
      <c r="D49" s="191">
        <v>45.0</v>
      </c>
      <c r="E49" s="191">
        <v>0.0</v>
      </c>
      <c r="F49" s="191">
        <v>0.0</v>
      </c>
      <c r="G49" s="191">
        <v>0.0</v>
      </c>
      <c r="H49" s="191">
        <v>0.0</v>
      </c>
      <c r="I49" s="191">
        <v>0.0</v>
      </c>
      <c r="J49" s="191">
        <v>0.0</v>
      </c>
      <c r="K49" s="191">
        <v>0.0</v>
      </c>
      <c r="L49" s="191">
        <v>0.0</v>
      </c>
      <c r="M49" s="191">
        <v>0.0</v>
      </c>
      <c r="N49" s="191">
        <v>0.0</v>
      </c>
      <c r="O49" s="191">
        <v>0.0</v>
      </c>
      <c r="P49" s="191">
        <v>0.0</v>
      </c>
      <c r="Q49" s="191">
        <v>0.0</v>
      </c>
      <c r="R49" s="191">
        <v>0.0</v>
      </c>
      <c r="S49" s="191">
        <v>0.0</v>
      </c>
      <c r="T49" s="191">
        <v>0.0</v>
      </c>
      <c r="U49" s="191">
        <v>0.0</v>
      </c>
      <c r="V49" s="191">
        <v>0.0</v>
      </c>
      <c r="W49" s="191">
        <v>0.0</v>
      </c>
    </row>
    <row r="50" ht="15.75" customHeight="1">
      <c r="A50" s="191">
        <f t="shared" si="1"/>
        <v>24</v>
      </c>
      <c r="B50" s="194"/>
      <c r="C50" s="191">
        <v>0.0</v>
      </c>
      <c r="D50" s="191">
        <v>40.0</v>
      </c>
      <c r="E50" s="191">
        <v>0.0</v>
      </c>
      <c r="F50" s="191">
        <v>0.0</v>
      </c>
      <c r="G50" s="191">
        <v>0.0</v>
      </c>
      <c r="H50" s="191">
        <v>0.0</v>
      </c>
      <c r="I50" s="191">
        <v>0.0</v>
      </c>
      <c r="J50" s="191">
        <v>0.0</v>
      </c>
      <c r="K50" s="191">
        <v>0.0</v>
      </c>
      <c r="L50" s="191">
        <v>0.0</v>
      </c>
      <c r="M50" s="191">
        <v>0.0</v>
      </c>
      <c r="N50" s="191">
        <v>0.0</v>
      </c>
      <c r="O50" s="191">
        <v>0.0</v>
      </c>
      <c r="P50" s="191">
        <v>0.0</v>
      </c>
      <c r="Q50" s="191">
        <v>0.0</v>
      </c>
      <c r="R50" s="191">
        <v>0.0</v>
      </c>
      <c r="S50" s="191">
        <v>0.0</v>
      </c>
      <c r="T50" s="191">
        <v>0.0</v>
      </c>
      <c r="U50" s="191">
        <v>0.0</v>
      </c>
      <c r="V50" s="191">
        <v>0.0</v>
      </c>
      <c r="W50" s="191">
        <v>0.0</v>
      </c>
    </row>
    <row r="51" ht="15.75" customHeight="1">
      <c r="A51" s="191">
        <f t="shared" si="1"/>
        <v>25</v>
      </c>
      <c r="C51" s="191">
        <v>0.0</v>
      </c>
      <c r="D51" s="191">
        <v>35.0</v>
      </c>
      <c r="E51" s="191">
        <v>0.0</v>
      </c>
      <c r="F51" s="191">
        <v>0.0</v>
      </c>
      <c r="G51" s="191">
        <v>0.0</v>
      </c>
      <c r="H51" s="191">
        <v>0.0</v>
      </c>
      <c r="I51" s="191">
        <v>0.0</v>
      </c>
      <c r="J51" s="191">
        <v>0.0</v>
      </c>
      <c r="K51" s="191">
        <v>0.0</v>
      </c>
      <c r="L51" s="191">
        <v>0.0</v>
      </c>
      <c r="M51" s="191">
        <v>0.0</v>
      </c>
      <c r="N51" s="191">
        <v>0.0</v>
      </c>
      <c r="O51" s="191">
        <v>0.0</v>
      </c>
      <c r="P51" s="191">
        <v>0.0</v>
      </c>
      <c r="Q51" s="191">
        <v>0.0</v>
      </c>
      <c r="R51" s="191">
        <v>0.0</v>
      </c>
      <c r="S51" s="191">
        <v>0.0</v>
      </c>
      <c r="T51" s="191">
        <v>0.0</v>
      </c>
      <c r="U51" s="191">
        <v>0.0</v>
      </c>
      <c r="V51" s="191">
        <v>0.0</v>
      </c>
      <c r="W51" s="191">
        <v>0.0</v>
      </c>
    </row>
    <row r="52" ht="15.75" customHeight="1">
      <c r="A52" s="191">
        <f t="shared" si="1"/>
        <v>26</v>
      </c>
      <c r="B52" s="194"/>
      <c r="C52" s="191">
        <v>0.0</v>
      </c>
      <c r="D52" s="191">
        <v>0.0</v>
      </c>
      <c r="E52" s="191">
        <v>0.0</v>
      </c>
      <c r="F52" s="191">
        <v>0.0</v>
      </c>
      <c r="G52" s="191">
        <v>0.0</v>
      </c>
      <c r="H52" s="191">
        <v>0.0</v>
      </c>
      <c r="I52" s="191">
        <v>0.0</v>
      </c>
      <c r="J52" s="191">
        <v>0.0</v>
      </c>
      <c r="K52" s="191">
        <v>0.0</v>
      </c>
      <c r="L52" s="191">
        <v>0.0</v>
      </c>
      <c r="M52" s="191">
        <v>0.0</v>
      </c>
      <c r="N52" s="191">
        <v>0.0</v>
      </c>
      <c r="O52" s="191">
        <v>0.0</v>
      </c>
      <c r="P52" s="191">
        <v>0.0</v>
      </c>
      <c r="Q52" s="191">
        <v>0.0</v>
      </c>
      <c r="R52" s="191">
        <v>0.0</v>
      </c>
      <c r="S52" s="191">
        <v>0.0</v>
      </c>
      <c r="T52" s="191">
        <v>0.0</v>
      </c>
      <c r="U52" s="191">
        <v>0.0</v>
      </c>
      <c r="V52" s="191">
        <v>0.0</v>
      </c>
      <c r="W52" s="191">
        <v>0.0</v>
      </c>
    </row>
    <row r="53" ht="15.75" customHeight="1">
      <c r="A53" s="191">
        <f t="shared" si="1"/>
        <v>27</v>
      </c>
      <c r="C53" s="191">
        <v>0.0</v>
      </c>
      <c r="D53" s="191">
        <v>0.0</v>
      </c>
      <c r="E53" s="191">
        <v>0.0</v>
      </c>
      <c r="F53" s="191">
        <v>0.0</v>
      </c>
      <c r="G53" s="191">
        <v>0.0</v>
      </c>
      <c r="H53" s="191">
        <v>0.0</v>
      </c>
      <c r="I53" s="191">
        <v>0.0</v>
      </c>
      <c r="J53" s="191">
        <v>0.0</v>
      </c>
      <c r="K53" s="191">
        <v>0.0</v>
      </c>
      <c r="L53" s="191">
        <v>0.0</v>
      </c>
      <c r="M53" s="191">
        <v>0.0</v>
      </c>
      <c r="N53" s="191">
        <v>0.0</v>
      </c>
      <c r="O53" s="191">
        <v>0.0</v>
      </c>
      <c r="P53" s="191">
        <v>0.0</v>
      </c>
      <c r="Q53" s="191">
        <v>0.0</v>
      </c>
      <c r="R53" s="191">
        <v>0.0</v>
      </c>
      <c r="S53" s="191">
        <v>0.0</v>
      </c>
      <c r="T53" s="191">
        <v>0.0</v>
      </c>
      <c r="U53" s="191">
        <v>0.0</v>
      </c>
      <c r="V53" s="191">
        <v>0.0</v>
      </c>
      <c r="W53" s="191">
        <v>0.0</v>
      </c>
    </row>
    <row r="54" ht="15.75" customHeight="1">
      <c r="A54" s="191">
        <f t="shared" si="1"/>
        <v>28</v>
      </c>
      <c r="B54" s="194"/>
      <c r="C54" s="191">
        <v>0.0</v>
      </c>
      <c r="D54" s="191">
        <v>0.0</v>
      </c>
      <c r="E54" s="191">
        <v>0.0</v>
      </c>
      <c r="F54" s="191">
        <v>0.0</v>
      </c>
      <c r="G54" s="191">
        <v>0.0</v>
      </c>
      <c r="H54" s="191">
        <v>0.0</v>
      </c>
      <c r="I54" s="191">
        <v>0.0</v>
      </c>
      <c r="J54" s="191">
        <v>0.0</v>
      </c>
      <c r="K54" s="191">
        <v>0.0</v>
      </c>
      <c r="L54" s="191">
        <v>0.0</v>
      </c>
      <c r="M54" s="191">
        <v>0.0</v>
      </c>
      <c r="N54" s="191">
        <v>0.0</v>
      </c>
      <c r="O54" s="191">
        <v>0.0</v>
      </c>
      <c r="P54" s="191">
        <v>0.0</v>
      </c>
      <c r="Q54" s="191">
        <v>0.0</v>
      </c>
      <c r="R54" s="191">
        <v>0.0</v>
      </c>
      <c r="S54" s="191">
        <v>0.0</v>
      </c>
      <c r="T54" s="191">
        <v>0.0</v>
      </c>
      <c r="U54" s="191">
        <v>0.0</v>
      </c>
      <c r="V54" s="191">
        <v>0.0</v>
      </c>
      <c r="W54" s="191">
        <v>0.0</v>
      </c>
    </row>
    <row r="55" ht="15.75" customHeight="1">
      <c r="A55" s="191">
        <f t="shared" si="1"/>
        <v>29</v>
      </c>
      <c r="C55" s="191">
        <v>0.0</v>
      </c>
      <c r="D55" s="191">
        <v>0.0</v>
      </c>
      <c r="E55" s="191">
        <v>0.0</v>
      </c>
      <c r="F55" s="191">
        <v>0.0</v>
      </c>
      <c r="G55" s="191">
        <v>0.0</v>
      </c>
      <c r="H55" s="191">
        <v>0.0</v>
      </c>
      <c r="I55" s="191">
        <v>0.0</v>
      </c>
      <c r="J55" s="191">
        <v>0.0</v>
      </c>
      <c r="K55" s="191">
        <v>0.0</v>
      </c>
      <c r="L55" s="191">
        <v>0.0</v>
      </c>
      <c r="M55" s="191">
        <v>0.0</v>
      </c>
      <c r="N55" s="191">
        <v>0.0</v>
      </c>
      <c r="O55" s="191">
        <v>0.0</v>
      </c>
      <c r="P55" s="191">
        <v>0.0</v>
      </c>
      <c r="Q55" s="191">
        <v>0.0</v>
      </c>
      <c r="R55" s="191">
        <v>0.0</v>
      </c>
      <c r="S55" s="191">
        <v>0.0</v>
      </c>
      <c r="T55" s="191">
        <v>0.0</v>
      </c>
      <c r="U55" s="191">
        <v>0.0</v>
      </c>
      <c r="V55" s="191">
        <v>0.0</v>
      </c>
      <c r="W55" s="191">
        <v>0.0</v>
      </c>
    </row>
    <row r="56" ht="15.75" customHeight="1">
      <c r="A56" s="191">
        <f t="shared" si="1"/>
        <v>30</v>
      </c>
      <c r="B56" s="194"/>
      <c r="C56" s="191">
        <v>0.0</v>
      </c>
      <c r="D56" s="191">
        <v>0.0</v>
      </c>
      <c r="E56" s="191">
        <v>0.0</v>
      </c>
      <c r="F56" s="191">
        <v>0.0</v>
      </c>
      <c r="G56" s="191">
        <v>0.0</v>
      </c>
      <c r="H56" s="191">
        <v>0.0</v>
      </c>
      <c r="I56" s="191">
        <v>0.0</v>
      </c>
      <c r="J56" s="191">
        <v>0.0</v>
      </c>
      <c r="K56" s="191">
        <v>0.0</v>
      </c>
      <c r="L56" s="191">
        <v>0.0</v>
      </c>
      <c r="M56" s="191">
        <v>0.0</v>
      </c>
      <c r="N56" s="191">
        <v>0.0</v>
      </c>
      <c r="O56" s="191">
        <v>0.0</v>
      </c>
      <c r="P56" s="191">
        <v>0.0</v>
      </c>
      <c r="Q56" s="191">
        <v>0.0</v>
      </c>
      <c r="R56" s="191">
        <v>0.0</v>
      </c>
      <c r="S56" s="191">
        <v>0.0</v>
      </c>
      <c r="T56" s="191">
        <v>0.0</v>
      </c>
      <c r="U56" s="191">
        <v>0.0</v>
      </c>
      <c r="V56" s="191">
        <v>0.0</v>
      </c>
      <c r="W56" s="191">
        <v>0.0</v>
      </c>
    </row>
    <row r="57" ht="15.75" customHeight="1">
      <c r="A57" s="191">
        <f t="shared" si="1"/>
        <v>31</v>
      </c>
      <c r="C57" s="191">
        <v>0.0</v>
      </c>
      <c r="D57" s="191">
        <v>0.0</v>
      </c>
      <c r="E57" s="191">
        <v>0.0</v>
      </c>
      <c r="F57" s="191">
        <v>0.0</v>
      </c>
      <c r="G57" s="191">
        <v>0.0</v>
      </c>
      <c r="H57" s="191">
        <v>0.0</v>
      </c>
      <c r="I57" s="191">
        <v>0.0</v>
      </c>
      <c r="J57" s="191">
        <v>0.0</v>
      </c>
      <c r="K57" s="191">
        <v>0.0</v>
      </c>
      <c r="L57" s="191">
        <v>0.0</v>
      </c>
      <c r="M57" s="191">
        <v>0.0</v>
      </c>
      <c r="N57" s="191">
        <v>0.0</v>
      </c>
      <c r="O57" s="191">
        <v>0.0</v>
      </c>
      <c r="P57" s="191">
        <v>0.0</v>
      </c>
      <c r="Q57" s="191">
        <v>0.0</v>
      </c>
      <c r="R57" s="191">
        <v>0.0</v>
      </c>
      <c r="S57" s="191">
        <v>0.0</v>
      </c>
      <c r="T57" s="191">
        <v>0.0</v>
      </c>
      <c r="U57" s="191">
        <v>0.0</v>
      </c>
      <c r="V57" s="191">
        <v>0.0</v>
      </c>
      <c r="W57" s="191">
        <v>0.0</v>
      </c>
    </row>
    <row r="58" ht="15.75" customHeight="1">
      <c r="A58" s="191">
        <f t="shared" si="1"/>
        <v>32</v>
      </c>
      <c r="B58" s="194"/>
      <c r="C58" s="191">
        <v>0.0</v>
      </c>
      <c r="D58" s="191">
        <v>0.0</v>
      </c>
      <c r="E58" s="191">
        <v>0.0</v>
      </c>
      <c r="F58" s="191">
        <v>0.0</v>
      </c>
      <c r="G58" s="191">
        <v>0.0</v>
      </c>
      <c r="H58" s="191">
        <v>0.0</v>
      </c>
      <c r="I58" s="191">
        <v>0.0</v>
      </c>
      <c r="J58" s="191">
        <v>0.0</v>
      </c>
      <c r="K58" s="191">
        <v>0.0</v>
      </c>
      <c r="L58" s="191">
        <v>0.0</v>
      </c>
      <c r="M58" s="191">
        <v>0.0</v>
      </c>
      <c r="N58" s="191">
        <v>0.0</v>
      </c>
      <c r="O58" s="191">
        <v>0.0</v>
      </c>
      <c r="P58" s="191">
        <v>0.0</v>
      </c>
      <c r="Q58" s="191">
        <v>0.0</v>
      </c>
      <c r="R58" s="191">
        <v>0.0</v>
      </c>
      <c r="S58" s="191">
        <v>0.0</v>
      </c>
      <c r="T58" s="191">
        <v>0.0</v>
      </c>
      <c r="U58" s="191">
        <v>0.0</v>
      </c>
      <c r="V58" s="191">
        <v>0.0</v>
      </c>
      <c r="W58" s="191">
        <v>0.0</v>
      </c>
    </row>
    <row r="59" ht="15.75" customHeight="1">
      <c r="A59" s="191">
        <f t="shared" si="1"/>
        <v>33</v>
      </c>
      <c r="C59" s="191">
        <v>0.0</v>
      </c>
      <c r="D59" s="191">
        <v>0.0</v>
      </c>
      <c r="E59" s="191">
        <v>0.0</v>
      </c>
      <c r="F59" s="191">
        <v>0.0</v>
      </c>
      <c r="G59" s="191">
        <v>0.0</v>
      </c>
      <c r="H59" s="191">
        <v>0.0</v>
      </c>
      <c r="I59" s="191">
        <v>0.0</v>
      </c>
      <c r="J59" s="191">
        <v>0.0</v>
      </c>
      <c r="K59" s="191">
        <v>0.0</v>
      </c>
      <c r="L59" s="191">
        <v>0.0</v>
      </c>
      <c r="M59" s="191">
        <v>0.0</v>
      </c>
      <c r="N59" s="191">
        <v>0.0</v>
      </c>
      <c r="O59" s="191">
        <v>0.0</v>
      </c>
      <c r="P59" s="191">
        <v>0.0</v>
      </c>
      <c r="Q59" s="191">
        <v>0.0</v>
      </c>
      <c r="R59" s="191">
        <v>0.0</v>
      </c>
      <c r="S59" s="191">
        <v>0.0</v>
      </c>
      <c r="T59" s="191">
        <v>0.0</v>
      </c>
      <c r="U59" s="191">
        <v>0.0</v>
      </c>
      <c r="V59" s="191">
        <v>0.0</v>
      </c>
      <c r="W59" s="191">
        <v>0.0</v>
      </c>
    </row>
    <row r="60" ht="15.75" customHeight="1">
      <c r="A60" s="191">
        <f t="shared" si="1"/>
        <v>34</v>
      </c>
      <c r="B60" s="194"/>
      <c r="C60" s="191">
        <v>0.0</v>
      </c>
      <c r="D60" s="191">
        <v>0.0</v>
      </c>
      <c r="E60" s="191">
        <v>0.0</v>
      </c>
      <c r="F60" s="191">
        <v>0.0</v>
      </c>
      <c r="G60" s="191">
        <v>0.0</v>
      </c>
      <c r="H60" s="191">
        <v>0.0</v>
      </c>
      <c r="I60" s="191">
        <v>0.0</v>
      </c>
      <c r="J60" s="191">
        <v>0.0</v>
      </c>
      <c r="K60" s="191">
        <v>0.0</v>
      </c>
      <c r="L60" s="191">
        <v>0.0</v>
      </c>
      <c r="M60" s="191">
        <v>0.0</v>
      </c>
      <c r="N60" s="191">
        <v>0.0</v>
      </c>
      <c r="O60" s="191">
        <v>0.0</v>
      </c>
      <c r="P60" s="191">
        <v>0.0</v>
      </c>
      <c r="Q60" s="191">
        <v>0.0</v>
      </c>
      <c r="R60" s="191">
        <v>0.0</v>
      </c>
      <c r="S60" s="191">
        <v>0.0</v>
      </c>
      <c r="T60" s="191">
        <v>0.0</v>
      </c>
      <c r="U60" s="191">
        <v>0.0</v>
      </c>
      <c r="V60" s="191">
        <v>0.0</v>
      </c>
      <c r="W60" s="191">
        <v>0.0</v>
      </c>
    </row>
    <row r="61" ht="15.75" customHeight="1">
      <c r="A61" s="191">
        <f t="shared" si="1"/>
        <v>35</v>
      </c>
      <c r="C61" s="191">
        <v>0.0</v>
      </c>
      <c r="D61" s="191">
        <v>0.0</v>
      </c>
      <c r="E61" s="191">
        <v>0.0</v>
      </c>
      <c r="F61" s="191">
        <v>0.0</v>
      </c>
      <c r="G61" s="191">
        <v>0.0</v>
      </c>
      <c r="H61" s="191">
        <v>0.0</v>
      </c>
      <c r="I61" s="191">
        <v>0.0</v>
      </c>
      <c r="J61" s="191">
        <v>0.0</v>
      </c>
      <c r="K61" s="191">
        <v>0.0</v>
      </c>
      <c r="L61" s="191">
        <v>0.0</v>
      </c>
      <c r="M61" s="191">
        <v>0.0</v>
      </c>
      <c r="N61" s="191">
        <v>0.0</v>
      </c>
      <c r="O61" s="191">
        <v>0.0</v>
      </c>
      <c r="P61" s="191">
        <v>0.0</v>
      </c>
      <c r="Q61" s="191">
        <v>0.0</v>
      </c>
      <c r="R61" s="191">
        <v>0.0</v>
      </c>
      <c r="S61" s="191">
        <v>0.0</v>
      </c>
      <c r="T61" s="191">
        <v>0.0</v>
      </c>
      <c r="U61" s="191">
        <v>0.0</v>
      </c>
      <c r="V61" s="191">
        <v>0.0</v>
      </c>
      <c r="W61" s="191">
        <v>0.0</v>
      </c>
    </row>
    <row r="62" ht="15.75" customHeight="1">
      <c r="A62" s="191">
        <f t="shared" si="1"/>
        <v>36</v>
      </c>
      <c r="B62" s="194"/>
      <c r="C62" s="191">
        <v>0.0</v>
      </c>
      <c r="D62" s="191">
        <v>0.0</v>
      </c>
      <c r="E62" s="191">
        <v>0.0</v>
      </c>
      <c r="F62" s="191">
        <v>0.0</v>
      </c>
      <c r="G62" s="191">
        <v>0.0</v>
      </c>
      <c r="H62" s="191">
        <v>0.0</v>
      </c>
      <c r="I62" s="191">
        <v>0.0</v>
      </c>
      <c r="J62" s="191">
        <v>0.0</v>
      </c>
      <c r="K62" s="191">
        <v>0.0</v>
      </c>
      <c r="L62" s="191">
        <v>0.0</v>
      </c>
      <c r="M62" s="191">
        <v>0.0</v>
      </c>
      <c r="N62" s="191">
        <v>0.0</v>
      </c>
      <c r="O62" s="191">
        <v>0.0</v>
      </c>
      <c r="P62" s="191">
        <v>0.0</v>
      </c>
      <c r="Q62" s="191">
        <v>0.0</v>
      </c>
      <c r="R62" s="191">
        <v>0.0</v>
      </c>
      <c r="S62" s="191">
        <v>0.0</v>
      </c>
      <c r="T62" s="191">
        <v>0.0</v>
      </c>
      <c r="U62" s="191">
        <v>0.0</v>
      </c>
      <c r="V62" s="191">
        <v>0.0</v>
      </c>
      <c r="W62" s="191">
        <v>0.0</v>
      </c>
    </row>
    <row r="63" ht="15.75" customHeight="1">
      <c r="A63" s="191">
        <f t="shared" si="1"/>
        <v>37</v>
      </c>
      <c r="C63" s="191">
        <v>0.0</v>
      </c>
      <c r="D63" s="191">
        <v>0.0</v>
      </c>
      <c r="E63" s="191">
        <v>0.0</v>
      </c>
      <c r="F63" s="191">
        <v>0.0</v>
      </c>
      <c r="G63" s="191">
        <v>0.0</v>
      </c>
      <c r="H63" s="191">
        <v>0.0</v>
      </c>
      <c r="I63" s="191">
        <v>0.0</v>
      </c>
      <c r="J63" s="191">
        <v>0.0</v>
      </c>
      <c r="K63" s="191">
        <v>0.0</v>
      </c>
      <c r="L63" s="191">
        <v>0.0</v>
      </c>
      <c r="M63" s="191">
        <v>0.0</v>
      </c>
      <c r="N63" s="191">
        <v>0.0</v>
      </c>
      <c r="O63" s="191">
        <v>0.0</v>
      </c>
      <c r="P63" s="191">
        <v>0.0</v>
      </c>
      <c r="Q63" s="191">
        <v>0.0</v>
      </c>
      <c r="R63" s="191">
        <v>0.0</v>
      </c>
      <c r="S63" s="191">
        <v>0.0</v>
      </c>
      <c r="T63" s="191">
        <v>0.0</v>
      </c>
      <c r="U63" s="191">
        <v>0.0</v>
      </c>
      <c r="V63" s="191">
        <v>0.0</v>
      </c>
      <c r="W63" s="191">
        <v>0.0</v>
      </c>
    </row>
    <row r="64" ht="15.75" customHeight="1">
      <c r="A64" s="191">
        <f t="shared" si="1"/>
        <v>38</v>
      </c>
      <c r="B64" s="194"/>
      <c r="C64" s="191">
        <v>0.0</v>
      </c>
      <c r="D64" s="191">
        <v>0.0</v>
      </c>
      <c r="E64" s="191">
        <v>0.0</v>
      </c>
      <c r="F64" s="191">
        <v>0.0</v>
      </c>
      <c r="G64" s="191">
        <v>0.0</v>
      </c>
      <c r="H64" s="191">
        <v>0.0</v>
      </c>
      <c r="I64" s="191">
        <v>0.0</v>
      </c>
      <c r="J64" s="191">
        <v>0.0</v>
      </c>
      <c r="K64" s="191">
        <v>0.0</v>
      </c>
      <c r="L64" s="191">
        <v>0.0</v>
      </c>
      <c r="M64" s="191">
        <v>0.0</v>
      </c>
      <c r="N64" s="191">
        <v>0.0</v>
      </c>
      <c r="O64" s="191">
        <v>0.0</v>
      </c>
      <c r="P64" s="191">
        <v>0.0</v>
      </c>
      <c r="Q64" s="191">
        <v>0.0</v>
      </c>
      <c r="R64" s="191">
        <v>0.0</v>
      </c>
      <c r="S64" s="191">
        <v>0.0</v>
      </c>
      <c r="T64" s="191">
        <v>0.0</v>
      </c>
      <c r="U64" s="191">
        <v>0.0</v>
      </c>
      <c r="V64" s="191">
        <v>0.0</v>
      </c>
      <c r="W64" s="191">
        <v>0.0</v>
      </c>
    </row>
    <row r="65" ht="15.75" customHeight="1">
      <c r="A65" s="191">
        <f t="shared" si="1"/>
        <v>39</v>
      </c>
      <c r="C65" s="191">
        <v>0.0</v>
      </c>
      <c r="D65" s="191">
        <v>0.0</v>
      </c>
      <c r="E65" s="191">
        <v>0.0</v>
      </c>
      <c r="F65" s="191">
        <v>0.0</v>
      </c>
      <c r="G65" s="191">
        <v>0.0</v>
      </c>
      <c r="H65" s="191">
        <v>0.0</v>
      </c>
      <c r="I65" s="191">
        <v>0.0</v>
      </c>
      <c r="J65" s="191">
        <v>0.0</v>
      </c>
      <c r="K65" s="191">
        <v>0.0</v>
      </c>
      <c r="L65" s="191">
        <v>0.0</v>
      </c>
      <c r="M65" s="191">
        <v>0.0</v>
      </c>
      <c r="N65" s="191">
        <v>0.0</v>
      </c>
      <c r="O65" s="191">
        <v>0.0</v>
      </c>
      <c r="P65" s="191">
        <v>0.0</v>
      </c>
      <c r="Q65" s="191">
        <v>0.0</v>
      </c>
      <c r="R65" s="191">
        <v>0.0</v>
      </c>
      <c r="S65" s="191">
        <v>0.0</v>
      </c>
      <c r="T65" s="191">
        <v>0.0</v>
      </c>
      <c r="U65" s="191">
        <v>0.0</v>
      </c>
      <c r="V65" s="191">
        <v>0.0</v>
      </c>
      <c r="W65" s="191">
        <v>0.0</v>
      </c>
    </row>
    <row r="66" ht="15.75" customHeight="1">
      <c r="A66" s="191">
        <f t="shared" si="1"/>
        <v>40</v>
      </c>
      <c r="B66" s="194"/>
      <c r="C66" s="191">
        <v>0.0</v>
      </c>
      <c r="D66" s="191">
        <v>0.0</v>
      </c>
      <c r="E66" s="191">
        <v>0.0</v>
      </c>
      <c r="F66" s="191">
        <v>0.0</v>
      </c>
      <c r="G66" s="191">
        <v>0.0</v>
      </c>
      <c r="H66" s="191">
        <v>0.0</v>
      </c>
      <c r="I66" s="191">
        <v>0.0</v>
      </c>
      <c r="J66" s="191">
        <v>0.0</v>
      </c>
      <c r="K66" s="191">
        <v>0.0</v>
      </c>
      <c r="L66" s="191">
        <v>0.0</v>
      </c>
      <c r="M66" s="191">
        <v>0.0</v>
      </c>
      <c r="N66" s="191">
        <v>0.0</v>
      </c>
      <c r="O66" s="191">
        <v>0.0</v>
      </c>
      <c r="P66" s="191">
        <v>0.0</v>
      </c>
      <c r="Q66" s="191">
        <v>0.0</v>
      </c>
      <c r="R66" s="191">
        <v>0.0</v>
      </c>
      <c r="S66" s="191">
        <v>0.0</v>
      </c>
      <c r="T66" s="191">
        <v>0.0</v>
      </c>
      <c r="U66" s="191">
        <v>0.0</v>
      </c>
      <c r="V66" s="191">
        <v>0.0</v>
      </c>
      <c r="W66" s="191">
        <v>0.0</v>
      </c>
    </row>
    <row r="67" ht="15.75" customHeight="1">
      <c r="A67" s="191">
        <f t="shared" si="1"/>
        <v>41</v>
      </c>
      <c r="C67" s="191">
        <v>0.0</v>
      </c>
      <c r="D67" s="191">
        <v>0.0</v>
      </c>
      <c r="E67" s="191">
        <v>0.0</v>
      </c>
      <c r="F67" s="191">
        <v>0.0</v>
      </c>
      <c r="G67" s="191">
        <v>0.0</v>
      </c>
      <c r="H67" s="191">
        <v>0.0</v>
      </c>
      <c r="I67" s="191">
        <v>0.0</v>
      </c>
      <c r="J67" s="191">
        <v>0.0</v>
      </c>
      <c r="K67" s="191">
        <v>0.0</v>
      </c>
      <c r="L67" s="191">
        <v>0.0</v>
      </c>
      <c r="M67" s="191">
        <v>0.0</v>
      </c>
      <c r="N67" s="191">
        <v>0.0</v>
      </c>
      <c r="O67" s="191">
        <v>0.0</v>
      </c>
      <c r="P67" s="191">
        <v>0.0</v>
      </c>
      <c r="Q67" s="191">
        <v>0.0</v>
      </c>
      <c r="R67" s="191">
        <v>0.0</v>
      </c>
      <c r="S67" s="191">
        <v>0.0</v>
      </c>
      <c r="T67" s="191">
        <v>0.0</v>
      </c>
      <c r="U67" s="191">
        <v>0.0</v>
      </c>
      <c r="V67" s="191">
        <v>0.0</v>
      </c>
      <c r="W67" s="191">
        <v>0.0</v>
      </c>
    </row>
    <row r="68" ht="15.75" customHeight="1">
      <c r="A68" s="191">
        <f t="shared" si="1"/>
        <v>42</v>
      </c>
      <c r="B68" s="194"/>
      <c r="C68" s="191">
        <v>0.0</v>
      </c>
      <c r="D68" s="191">
        <v>0.0</v>
      </c>
      <c r="E68" s="191">
        <v>0.0</v>
      </c>
      <c r="F68" s="191">
        <v>0.0</v>
      </c>
      <c r="G68" s="191">
        <v>0.0</v>
      </c>
      <c r="H68" s="191">
        <v>0.0</v>
      </c>
      <c r="I68" s="191">
        <v>0.0</v>
      </c>
      <c r="J68" s="191">
        <v>0.0</v>
      </c>
      <c r="K68" s="191">
        <v>0.0</v>
      </c>
      <c r="L68" s="191">
        <v>0.0</v>
      </c>
      <c r="M68" s="191">
        <v>0.0</v>
      </c>
      <c r="N68" s="191">
        <v>0.0</v>
      </c>
      <c r="O68" s="191">
        <v>0.0</v>
      </c>
      <c r="P68" s="191">
        <v>0.0</v>
      </c>
      <c r="Q68" s="191">
        <v>0.0</v>
      </c>
      <c r="R68" s="191">
        <v>0.0</v>
      </c>
      <c r="S68" s="191">
        <v>0.0</v>
      </c>
      <c r="T68" s="191">
        <v>0.0</v>
      </c>
      <c r="U68" s="191">
        <v>0.0</v>
      </c>
      <c r="V68" s="191">
        <v>0.0</v>
      </c>
      <c r="W68" s="191">
        <v>0.0</v>
      </c>
    </row>
    <row r="69" ht="15.75" customHeight="1">
      <c r="A69" s="191">
        <f t="shared" si="1"/>
        <v>43</v>
      </c>
      <c r="C69" s="191">
        <v>0.0</v>
      </c>
      <c r="D69" s="191">
        <v>0.0</v>
      </c>
      <c r="E69" s="191">
        <v>0.0</v>
      </c>
      <c r="F69" s="191">
        <v>0.0</v>
      </c>
      <c r="G69" s="191">
        <v>0.0</v>
      </c>
      <c r="H69" s="191">
        <v>0.0</v>
      </c>
      <c r="I69" s="191">
        <v>0.0</v>
      </c>
      <c r="J69" s="191">
        <v>0.0</v>
      </c>
      <c r="K69" s="191">
        <v>0.0</v>
      </c>
      <c r="L69" s="191">
        <v>0.0</v>
      </c>
      <c r="M69" s="191">
        <v>0.0</v>
      </c>
      <c r="N69" s="191">
        <v>0.0</v>
      </c>
      <c r="O69" s="191">
        <v>0.0</v>
      </c>
      <c r="P69" s="191">
        <v>0.0</v>
      </c>
      <c r="Q69" s="191">
        <v>0.0</v>
      </c>
      <c r="R69" s="191">
        <v>0.0</v>
      </c>
      <c r="S69" s="191">
        <v>0.0</v>
      </c>
      <c r="T69" s="191">
        <v>0.0</v>
      </c>
      <c r="U69" s="191">
        <v>0.0</v>
      </c>
      <c r="V69" s="191">
        <v>0.0</v>
      </c>
      <c r="W69" s="191">
        <v>0.0</v>
      </c>
    </row>
    <row r="70" ht="15.75" customHeight="1">
      <c r="A70" s="191">
        <f t="shared" si="1"/>
        <v>44</v>
      </c>
      <c r="B70" s="194"/>
      <c r="C70" s="191">
        <v>0.0</v>
      </c>
      <c r="D70" s="191">
        <v>0.0</v>
      </c>
      <c r="E70" s="191">
        <v>0.0</v>
      </c>
      <c r="F70" s="191">
        <v>0.0</v>
      </c>
      <c r="G70" s="191">
        <v>0.0</v>
      </c>
      <c r="H70" s="191">
        <v>0.0</v>
      </c>
      <c r="I70" s="191">
        <v>0.0</v>
      </c>
      <c r="J70" s="191">
        <v>0.0</v>
      </c>
      <c r="K70" s="191">
        <v>0.0</v>
      </c>
      <c r="L70" s="191">
        <v>0.0</v>
      </c>
      <c r="M70" s="191">
        <v>0.0</v>
      </c>
      <c r="N70" s="191">
        <v>0.0</v>
      </c>
      <c r="O70" s="191">
        <v>0.0</v>
      </c>
      <c r="P70" s="191">
        <v>0.0</v>
      </c>
      <c r="Q70" s="191">
        <v>0.0</v>
      </c>
      <c r="R70" s="191">
        <v>0.0</v>
      </c>
      <c r="S70" s="191">
        <v>0.0</v>
      </c>
      <c r="T70" s="191">
        <v>0.0</v>
      </c>
      <c r="U70" s="191">
        <v>0.0</v>
      </c>
      <c r="V70" s="191">
        <v>0.0</v>
      </c>
      <c r="W70" s="191">
        <v>0.0</v>
      </c>
    </row>
    <row r="71" ht="15.75" customHeight="1">
      <c r="A71" s="191">
        <f t="shared" si="1"/>
        <v>45</v>
      </c>
      <c r="C71" s="191">
        <v>0.0</v>
      </c>
      <c r="D71" s="191">
        <v>0.0</v>
      </c>
      <c r="E71" s="191">
        <v>0.0</v>
      </c>
      <c r="F71" s="191">
        <v>0.0</v>
      </c>
      <c r="G71" s="191">
        <v>0.0</v>
      </c>
      <c r="H71" s="191">
        <v>0.0</v>
      </c>
      <c r="I71" s="191">
        <v>0.0</v>
      </c>
      <c r="J71" s="191">
        <v>0.0</v>
      </c>
      <c r="K71" s="191">
        <v>0.0</v>
      </c>
      <c r="L71" s="191">
        <v>0.0</v>
      </c>
      <c r="M71" s="191">
        <v>0.0</v>
      </c>
      <c r="N71" s="191">
        <v>0.0</v>
      </c>
      <c r="O71" s="191">
        <v>0.0</v>
      </c>
      <c r="P71" s="191">
        <v>0.0</v>
      </c>
      <c r="Q71" s="191">
        <v>0.0</v>
      </c>
      <c r="R71" s="191">
        <v>0.0</v>
      </c>
      <c r="S71" s="191">
        <v>0.0</v>
      </c>
      <c r="T71" s="191">
        <v>0.0</v>
      </c>
      <c r="U71" s="191">
        <v>0.0</v>
      </c>
      <c r="V71" s="191">
        <v>0.0</v>
      </c>
      <c r="W71" s="191">
        <v>0.0</v>
      </c>
    </row>
    <row r="72" ht="15.75" customHeight="1">
      <c r="A72" s="191">
        <f t="shared" si="1"/>
        <v>46</v>
      </c>
      <c r="B72" s="194"/>
      <c r="C72" s="191">
        <v>0.0</v>
      </c>
      <c r="D72" s="191">
        <v>0.0</v>
      </c>
      <c r="E72" s="191">
        <v>0.0</v>
      </c>
      <c r="F72" s="191">
        <v>0.0</v>
      </c>
      <c r="G72" s="191">
        <v>0.0</v>
      </c>
      <c r="H72" s="191">
        <v>0.0</v>
      </c>
      <c r="I72" s="191">
        <v>0.0</v>
      </c>
      <c r="J72" s="191">
        <v>0.0</v>
      </c>
      <c r="K72" s="191">
        <v>0.0</v>
      </c>
      <c r="L72" s="191">
        <v>0.0</v>
      </c>
      <c r="M72" s="191">
        <v>0.0</v>
      </c>
      <c r="N72" s="191">
        <v>0.0</v>
      </c>
      <c r="O72" s="191">
        <v>0.0</v>
      </c>
      <c r="P72" s="191">
        <v>0.0</v>
      </c>
      <c r="Q72" s="191">
        <v>0.0</v>
      </c>
      <c r="R72" s="191">
        <v>0.0</v>
      </c>
      <c r="S72" s="191">
        <v>0.0</v>
      </c>
      <c r="T72" s="191">
        <v>0.0</v>
      </c>
      <c r="U72" s="191">
        <v>0.0</v>
      </c>
      <c r="V72" s="191">
        <v>0.0</v>
      </c>
      <c r="W72" s="191">
        <v>0.0</v>
      </c>
    </row>
    <row r="73" ht="15.75" customHeight="1">
      <c r="A73" s="191">
        <f t="shared" si="1"/>
        <v>47</v>
      </c>
      <c r="C73" s="191">
        <v>0.0</v>
      </c>
      <c r="D73" s="191">
        <v>0.0</v>
      </c>
      <c r="E73" s="191">
        <v>0.0</v>
      </c>
      <c r="F73" s="191">
        <v>0.0</v>
      </c>
      <c r="G73" s="191">
        <v>0.0</v>
      </c>
      <c r="H73" s="191">
        <v>0.0</v>
      </c>
      <c r="I73" s="191">
        <v>0.0</v>
      </c>
      <c r="J73" s="191">
        <v>0.0</v>
      </c>
      <c r="K73" s="191">
        <v>0.0</v>
      </c>
      <c r="L73" s="191">
        <v>0.0</v>
      </c>
      <c r="M73" s="191">
        <v>0.0</v>
      </c>
      <c r="N73" s="191">
        <v>0.0</v>
      </c>
      <c r="O73" s="191">
        <v>0.0</v>
      </c>
      <c r="P73" s="191">
        <v>0.0</v>
      </c>
      <c r="Q73" s="191">
        <v>0.0</v>
      </c>
      <c r="R73" s="191">
        <v>0.0</v>
      </c>
      <c r="S73" s="191">
        <v>0.0</v>
      </c>
      <c r="T73" s="191">
        <v>0.0</v>
      </c>
      <c r="U73" s="191">
        <v>0.0</v>
      </c>
      <c r="V73" s="191">
        <v>0.0</v>
      </c>
      <c r="W73" s="191">
        <v>0.0</v>
      </c>
    </row>
    <row r="74" ht="15.75" customHeight="1">
      <c r="A74" s="191">
        <f t="shared" si="1"/>
        <v>48</v>
      </c>
      <c r="B74" s="194"/>
      <c r="C74" s="191">
        <v>0.0</v>
      </c>
      <c r="D74" s="191">
        <v>0.0</v>
      </c>
      <c r="E74" s="191">
        <v>0.0</v>
      </c>
      <c r="F74" s="191">
        <v>0.0</v>
      </c>
      <c r="G74" s="191">
        <v>0.0</v>
      </c>
      <c r="H74" s="191">
        <v>0.0</v>
      </c>
      <c r="I74" s="191">
        <v>0.0</v>
      </c>
      <c r="J74" s="191">
        <v>0.0</v>
      </c>
      <c r="K74" s="191">
        <v>0.0</v>
      </c>
      <c r="L74" s="191">
        <v>0.0</v>
      </c>
      <c r="M74" s="191">
        <v>0.0</v>
      </c>
      <c r="N74" s="191">
        <v>0.0</v>
      </c>
      <c r="O74" s="191">
        <v>0.0</v>
      </c>
      <c r="P74" s="191">
        <v>0.0</v>
      </c>
      <c r="Q74" s="191">
        <v>0.0</v>
      </c>
      <c r="R74" s="191">
        <v>0.0</v>
      </c>
      <c r="S74" s="191">
        <v>0.0</v>
      </c>
      <c r="T74" s="191">
        <v>0.0</v>
      </c>
      <c r="U74" s="191">
        <v>0.0</v>
      </c>
      <c r="V74" s="191">
        <v>0.0</v>
      </c>
      <c r="W74" s="191">
        <v>0.0</v>
      </c>
    </row>
    <row r="75" ht="15.75" customHeight="1">
      <c r="A75" s="191">
        <f t="shared" si="1"/>
        <v>49</v>
      </c>
      <c r="C75" s="191">
        <v>0.0</v>
      </c>
      <c r="D75" s="191">
        <v>0.0</v>
      </c>
      <c r="E75" s="191">
        <v>0.0</v>
      </c>
      <c r="F75" s="191">
        <v>0.0</v>
      </c>
      <c r="G75" s="191">
        <v>0.0</v>
      </c>
      <c r="H75" s="191">
        <v>0.0</v>
      </c>
      <c r="I75" s="191">
        <v>0.0</v>
      </c>
      <c r="J75" s="191">
        <v>0.0</v>
      </c>
      <c r="K75" s="191">
        <v>0.0</v>
      </c>
      <c r="L75" s="191">
        <v>0.0</v>
      </c>
      <c r="M75" s="191">
        <v>0.0</v>
      </c>
      <c r="N75" s="191">
        <v>0.0</v>
      </c>
      <c r="O75" s="191">
        <v>0.0</v>
      </c>
      <c r="P75" s="191">
        <v>0.0</v>
      </c>
      <c r="Q75" s="191">
        <v>0.0</v>
      </c>
      <c r="R75" s="191">
        <v>0.0</v>
      </c>
      <c r="S75" s="191">
        <v>0.0</v>
      </c>
      <c r="T75" s="191">
        <v>0.0</v>
      </c>
      <c r="U75" s="191">
        <v>0.0</v>
      </c>
      <c r="V75" s="191">
        <v>0.0</v>
      </c>
      <c r="W75" s="191">
        <v>0.0</v>
      </c>
    </row>
    <row r="76" ht="15.75" customHeight="1">
      <c r="A76" s="191">
        <f t="shared" si="1"/>
        <v>50</v>
      </c>
      <c r="B76" s="194"/>
      <c r="C76" s="191">
        <v>0.0</v>
      </c>
      <c r="D76" s="191">
        <v>0.0</v>
      </c>
      <c r="E76" s="191">
        <v>0.0</v>
      </c>
      <c r="F76" s="191">
        <v>0.0</v>
      </c>
      <c r="G76" s="191">
        <v>0.0</v>
      </c>
      <c r="H76" s="191">
        <v>0.0</v>
      </c>
      <c r="I76" s="191">
        <v>0.0</v>
      </c>
      <c r="J76" s="191">
        <v>0.0</v>
      </c>
      <c r="K76" s="191">
        <v>0.0</v>
      </c>
      <c r="L76" s="191">
        <v>0.0</v>
      </c>
      <c r="M76" s="191">
        <v>0.0</v>
      </c>
      <c r="N76" s="191">
        <v>0.0</v>
      </c>
      <c r="O76" s="191">
        <v>0.0</v>
      </c>
      <c r="P76" s="191">
        <v>0.0</v>
      </c>
      <c r="Q76" s="191">
        <v>0.0</v>
      </c>
      <c r="R76" s="191">
        <v>0.0</v>
      </c>
      <c r="S76" s="191">
        <v>0.0</v>
      </c>
      <c r="T76" s="191">
        <v>0.0</v>
      </c>
      <c r="U76" s="191">
        <v>0.0</v>
      </c>
      <c r="V76" s="191">
        <v>0.0</v>
      </c>
      <c r="W76" s="191">
        <v>0.0</v>
      </c>
    </row>
    <row r="77" ht="15.75" customHeight="1">
      <c r="A77" s="191">
        <f t="shared" si="1"/>
        <v>51</v>
      </c>
      <c r="C77" s="191">
        <v>0.0</v>
      </c>
      <c r="D77" s="191">
        <v>0.0</v>
      </c>
      <c r="E77" s="191">
        <v>0.0</v>
      </c>
      <c r="F77" s="191">
        <v>0.0</v>
      </c>
      <c r="G77" s="191">
        <v>0.0</v>
      </c>
      <c r="H77" s="191">
        <v>0.0</v>
      </c>
      <c r="I77" s="191">
        <v>0.0</v>
      </c>
      <c r="J77" s="191">
        <v>0.0</v>
      </c>
      <c r="K77" s="191">
        <v>0.0</v>
      </c>
      <c r="L77" s="191">
        <v>0.0</v>
      </c>
      <c r="M77" s="191">
        <v>0.0</v>
      </c>
      <c r="N77" s="191">
        <v>0.0</v>
      </c>
      <c r="O77" s="191">
        <v>0.0</v>
      </c>
      <c r="P77" s="191">
        <v>0.0</v>
      </c>
      <c r="Q77" s="191">
        <v>0.0</v>
      </c>
      <c r="R77" s="191">
        <v>0.0</v>
      </c>
      <c r="S77" s="191">
        <v>0.0</v>
      </c>
      <c r="T77" s="191">
        <v>0.0</v>
      </c>
      <c r="U77" s="191">
        <v>0.0</v>
      </c>
      <c r="V77" s="191">
        <v>0.0</v>
      </c>
      <c r="W77" s="191">
        <v>0.0</v>
      </c>
    </row>
    <row r="78" ht="15.75" customHeight="1">
      <c r="A78" s="191">
        <f t="shared" si="1"/>
        <v>52</v>
      </c>
      <c r="B78" s="194"/>
      <c r="C78" s="191">
        <v>0.0</v>
      </c>
      <c r="D78" s="191">
        <v>0.0</v>
      </c>
      <c r="E78" s="191">
        <v>0.0</v>
      </c>
      <c r="F78" s="191">
        <v>0.0</v>
      </c>
      <c r="G78" s="191">
        <v>0.0</v>
      </c>
      <c r="H78" s="191">
        <v>0.0</v>
      </c>
      <c r="I78" s="191">
        <v>0.0</v>
      </c>
      <c r="J78" s="191">
        <v>0.0</v>
      </c>
      <c r="K78" s="191">
        <v>0.0</v>
      </c>
      <c r="L78" s="191">
        <v>0.0</v>
      </c>
      <c r="M78" s="191">
        <v>0.0</v>
      </c>
      <c r="N78" s="191">
        <v>0.0</v>
      </c>
      <c r="O78" s="191">
        <v>0.0</v>
      </c>
      <c r="P78" s="191">
        <v>0.0</v>
      </c>
      <c r="Q78" s="191">
        <v>0.0</v>
      </c>
      <c r="R78" s="191">
        <v>0.0</v>
      </c>
      <c r="S78" s="191">
        <v>0.0</v>
      </c>
      <c r="T78" s="191">
        <v>0.0</v>
      </c>
      <c r="U78" s="191">
        <v>0.0</v>
      </c>
      <c r="V78" s="191">
        <v>0.0</v>
      </c>
      <c r="W78" s="191">
        <v>0.0</v>
      </c>
    </row>
    <row r="79" ht="15.75" customHeight="1">
      <c r="A79" s="191">
        <f t="shared" si="1"/>
        <v>53</v>
      </c>
      <c r="C79" s="191">
        <v>0.0</v>
      </c>
      <c r="D79" s="191">
        <v>0.0</v>
      </c>
      <c r="E79" s="191">
        <v>0.0</v>
      </c>
      <c r="F79" s="191">
        <v>0.0</v>
      </c>
      <c r="G79" s="191">
        <v>0.0</v>
      </c>
      <c r="H79" s="191">
        <v>0.0</v>
      </c>
      <c r="I79" s="191">
        <v>0.0</v>
      </c>
      <c r="J79" s="191">
        <v>0.0</v>
      </c>
      <c r="K79" s="191">
        <v>0.0</v>
      </c>
      <c r="L79" s="191">
        <v>0.0</v>
      </c>
      <c r="M79" s="191">
        <v>0.0</v>
      </c>
      <c r="N79" s="191">
        <v>0.0</v>
      </c>
      <c r="O79" s="191">
        <v>0.0</v>
      </c>
      <c r="P79" s="191">
        <v>0.0</v>
      </c>
      <c r="Q79" s="191">
        <v>0.0</v>
      </c>
      <c r="R79" s="191">
        <v>0.0</v>
      </c>
      <c r="S79" s="191">
        <v>0.0</v>
      </c>
      <c r="T79" s="191">
        <v>0.0</v>
      </c>
      <c r="U79" s="191">
        <v>0.0</v>
      </c>
      <c r="V79" s="191">
        <v>0.0</v>
      </c>
      <c r="W79" s="191">
        <v>0.0</v>
      </c>
    </row>
    <row r="80" ht="15.75" customHeight="1">
      <c r="A80" s="191">
        <f t="shared" si="1"/>
        <v>54</v>
      </c>
      <c r="B80" s="194"/>
      <c r="C80" s="191">
        <v>0.0</v>
      </c>
      <c r="D80" s="191">
        <v>0.0</v>
      </c>
      <c r="E80" s="191">
        <v>0.0</v>
      </c>
      <c r="F80" s="191">
        <v>0.0</v>
      </c>
      <c r="G80" s="191">
        <v>0.0</v>
      </c>
      <c r="H80" s="191">
        <v>0.0</v>
      </c>
      <c r="I80" s="191">
        <v>0.0</v>
      </c>
      <c r="J80" s="191">
        <v>0.0</v>
      </c>
      <c r="K80" s="191">
        <v>0.0</v>
      </c>
      <c r="L80" s="191">
        <v>0.0</v>
      </c>
      <c r="M80" s="191">
        <v>0.0</v>
      </c>
      <c r="N80" s="191">
        <v>0.0</v>
      </c>
      <c r="O80" s="191">
        <v>0.0</v>
      </c>
      <c r="P80" s="191">
        <v>0.0</v>
      </c>
      <c r="Q80" s="191">
        <v>0.0</v>
      </c>
      <c r="R80" s="191">
        <v>0.0</v>
      </c>
      <c r="S80" s="191">
        <v>0.0</v>
      </c>
      <c r="T80" s="191">
        <v>0.0</v>
      </c>
      <c r="U80" s="191">
        <v>0.0</v>
      </c>
      <c r="V80" s="191">
        <v>0.0</v>
      </c>
      <c r="W80" s="191">
        <v>0.0</v>
      </c>
    </row>
    <row r="81" ht="15.75" customHeight="1">
      <c r="A81" s="191">
        <f t="shared" si="1"/>
        <v>55</v>
      </c>
      <c r="C81" s="191">
        <v>0.0</v>
      </c>
      <c r="D81" s="191">
        <v>0.0</v>
      </c>
      <c r="E81" s="191">
        <v>0.0</v>
      </c>
      <c r="F81" s="191">
        <v>0.0</v>
      </c>
      <c r="G81" s="191">
        <v>0.0</v>
      </c>
      <c r="H81" s="191">
        <v>0.0</v>
      </c>
      <c r="I81" s="191">
        <v>0.0</v>
      </c>
      <c r="J81" s="191">
        <v>0.0</v>
      </c>
      <c r="K81" s="191">
        <v>0.0</v>
      </c>
      <c r="L81" s="191">
        <v>0.0</v>
      </c>
      <c r="M81" s="191">
        <v>0.0</v>
      </c>
      <c r="N81" s="191">
        <v>0.0</v>
      </c>
      <c r="O81" s="191">
        <v>0.0</v>
      </c>
      <c r="P81" s="191">
        <v>0.0</v>
      </c>
      <c r="Q81" s="191">
        <v>0.0</v>
      </c>
      <c r="R81" s="191">
        <v>0.0</v>
      </c>
      <c r="S81" s="191">
        <v>0.0</v>
      </c>
      <c r="T81" s="191">
        <v>0.0</v>
      </c>
      <c r="U81" s="191">
        <v>0.0</v>
      </c>
      <c r="V81" s="191">
        <v>0.0</v>
      </c>
      <c r="W81" s="191">
        <v>0.0</v>
      </c>
    </row>
    <row r="82" ht="15.75" customHeight="1">
      <c r="A82" s="191">
        <f t="shared" si="1"/>
        <v>56</v>
      </c>
      <c r="B82" s="194"/>
      <c r="C82" s="191">
        <v>0.0</v>
      </c>
      <c r="D82" s="191">
        <v>0.0</v>
      </c>
      <c r="E82" s="191">
        <v>0.0</v>
      </c>
      <c r="F82" s="191">
        <v>0.0</v>
      </c>
      <c r="G82" s="191">
        <v>0.0</v>
      </c>
      <c r="H82" s="191">
        <v>0.0</v>
      </c>
      <c r="I82" s="191">
        <v>0.0</v>
      </c>
      <c r="J82" s="191">
        <v>0.0</v>
      </c>
      <c r="K82" s="191">
        <v>0.0</v>
      </c>
      <c r="L82" s="191">
        <v>0.0</v>
      </c>
      <c r="M82" s="191">
        <v>0.0</v>
      </c>
      <c r="N82" s="191">
        <v>0.0</v>
      </c>
      <c r="O82" s="191">
        <v>0.0</v>
      </c>
      <c r="P82" s="191">
        <v>0.0</v>
      </c>
      <c r="Q82" s="191">
        <v>0.0</v>
      </c>
      <c r="R82" s="191">
        <v>0.0</v>
      </c>
      <c r="S82" s="191">
        <v>0.0</v>
      </c>
      <c r="T82" s="191">
        <v>0.0</v>
      </c>
      <c r="U82" s="191">
        <v>0.0</v>
      </c>
      <c r="V82" s="191">
        <v>0.0</v>
      </c>
      <c r="W82" s="191">
        <v>0.0</v>
      </c>
    </row>
    <row r="83" ht="15.75" customHeight="1">
      <c r="A83" s="191">
        <f t="shared" si="1"/>
        <v>57</v>
      </c>
      <c r="C83" s="191">
        <v>0.0</v>
      </c>
      <c r="D83" s="191">
        <v>0.0</v>
      </c>
      <c r="E83" s="191">
        <v>0.0</v>
      </c>
      <c r="F83" s="191">
        <v>0.0</v>
      </c>
      <c r="G83" s="191">
        <v>0.0</v>
      </c>
      <c r="H83" s="191">
        <v>0.0</v>
      </c>
      <c r="I83" s="191">
        <v>0.0</v>
      </c>
      <c r="J83" s="191">
        <v>0.0</v>
      </c>
      <c r="K83" s="191">
        <v>0.0</v>
      </c>
      <c r="L83" s="191">
        <v>0.0</v>
      </c>
      <c r="M83" s="191">
        <v>0.0</v>
      </c>
      <c r="N83" s="191">
        <v>0.0</v>
      </c>
      <c r="O83" s="191">
        <v>0.0</v>
      </c>
      <c r="P83" s="191">
        <v>0.0</v>
      </c>
      <c r="Q83" s="191">
        <v>0.0</v>
      </c>
      <c r="R83" s="191">
        <v>0.0</v>
      </c>
      <c r="S83" s="191">
        <v>0.0</v>
      </c>
      <c r="T83" s="191">
        <v>0.0</v>
      </c>
      <c r="U83" s="191">
        <v>0.0</v>
      </c>
      <c r="V83" s="191">
        <v>0.0</v>
      </c>
      <c r="W83" s="191">
        <v>0.0</v>
      </c>
    </row>
    <row r="84" ht="15.75" customHeight="1">
      <c r="A84" s="191">
        <f t="shared" si="1"/>
        <v>58</v>
      </c>
      <c r="B84" s="194"/>
      <c r="C84" s="191">
        <v>0.0</v>
      </c>
      <c r="D84" s="191">
        <v>0.0</v>
      </c>
      <c r="E84" s="191">
        <v>0.0</v>
      </c>
      <c r="F84" s="191">
        <v>0.0</v>
      </c>
      <c r="G84" s="191">
        <v>0.0</v>
      </c>
      <c r="H84" s="191">
        <v>0.0</v>
      </c>
      <c r="I84" s="191">
        <v>0.0</v>
      </c>
      <c r="J84" s="191">
        <v>0.0</v>
      </c>
      <c r="K84" s="191">
        <v>0.0</v>
      </c>
      <c r="L84" s="191">
        <v>0.0</v>
      </c>
      <c r="M84" s="191">
        <v>0.0</v>
      </c>
      <c r="N84" s="191">
        <v>0.0</v>
      </c>
      <c r="O84" s="191">
        <v>0.0</v>
      </c>
      <c r="P84" s="191">
        <v>0.0</v>
      </c>
      <c r="Q84" s="191">
        <v>0.0</v>
      </c>
      <c r="R84" s="191">
        <v>0.0</v>
      </c>
      <c r="S84" s="191">
        <v>0.0</v>
      </c>
      <c r="T84" s="191">
        <v>0.0</v>
      </c>
      <c r="U84" s="191">
        <v>0.0</v>
      </c>
      <c r="V84" s="191">
        <v>0.0</v>
      </c>
      <c r="W84" s="191">
        <v>0.0</v>
      </c>
    </row>
    <row r="85" ht="15.75" customHeight="1">
      <c r="A85" s="191">
        <f t="shared" si="1"/>
        <v>59</v>
      </c>
      <c r="C85" s="191">
        <v>0.0</v>
      </c>
      <c r="D85" s="191">
        <v>0.0</v>
      </c>
      <c r="E85" s="191">
        <v>0.0</v>
      </c>
      <c r="F85" s="191">
        <v>0.0</v>
      </c>
      <c r="G85" s="191">
        <v>0.0</v>
      </c>
      <c r="H85" s="191">
        <v>0.0</v>
      </c>
      <c r="I85" s="191">
        <v>0.0</v>
      </c>
      <c r="J85" s="191">
        <v>0.0</v>
      </c>
      <c r="K85" s="191">
        <v>0.0</v>
      </c>
      <c r="L85" s="191">
        <v>0.0</v>
      </c>
      <c r="M85" s="191">
        <v>0.0</v>
      </c>
      <c r="N85" s="191">
        <v>0.0</v>
      </c>
      <c r="O85" s="191">
        <v>0.0</v>
      </c>
      <c r="P85" s="191">
        <v>0.0</v>
      </c>
      <c r="Q85" s="191">
        <v>0.0</v>
      </c>
      <c r="R85" s="191">
        <v>0.0</v>
      </c>
      <c r="S85" s="191">
        <v>0.0</v>
      </c>
      <c r="T85" s="191">
        <v>0.0</v>
      </c>
      <c r="U85" s="191">
        <v>0.0</v>
      </c>
      <c r="V85" s="191">
        <v>0.0</v>
      </c>
      <c r="W85" s="191">
        <v>0.0</v>
      </c>
    </row>
    <row r="86" ht="15.75" customHeight="1">
      <c r="A86" s="191">
        <f t="shared" si="1"/>
        <v>60</v>
      </c>
      <c r="B86" s="194"/>
      <c r="C86" s="191">
        <v>0.0</v>
      </c>
      <c r="D86" s="191">
        <v>0.0</v>
      </c>
      <c r="E86" s="191">
        <v>0.0</v>
      </c>
      <c r="F86" s="191">
        <v>0.0</v>
      </c>
      <c r="G86" s="191">
        <v>0.0</v>
      </c>
      <c r="H86" s="191">
        <v>0.0</v>
      </c>
      <c r="I86" s="191">
        <v>0.0</v>
      </c>
      <c r="J86" s="191">
        <v>0.0</v>
      </c>
      <c r="K86" s="191">
        <v>0.0</v>
      </c>
      <c r="L86" s="191">
        <v>0.0</v>
      </c>
      <c r="M86" s="191">
        <v>0.0</v>
      </c>
      <c r="N86" s="191">
        <v>0.0</v>
      </c>
      <c r="O86" s="191">
        <v>0.0</v>
      </c>
      <c r="P86" s="191">
        <v>0.0</v>
      </c>
      <c r="Q86" s="191">
        <v>0.0</v>
      </c>
      <c r="R86" s="191">
        <v>0.0</v>
      </c>
      <c r="S86" s="191">
        <v>0.0</v>
      </c>
      <c r="T86" s="191">
        <v>0.0</v>
      </c>
      <c r="U86" s="191">
        <v>0.0</v>
      </c>
      <c r="V86" s="191">
        <v>0.0</v>
      </c>
      <c r="W86" s="191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95" t="s">
        <v>43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ht="19.5" customHeight="1">
      <c r="A2" s="188" t="s">
        <v>114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</row>
    <row r="3">
      <c r="A3" s="196" t="s">
        <v>153</v>
      </c>
      <c r="B3" s="197">
        <v>1.0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</row>
    <row r="4">
      <c r="A4" s="196" t="s">
        <v>154</v>
      </c>
      <c r="B4" s="197">
        <v>42.0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>
      <c r="A5" s="196" t="s">
        <v>196</v>
      </c>
      <c r="B5" s="197">
        <v>60.0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</row>
    <row r="6">
      <c r="A6" s="196" t="s">
        <v>197</v>
      </c>
      <c r="B6" s="198">
        <v>3.0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>
      <c r="A7" s="196" t="s">
        <v>198</v>
      </c>
      <c r="B7" s="197">
        <v>1.0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</row>
    <row r="8">
      <c r="A8" s="196" t="s">
        <v>199</v>
      </c>
      <c r="B8" s="197">
        <v>1000.0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</row>
    <row r="9">
      <c r="A9" s="196" t="s">
        <v>200</v>
      </c>
      <c r="B9" s="197" t="s">
        <v>201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</row>
    <row r="10">
      <c r="A10" s="196" t="s">
        <v>202</v>
      </c>
      <c r="B10" s="197" t="s">
        <v>203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</row>
    <row r="1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</row>
    <row r="12" ht="19.5" customHeight="1">
      <c r="A12" s="188" t="s">
        <v>204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</row>
    <row r="13">
      <c r="A13" s="165" t="s">
        <v>205</v>
      </c>
      <c r="B13" s="165" t="s">
        <v>206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</row>
    <row r="14">
      <c r="A14" s="199" t="s">
        <v>207</v>
      </c>
      <c r="B14" s="200">
        <v>1.0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</row>
    <row r="15">
      <c r="A15" s="199" t="s">
        <v>208</v>
      </c>
      <c r="B15" s="200">
        <v>10.0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</row>
    <row r="16">
      <c r="A16" s="199" t="s">
        <v>209</v>
      </c>
      <c r="B16" s="200">
        <v>100.0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</row>
    <row r="17">
      <c r="A17" s="199" t="s">
        <v>210</v>
      </c>
      <c r="B17" s="200">
        <v>200.0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</row>
    <row r="18">
      <c r="A18" s="199" t="s">
        <v>211</v>
      </c>
      <c r="B18" s="200">
        <v>500.0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</row>
    <row r="19">
      <c r="A19" s="199" t="s">
        <v>212</v>
      </c>
      <c r="B19" s="200">
        <v>1000.0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</row>
    <row r="20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</row>
    <row r="21" ht="19.5" customHeight="1">
      <c r="A21" s="188" t="s">
        <v>213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</row>
    <row r="22" ht="90.0" customHeight="1">
      <c r="A22" s="165" t="s">
        <v>157</v>
      </c>
      <c r="B22" s="165" t="s">
        <v>214</v>
      </c>
      <c r="C22" s="201" t="s">
        <v>82</v>
      </c>
      <c r="D22" s="201" t="s">
        <v>68</v>
      </c>
      <c r="E22" s="201" t="s">
        <v>103</v>
      </c>
      <c r="F22" s="201" t="s">
        <v>69</v>
      </c>
      <c r="G22" s="201" t="s">
        <v>70</v>
      </c>
      <c r="H22" s="201" t="s">
        <v>71</v>
      </c>
      <c r="I22" s="201" t="s">
        <v>72</v>
      </c>
      <c r="J22" s="201" t="s">
        <v>73</v>
      </c>
      <c r="K22" s="201" t="s">
        <v>74</v>
      </c>
      <c r="L22" s="201" t="s">
        <v>75</v>
      </c>
      <c r="M22" s="201" t="s">
        <v>76</v>
      </c>
      <c r="N22" s="201" t="s">
        <v>77</v>
      </c>
      <c r="O22" s="201" t="s">
        <v>78</v>
      </c>
      <c r="P22" s="201" t="s">
        <v>118</v>
      </c>
      <c r="Q22" s="201" t="s">
        <v>104</v>
      </c>
      <c r="R22" s="201" t="s">
        <v>105</v>
      </c>
      <c r="S22" s="201" t="s">
        <v>106</v>
      </c>
      <c r="T22" s="201" t="s">
        <v>107</v>
      </c>
      <c r="U22" s="201" t="s">
        <v>108</v>
      </c>
      <c r="V22" s="201" t="s">
        <v>109</v>
      </c>
      <c r="W22" s="201" t="s">
        <v>110</v>
      </c>
    </row>
    <row r="23" ht="15.75" customHeight="1">
      <c r="A23" s="199">
        <v>1.0</v>
      </c>
      <c r="B23" s="199">
        <v>100.0</v>
      </c>
      <c r="C23" s="199">
        <v>0.0</v>
      </c>
      <c r="D23" s="199">
        <v>0.0</v>
      </c>
      <c r="E23" s="199">
        <v>0.0</v>
      </c>
      <c r="F23" s="199">
        <v>0.0</v>
      </c>
      <c r="G23" s="199">
        <v>0.0</v>
      </c>
      <c r="H23" s="199">
        <v>0.0</v>
      </c>
      <c r="I23" s="199">
        <v>0.0</v>
      </c>
      <c r="J23" s="199">
        <v>0.0</v>
      </c>
      <c r="K23" s="199">
        <v>0.0</v>
      </c>
      <c r="L23" s="199">
        <v>30.0</v>
      </c>
      <c r="M23" s="199">
        <v>0.0</v>
      </c>
      <c r="N23" s="199">
        <v>0.0</v>
      </c>
      <c r="O23" s="199">
        <v>0.0</v>
      </c>
      <c r="P23" s="199">
        <v>0.0</v>
      </c>
      <c r="Q23" s="199">
        <v>0.0</v>
      </c>
      <c r="R23" s="199">
        <v>0.0</v>
      </c>
      <c r="S23" s="199">
        <v>0.0</v>
      </c>
      <c r="T23" s="199">
        <v>0.0</v>
      </c>
      <c r="U23" s="199">
        <v>0.0</v>
      </c>
      <c r="V23" s="199">
        <v>0.0</v>
      </c>
      <c r="W23" s="199">
        <v>0.0</v>
      </c>
    </row>
    <row r="24" ht="15.75" customHeight="1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</row>
    <row r="25" ht="19.5" customHeight="1">
      <c r="A25" s="188" t="s">
        <v>215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</row>
    <row r="26" ht="90.0" customHeight="1">
      <c r="A26" s="165" t="s">
        <v>216</v>
      </c>
      <c r="B26" s="103"/>
      <c r="C26" s="201" t="s">
        <v>82</v>
      </c>
      <c r="D26" s="201" t="s">
        <v>68</v>
      </c>
      <c r="E26" s="201" t="s">
        <v>103</v>
      </c>
      <c r="F26" s="201" t="s">
        <v>69</v>
      </c>
      <c r="G26" s="201" t="s">
        <v>70</v>
      </c>
      <c r="H26" s="201" t="s">
        <v>71</v>
      </c>
      <c r="I26" s="201" t="s">
        <v>72</v>
      </c>
      <c r="J26" s="201" t="s">
        <v>73</v>
      </c>
      <c r="K26" s="201" t="s">
        <v>74</v>
      </c>
      <c r="L26" s="201" t="s">
        <v>75</v>
      </c>
      <c r="M26" s="201" t="s">
        <v>76</v>
      </c>
      <c r="N26" s="201" t="s">
        <v>77</v>
      </c>
      <c r="O26" s="201" t="s">
        <v>78</v>
      </c>
      <c r="P26" s="201" t="s">
        <v>118</v>
      </c>
      <c r="Q26" s="201" t="s">
        <v>104</v>
      </c>
      <c r="R26" s="201" t="s">
        <v>105</v>
      </c>
      <c r="S26" s="201" t="s">
        <v>106</v>
      </c>
      <c r="T26" s="201" t="s">
        <v>107</v>
      </c>
      <c r="U26" s="201" t="s">
        <v>108</v>
      </c>
      <c r="V26" s="201" t="s">
        <v>109</v>
      </c>
      <c r="W26" s="201" t="s">
        <v>110</v>
      </c>
    </row>
    <row r="27" ht="15.75" customHeight="1">
      <c r="A27" s="199">
        <v>1.0</v>
      </c>
      <c r="B27" s="103"/>
      <c r="C27" s="202">
        <v>250.0</v>
      </c>
      <c r="D27" s="202">
        <v>260.0</v>
      </c>
      <c r="E27" s="199">
        <v>0.0</v>
      </c>
      <c r="F27" s="199">
        <v>0.0</v>
      </c>
      <c r="G27" s="199">
        <v>0.0</v>
      </c>
      <c r="H27" s="199">
        <v>0.0</v>
      </c>
      <c r="I27" s="199">
        <v>0.0</v>
      </c>
      <c r="J27" s="199">
        <v>0.0</v>
      </c>
      <c r="K27" s="199">
        <v>1.0</v>
      </c>
      <c r="L27" s="199">
        <v>0.0</v>
      </c>
      <c r="M27" s="199">
        <v>0.0</v>
      </c>
      <c r="N27" s="199">
        <v>0.0</v>
      </c>
      <c r="O27" s="199">
        <v>0.0</v>
      </c>
      <c r="P27" s="199">
        <v>0.0</v>
      </c>
      <c r="Q27" s="199">
        <v>0.0</v>
      </c>
      <c r="R27" s="199">
        <v>0.0</v>
      </c>
      <c r="S27" s="199">
        <v>0.0</v>
      </c>
      <c r="T27" s="199">
        <v>0.0</v>
      </c>
      <c r="U27" s="199">
        <v>0.0</v>
      </c>
      <c r="V27" s="199">
        <v>0.0</v>
      </c>
      <c r="W27" s="199">
        <v>0.0</v>
      </c>
    </row>
    <row r="28" ht="15.75" customHeight="1">
      <c r="A28" s="199">
        <f t="shared" ref="A28:A86" si="1">A27+1</f>
        <v>2</v>
      </c>
      <c r="B28" s="103"/>
      <c r="C28" s="202">
        <v>150.0</v>
      </c>
      <c r="D28" s="202">
        <v>190.0</v>
      </c>
      <c r="E28" s="199">
        <v>0.0</v>
      </c>
      <c r="F28" s="199">
        <v>0.0</v>
      </c>
      <c r="G28" s="199">
        <v>0.0</v>
      </c>
      <c r="H28" s="199">
        <v>0.0</v>
      </c>
      <c r="I28" s="199">
        <v>0.0</v>
      </c>
      <c r="J28" s="199">
        <v>1.0</v>
      </c>
      <c r="K28" s="199">
        <v>0.0</v>
      </c>
      <c r="L28" s="199">
        <v>0.0</v>
      </c>
      <c r="M28" s="199">
        <v>0.0</v>
      </c>
      <c r="N28" s="199">
        <v>0.0</v>
      </c>
      <c r="O28" s="199">
        <v>0.0</v>
      </c>
      <c r="P28" s="199">
        <v>0.0</v>
      </c>
      <c r="Q28" s="199">
        <v>0.0</v>
      </c>
      <c r="R28" s="199">
        <v>0.0</v>
      </c>
      <c r="S28" s="199">
        <v>0.0</v>
      </c>
      <c r="T28" s="199">
        <v>0.0</v>
      </c>
      <c r="U28" s="199">
        <v>0.0</v>
      </c>
      <c r="V28" s="199">
        <v>0.0</v>
      </c>
      <c r="W28" s="199">
        <v>0.0</v>
      </c>
    </row>
    <row r="29" ht="15.75" customHeight="1">
      <c r="A29" s="199">
        <f t="shared" si="1"/>
        <v>3</v>
      </c>
      <c r="B29" s="103"/>
      <c r="C29" s="202">
        <v>125.0</v>
      </c>
      <c r="D29" s="202">
        <v>150.0</v>
      </c>
      <c r="E29" s="199">
        <v>0.0</v>
      </c>
      <c r="F29" s="199">
        <v>0.0</v>
      </c>
      <c r="G29" s="199">
        <v>0.0</v>
      </c>
      <c r="H29" s="199">
        <v>0.0</v>
      </c>
      <c r="I29" s="199">
        <v>0.0</v>
      </c>
      <c r="J29" s="199">
        <v>1.0</v>
      </c>
      <c r="K29" s="199">
        <v>0.0</v>
      </c>
      <c r="L29" s="199">
        <v>0.0</v>
      </c>
      <c r="M29" s="199">
        <v>0.0</v>
      </c>
      <c r="N29" s="199">
        <v>0.0</v>
      </c>
      <c r="O29" s="199">
        <v>0.0</v>
      </c>
      <c r="P29" s="199">
        <v>0.0</v>
      </c>
      <c r="Q29" s="199">
        <v>0.0</v>
      </c>
      <c r="R29" s="199">
        <v>0.0</v>
      </c>
      <c r="S29" s="199">
        <v>0.0</v>
      </c>
      <c r="T29" s="199">
        <v>0.0</v>
      </c>
      <c r="U29" s="199">
        <v>0.0</v>
      </c>
      <c r="V29" s="199">
        <v>0.0</v>
      </c>
      <c r="W29" s="199">
        <v>0.0</v>
      </c>
    </row>
    <row r="30" ht="15.75" customHeight="1">
      <c r="A30" s="199">
        <f t="shared" si="1"/>
        <v>4</v>
      </c>
      <c r="B30" s="103"/>
      <c r="C30" s="202">
        <v>100.0</v>
      </c>
      <c r="D30" s="202">
        <v>130.0</v>
      </c>
      <c r="E30" s="199">
        <v>0.0</v>
      </c>
      <c r="F30" s="199">
        <v>0.0</v>
      </c>
      <c r="G30" s="199">
        <v>0.0</v>
      </c>
      <c r="H30" s="199">
        <v>0.0</v>
      </c>
      <c r="I30" s="203">
        <v>1.0</v>
      </c>
      <c r="J30" s="203">
        <v>0.0</v>
      </c>
      <c r="K30" s="199">
        <v>0.0</v>
      </c>
      <c r="L30" s="199">
        <v>0.0</v>
      </c>
      <c r="M30" s="199">
        <v>0.0</v>
      </c>
      <c r="N30" s="199">
        <v>0.0</v>
      </c>
      <c r="O30" s="199">
        <v>0.0</v>
      </c>
      <c r="P30" s="199">
        <v>0.0</v>
      </c>
      <c r="Q30" s="199">
        <v>0.0</v>
      </c>
      <c r="R30" s="199">
        <v>0.0</v>
      </c>
      <c r="S30" s="199">
        <v>0.0</v>
      </c>
      <c r="T30" s="199">
        <v>0.0</v>
      </c>
      <c r="U30" s="199">
        <v>0.0</v>
      </c>
      <c r="V30" s="199">
        <v>0.0</v>
      </c>
      <c r="W30" s="199">
        <v>0.0</v>
      </c>
    </row>
    <row r="31" ht="15.75" customHeight="1">
      <c r="A31" s="199">
        <f t="shared" si="1"/>
        <v>5</v>
      </c>
      <c r="B31" s="103"/>
      <c r="C31" s="202">
        <v>75.0</v>
      </c>
      <c r="D31" s="202">
        <v>100.0</v>
      </c>
      <c r="E31" s="199">
        <v>0.0</v>
      </c>
      <c r="F31" s="199">
        <v>0.0</v>
      </c>
      <c r="G31" s="199">
        <v>0.0</v>
      </c>
      <c r="H31" s="199">
        <v>0.0</v>
      </c>
      <c r="I31" s="203">
        <v>1.0</v>
      </c>
      <c r="J31" s="203">
        <v>0.0</v>
      </c>
      <c r="K31" s="199">
        <v>0.0</v>
      </c>
      <c r="L31" s="199">
        <v>0.0</v>
      </c>
      <c r="M31" s="199">
        <v>0.0</v>
      </c>
      <c r="N31" s="199">
        <v>0.0</v>
      </c>
      <c r="O31" s="199">
        <v>0.0</v>
      </c>
      <c r="P31" s="199">
        <v>0.0</v>
      </c>
      <c r="Q31" s="199">
        <v>0.0</v>
      </c>
      <c r="R31" s="199">
        <v>0.0</v>
      </c>
      <c r="S31" s="199">
        <v>0.0</v>
      </c>
      <c r="T31" s="199">
        <v>0.0</v>
      </c>
      <c r="U31" s="199">
        <v>0.0</v>
      </c>
      <c r="V31" s="199">
        <v>0.0</v>
      </c>
      <c r="W31" s="199">
        <v>0.0</v>
      </c>
    </row>
    <row r="32" ht="15.75" customHeight="1">
      <c r="A32" s="199">
        <f t="shared" si="1"/>
        <v>6</v>
      </c>
      <c r="B32" s="103"/>
      <c r="C32" s="199">
        <v>0.0</v>
      </c>
      <c r="D32" s="202">
        <v>90.0</v>
      </c>
      <c r="E32" s="199">
        <v>0.0</v>
      </c>
      <c r="F32" s="199">
        <v>0.0</v>
      </c>
      <c r="G32" s="199">
        <v>0.0</v>
      </c>
      <c r="H32" s="199">
        <v>0.0</v>
      </c>
      <c r="I32" s="199">
        <v>1.0</v>
      </c>
      <c r="J32" s="199">
        <v>0.0</v>
      </c>
      <c r="K32" s="199">
        <v>0.0</v>
      </c>
      <c r="L32" s="199">
        <v>0.0</v>
      </c>
      <c r="M32" s="199">
        <v>0.0</v>
      </c>
      <c r="N32" s="199">
        <v>0.0</v>
      </c>
      <c r="O32" s="199">
        <v>0.0</v>
      </c>
      <c r="P32" s="199">
        <v>0.0</v>
      </c>
      <c r="Q32" s="199">
        <v>0.0</v>
      </c>
      <c r="R32" s="199">
        <v>0.0</v>
      </c>
      <c r="S32" s="199">
        <v>0.0</v>
      </c>
      <c r="T32" s="199">
        <v>0.0</v>
      </c>
      <c r="U32" s="199">
        <v>0.0</v>
      </c>
      <c r="V32" s="199">
        <v>0.0</v>
      </c>
      <c r="W32" s="199">
        <v>0.0</v>
      </c>
    </row>
    <row r="33" ht="15.75" customHeight="1">
      <c r="A33" s="199">
        <f t="shared" si="1"/>
        <v>7</v>
      </c>
      <c r="B33" s="103"/>
      <c r="C33" s="199">
        <v>0.0</v>
      </c>
      <c r="D33" s="202">
        <v>80.0</v>
      </c>
      <c r="E33" s="199">
        <v>0.0</v>
      </c>
      <c r="F33" s="199">
        <v>0.0</v>
      </c>
      <c r="G33" s="199">
        <v>0.0</v>
      </c>
      <c r="H33" s="199">
        <v>0.0</v>
      </c>
      <c r="I33" s="199">
        <v>1.0</v>
      </c>
      <c r="J33" s="199">
        <v>0.0</v>
      </c>
      <c r="K33" s="199">
        <v>0.0</v>
      </c>
      <c r="L33" s="199">
        <v>0.0</v>
      </c>
      <c r="M33" s="199">
        <v>0.0</v>
      </c>
      <c r="N33" s="199">
        <v>0.0</v>
      </c>
      <c r="O33" s="199">
        <v>0.0</v>
      </c>
      <c r="P33" s="199">
        <v>0.0</v>
      </c>
      <c r="Q33" s="199">
        <v>0.0</v>
      </c>
      <c r="R33" s="199">
        <v>0.0</v>
      </c>
      <c r="S33" s="199">
        <v>0.0</v>
      </c>
      <c r="T33" s="199">
        <v>0.0</v>
      </c>
      <c r="U33" s="199">
        <v>0.0</v>
      </c>
      <c r="V33" s="199">
        <v>0.0</v>
      </c>
      <c r="W33" s="199">
        <v>0.0</v>
      </c>
    </row>
    <row r="34" ht="15.75" customHeight="1">
      <c r="A34" s="199">
        <f t="shared" si="1"/>
        <v>8</v>
      </c>
      <c r="B34" s="103"/>
      <c r="C34" s="199">
        <v>0.0</v>
      </c>
      <c r="D34" s="202">
        <v>80.0</v>
      </c>
      <c r="E34" s="199">
        <v>0.0</v>
      </c>
      <c r="F34" s="199">
        <v>0.0</v>
      </c>
      <c r="G34" s="199">
        <v>0.0</v>
      </c>
      <c r="H34" s="203">
        <v>1.0</v>
      </c>
      <c r="I34" s="203">
        <v>0.0</v>
      </c>
      <c r="J34" s="199">
        <v>0.0</v>
      </c>
      <c r="K34" s="199">
        <v>0.0</v>
      </c>
      <c r="L34" s="199">
        <v>0.0</v>
      </c>
      <c r="M34" s="199">
        <v>0.0</v>
      </c>
      <c r="N34" s="199">
        <v>0.0</v>
      </c>
      <c r="O34" s="199">
        <v>0.0</v>
      </c>
      <c r="P34" s="199">
        <v>0.0</v>
      </c>
      <c r="Q34" s="199">
        <v>0.0</v>
      </c>
      <c r="R34" s="199">
        <v>0.0</v>
      </c>
      <c r="S34" s="199">
        <v>0.0</v>
      </c>
      <c r="T34" s="199">
        <v>0.0</v>
      </c>
      <c r="U34" s="199">
        <v>0.0</v>
      </c>
      <c r="V34" s="199">
        <v>0.0</v>
      </c>
      <c r="W34" s="199">
        <v>0.0</v>
      </c>
    </row>
    <row r="35" ht="15.75" customHeight="1">
      <c r="A35" s="199">
        <f t="shared" si="1"/>
        <v>9</v>
      </c>
      <c r="B35" s="103"/>
      <c r="C35" s="199">
        <v>0.0</v>
      </c>
      <c r="D35" s="202">
        <v>70.0</v>
      </c>
      <c r="E35" s="199">
        <v>0.0</v>
      </c>
      <c r="F35" s="199">
        <v>0.0</v>
      </c>
      <c r="G35" s="199">
        <v>0.0</v>
      </c>
      <c r="H35" s="203">
        <v>1.0</v>
      </c>
      <c r="I35" s="203">
        <v>0.0</v>
      </c>
      <c r="J35" s="199">
        <v>0.0</v>
      </c>
      <c r="K35" s="199">
        <v>0.0</v>
      </c>
      <c r="L35" s="199">
        <v>0.0</v>
      </c>
      <c r="M35" s="199">
        <v>0.0</v>
      </c>
      <c r="N35" s="199">
        <v>0.0</v>
      </c>
      <c r="O35" s="199">
        <v>0.0</v>
      </c>
      <c r="P35" s="199">
        <v>0.0</v>
      </c>
      <c r="Q35" s="199">
        <v>0.0</v>
      </c>
      <c r="R35" s="199">
        <v>0.0</v>
      </c>
      <c r="S35" s="199">
        <v>0.0</v>
      </c>
      <c r="T35" s="199">
        <v>0.0</v>
      </c>
      <c r="U35" s="199">
        <v>0.0</v>
      </c>
      <c r="V35" s="199">
        <v>0.0</v>
      </c>
      <c r="W35" s="199">
        <v>0.0</v>
      </c>
    </row>
    <row r="36" ht="15.75" customHeight="1">
      <c r="A36" s="199">
        <f t="shared" si="1"/>
        <v>10</v>
      </c>
      <c r="B36" s="103"/>
      <c r="C36" s="199">
        <v>0.0</v>
      </c>
      <c r="D36" s="202">
        <v>70.0</v>
      </c>
      <c r="E36" s="199">
        <v>0.0</v>
      </c>
      <c r="F36" s="199">
        <v>0.0</v>
      </c>
      <c r="G36" s="199">
        <v>0.0</v>
      </c>
      <c r="H36" s="203">
        <v>1.0</v>
      </c>
      <c r="I36" s="203">
        <v>0.0</v>
      </c>
      <c r="J36" s="199">
        <v>0.0</v>
      </c>
      <c r="K36" s="199">
        <v>0.0</v>
      </c>
      <c r="L36" s="199">
        <v>0.0</v>
      </c>
      <c r="M36" s="199">
        <v>0.0</v>
      </c>
      <c r="N36" s="199">
        <v>0.0</v>
      </c>
      <c r="O36" s="199">
        <v>0.0</v>
      </c>
      <c r="P36" s="199">
        <v>0.0</v>
      </c>
      <c r="Q36" s="199">
        <v>0.0</v>
      </c>
      <c r="R36" s="199">
        <v>0.0</v>
      </c>
      <c r="S36" s="199">
        <v>0.0</v>
      </c>
      <c r="T36" s="199">
        <v>0.0</v>
      </c>
      <c r="U36" s="199">
        <v>0.0</v>
      </c>
      <c r="V36" s="199">
        <v>0.0</v>
      </c>
      <c r="W36" s="199">
        <v>0.0</v>
      </c>
    </row>
    <row r="37" ht="15.75" customHeight="1">
      <c r="A37" s="199">
        <f t="shared" si="1"/>
        <v>11</v>
      </c>
      <c r="B37" s="103"/>
      <c r="C37" s="199">
        <v>0.0</v>
      </c>
      <c r="D37" s="202">
        <v>70.0</v>
      </c>
      <c r="E37" s="199">
        <v>0.0</v>
      </c>
      <c r="F37" s="199">
        <v>0.0</v>
      </c>
      <c r="G37" s="203">
        <v>1.0</v>
      </c>
      <c r="H37" s="203">
        <v>0.0</v>
      </c>
      <c r="I37" s="199">
        <v>0.0</v>
      </c>
      <c r="J37" s="199">
        <v>0.0</v>
      </c>
      <c r="K37" s="199">
        <v>0.0</v>
      </c>
      <c r="L37" s="199">
        <v>0.0</v>
      </c>
      <c r="M37" s="199">
        <v>0.0</v>
      </c>
      <c r="N37" s="199">
        <v>0.0</v>
      </c>
      <c r="O37" s="199">
        <v>0.0</v>
      </c>
      <c r="P37" s="199">
        <v>0.0</v>
      </c>
      <c r="Q37" s="199">
        <v>0.0</v>
      </c>
      <c r="R37" s="199">
        <v>0.0</v>
      </c>
      <c r="S37" s="199">
        <v>0.0</v>
      </c>
      <c r="T37" s="199">
        <v>0.0</v>
      </c>
      <c r="U37" s="199">
        <v>0.0</v>
      </c>
      <c r="V37" s="199">
        <v>0.0</v>
      </c>
      <c r="W37" s="199">
        <v>0.0</v>
      </c>
    </row>
    <row r="38" ht="15.75" customHeight="1">
      <c r="A38" s="199">
        <f t="shared" si="1"/>
        <v>12</v>
      </c>
      <c r="B38" s="103"/>
      <c r="C38" s="199">
        <v>0.0</v>
      </c>
      <c r="D38" s="202">
        <v>60.0</v>
      </c>
      <c r="E38" s="199">
        <v>0.0</v>
      </c>
      <c r="F38" s="199">
        <v>0.0</v>
      </c>
      <c r="G38" s="203">
        <v>1.0</v>
      </c>
      <c r="H38" s="203">
        <v>0.0</v>
      </c>
      <c r="I38" s="199">
        <v>0.0</v>
      </c>
      <c r="J38" s="199">
        <v>0.0</v>
      </c>
      <c r="K38" s="199">
        <v>0.0</v>
      </c>
      <c r="L38" s="199">
        <v>0.0</v>
      </c>
      <c r="M38" s="199">
        <v>0.0</v>
      </c>
      <c r="N38" s="199">
        <v>0.0</v>
      </c>
      <c r="O38" s="199">
        <v>0.0</v>
      </c>
      <c r="P38" s="199">
        <v>0.0</v>
      </c>
      <c r="Q38" s="199">
        <v>0.0</v>
      </c>
      <c r="R38" s="199">
        <v>0.0</v>
      </c>
      <c r="S38" s="199">
        <v>0.0</v>
      </c>
      <c r="T38" s="199">
        <v>0.0</v>
      </c>
      <c r="U38" s="199">
        <v>0.0</v>
      </c>
      <c r="V38" s="199">
        <v>0.0</v>
      </c>
      <c r="W38" s="199">
        <v>0.0</v>
      </c>
    </row>
    <row r="39" ht="15.75" customHeight="1">
      <c r="A39" s="199">
        <f t="shared" si="1"/>
        <v>13</v>
      </c>
      <c r="B39" s="103"/>
      <c r="C39" s="199">
        <v>0.0</v>
      </c>
      <c r="D39" s="202">
        <v>60.0</v>
      </c>
      <c r="E39" s="199">
        <v>0.0</v>
      </c>
      <c r="F39" s="199">
        <v>0.0</v>
      </c>
      <c r="G39" s="199">
        <v>1.0</v>
      </c>
      <c r="H39" s="199">
        <v>0.0</v>
      </c>
      <c r="I39" s="199">
        <v>0.0</v>
      </c>
      <c r="J39" s="199">
        <v>0.0</v>
      </c>
      <c r="K39" s="199">
        <v>0.0</v>
      </c>
      <c r="L39" s="199">
        <v>0.0</v>
      </c>
      <c r="M39" s="199">
        <v>0.0</v>
      </c>
      <c r="N39" s="199">
        <v>0.0</v>
      </c>
      <c r="O39" s="199">
        <v>0.0</v>
      </c>
      <c r="P39" s="199">
        <v>0.0</v>
      </c>
      <c r="Q39" s="199">
        <v>0.0</v>
      </c>
      <c r="R39" s="199">
        <v>0.0</v>
      </c>
      <c r="S39" s="199">
        <v>0.0</v>
      </c>
      <c r="T39" s="199">
        <v>0.0</v>
      </c>
      <c r="U39" s="199">
        <v>0.0</v>
      </c>
      <c r="V39" s="199">
        <v>0.0</v>
      </c>
      <c r="W39" s="199">
        <v>0.0</v>
      </c>
    </row>
    <row r="40" ht="15.75" customHeight="1">
      <c r="A40" s="199">
        <f t="shared" si="1"/>
        <v>14</v>
      </c>
      <c r="B40" s="103"/>
      <c r="C40" s="199">
        <v>0.0</v>
      </c>
      <c r="D40" s="202">
        <v>60.0</v>
      </c>
      <c r="E40" s="199">
        <v>0.0</v>
      </c>
      <c r="F40" s="203">
        <v>1.0</v>
      </c>
      <c r="G40" s="203">
        <v>0.0</v>
      </c>
      <c r="H40" s="199">
        <v>0.0</v>
      </c>
      <c r="I40" s="199">
        <v>0.0</v>
      </c>
      <c r="J40" s="199">
        <v>0.0</v>
      </c>
      <c r="K40" s="199">
        <v>0.0</v>
      </c>
      <c r="L40" s="199">
        <v>0.0</v>
      </c>
      <c r="M40" s="199">
        <v>0.0</v>
      </c>
      <c r="N40" s="199">
        <v>0.0</v>
      </c>
      <c r="O40" s="199">
        <v>0.0</v>
      </c>
      <c r="P40" s="199">
        <v>0.0</v>
      </c>
      <c r="Q40" s="199">
        <v>0.0</v>
      </c>
      <c r="R40" s="199">
        <v>0.0</v>
      </c>
      <c r="S40" s="199">
        <v>0.0</v>
      </c>
      <c r="T40" s="199">
        <v>0.0</v>
      </c>
      <c r="U40" s="199">
        <v>0.0</v>
      </c>
      <c r="V40" s="199">
        <v>0.0</v>
      </c>
      <c r="W40" s="199">
        <v>0.0</v>
      </c>
    </row>
    <row r="41" ht="15.75" customHeight="1">
      <c r="A41" s="199">
        <f t="shared" si="1"/>
        <v>15</v>
      </c>
      <c r="B41" s="103"/>
      <c r="C41" s="199">
        <v>0.0</v>
      </c>
      <c r="D41" s="202">
        <v>60.0</v>
      </c>
      <c r="E41" s="199">
        <v>0.0</v>
      </c>
      <c r="F41" s="199">
        <v>1.0</v>
      </c>
      <c r="G41" s="199">
        <v>0.0</v>
      </c>
      <c r="H41" s="199">
        <v>0.0</v>
      </c>
      <c r="I41" s="199">
        <v>0.0</v>
      </c>
      <c r="J41" s="199">
        <v>0.0</v>
      </c>
      <c r="K41" s="199">
        <v>0.0</v>
      </c>
      <c r="L41" s="199">
        <v>0.0</v>
      </c>
      <c r="M41" s="199">
        <v>0.0</v>
      </c>
      <c r="N41" s="199">
        <v>0.0</v>
      </c>
      <c r="O41" s="199">
        <v>0.0</v>
      </c>
      <c r="P41" s="199">
        <v>0.0</v>
      </c>
      <c r="Q41" s="199">
        <v>0.0</v>
      </c>
      <c r="R41" s="199">
        <v>0.0</v>
      </c>
      <c r="S41" s="199">
        <v>0.0</v>
      </c>
      <c r="T41" s="199">
        <v>0.0</v>
      </c>
      <c r="U41" s="199">
        <v>0.0</v>
      </c>
      <c r="V41" s="199">
        <v>0.0</v>
      </c>
      <c r="W41" s="199">
        <v>0.0</v>
      </c>
    </row>
    <row r="42" ht="15.75" customHeight="1">
      <c r="A42" s="199">
        <f t="shared" si="1"/>
        <v>16</v>
      </c>
      <c r="B42" s="103"/>
      <c r="C42" s="199">
        <v>0.0</v>
      </c>
      <c r="D42" s="202">
        <v>50.0</v>
      </c>
      <c r="E42" s="199">
        <v>0.0</v>
      </c>
      <c r="F42" s="199">
        <v>1.0</v>
      </c>
      <c r="G42" s="199">
        <v>0.0</v>
      </c>
      <c r="H42" s="199">
        <v>0.0</v>
      </c>
      <c r="I42" s="199">
        <v>0.0</v>
      </c>
      <c r="J42" s="199">
        <v>0.0</v>
      </c>
      <c r="K42" s="199">
        <v>0.0</v>
      </c>
      <c r="L42" s="199">
        <v>0.0</v>
      </c>
      <c r="M42" s="199">
        <v>0.0</v>
      </c>
      <c r="N42" s="199">
        <v>0.0</v>
      </c>
      <c r="O42" s="199">
        <v>0.0</v>
      </c>
      <c r="P42" s="199">
        <v>0.0</v>
      </c>
      <c r="Q42" s="199">
        <v>0.0</v>
      </c>
      <c r="R42" s="199">
        <v>0.0</v>
      </c>
      <c r="S42" s="199">
        <v>0.0</v>
      </c>
      <c r="T42" s="199">
        <v>0.0</v>
      </c>
      <c r="U42" s="199">
        <v>0.0</v>
      </c>
      <c r="V42" s="199">
        <v>0.0</v>
      </c>
      <c r="W42" s="199">
        <v>0.0</v>
      </c>
    </row>
    <row r="43" ht="15.75" customHeight="1">
      <c r="A43" s="199">
        <f t="shared" si="1"/>
        <v>17</v>
      </c>
      <c r="B43" s="103"/>
      <c r="C43" s="199">
        <v>0.0</v>
      </c>
      <c r="D43" s="202">
        <v>50.0</v>
      </c>
      <c r="E43" s="199">
        <v>0.0</v>
      </c>
      <c r="F43" s="199">
        <v>0.0</v>
      </c>
      <c r="G43" s="199">
        <v>0.0</v>
      </c>
      <c r="H43" s="199">
        <v>0.0</v>
      </c>
      <c r="I43" s="199">
        <v>0.0</v>
      </c>
      <c r="J43" s="199">
        <v>0.0</v>
      </c>
      <c r="K43" s="199">
        <v>0.0</v>
      </c>
      <c r="L43" s="199">
        <v>0.0</v>
      </c>
      <c r="M43" s="199">
        <v>0.0</v>
      </c>
      <c r="N43" s="199">
        <v>0.0</v>
      </c>
      <c r="O43" s="199">
        <v>0.0</v>
      </c>
      <c r="P43" s="199">
        <v>0.0</v>
      </c>
      <c r="Q43" s="199">
        <v>0.0</v>
      </c>
      <c r="R43" s="199">
        <v>0.0</v>
      </c>
      <c r="S43" s="199">
        <v>0.0</v>
      </c>
      <c r="T43" s="199">
        <v>0.0</v>
      </c>
      <c r="U43" s="199">
        <v>0.0</v>
      </c>
      <c r="V43" s="199">
        <v>0.0</v>
      </c>
      <c r="W43" s="199">
        <v>0.0</v>
      </c>
    </row>
    <row r="44" ht="15.75" customHeight="1">
      <c r="A44" s="199">
        <f t="shared" si="1"/>
        <v>18</v>
      </c>
      <c r="B44" s="103"/>
      <c r="C44" s="199">
        <v>0.0</v>
      </c>
      <c r="D44" s="202">
        <v>40.0</v>
      </c>
      <c r="E44" s="199">
        <v>0.0</v>
      </c>
      <c r="F44" s="199">
        <v>0.0</v>
      </c>
      <c r="G44" s="199">
        <v>0.0</v>
      </c>
      <c r="H44" s="199">
        <v>0.0</v>
      </c>
      <c r="I44" s="199">
        <v>0.0</v>
      </c>
      <c r="J44" s="199">
        <v>0.0</v>
      </c>
      <c r="K44" s="199">
        <v>0.0</v>
      </c>
      <c r="L44" s="199">
        <v>0.0</v>
      </c>
      <c r="M44" s="199">
        <v>0.0</v>
      </c>
      <c r="N44" s="199">
        <v>0.0</v>
      </c>
      <c r="O44" s="199">
        <v>0.0</v>
      </c>
      <c r="P44" s="199">
        <v>0.0</v>
      </c>
      <c r="Q44" s="199">
        <v>0.0</v>
      </c>
      <c r="R44" s="199">
        <v>0.0</v>
      </c>
      <c r="S44" s="199">
        <v>0.0</v>
      </c>
      <c r="T44" s="199">
        <v>0.0</v>
      </c>
      <c r="U44" s="199">
        <v>0.0</v>
      </c>
      <c r="V44" s="199">
        <v>0.0</v>
      </c>
      <c r="W44" s="199">
        <v>0.0</v>
      </c>
    </row>
    <row r="45" ht="15.75" customHeight="1">
      <c r="A45" s="199">
        <f t="shared" si="1"/>
        <v>19</v>
      </c>
      <c r="B45" s="103"/>
      <c r="C45" s="199">
        <v>0.0</v>
      </c>
      <c r="D45" s="202">
        <v>40.0</v>
      </c>
      <c r="E45" s="199">
        <v>0.0</v>
      </c>
      <c r="F45" s="199">
        <v>0.0</v>
      </c>
      <c r="G45" s="199">
        <v>0.0</v>
      </c>
      <c r="H45" s="199">
        <v>0.0</v>
      </c>
      <c r="I45" s="199">
        <v>0.0</v>
      </c>
      <c r="J45" s="199">
        <v>0.0</v>
      </c>
      <c r="K45" s="199">
        <v>0.0</v>
      </c>
      <c r="L45" s="199">
        <v>0.0</v>
      </c>
      <c r="M45" s="199">
        <v>0.0</v>
      </c>
      <c r="N45" s="199">
        <v>0.0</v>
      </c>
      <c r="O45" s="199">
        <v>0.0</v>
      </c>
      <c r="P45" s="199">
        <v>0.0</v>
      </c>
      <c r="Q45" s="199">
        <v>0.0</v>
      </c>
      <c r="R45" s="199">
        <v>0.0</v>
      </c>
      <c r="S45" s="199">
        <v>0.0</v>
      </c>
      <c r="T45" s="199">
        <v>0.0</v>
      </c>
      <c r="U45" s="199">
        <v>0.0</v>
      </c>
      <c r="V45" s="199">
        <v>0.0</v>
      </c>
      <c r="W45" s="199">
        <v>0.0</v>
      </c>
    </row>
    <row r="46" ht="15.75" customHeight="1">
      <c r="A46" s="199">
        <f t="shared" si="1"/>
        <v>20</v>
      </c>
      <c r="B46" s="103"/>
      <c r="C46" s="199">
        <v>0.0</v>
      </c>
      <c r="D46" s="202">
        <v>40.0</v>
      </c>
      <c r="E46" s="199">
        <v>0.0</v>
      </c>
      <c r="F46" s="199">
        <v>0.0</v>
      </c>
      <c r="G46" s="199">
        <v>0.0</v>
      </c>
      <c r="H46" s="199">
        <v>0.0</v>
      </c>
      <c r="I46" s="199">
        <v>0.0</v>
      </c>
      <c r="J46" s="199">
        <v>0.0</v>
      </c>
      <c r="K46" s="199">
        <v>0.0</v>
      </c>
      <c r="L46" s="199">
        <v>0.0</v>
      </c>
      <c r="M46" s="199">
        <v>0.0</v>
      </c>
      <c r="N46" s="199">
        <v>0.0</v>
      </c>
      <c r="O46" s="199">
        <v>0.0</v>
      </c>
      <c r="P46" s="199">
        <v>0.0</v>
      </c>
      <c r="Q46" s="199">
        <v>0.0</v>
      </c>
      <c r="R46" s="199">
        <v>0.0</v>
      </c>
      <c r="S46" s="199">
        <v>0.0</v>
      </c>
      <c r="T46" s="199">
        <v>0.0</v>
      </c>
      <c r="U46" s="199">
        <v>0.0</v>
      </c>
      <c r="V46" s="199">
        <v>0.0</v>
      </c>
      <c r="W46" s="199">
        <v>0.0</v>
      </c>
    </row>
    <row r="47" ht="15.75" customHeight="1">
      <c r="A47" s="199">
        <f t="shared" si="1"/>
        <v>21</v>
      </c>
      <c r="B47" s="103"/>
      <c r="C47" s="199">
        <v>0.0</v>
      </c>
      <c r="D47" s="202">
        <v>40.0</v>
      </c>
      <c r="E47" s="199">
        <v>0.0</v>
      </c>
      <c r="F47" s="199">
        <v>0.0</v>
      </c>
      <c r="G47" s="199">
        <v>0.0</v>
      </c>
      <c r="H47" s="199">
        <v>0.0</v>
      </c>
      <c r="I47" s="199">
        <v>0.0</v>
      </c>
      <c r="J47" s="199">
        <v>0.0</v>
      </c>
      <c r="K47" s="199">
        <v>0.0</v>
      </c>
      <c r="L47" s="199">
        <v>0.0</v>
      </c>
      <c r="M47" s="199">
        <v>0.0</v>
      </c>
      <c r="N47" s="199">
        <v>0.0</v>
      </c>
      <c r="O47" s="199">
        <v>0.0</v>
      </c>
      <c r="P47" s="199">
        <v>0.0</v>
      </c>
      <c r="Q47" s="199">
        <v>0.0</v>
      </c>
      <c r="R47" s="199">
        <v>0.0</v>
      </c>
      <c r="S47" s="199">
        <v>0.0</v>
      </c>
      <c r="T47" s="199">
        <v>0.0</v>
      </c>
      <c r="U47" s="199">
        <v>0.0</v>
      </c>
      <c r="V47" s="199">
        <v>0.0</v>
      </c>
      <c r="W47" s="199">
        <v>0.0</v>
      </c>
    </row>
    <row r="48" ht="15.75" customHeight="1">
      <c r="A48" s="199">
        <f t="shared" si="1"/>
        <v>22</v>
      </c>
      <c r="B48" s="103"/>
      <c r="C48" s="199">
        <v>0.0</v>
      </c>
      <c r="D48" s="202">
        <v>30.0</v>
      </c>
      <c r="E48" s="199">
        <v>0.0</v>
      </c>
      <c r="F48" s="199">
        <v>0.0</v>
      </c>
      <c r="G48" s="199">
        <v>0.0</v>
      </c>
      <c r="H48" s="199">
        <v>0.0</v>
      </c>
      <c r="I48" s="199">
        <v>0.0</v>
      </c>
      <c r="J48" s="199">
        <v>0.0</v>
      </c>
      <c r="K48" s="199">
        <v>0.0</v>
      </c>
      <c r="L48" s="199">
        <v>0.0</v>
      </c>
      <c r="M48" s="199">
        <v>0.0</v>
      </c>
      <c r="N48" s="199">
        <v>0.0</v>
      </c>
      <c r="O48" s="199">
        <v>0.0</v>
      </c>
      <c r="P48" s="199">
        <v>0.0</v>
      </c>
      <c r="Q48" s="199">
        <v>0.0</v>
      </c>
      <c r="R48" s="199">
        <v>0.0</v>
      </c>
      <c r="S48" s="199">
        <v>0.0</v>
      </c>
      <c r="T48" s="199">
        <v>0.0</v>
      </c>
      <c r="U48" s="199">
        <v>0.0</v>
      </c>
      <c r="V48" s="199">
        <v>0.0</v>
      </c>
      <c r="W48" s="199">
        <v>0.0</v>
      </c>
    </row>
    <row r="49" ht="15.75" customHeight="1">
      <c r="A49" s="199">
        <f t="shared" si="1"/>
        <v>23</v>
      </c>
      <c r="B49" s="103"/>
      <c r="C49" s="199">
        <v>0.0</v>
      </c>
      <c r="D49" s="202">
        <v>30.0</v>
      </c>
      <c r="E49" s="199">
        <v>0.0</v>
      </c>
      <c r="F49" s="199">
        <v>0.0</v>
      </c>
      <c r="G49" s="199">
        <v>0.0</v>
      </c>
      <c r="H49" s="199">
        <v>0.0</v>
      </c>
      <c r="I49" s="199">
        <v>0.0</v>
      </c>
      <c r="J49" s="199">
        <v>0.0</v>
      </c>
      <c r="K49" s="199">
        <v>0.0</v>
      </c>
      <c r="L49" s="199">
        <v>0.0</v>
      </c>
      <c r="M49" s="199">
        <v>0.0</v>
      </c>
      <c r="N49" s="199">
        <v>0.0</v>
      </c>
      <c r="O49" s="199">
        <v>0.0</v>
      </c>
      <c r="P49" s="199">
        <v>0.0</v>
      </c>
      <c r="Q49" s="199">
        <v>0.0</v>
      </c>
      <c r="R49" s="199">
        <v>0.0</v>
      </c>
      <c r="S49" s="199">
        <v>0.0</v>
      </c>
      <c r="T49" s="199">
        <v>0.0</v>
      </c>
      <c r="U49" s="199">
        <v>0.0</v>
      </c>
      <c r="V49" s="199">
        <v>0.0</v>
      </c>
      <c r="W49" s="199">
        <v>0.0</v>
      </c>
    </row>
    <row r="50" ht="15.75" customHeight="1">
      <c r="A50" s="199">
        <f t="shared" si="1"/>
        <v>24</v>
      </c>
      <c r="B50" s="103"/>
      <c r="C50" s="199">
        <v>0.0</v>
      </c>
      <c r="D50" s="202">
        <v>20.0</v>
      </c>
      <c r="E50" s="199">
        <v>0.0</v>
      </c>
      <c r="F50" s="199">
        <v>0.0</v>
      </c>
      <c r="G50" s="199">
        <v>0.0</v>
      </c>
      <c r="H50" s="199">
        <v>0.0</v>
      </c>
      <c r="I50" s="199">
        <v>0.0</v>
      </c>
      <c r="J50" s="199">
        <v>0.0</v>
      </c>
      <c r="K50" s="199">
        <v>0.0</v>
      </c>
      <c r="L50" s="199">
        <v>0.0</v>
      </c>
      <c r="M50" s="199">
        <v>0.0</v>
      </c>
      <c r="N50" s="199">
        <v>0.0</v>
      </c>
      <c r="O50" s="199">
        <v>0.0</v>
      </c>
      <c r="P50" s="199">
        <v>0.0</v>
      </c>
      <c r="Q50" s="199">
        <v>0.0</v>
      </c>
      <c r="R50" s="199">
        <v>0.0</v>
      </c>
      <c r="S50" s="199">
        <v>0.0</v>
      </c>
      <c r="T50" s="199">
        <v>0.0</v>
      </c>
      <c r="U50" s="199">
        <v>0.0</v>
      </c>
      <c r="V50" s="199">
        <v>0.0</v>
      </c>
      <c r="W50" s="199">
        <v>0.0</v>
      </c>
    </row>
    <row r="51" ht="15.75" customHeight="1">
      <c r="A51" s="199">
        <f t="shared" si="1"/>
        <v>25</v>
      </c>
      <c r="B51" s="103"/>
      <c r="C51" s="199">
        <v>0.0</v>
      </c>
      <c r="D51" s="202">
        <v>20.0</v>
      </c>
      <c r="E51" s="199">
        <v>0.0</v>
      </c>
      <c r="F51" s="199">
        <v>0.0</v>
      </c>
      <c r="G51" s="199">
        <v>0.0</v>
      </c>
      <c r="H51" s="199">
        <v>0.0</v>
      </c>
      <c r="I51" s="199">
        <v>0.0</v>
      </c>
      <c r="J51" s="199">
        <v>0.0</v>
      </c>
      <c r="K51" s="199">
        <v>0.0</v>
      </c>
      <c r="L51" s="199">
        <v>0.0</v>
      </c>
      <c r="M51" s="199">
        <v>0.0</v>
      </c>
      <c r="N51" s="199">
        <v>0.0</v>
      </c>
      <c r="O51" s="199">
        <v>0.0</v>
      </c>
      <c r="P51" s="199">
        <v>0.0</v>
      </c>
      <c r="Q51" s="199">
        <v>0.0</v>
      </c>
      <c r="R51" s="199">
        <v>0.0</v>
      </c>
      <c r="S51" s="199">
        <v>0.0</v>
      </c>
      <c r="T51" s="199">
        <v>0.0</v>
      </c>
      <c r="U51" s="199">
        <v>0.0</v>
      </c>
      <c r="V51" s="199">
        <v>0.0</v>
      </c>
      <c r="W51" s="199">
        <v>0.0</v>
      </c>
    </row>
    <row r="52" ht="15.75" customHeight="1">
      <c r="A52" s="199">
        <f t="shared" si="1"/>
        <v>26</v>
      </c>
      <c r="B52" s="103"/>
      <c r="C52" s="199">
        <v>0.0</v>
      </c>
      <c r="D52" s="204">
        <v>0.0</v>
      </c>
      <c r="E52" s="199">
        <v>0.0</v>
      </c>
      <c r="F52" s="199">
        <v>0.0</v>
      </c>
      <c r="G52" s="199">
        <v>0.0</v>
      </c>
      <c r="H52" s="199">
        <v>0.0</v>
      </c>
      <c r="I52" s="199">
        <v>0.0</v>
      </c>
      <c r="J52" s="199">
        <v>0.0</v>
      </c>
      <c r="K52" s="199">
        <v>0.0</v>
      </c>
      <c r="L52" s="199">
        <v>0.0</v>
      </c>
      <c r="M52" s="199">
        <v>0.0</v>
      </c>
      <c r="N52" s="199">
        <v>0.0</v>
      </c>
      <c r="O52" s="199">
        <v>0.0</v>
      </c>
      <c r="P52" s="199">
        <v>0.0</v>
      </c>
      <c r="Q52" s="199">
        <v>0.0</v>
      </c>
      <c r="R52" s="199">
        <v>0.0</v>
      </c>
      <c r="S52" s="199">
        <v>0.0</v>
      </c>
      <c r="T52" s="199">
        <v>0.0</v>
      </c>
      <c r="U52" s="199">
        <v>0.0</v>
      </c>
      <c r="V52" s="199">
        <v>0.0</v>
      </c>
      <c r="W52" s="199">
        <v>0.0</v>
      </c>
    </row>
    <row r="53" ht="15.75" customHeight="1">
      <c r="A53" s="199">
        <f t="shared" si="1"/>
        <v>27</v>
      </c>
      <c r="B53" s="103"/>
      <c r="C53" s="199">
        <v>0.0</v>
      </c>
      <c r="D53" s="199">
        <v>0.0</v>
      </c>
      <c r="E53" s="199">
        <v>0.0</v>
      </c>
      <c r="F53" s="199">
        <v>0.0</v>
      </c>
      <c r="G53" s="199">
        <v>0.0</v>
      </c>
      <c r="H53" s="199">
        <v>0.0</v>
      </c>
      <c r="I53" s="199">
        <v>0.0</v>
      </c>
      <c r="J53" s="199">
        <v>0.0</v>
      </c>
      <c r="K53" s="199">
        <v>0.0</v>
      </c>
      <c r="L53" s="199">
        <v>0.0</v>
      </c>
      <c r="M53" s="199">
        <v>0.0</v>
      </c>
      <c r="N53" s="199">
        <v>0.0</v>
      </c>
      <c r="O53" s="199">
        <v>0.0</v>
      </c>
      <c r="P53" s="199">
        <v>0.0</v>
      </c>
      <c r="Q53" s="199">
        <v>0.0</v>
      </c>
      <c r="R53" s="199">
        <v>0.0</v>
      </c>
      <c r="S53" s="199">
        <v>0.0</v>
      </c>
      <c r="T53" s="199">
        <v>0.0</v>
      </c>
      <c r="U53" s="199">
        <v>0.0</v>
      </c>
      <c r="V53" s="199">
        <v>0.0</v>
      </c>
      <c r="W53" s="199">
        <v>0.0</v>
      </c>
    </row>
    <row r="54" ht="15.75" customHeight="1">
      <c r="A54" s="199">
        <f t="shared" si="1"/>
        <v>28</v>
      </c>
      <c r="B54" s="103"/>
      <c r="C54" s="199">
        <v>0.0</v>
      </c>
      <c r="D54" s="199">
        <v>0.0</v>
      </c>
      <c r="E54" s="199">
        <v>0.0</v>
      </c>
      <c r="F54" s="199">
        <v>0.0</v>
      </c>
      <c r="G54" s="199">
        <v>0.0</v>
      </c>
      <c r="H54" s="199">
        <v>0.0</v>
      </c>
      <c r="I54" s="199">
        <v>0.0</v>
      </c>
      <c r="J54" s="199">
        <v>0.0</v>
      </c>
      <c r="K54" s="199">
        <v>0.0</v>
      </c>
      <c r="L54" s="199">
        <v>0.0</v>
      </c>
      <c r="M54" s="199">
        <v>0.0</v>
      </c>
      <c r="N54" s="199">
        <v>0.0</v>
      </c>
      <c r="O54" s="199">
        <v>0.0</v>
      </c>
      <c r="P54" s="199">
        <v>0.0</v>
      </c>
      <c r="Q54" s="199">
        <v>0.0</v>
      </c>
      <c r="R54" s="199">
        <v>0.0</v>
      </c>
      <c r="S54" s="199">
        <v>0.0</v>
      </c>
      <c r="T54" s="199">
        <v>0.0</v>
      </c>
      <c r="U54" s="199">
        <v>0.0</v>
      </c>
      <c r="V54" s="199">
        <v>0.0</v>
      </c>
      <c r="W54" s="199">
        <v>0.0</v>
      </c>
    </row>
    <row r="55" ht="15.75" customHeight="1">
      <c r="A55" s="199">
        <f t="shared" si="1"/>
        <v>29</v>
      </c>
      <c r="B55" s="103"/>
      <c r="C55" s="199">
        <v>0.0</v>
      </c>
      <c r="D55" s="199">
        <v>0.0</v>
      </c>
      <c r="E55" s="199">
        <v>0.0</v>
      </c>
      <c r="F55" s="199">
        <v>0.0</v>
      </c>
      <c r="G55" s="199">
        <v>0.0</v>
      </c>
      <c r="H55" s="199">
        <v>0.0</v>
      </c>
      <c r="I55" s="199">
        <v>0.0</v>
      </c>
      <c r="J55" s="199">
        <v>0.0</v>
      </c>
      <c r="K55" s="199">
        <v>0.0</v>
      </c>
      <c r="L55" s="199">
        <v>0.0</v>
      </c>
      <c r="M55" s="199">
        <v>0.0</v>
      </c>
      <c r="N55" s="199">
        <v>0.0</v>
      </c>
      <c r="O55" s="199">
        <v>0.0</v>
      </c>
      <c r="P55" s="199">
        <v>0.0</v>
      </c>
      <c r="Q55" s="199">
        <v>0.0</v>
      </c>
      <c r="R55" s="199">
        <v>0.0</v>
      </c>
      <c r="S55" s="199">
        <v>0.0</v>
      </c>
      <c r="T55" s="199">
        <v>0.0</v>
      </c>
      <c r="U55" s="199">
        <v>0.0</v>
      </c>
      <c r="V55" s="199">
        <v>0.0</v>
      </c>
      <c r="W55" s="199">
        <v>0.0</v>
      </c>
    </row>
    <row r="56" ht="15.75" customHeight="1">
      <c r="A56" s="199">
        <f t="shared" si="1"/>
        <v>30</v>
      </c>
      <c r="B56" s="103"/>
      <c r="C56" s="199">
        <v>0.0</v>
      </c>
      <c r="D56" s="199">
        <v>0.0</v>
      </c>
      <c r="E56" s="199">
        <v>0.0</v>
      </c>
      <c r="F56" s="199">
        <v>0.0</v>
      </c>
      <c r="G56" s="199">
        <v>0.0</v>
      </c>
      <c r="H56" s="199">
        <v>0.0</v>
      </c>
      <c r="I56" s="199">
        <v>0.0</v>
      </c>
      <c r="J56" s="199">
        <v>0.0</v>
      </c>
      <c r="K56" s="199">
        <v>0.0</v>
      </c>
      <c r="L56" s="199">
        <v>0.0</v>
      </c>
      <c r="M56" s="199">
        <v>0.0</v>
      </c>
      <c r="N56" s="199">
        <v>0.0</v>
      </c>
      <c r="O56" s="199">
        <v>0.0</v>
      </c>
      <c r="P56" s="199">
        <v>0.0</v>
      </c>
      <c r="Q56" s="199">
        <v>0.0</v>
      </c>
      <c r="R56" s="199">
        <v>0.0</v>
      </c>
      <c r="S56" s="199">
        <v>0.0</v>
      </c>
      <c r="T56" s="199">
        <v>0.0</v>
      </c>
      <c r="U56" s="199">
        <v>0.0</v>
      </c>
      <c r="V56" s="199">
        <v>0.0</v>
      </c>
      <c r="W56" s="199">
        <v>0.0</v>
      </c>
    </row>
    <row r="57" ht="15.75" customHeight="1">
      <c r="A57" s="199">
        <f t="shared" si="1"/>
        <v>31</v>
      </c>
      <c r="B57" s="103"/>
      <c r="C57" s="199">
        <v>0.0</v>
      </c>
      <c r="D57" s="199">
        <v>0.0</v>
      </c>
      <c r="E57" s="199">
        <v>0.0</v>
      </c>
      <c r="F57" s="199">
        <v>0.0</v>
      </c>
      <c r="G57" s="199">
        <v>0.0</v>
      </c>
      <c r="H57" s="199">
        <v>0.0</v>
      </c>
      <c r="I57" s="199">
        <v>0.0</v>
      </c>
      <c r="J57" s="199">
        <v>0.0</v>
      </c>
      <c r="K57" s="199">
        <v>0.0</v>
      </c>
      <c r="L57" s="199">
        <v>0.0</v>
      </c>
      <c r="M57" s="199">
        <v>0.0</v>
      </c>
      <c r="N57" s="199">
        <v>0.0</v>
      </c>
      <c r="O57" s="199">
        <v>0.0</v>
      </c>
      <c r="P57" s="199">
        <v>0.0</v>
      </c>
      <c r="Q57" s="199">
        <v>0.0</v>
      </c>
      <c r="R57" s="199">
        <v>0.0</v>
      </c>
      <c r="S57" s="199">
        <v>0.0</v>
      </c>
      <c r="T57" s="199">
        <v>0.0</v>
      </c>
      <c r="U57" s="199">
        <v>0.0</v>
      </c>
      <c r="V57" s="199">
        <v>0.0</v>
      </c>
      <c r="W57" s="199">
        <v>0.0</v>
      </c>
    </row>
    <row r="58" ht="15.75" customHeight="1">
      <c r="A58" s="199">
        <f t="shared" si="1"/>
        <v>32</v>
      </c>
      <c r="B58" s="103"/>
      <c r="C58" s="199">
        <v>0.0</v>
      </c>
      <c r="D58" s="199">
        <v>0.0</v>
      </c>
      <c r="E58" s="199">
        <v>0.0</v>
      </c>
      <c r="F58" s="199">
        <v>0.0</v>
      </c>
      <c r="G58" s="199">
        <v>0.0</v>
      </c>
      <c r="H58" s="199">
        <v>0.0</v>
      </c>
      <c r="I58" s="199">
        <v>0.0</v>
      </c>
      <c r="J58" s="199">
        <v>0.0</v>
      </c>
      <c r="K58" s="199">
        <v>0.0</v>
      </c>
      <c r="L58" s="199">
        <v>0.0</v>
      </c>
      <c r="M58" s="199">
        <v>0.0</v>
      </c>
      <c r="N58" s="199">
        <v>0.0</v>
      </c>
      <c r="O58" s="199">
        <v>0.0</v>
      </c>
      <c r="P58" s="199">
        <v>0.0</v>
      </c>
      <c r="Q58" s="199">
        <v>0.0</v>
      </c>
      <c r="R58" s="199">
        <v>0.0</v>
      </c>
      <c r="S58" s="199">
        <v>0.0</v>
      </c>
      <c r="T58" s="199">
        <v>0.0</v>
      </c>
      <c r="U58" s="199">
        <v>0.0</v>
      </c>
      <c r="V58" s="199">
        <v>0.0</v>
      </c>
      <c r="W58" s="199">
        <v>0.0</v>
      </c>
    </row>
    <row r="59" ht="15.75" customHeight="1">
      <c r="A59" s="199">
        <f t="shared" si="1"/>
        <v>33</v>
      </c>
      <c r="B59" s="103"/>
      <c r="C59" s="199">
        <v>0.0</v>
      </c>
      <c r="D59" s="199">
        <v>0.0</v>
      </c>
      <c r="E59" s="199">
        <v>0.0</v>
      </c>
      <c r="F59" s="199">
        <v>0.0</v>
      </c>
      <c r="G59" s="199">
        <v>0.0</v>
      </c>
      <c r="H59" s="199">
        <v>0.0</v>
      </c>
      <c r="I59" s="199">
        <v>0.0</v>
      </c>
      <c r="J59" s="199">
        <v>0.0</v>
      </c>
      <c r="K59" s="199">
        <v>0.0</v>
      </c>
      <c r="L59" s="199">
        <v>0.0</v>
      </c>
      <c r="M59" s="199">
        <v>0.0</v>
      </c>
      <c r="N59" s="199">
        <v>0.0</v>
      </c>
      <c r="O59" s="199">
        <v>0.0</v>
      </c>
      <c r="P59" s="199">
        <v>0.0</v>
      </c>
      <c r="Q59" s="199">
        <v>0.0</v>
      </c>
      <c r="R59" s="199">
        <v>0.0</v>
      </c>
      <c r="S59" s="199">
        <v>0.0</v>
      </c>
      <c r="T59" s="199">
        <v>0.0</v>
      </c>
      <c r="U59" s="199">
        <v>0.0</v>
      </c>
      <c r="V59" s="199">
        <v>0.0</v>
      </c>
      <c r="W59" s="199">
        <v>0.0</v>
      </c>
    </row>
    <row r="60" ht="15.75" customHeight="1">
      <c r="A60" s="199">
        <f t="shared" si="1"/>
        <v>34</v>
      </c>
      <c r="B60" s="103"/>
      <c r="C60" s="199">
        <v>0.0</v>
      </c>
      <c r="D60" s="199">
        <v>0.0</v>
      </c>
      <c r="E60" s="199">
        <v>0.0</v>
      </c>
      <c r="F60" s="199">
        <v>0.0</v>
      </c>
      <c r="G60" s="199">
        <v>0.0</v>
      </c>
      <c r="H60" s="199">
        <v>0.0</v>
      </c>
      <c r="I60" s="199">
        <v>0.0</v>
      </c>
      <c r="J60" s="199">
        <v>0.0</v>
      </c>
      <c r="K60" s="199">
        <v>0.0</v>
      </c>
      <c r="L60" s="199">
        <v>0.0</v>
      </c>
      <c r="M60" s="199">
        <v>0.0</v>
      </c>
      <c r="N60" s="199">
        <v>0.0</v>
      </c>
      <c r="O60" s="199">
        <v>0.0</v>
      </c>
      <c r="P60" s="199">
        <v>0.0</v>
      </c>
      <c r="Q60" s="199">
        <v>0.0</v>
      </c>
      <c r="R60" s="199">
        <v>0.0</v>
      </c>
      <c r="S60" s="199">
        <v>0.0</v>
      </c>
      <c r="T60" s="199">
        <v>0.0</v>
      </c>
      <c r="U60" s="199">
        <v>0.0</v>
      </c>
      <c r="V60" s="199">
        <v>0.0</v>
      </c>
      <c r="W60" s="199">
        <v>0.0</v>
      </c>
    </row>
    <row r="61" ht="15.75" customHeight="1">
      <c r="A61" s="199">
        <f t="shared" si="1"/>
        <v>35</v>
      </c>
      <c r="B61" s="103"/>
      <c r="C61" s="199">
        <v>0.0</v>
      </c>
      <c r="D61" s="199">
        <v>0.0</v>
      </c>
      <c r="E61" s="199">
        <v>0.0</v>
      </c>
      <c r="F61" s="199">
        <v>0.0</v>
      </c>
      <c r="G61" s="199">
        <v>0.0</v>
      </c>
      <c r="H61" s="199">
        <v>0.0</v>
      </c>
      <c r="I61" s="199">
        <v>0.0</v>
      </c>
      <c r="J61" s="199">
        <v>0.0</v>
      </c>
      <c r="K61" s="199">
        <v>0.0</v>
      </c>
      <c r="L61" s="199">
        <v>0.0</v>
      </c>
      <c r="M61" s="199">
        <v>0.0</v>
      </c>
      <c r="N61" s="199">
        <v>0.0</v>
      </c>
      <c r="O61" s="199">
        <v>0.0</v>
      </c>
      <c r="P61" s="199">
        <v>0.0</v>
      </c>
      <c r="Q61" s="199">
        <v>0.0</v>
      </c>
      <c r="R61" s="199">
        <v>0.0</v>
      </c>
      <c r="S61" s="199">
        <v>0.0</v>
      </c>
      <c r="T61" s="199">
        <v>0.0</v>
      </c>
      <c r="U61" s="199">
        <v>0.0</v>
      </c>
      <c r="V61" s="199">
        <v>0.0</v>
      </c>
      <c r="W61" s="199">
        <v>0.0</v>
      </c>
    </row>
    <row r="62" ht="15.75" customHeight="1">
      <c r="A62" s="199">
        <f t="shared" si="1"/>
        <v>36</v>
      </c>
      <c r="B62" s="103"/>
      <c r="C62" s="199">
        <v>0.0</v>
      </c>
      <c r="D62" s="199">
        <v>0.0</v>
      </c>
      <c r="E62" s="199">
        <v>0.0</v>
      </c>
      <c r="F62" s="199">
        <v>0.0</v>
      </c>
      <c r="G62" s="199">
        <v>0.0</v>
      </c>
      <c r="H62" s="199">
        <v>0.0</v>
      </c>
      <c r="I62" s="199">
        <v>0.0</v>
      </c>
      <c r="J62" s="199">
        <v>0.0</v>
      </c>
      <c r="K62" s="199">
        <v>0.0</v>
      </c>
      <c r="L62" s="199">
        <v>0.0</v>
      </c>
      <c r="M62" s="199">
        <v>0.0</v>
      </c>
      <c r="N62" s="199">
        <v>0.0</v>
      </c>
      <c r="O62" s="199">
        <v>0.0</v>
      </c>
      <c r="P62" s="199">
        <v>0.0</v>
      </c>
      <c r="Q62" s="199">
        <v>0.0</v>
      </c>
      <c r="R62" s="199">
        <v>0.0</v>
      </c>
      <c r="S62" s="199">
        <v>0.0</v>
      </c>
      <c r="T62" s="199">
        <v>0.0</v>
      </c>
      <c r="U62" s="199">
        <v>0.0</v>
      </c>
      <c r="V62" s="199">
        <v>0.0</v>
      </c>
      <c r="W62" s="199">
        <v>0.0</v>
      </c>
    </row>
    <row r="63" ht="15.75" customHeight="1">
      <c r="A63" s="199">
        <f t="shared" si="1"/>
        <v>37</v>
      </c>
      <c r="B63" s="103"/>
      <c r="C63" s="199">
        <v>0.0</v>
      </c>
      <c r="D63" s="199">
        <v>0.0</v>
      </c>
      <c r="E63" s="199">
        <v>0.0</v>
      </c>
      <c r="F63" s="199">
        <v>0.0</v>
      </c>
      <c r="G63" s="199">
        <v>0.0</v>
      </c>
      <c r="H63" s="199">
        <v>0.0</v>
      </c>
      <c r="I63" s="199">
        <v>0.0</v>
      </c>
      <c r="J63" s="199">
        <v>0.0</v>
      </c>
      <c r="K63" s="199">
        <v>0.0</v>
      </c>
      <c r="L63" s="199">
        <v>0.0</v>
      </c>
      <c r="M63" s="199">
        <v>0.0</v>
      </c>
      <c r="N63" s="199">
        <v>0.0</v>
      </c>
      <c r="O63" s="199">
        <v>0.0</v>
      </c>
      <c r="P63" s="199">
        <v>0.0</v>
      </c>
      <c r="Q63" s="199">
        <v>0.0</v>
      </c>
      <c r="R63" s="199">
        <v>0.0</v>
      </c>
      <c r="S63" s="199">
        <v>0.0</v>
      </c>
      <c r="T63" s="199">
        <v>0.0</v>
      </c>
      <c r="U63" s="199">
        <v>0.0</v>
      </c>
      <c r="V63" s="199">
        <v>0.0</v>
      </c>
      <c r="W63" s="199">
        <v>0.0</v>
      </c>
    </row>
    <row r="64" ht="15.75" customHeight="1">
      <c r="A64" s="199">
        <f t="shared" si="1"/>
        <v>38</v>
      </c>
      <c r="B64" s="103"/>
      <c r="C64" s="199">
        <v>0.0</v>
      </c>
      <c r="D64" s="199">
        <v>0.0</v>
      </c>
      <c r="E64" s="199">
        <v>0.0</v>
      </c>
      <c r="F64" s="199">
        <v>0.0</v>
      </c>
      <c r="G64" s="199">
        <v>0.0</v>
      </c>
      <c r="H64" s="199">
        <v>0.0</v>
      </c>
      <c r="I64" s="199">
        <v>0.0</v>
      </c>
      <c r="J64" s="199">
        <v>0.0</v>
      </c>
      <c r="K64" s="199">
        <v>0.0</v>
      </c>
      <c r="L64" s="199">
        <v>0.0</v>
      </c>
      <c r="M64" s="199">
        <v>0.0</v>
      </c>
      <c r="N64" s="199">
        <v>0.0</v>
      </c>
      <c r="O64" s="199">
        <v>0.0</v>
      </c>
      <c r="P64" s="199">
        <v>0.0</v>
      </c>
      <c r="Q64" s="199">
        <v>0.0</v>
      </c>
      <c r="R64" s="199">
        <v>0.0</v>
      </c>
      <c r="S64" s="199">
        <v>0.0</v>
      </c>
      <c r="T64" s="199">
        <v>0.0</v>
      </c>
      <c r="U64" s="199">
        <v>0.0</v>
      </c>
      <c r="V64" s="199">
        <v>0.0</v>
      </c>
      <c r="W64" s="199">
        <v>0.0</v>
      </c>
    </row>
    <row r="65" ht="15.75" customHeight="1">
      <c r="A65" s="199">
        <f t="shared" si="1"/>
        <v>39</v>
      </c>
      <c r="B65" s="103"/>
      <c r="C65" s="199">
        <v>0.0</v>
      </c>
      <c r="D65" s="199">
        <v>0.0</v>
      </c>
      <c r="E65" s="199">
        <v>0.0</v>
      </c>
      <c r="F65" s="199">
        <v>0.0</v>
      </c>
      <c r="G65" s="199">
        <v>0.0</v>
      </c>
      <c r="H65" s="199">
        <v>0.0</v>
      </c>
      <c r="I65" s="199">
        <v>0.0</v>
      </c>
      <c r="J65" s="199">
        <v>0.0</v>
      </c>
      <c r="K65" s="199">
        <v>0.0</v>
      </c>
      <c r="L65" s="199">
        <v>0.0</v>
      </c>
      <c r="M65" s="199">
        <v>0.0</v>
      </c>
      <c r="N65" s="199">
        <v>0.0</v>
      </c>
      <c r="O65" s="199">
        <v>0.0</v>
      </c>
      <c r="P65" s="199">
        <v>0.0</v>
      </c>
      <c r="Q65" s="199">
        <v>0.0</v>
      </c>
      <c r="R65" s="199">
        <v>0.0</v>
      </c>
      <c r="S65" s="199">
        <v>0.0</v>
      </c>
      <c r="T65" s="199">
        <v>0.0</v>
      </c>
      <c r="U65" s="199">
        <v>0.0</v>
      </c>
      <c r="V65" s="199">
        <v>0.0</v>
      </c>
      <c r="W65" s="199">
        <v>0.0</v>
      </c>
    </row>
    <row r="66" ht="15.75" customHeight="1">
      <c r="A66" s="199">
        <f t="shared" si="1"/>
        <v>40</v>
      </c>
      <c r="B66" s="103"/>
      <c r="C66" s="199">
        <v>0.0</v>
      </c>
      <c r="D66" s="199">
        <v>0.0</v>
      </c>
      <c r="E66" s="199">
        <v>0.0</v>
      </c>
      <c r="F66" s="199">
        <v>0.0</v>
      </c>
      <c r="G66" s="199">
        <v>0.0</v>
      </c>
      <c r="H66" s="199">
        <v>0.0</v>
      </c>
      <c r="I66" s="199">
        <v>0.0</v>
      </c>
      <c r="J66" s="199">
        <v>0.0</v>
      </c>
      <c r="K66" s="199">
        <v>0.0</v>
      </c>
      <c r="L66" s="199">
        <v>0.0</v>
      </c>
      <c r="M66" s="199">
        <v>0.0</v>
      </c>
      <c r="N66" s="199">
        <v>0.0</v>
      </c>
      <c r="O66" s="199">
        <v>0.0</v>
      </c>
      <c r="P66" s="199">
        <v>0.0</v>
      </c>
      <c r="Q66" s="199">
        <v>0.0</v>
      </c>
      <c r="R66" s="199">
        <v>0.0</v>
      </c>
      <c r="S66" s="199">
        <v>0.0</v>
      </c>
      <c r="T66" s="199">
        <v>0.0</v>
      </c>
      <c r="U66" s="199">
        <v>0.0</v>
      </c>
      <c r="V66" s="199">
        <v>0.0</v>
      </c>
      <c r="W66" s="199">
        <v>0.0</v>
      </c>
    </row>
    <row r="67" ht="15.75" customHeight="1">
      <c r="A67" s="199">
        <f t="shared" si="1"/>
        <v>41</v>
      </c>
      <c r="B67" s="103"/>
      <c r="C67" s="199">
        <v>0.0</v>
      </c>
      <c r="D67" s="199">
        <v>0.0</v>
      </c>
      <c r="E67" s="199">
        <v>0.0</v>
      </c>
      <c r="F67" s="199">
        <v>0.0</v>
      </c>
      <c r="G67" s="199">
        <v>0.0</v>
      </c>
      <c r="H67" s="199">
        <v>0.0</v>
      </c>
      <c r="I67" s="199">
        <v>0.0</v>
      </c>
      <c r="J67" s="199">
        <v>0.0</v>
      </c>
      <c r="K67" s="199">
        <v>0.0</v>
      </c>
      <c r="L67" s="199">
        <v>0.0</v>
      </c>
      <c r="M67" s="199">
        <v>0.0</v>
      </c>
      <c r="N67" s="199">
        <v>0.0</v>
      </c>
      <c r="O67" s="199">
        <v>0.0</v>
      </c>
      <c r="P67" s="199">
        <v>0.0</v>
      </c>
      <c r="Q67" s="199">
        <v>0.0</v>
      </c>
      <c r="R67" s="199">
        <v>0.0</v>
      </c>
      <c r="S67" s="199">
        <v>0.0</v>
      </c>
      <c r="T67" s="199">
        <v>0.0</v>
      </c>
      <c r="U67" s="199">
        <v>0.0</v>
      </c>
      <c r="V67" s="199">
        <v>0.0</v>
      </c>
      <c r="W67" s="199">
        <v>0.0</v>
      </c>
    </row>
    <row r="68" ht="15.75" customHeight="1">
      <c r="A68" s="199">
        <f t="shared" si="1"/>
        <v>42</v>
      </c>
      <c r="B68" s="103"/>
      <c r="C68" s="199">
        <v>0.0</v>
      </c>
      <c r="D68" s="199">
        <v>0.0</v>
      </c>
      <c r="E68" s="199">
        <v>0.0</v>
      </c>
      <c r="F68" s="199">
        <v>0.0</v>
      </c>
      <c r="G68" s="199">
        <v>0.0</v>
      </c>
      <c r="H68" s="199">
        <v>0.0</v>
      </c>
      <c r="I68" s="199">
        <v>0.0</v>
      </c>
      <c r="J68" s="199">
        <v>0.0</v>
      </c>
      <c r="K68" s="199">
        <v>0.0</v>
      </c>
      <c r="L68" s="199">
        <v>0.0</v>
      </c>
      <c r="M68" s="199">
        <v>0.0</v>
      </c>
      <c r="N68" s="199">
        <v>0.0</v>
      </c>
      <c r="O68" s="199">
        <v>0.0</v>
      </c>
      <c r="P68" s="199">
        <v>0.0</v>
      </c>
      <c r="Q68" s="199">
        <v>0.0</v>
      </c>
      <c r="R68" s="199">
        <v>0.0</v>
      </c>
      <c r="S68" s="199">
        <v>0.0</v>
      </c>
      <c r="T68" s="199">
        <v>0.0</v>
      </c>
      <c r="U68" s="199">
        <v>0.0</v>
      </c>
      <c r="V68" s="199">
        <v>0.0</v>
      </c>
      <c r="W68" s="199">
        <v>0.0</v>
      </c>
    </row>
    <row r="69" ht="15.75" customHeight="1">
      <c r="A69" s="199">
        <f t="shared" si="1"/>
        <v>43</v>
      </c>
      <c r="B69" s="103"/>
      <c r="C69" s="199">
        <v>0.0</v>
      </c>
      <c r="D69" s="199">
        <v>0.0</v>
      </c>
      <c r="E69" s="199">
        <v>0.0</v>
      </c>
      <c r="F69" s="199">
        <v>0.0</v>
      </c>
      <c r="G69" s="199">
        <v>0.0</v>
      </c>
      <c r="H69" s="199">
        <v>0.0</v>
      </c>
      <c r="I69" s="199">
        <v>0.0</v>
      </c>
      <c r="J69" s="199">
        <v>0.0</v>
      </c>
      <c r="K69" s="199">
        <v>0.0</v>
      </c>
      <c r="L69" s="199">
        <v>0.0</v>
      </c>
      <c r="M69" s="199">
        <v>0.0</v>
      </c>
      <c r="N69" s="199">
        <v>0.0</v>
      </c>
      <c r="O69" s="199">
        <v>0.0</v>
      </c>
      <c r="P69" s="199">
        <v>0.0</v>
      </c>
      <c r="Q69" s="199">
        <v>0.0</v>
      </c>
      <c r="R69" s="199">
        <v>0.0</v>
      </c>
      <c r="S69" s="199">
        <v>0.0</v>
      </c>
      <c r="T69" s="199">
        <v>0.0</v>
      </c>
      <c r="U69" s="199">
        <v>0.0</v>
      </c>
      <c r="V69" s="199">
        <v>0.0</v>
      </c>
      <c r="W69" s="199">
        <v>0.0</v>
      </c>
    </row>
    <row r="70" ht="15.75" customHeight="1">
      <c r="A70" s="199">
        <f t="shared" si="1"/>
        <v>44</v>
      </c>
      <c r="B70" s="103"/>
      <c r="C70" s="199">
        <v>0.0</v>
      </c>
      <c r="D70" s="199">
        <v>0.0</v>
      </c>
      <c r="E70" s="199">
        <v>0.0</v>
      </c>
      <c r="F70" s="199">
        <v>0.0</v>
      </c>
      <c r="G70" s="199">
        <v>0.0</v>
      </c>
      <c r="H70" s="199">
        <v>0.0</v>
      </c>
      <c r="I70" s="199">
        <v>0.0</v>
      </c>
      <c r="J70" s="199">
        <v>0.0</v>
      </c>
      <c r="K70" s="199">
        <v>0.0</v>
      </c>
      <c r="L70" s="199">
        <v>0.0</v>
      </c>
      <c r="M70" s="199">
        <v>0.0</v>
      </c>
      <c r="N70" s="199">
        <v>0.0</v>
      </c>
      <c r="O70" s="199">
        <v>0.0</v>
      </c>
      <c r="P70" s="199">
        <v>0.0</v>
      </c>
      <c r="Q70" s="199">
        <v>0.0</v>
      </c>
      <c r="R70" s="199">
        <v>0.0</v>
      </c>
      <c r="S70" s="199">
        <v>0.0</v>
      </c>
      <c r="T70" s="199">
        <v>0.0</v>
      </c>
      <c r="U70" s="199">
        <v>0.0</v>
      </c>
      <c r="V70" s="199">
        <v>0.0</v>
      </c>
      <c r="W70" s="199">
        <v>0.0</v>
      </c>
    </row>
    <row r="71" ht="15.75" customHeight="1">
      <c r="A71" s="199">
        <f t="shared" si="1"/>
        <v>45</v>
      </c>
      <c r="B71" s="103"/>
      <c r="C71" s="199">
        <v>0.0</v>
      </c>
      <c r="D71" s="199">
        <v>0.0</v>
      </c>
      <c r="E71" s="199">
        <v>0.0</v>
      </c>
      <c r="F71" s="199">
        <v>0.0</v>
      </c>
      <c r="G71" s="199">
        <v>0.0</v>
      </c>
      <c r="H71" s="199">
        <v>0.0</v>
      </c>
      <c r="I71" s="199">
        <v>0.0</v>
      </c>
      <c r="J71" s="199">
        <v>0.0</v>
      </c>
      <c r="K71" s="199">
        <v>0.0</v>
      </c>
      <c r="L71" s="199">
        <v>0.0</v>
      </c>
      <c r="M71" s="199">
        <v>0.0</v>
      </c>
      <c r="N71" s="199">
        <v>0.0</v>
      </c>
      <c r="O71" s="199">
        <v>0.0</v>
      </c>
      <c r="P71" s="199">
        <v>0.0</v>
      </c>
      <c r="Q71" s="199">
        <v>0.0</v>
      </c>
      <c r="R71" s="199">
        <v>0.0</v>
      </c>
      <c r="S71" s="199">
        <v>0.0</v>
      </c>
      <c r="T71" s="199">
        <v>0.0</v>
      </c>
      <c r="U71" s="199">
        <v>0.0</v>
      </c>
      <c r="V71" s="199">
        <v>0.0</v>
      </c>
      <c r="W71" s="199">
        <v>0.0</v>
      </c>
    </row>
    <row r="72" ht="15.75" customHeight="1">
      <c r="A72" s="199">
        <f t="shared" si="1"/>
        <v>46</v>
      </c>
      <c r="B72" s="103"/>
      <c r="C72" s="199">
        <v>0.0</v>
      </c>
      <c r="D72" s="199">
        <v>0.0</v>
      </c>
      <c r="E72" s="199">
        <v>0.0</v>
      </c>
      <c r="F72" s="199">
        <v>0.0</v>
      </c>
      <c r="G72" s="199">
        <v>0.0</v>
      </c>
      <c r="H72" s="199">
        <v>0.0</v>
      </c>
      <c r="I72" s="199">
        <v>0.0</v>
      </c>
      <c r="J72" s="199">
        <v>0.0</v>
      </c>
      <c r="K72" s="199">
        <v>0.0</v>
      </c>
      <c r="L72" s="199">
        <v>0.0</v>
      </c>
      <c r="M72" s="199">
        <v>0.0</v>
      </c>
      <c r="N72" s="199">
        <v>0.0</v>
      </c>
      <c r="O72" s="199">
        <v>0.0</v>
      </c>
      <c r="P72" s="199">
        <v>0.0</v>
      </c>
      <c r="Q72" s="199">
        <v>0.0</v>
      </c>
      <c r="R72" s="199">
        <v>0.0</v>
      </c>
      <c r="S72" s="199">
        <v>0.0</v>
      </c>
      <c r="T72" s="199">
        <v>0.0</v>
      </c>
      <c r="U72" s="199">
        <v>0.0</v>
      </c>
      <c r="V72" s="199">
        <v>0.0</v>
      </c>
      <c r="W72" s="199">
        <v>0.0</v>
      </c>
    </row>
    <row r="73" ht="15.75" customHeight="1">
      <c r="A73" s="199">
        <f t="shared" si="1"/>
        <v>47</v>
      </c>
      <c r="B73" s="103"/>
      <c r="C73" s="199">
        <v>0.0</v>
      </c>
      <c r="D73" s="199">
        <v>0.0</v>
      </c>
      <c r="E73" s="199">
        <v>0.0</v>
      </c>
      <c r="F73" s="199">
        <v>0.0</v>
      </c>
      <c r="G73" s="199">
        <v>0.0</v>
      </c>
      <c r="H73" s="199">
        <v>0.0</v>
      </c>
      <c r="I73" s="199">
        <v>0.0</v>
      </c>
      <c r="J73" s="199">
        <v>0.0</v>
      </c>
      <c r="K73" s="199">
        <v>0.0</v>
      </c>
      <c r="L73" s="199">
        <v>0.0</v>
      </c>
      <c r="M73" s="199">
        <v>0.0</v>
      </c>
      <c r="N73" s="199">
        <v>0.0</v>
      </c>
      <c r="O73" s="199">
        <v>0.0</v>
      </c>
      <c r="P73" s="199">
        <v>0.0</v>
      </c>
      <c r="Q73" s="199">
        <v>0.0</v>
      </c>
      <c r="R73" s="199">
        <v>0.0</v>
      </c>
      <c r="S73" s="199">
        <v>0.0</v>
      </c>
      <c r="T73" s="199">
        <v>0.0</v>
      </c>
      <c r="U73" s="199">
        <v>0.0</v>
      </c>
      <c r="V73" s="199">
        <v>0.0</v>
      </c>
      <c r="W73" s="199">
        <v>0.0</v>
      </c>
    </row>
    <row r="74" ht="15.75" customHeight="1">
      <c r="A74" s="199">
        <f t="shared" si="1"/>
        <v>48</v>
      </c>
      <c r="B74" s="103"/>
      <c r="C74" s="199">
        <v>0.0</v>
      </c>
      <c r="D74" s="199">
        <v>0.0</v>
      </c>
      <c r="E74" s="199">
        <v>0.0</v>
      </c>
      <c r="F74" s="199">
        <v>0.0</v>
      </c>
      <c r="G74" s="199">
        <v>0.0</v>
      </c>
      <c r="H74" s="199">
        <v>0.0</v>
      </c>
      <c r="I74" s="199">
        <v>0.0</v>
      </c>
      <c r="J74" s="199">
        <v>0.0</v>
      </c>
      <c r="K74" s="199">
        <v>0.0</v>
      </c>
      <c r="L74" s="199">
        <v>0.0</v>
      </c>
      <c r="M74" s="199">
        <v>0.0</v>
      </c>
      <c r="N74" s="199">
        <v>0.0</v>
      </c>
      <c r="O74" s="199">
        <v>0.0</v>
      </c>
      <c r="P74" s="199">
        <v>0.0</v>
      </c>
      <c r="Q74" s="199">
        <v>0.0</v>
      </c>
      <c r="R74" s="199">
        <v>0.0</v>
      </c>
      <c r="S74" s="199">
        <v>0.0</v>
      </c>
      <c r="T74" s="199">
        <v>0.0</v>
      </c>
      <c r="U74" s="199">
        <v>0.0</v>
      </c>
      <c r="V74" s="199">
        <v>0.0</v>
      </c>
      <c r="W74" s="199">
        <v>0.0</v>
      </c>
    </row>
    <row r="75" ht="15.75" customHeight="1">
      <c r="A75" s="199">
        <f t="shared" si="1"/>
        <v>49</v>
      </c>
      <c r="B75" s="103"/>
      <c r="C75" s="199">
        <v>0.0</v>
      </c>
      <c r="D75" s="199">
        <v>0.0</v>
      </c>
      <c r="E75" s="199">
        <v>0.0</v>
      </c>
      <c r="F75" s="199">
        <v>0.0</v>
      </c>
      <c r="G75" s="199">
        <v>0.0</v>
      </c>
      <c r="H75" s="199">
        <v>0.0</v>
      </c>
      <c r="I75" s="199">
        <v>0.0</v>
      </c>
      <c r="J75" s="199">
        <v>0.0</v>
      </c>
      <c r="K75" s="199">
        <v>0.0</v>
      </c>
      <c r="L75" s="199">
        <v>0.0</v>
      </c>
      <c r="M75" s="199">
        <v>0.0</v>
      </c>
      <c r="N75" s="199">
        <v>0.0</v>
      </c>
      <c r="O75" s="199">
        <v>0.0</v>
      </c>
      <c r="P75" s="199">
        <v>0.0</v>
      </c>
      <c r="Q75" s="199">
        <v>0.0</v>
      </c>
      <c r="R75" s="199">
        <v>0.0</v>
      </c>
      <c r="S75" s="199">
        <v>0.0</v>
      </c>
      <c r="T75" s="199">
        <v>0.0</v>
      </c>
      <c r="U75" s="199">
        <v>0.0</v>
      </c>
      <c r="V75" s="199">
        <v>0.0</v>
      </c>
      <c r="W75" s="199">
        <v>0.0</v>
      </c>
    </row>
    <row r="76" ht="15.75" customHeight="1">
      <c r="A76" s="199">
        <f t="shared" si="1"/>
        <v>50</v>
      </c>
      <c r="B76" s="103"/>
      <c r="C76" s="199">
        <v>0.0</v>
      </c>
      <c r="D76" s="199">
        <v>0.0</v>
      </c>
      <c r="E76" s="199">
        <v>0.0</v>
      </c>
      <c r="F76" s="199">
        <v>0.0</v>
      </c>
      <c r="G76" s="199">
        <v>0.0</v>
      </c>
      <c r="H76" s="199">
        <v>0.0</v>
      </c>
      <c r="I76" s="199">
        <v>0.0</v>
      </c>
      <c r="J76" s="199">
        <v>0.0</v>
      </c>
      <c r="K76" s="199">
        <v>0.0</v>
      </c>
      <c r="L76" s="199">
        <v>0.0</v>
      </c>
      <c r="M76" s="199">
        <v>0.0</v>
      </c>
      <c r="N76" s="199">
        <v>0.0</v>
      </c>
      <c r="O76" s="199">
        <v>0.0</v>
      </c>
      <c r="P76" s="199">
        <v>0.0</v>
      </c>
      <c r="Q76" s="199">
        <v>0.0</v>
      </c>
      <c r="R76" s="199">
        <v>0.0</v>
      </c>
      <c r="S76" s="199">
        <v>0.0</v>
      </c>
      <c r="T76" s="199">
        <v>0.0</v>
      </c>
      <c r="U76" s="199">
        <v>0.0</v>
      </c>
      <c r="V76" s="199">
        <v>0.0</v>
      </c>
      <c r="W76" s="199">
        <v>0.0</v>
      </c>
    </row>
    <row r="77" ht="15.75" customHeight="1">
      <c r="A77" s="199">
        <f t="shared" si="1"/>
        <v>51</v>
      </c>
      <c r="B77" s="103"/>
      <c r="C77" s="199">
        <v>0.0</v>
      </c>
      <c r="D77" s="199">
        <v>0.0</v>
      </c>
      <c r="E77" s="199">
        <v>0.0</v>
      </c>
      <c r="F77" s="199">
        <v>0.0</v>
      </c>
      <c r="G77" s="199">
        <v>0.0</v>
      </c>
      <c r="H77" s="199">
        <v>0.0</v>
      </c>
      <c r="I77" s="199">
        <v>0.0</v>
      </c>
      <c r="J77" s="199">
        <v>0.0</v>
      </c>
      <c r="K77" s="199">
        <v>0.0</v>
      </c>
      <c r="L77" s="199">
        <v>0.0</v>
      </c>
      <c r="M77" s="199">
        <v>0.0</v>
      </c>
      <c r="N77" s="199">
        <v>0.0</v>
      </c>
      <c r="O77" s="199">
        <v>0.0</v>
      </c>
      <c r="P77" s="199">
        <v>0.0</v>
      </c>
      <c r="Q77" s="199">
        <v>0.0</v>
      </c>
      <c r="R77" s="199">
        <v>0.0</v>
      </c>
      <c r="S77" s="199">
        <v>0.0</v>
      </c>
      <c r="T77" s="199">
        <v>0.0</v>
      </c>
      <c r="U77" s="199">
        <v>0.0</v>
      </c>
      <c r="V77" s="199">
        <v>0.0</v>
      </c>
      <c r="W77" s="199">
        <v>0.0</v>
      </c>
    </row>
    <row r="78" ht="15.75" customHeight="1">
      <c r="A78" s="199">
        <f t="shared" si="1"/>
        <v>52</v>
      </c>
      <c r="B78" s="103"/>
      <c r="C78" s="199">
        <v>0.0</v>
      </c>
      <c r="D78" s="199">
        <v>0.0</v>
      </c>
      <c r="E78" s="199">
        <v>0.0</v>
      </c>
      <c r="F78" s="199">
        <v>0.0</v>
      </c>
      <c r="G78" s="199">
        <v>0.0</v>
      </c>
      <c r="H78" s="199">
        <v>0.0</v>
      </c>
      <c r="I78" s="199">
        <v>0.0</v>
      </c>
      <c r="J78" s="199">
        <v>0.0</v>
      </c>
      <c r="K78" s="199">
        <v>0.0</v>
      </c>
      <c r="L78" s="199">
        <v>0.0</v>
      </c>
      <c r="M78" s="199">
        <v>0.0</v>
      </c>
      <c r="N78" s="199">
        <v>0.0</v>
      </c>
      <c r="O78" s="199">
        <v>0.0</v>
      </c>
      <c r="P78" s="199">
        <v>0.0</v>
      </c>
      <c r="Q78" s="199">
        <v>0.0</v>
      </c>
      <c r="R78" s="199">
        <v>0.0</v>
      </c>
      <c r="S78" s="199">
        <v>0.0</v>
      </c>
      <c r="T78" s="199">
        <v>0.0</v>
      </c>
      <c r="U78" s="199">
        <v>0.0</v>
      </c>
      <c r="V78" s="199">
        <v>0.0</v>
      </c>
      <c r="W78" s="199">
        <v>0.0</v>
      </c>
    </row>
    <row r="79" ht="15.75" customHeight="1">
      <c r="A79" s="199">
        <f t="shared" si="1"/>
        <v>53</v>
      </c>
      <c r="B79" s="103"/>
      <c r="C79" s="199">
        <v>0.0</v>
      </c>
      <c r="D79" s="199">
        <v>0.0</v>
      </c>
      <c r="E79" s="199">
        <v>0.0</v>
      </c>
      <c r="F79" s="199">
        <v>0.0</v>
      </c>
      <c r="G79" s="199">
        <v>0.0</v>
      </c>
      <c r="H79" s="199">
        <v>0.0</v>
      </c>
      <c r="I79" s="199">
        <v>0.0</v>
      </c>
      <c r="J79" s="199">
        <v>0.0</v>
      </c>
      <c r="K79" s="199">
        <v>0.0</v>
      </c>
      <c r="L79" s="199">
        <v>0.0</v>
      </c>
      <c r="M79" s="199">
        <v>0.0</v>
      </c>
      <c r="N79" s="199">
        <v>0.0</v>
      </c>
      <c r="O79" s="199">
        <v>0.0</v>
      </c>
      <c r="P79" s="199">
        <v>0.0</v>
      </c>
      <c r="Q79" s="199">
        <v>0.0</v>
      </c>
      <c r="R79" s="199">
        <v>0.0</v>
      </c>
      <c r="S79" s="199">
        <v>0.0</v>
      </c>
      <c r="T79" s="199">
        <v>0.0</v>
      </c>
      <c r="U79" s="199">
        <v>0.0</v>
      </c>
      <c r="V79" s="199">
        <v>0.0</v>
      </c>
      <c r="W79" s="199">
        <v>0.0</v>
      </c>
    </row>
    <row r="80" ht="15.75" customHeight="1">
      <c r="A80" s="199">
        <f t="shared" si="1"/>
        <v>54</v>
      </c>
      <c r="B80" s="103"/>
      <c r="C80" s="199">
        <v>0.0</v>
      </c>
      <c r="D80" s="199">
        <v>0.0</v>
      </c>
      <c r="E80" s="199">
        <v>0.0</v>
      </c>
      <c r="F80" s="199">
        <v>0.0</v>
      </c>
      <c r="G80" s="199">
        <v>0.0</v>
      </c>
      <c r="H80" s="199">
        <v>0.0</v>
      </c>
      <c r="I80" s="199">
        <v>0.0</v>
      </c>
      <c r="J80" s="199">
        <v>0.0</v>
      </c>
      <c r="K80" s="199">
        <v>0.0</v>
      </c>
      <c r="L80" s="199">
        <v>0.0</v>
      </c>
      <c r="M80" s="199">
        <v>0.0</v>
      </c>
      <c r="N80" s="199">
        <v>0.0</v>
      </c>
      <c r="O80" s="199">
        <v>0.0</v>
      </c>
      <c r="P80" s="199">
        <v>0.0</v>
      </c>
      <c r="Q80" s="199">
        <v>0.0</v>
      </c>
      <c r="R80" s="199">
        <v>0.0</v>
      </c>
      <c r="S80" s="199">
        <v>0.0</v>
      </c>
      <c r="T80" s="199">
        <v>0.0</v>
      </c>
      <c r="U80" s="199">
        <v>0.0</v>
      </c>
      <c r="V80" s="199">
        <v>0.0</v>
      </c>
      <c r="W80" s="199">
        <v>0.0</v>
      </c>
    </row>
    <row r="81" ht="15.75" customHeight="1">
      <c r="A81" s="199">
        <f t="shared" si="1"/>
        <v>55</v>
      </c>
      <c r="B81" s="103"/>
      <c r="C81" s="199">
        <v>0.0</v>
      </c>
      <c r="D81" s="199">
        <v>0.0</v>
      </c>
      <c r="E81" s="199">
        <v>0.0</v>
      </c>
      <c r="F81" s="199">
        <v>0.0</v>
      </c>
      <c r="G81" s="199">
        <v>0.0</v>
      </c>
      <c r="H81" s="199">
        <v>0.0</v>
      </c>
      <c r="I81" s="199">
        <v>0.0</v>
      </c>
      <c r="J81" s="199">
        <v>0.0</v>
      </c>
      <c r="K81" s="199">
        <v>0.0</v>
      </c>
      <c r="L81" s="199">
        <v>0.0</v>
      </c>
      <c r="M81" s="199">
        <v>0.0</v>
      </c>
      <c r="N81" s="199">
        <v>0.0</v>
      </c>
      <c r="O81" s="199">
        <v>0.0</v>
      </c>
      <c r="P81" s="199">
        <v>0.0</v>
      </c>
      <c r="Q81" s="199">
        <v>0.0</v>
      </c>
      <c r="R81" s="199">
        <v>0.0</v>
      </c>
      <c r="S81" s="199">
        <v>0.0</v>
      </c>
      <c r="T81" s="199">
        <v>0.0</v>
      </c>
      <c r="U81" s="199">
        <v>0.0</v>
      </c>
      <c r="V81" s="199">
        <v>0.0</v>
      </c>
      <c r="W81" s="199">
        <v>0.0</v>
      </c>
    </row>
    <row r="82" ht="15.75" customHeight="1">
      <c r="A82" s="199">
        <f t="shared" si="1"/>
        <v>56</v>
      </c>
      <c r="B82" s="103"/>
      <c r="C82" s="199">
        <v>0.0</v>
      </c>
      <c r="D82" s="199">
        <v>0.0</v>
      </c>
      <c r="E82" s="199">
        <v>0.0</v>
      </c>
      <c r="F82" s="199">
        <v>0.0</v>
      </c>
      <c r="G82" s="199">
        <v>0.0</v>
      </c>
      <c r="H82" s="199">
        <v>0.0</v>
      </c>
      <c r="I82" s="199">
        <v>0.0</v>
      </c>
      <c r="J82" s="199">
        <v>0.0</v>
      </c>
      <c r="K82" s="199">
        <v>0.0</v>
      </c>
      <c r="L82" s="199">
        <v>0.0</v>
      </c>
      <c r="M82" s="199">
        <v>0.0</v>
      </c>
      <c r="N82" s="199">
        <v>0.0</v>
      </c>
      <c r="O82" s="199">
        <v>0.0</v>
      </c>
      <c r="P82" s="199">
        <v>0.0</v>
      </c>
      <c r="Q82" s="199">
        <v>0.0</v>
      </c>
      <c r="R82" s="199">
        <v>0.0</v>
      </c>
      <c r="S82" s="199">
        <v>0.0</v>
      </c>
      <c r="T82" s="199">
        <v>0.0</v>
      </c>
      <c r="U82" s="199">
        <v>0.0</v>
      </c>
      <c r="V82" s="199">
        <v>0.0</v>
      </c>
      <c r="W82" s="199">
        <v>0.0</v>
      </c>
    </row>
    <row r="83" ht="15.75" customHeight="1">
      <c r="A83" s="199">
        <f t="shared" si="1"/>
        <v>57</v>
      </c>
      <c r="B83" s="103"/>
      <c r="C83" s="199">
        <v>0.0</v>
      </c>
      <c r="D83" s="199">
        <v>0.0</v>
      </c>
      <c r="E83" s="199">
        <v>0.0</v>
      </c>
      <c r="F83" s="199">
        <v>0.0</v>
      </c>
      <c r="G83" s="199">
        <v>0.0</v>
      </c>
      <c r="H83" s="199">
        <v>0.0</v>
      </c>
      <c r="I83" s="199">
        <v>0.0</v>
      </c>
      <c r="J83" s="199">
        <v>0.0</v>
      </c>
      <c r="K83" s="199">
        <v>0.0</v>
      </c>
      <c r="L83" s="199">
        <v>0.0</v>
      </c>
      <c r="M83" s="199">
        <v>0.0</v>
      </c>
      <c r="N83" s="199">
        <v>0.0</v>
      </c>
      <c r="O83" s="199">
        <v>0.0</v>
      </c>
      <c r="P83" s="199">
        <v>0.0</v>
      </c>
      <c r="Q83" s="199">
        <v>0.0</v>
      </c>
      <c r="R83" s="199">
        <v>0.0</v>
      </c>
      <c r="S83" s="199">
        <v>0.0</v>
      </c>
      <c r="T83" s="199">
        <v>0.0</v>
      </c>
      <c r="U83" s="199">
        <v>0.0</v>
      </c>
      <c r="V83" s="199">
        <v>0.0</v>
      </c>
      <c r="W83" s="199">
        <v>0.0</v>
      </c>
    </row>
    <row r="84" ht="15.75" customHeight="1">
      <c r="A84" s="199">
        <f t="shared" si="1"/>
        <v>58</v>
      </c>
      <c r="B84" s="103"/>
      <c r="C84" s="199">
        <v>0.0</v>
      </c>
      <c r="D84" s="199">
        <v>0.0</v>
      </c>
      <c r="E84" s="199">
        <v>0.0</v>
      </c>
      <c r="F84" s="199">
        <v>0.0</v>
      </c>
      <c r="G84" s="199">
        <v>0.0</v>
      </c>
      <c r="H84" s="199">
        <v>0.0</v>
      </c>
      <c r="I84" s="199">
        <v>0.0</v>
      </c>
      <c r="J84" s="199">
        <v>0.0</v>
      </c>
      <c r="K84" s="199">
        <v>0.0</v>
      </c>
      <c r="L84" s="199">
        <v>0.0</v>
      </c>
      <c r="M84" s="199">
        <v>0.0</v>
      </c>
      <c r="N84" s="199">
        <v>0.0</v>
      </c>
      <c r="O84" s="199">
        <v>0.0</v>
      </c>
      <c r="P84" s="199">
        <v>0.0</v>
      </c>
      <c r="Q84" s="199">
        <v>0.0</v>
      </c>
      <c r="R84" s="199">
        <v>0.0</v>
      </c>
      <c r="S84" s="199">
        <v>0.0</v>
      </c>
      <c r="T84" s="199">
        <v>0.0</v>
      </c>
      <c r="U84" s="199">
        <v>0.0</v>
      </c>
      <c r="V84" s="199">
        <v>0.0</v>
      </c>
      <c r="W84" s="199">
        <v>0.0</v>
      </c>
    </row>
    <row r="85" ht="15.75" customHeight="1">
      <c r="A85" s="199">
        <f t="shared" si="1"/>
        <v>59</v>
      </c>
      <c r="B85" s="103"/>
      <c r="C85" s="199">
        <v>0.0</v>
      </c>
      <c r="D85" s="199">
        <v>0.0</v>
      </c>
      <c r="E85" s="199">
        <v>0.0</v>
      </c>
      <c r="F85" s="199">
        <v>0.0</v>
      </c>
      <c r="G85" s="199">
        <v>0.0</v>
      </c>
      <c r="H85" s="199">
        <v>0.0</v>
      </c>
      <c r="I85" s="199">
        <v>0.0</v>
      </c>
      <c r="J85" s="199">
        <v>0.0</v>
      </c>
      <c r="K85" s="199">
        <v>0.0</v>
      </c>
      <c r="L85" s="199">
        <v>0.0</v>
      </c>
      <c r="M85" s="199">
        <v>0.0</v>
      </c>
      <c r="N85" s="199">
        <v>0.0</v>
      </c>
      <c r="O85" s="199">
        <v>0.0</v>
      </c>
      <c r="P85" s="199">
        <v>0.0</v>
      </c>
      <c r="Q85" s="199">
        <v>0.0</v>
      </c>
      <c r="R85" s="199">
        <v>0.0</v>
      </c>
      <c r="S85" s="199">
        <v>0.0</v>
      </c>
      <c r="T85" s="199">
        <v>0.0</v>
      </c>
      <c r="U85" s="199">
        <v>0.0</v>
      </c>
      <c r="V85" s="199">
        <v>0.0</v>
      </c>
      <c r="W85" s="199">
        <v>0.0</v>
      </c>
    </row>
    <row r="86" ht="15.75" customHeight="1">
      <c r="A86" s="199">
        <f t="shared" si="1"/>
        <v>60</v>
      </c>
      <c r="B86" s="103"/>
      <c r="C86" s="199">
        <v>0.0</v>
      </c>
      <c r="D86" s="199">
        <v>0.0</v>
      </c>
      <c r="E86" s="199">
        <v>0.0</v>
      </c>
      <c r="F86" s="199">
        <v>0.0</v>
      </c>
      <c r="G86" s="199">
        <v>0.0</v>
      </c>
      <c r="H86" s="199">
        <v>0.0</v>
      </c>
      <c r="I86" s="199">
        <v>0.0</v>
      </c>
      <c r="J86" s="199">
        <v>0.0</v>
      </c>
      <c r="K86" s="199">
        <v>0.0</v>
      </c>
      <c r="L86" s="199">
        <v>0.0</v>
      </c>
      <c r="M86" s="199">
        <v>0.0</v>
      </c>
      <c r="N86" s="199">
        <v>0.0</v>
      </c>
      <c r="O86" s="199">
        <v>0.0</v>
      </c>
      <c r="P86" s="199">
        <v>0.0</v>
      </c>
      <c r="Q86" s="199">
        <v>0.0</v>
      </c>
      <c r="R86" s="199">
        <v>0.0</v>
      </c>
      <c r="S86" s="199">
        <v>0.0</v>
      </c>
      <c r="T86" s="199">
        <v>0.0</v>
      </c>
      <c r="U86" s="199">
        <v>0.0</v>
      </c>
      <c r="V86" s="199">
        <v>0.0</v>
      </c>
      <c r="W86" s="199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5" priority="1" stopIfTrue="1" operator="greaterThan">
      <formula>0</formula>
    </cfRule>
  </conditionalFormatting>
  <conditionalFormatting sqref="B27:W86">
    <cfRule type="cellIs" dxfId="5" priority="2" stopIfTrue="1" operator="greaterThan">
      <formula>0</formula>
    </cfRule>
  </conditionalFormatting>
  <conditionalFormatting sqref="A27:W86">
    <cfRule type="expression" dxfId="6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14" t="s">
        <v>217</v>
      </c>
      <c r="G1" s="205"/>
    </row>
    <row r="2" ht="19.5" customHeight="1">
      <c r="A2" s="116" t="s">
        <v>114</v>
      </c>
      <c r="B2" s="116"/>
      <c r="C2" s="116"/>
      <c r="D2" s="116"/>
      <c r="E2" s="116"/>
      <c r="F2" s="116"/>
      <c r="G2" s="20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</row>
    <row r="3">
      <c r="A3" s="149" t="s">
        <v>218</v>
      </c>
      <c r="B3" s="150">
        <v>5.0</v>
      </c>
      <c r="G3" s="205"/>
    </row>
    <row r="4">
      <c r="A4" s="149" t="s">
        <v>219</v>
      </c>
      <c r="B4" s="150">
        <v>3.0</v>
      </c>
      <c r="G4" s="205"/>
    </row>
    <row r="5">
      <c r="A5" s="149" t="s">
        <v>220</v>
      </c>
      <c r="B5" s="150">
        <v>1.0</v>
      </c>
      <c r="G5" s="205"/>
    </row>
    <row r="6">
      <c r="G6" s="205"/>
    </row>
    <row r="7" ht="19.5" customHeight="1">
      <c r="A7" s="207" t="s">
        <v>116</v>
      </c>
      <c r="B7" s="207"/>
      <c r="C7" s="207"/>
      <c r="D7" s="207"/>
      <c r="E7" s="207"/>
      <c r="F7" s="207"/>
      <c r="G7" s="208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</row>
    <row r="8" ht="17.25" customHeight="1">
      <c r="A8" s="209" t="s">
        <v>56</v>
      </c>
      <c r="B8" s="210"/>
      <c r="C8" s="210"/>
      <c r="D8" s="210"/>
      <c r="E8" s="210"/>
      <c r="F8" s="210"/>
      <c r="G8" s="211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</row>
    <row r="9" ht="90.0" customHeight="1">
      <c r="A9" s="212" t="s">
        <v>143</v>
      </c>
      <c r="B9" s="212" t="s">
        <v>157</v>
      </c>
      <c r="C9" s="212" t="s">
        <v>221</v>
      </c>
      <c r="D9" s="213" t="s">
        <v>222</v>
      </c>
      <c r="E9" s="213" t="s">
        <v>223</v>
      </c>
      <c r="F9" s="212" t="s">
        <v>64</v>
      </c>
      <c r="G9" s="214" t="s">
        <v>224</v>
      </c>
      <c r="I9" s="215" t="s">
        <v>68</v>
      </c>
      <c r="J9" s="215" t="s">
        <v>69</v>
      </c>
      <c r="K9" s="215" t="s">
        <v>70</v>
      </c>
      <c r="L9" s="215" t="s">
        <v>71</v>
      </c>
      <c r="M9" s="215" t="s">
        <v>72</v>
      </c>
      <c r="N9" s="215" t="s">
        <v>73</v>
      </c>
      <c r="O9" s="215" t="s">
        <v>74</v>
      </c>
      <c r="P9" s="215" t="s">
        <v>75</v>
      </c>
      <c r="Q9" s="215" t="s">
        <v>76</v>
      </c>
      <c r="R9" s="215" t="s">
        <v>77</v>
      </c>
      <c r="S9" s="215" t="s">
        <v>78</v>
      </c>
      <c r="T9" s="216" t="s">
        <v>103</v>
      </c>
      <c r="U9" s="216" t="s">
        <v>118</v>
      </c>
      <c r="V9" s="216" t="s">
        <v>104</v>
      </c>
      <c r="W9" s="216" t="s">
        <v>105</v>
      </c>
      <c r="X9" s="216" t="s">
        <v>106</v>
      </c>
      <c r="Y9" s="216" t="s">
        <v>107</v>
      </c>
      <c r="Z9" s="216" t="s">
        <v>108</v>
      </c>
      <c r="AA9" s="216" t="s">
        <v>109</v>
      </c>
      <c r="AB9" s="216" t="s">
        <v>110</v>
      </c>
      <c r="AC9" s="212" t="s">
        <v>225</v>
      </c>
    </row>
    <row r="10">
      <c r="A10" s="125">
        <v>1.0</v>
      </c>
      <c r="B10" s="125">
        <v>1.0</v>
      </c>
      <c r="C10" s="125" t="s">
        <v>226</v>
      </c>
      <c r="D10" s="173">
        <v>2.0</v>
      </c>
      <c r="E10" s="173">
        <v>2.0</v>
      </c>
      <c r="F10" s="173">
        <v>0.0</v>
      </c>
      <c r="G10" s="217">
        <f t="shared" ref="G10:G12" si="1">IF(D10=0,0,F10/D10)</f>
        <v>0</v>
      </c>
      <c r="I10" s="173">
        <v>0.0</v>
      </c>
      <c r="J10" s="173">
        <v>0.0</v>
      </c>
      <c r="K10" s="173">
        <v>0.0</v>
      </c>
      <c r="L10" s="173">
        <v>0.0</v>
      </c>
      <c r="M10" s="173">
        <v>0.0</v>
      </c>
      <c r="N10" s="173">
        <v>0.0</v>
      </c>
      <c r="O10" s="173">
        <v>0.0</v>
      </c>
      <c r="P10" s="173">
        <v>20.0</v>
      </c>
      <c r="Q10" s="173">
        <v>0.0</v>
      </c>
      <c r="R10" s="173">
        <v>0.0</v>
      </c>
      <c r="S10" s="173">
        <v>0.0</v>
      </c>
      <c r="T10" s="125">
        <v>0.0</v>
      </c>
      <c r="U10" s="125">
        <v>0.0</v>
      </c>
      <c r="V10" s="125">
        <v>0.0</v>
      </c>
      <c r="W10" s="125">
        <v>0.0</v>
      </c>
      <c r="X10" s="125">
        <v>0.0</v>
      </c>
      <c r="Y10" s="125">
        <v>0.0</v>
      </c>
      <c r="Z10" s="125">
        <v>0.0</v>
      </c>
      <c r="AA10" s="125">
        <v>0.0</v>
      </c>
      <c r="AB10" s="125">
        <v>0.0</v>
      </c>
      <c r="AC10" s="125">
        <f t="shared" ref="AC10:AC12" si="2">SUMPRODUCT(I10:S10, {0,33,50,67,167,67,50,4.17,7.56,12.17,16.22})</f>
        <v>83.4</v>
      </c>
    </row>
    <row r="11">
      <c r="A11" s="125">
        <v>2.0</v>
      </c>
      <c r="B11" s="125">
        <v>1.0</v>
      </c>
      <c r="C11" s="125" t="s">
        <v>226</v>
      </c>
      <c r="D11" s="173">
        <v>3.0</v>
      </c>
      <c r="E11" s="173">
        <v>5.0</v>
      </c>
      <c r="F11" s="173">
        <v>10.0</v>
      </c>
      <c r="G11" s="217">
        <f t="shared" si="1"/>
        <v>3.333333333</v>
      </c>
      <c r="H11" s="194"/>
      <c r="I11" s="173">
        <v>0.0</v>
      </c>
      <c r="J11" s="173">
        <v>1.0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25">
        <v>0.0</v>
      </c>
      <c r="U11" s="125">
        <v>0.0</v>
      </c>
      <c r="V11" s="125">
        <v>0.0</v>
      </c>
      <c r="W11" s="125">
        <v>0.0</v>
      </c>
      <c r="X11" s="125">
        <v>0.0</v>
      </c>
      <c r="Y11" s="125">
        <v>0.0</v>
      </c>
      <c r="Z11" s="125">
        <v>0.0</v>
      </c>
      <c r="AA11" s="125">
        <v>0.0</v>
      </c>
      <c r="AB11" s="125">
        <v>0.0</v>
      </c>
      <c r="AC11" s="125">
        <f t="shared" si="2"/>
        <v>33</v>
      </c>
    </row>
    <row r="12">
      <c r="A12" s="125">
        <v>3.0</v>
      </c>
      <c r="B12" s="125">
        <v>1.0</v>
      </c>
      <c r="C12" s="125" t="s">
        <v>226</v>
      </c>
      <c r="D12" s="173">
        <v>5.0</v>
      </c>
      <c r="E12" s="173">
        <v>10.0</v>
      </c>
      <c r="F12" s="173">
        <v>15.0</v>
      </c>
      <c r="G12" s="217">
        <f t="shared" si="1"/>
        <v>3</v>
      </c>
      <c r="I12" s="173">
        <v>0.0</v>
      </c>
      <c r="J12" s="173">
        <v>0.0</v>
      </c>
      <c r="K12" s="173">
        <v>1.0</v>
      </c>
      <c r="L12" s="173">
        <v>0.0</v>
      </c>
      <c r="M12" s="173">
        <v>1.0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25">
        <v>0.0</v>
      </c>
      <c r="U12" s="125">
        <v>0.0</v>
      </c>
      <c r="V12" s="125">
        <v>0.0</v>
      </c>
      <c r="W12" s="125">
        <v>0.0</v>
      </c>
      <c r="X12" s="125">
        <v>0.0</v>
      </c>
      <c r="Y12" s="125">
        <v>0.0</v>
      </c>
      <c r="Z12" s="125">
        <v>0.0</v>
      </c>
      <c r="AA12" s="125">
        <v>0.0</v>
      </c>
      <c r="AB12" s="125">
        <v>0.0</v>
      </c>
      <c r="AC12" s="125">
        <f t="shared" si="2"/>
        <v>217</v>
      </c>
    </row>
    <row r="13">
      <c r="G13" s="205"/>
    </row>
    <row r="14" ht="17.25" customHeight="1">
      <c r="A14" s="209" t="s">
        <v>57</v>
      </c>
      <c r="B14" s="210"/>
      <c r="C14" s="210"/>
      <c r="D14" s="210"/>
      <c r="E14" s="210"/>
      <c r="F14" s="210"/>
      <c r="G14" s="211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</row>
    <row r="15" ht="90.0" customHeight="1">
      <c r="A15" s="120" t="s">
        <v>143</v>
      </c>
      <c r="B15" s="120" t="s">
        <v>157</v>
      </c>
      <c r="C15" s="120" t="s">
        <v>221</v>
      </c>
      <c r="D15" s="218" t="s">
        <v>222</v>
      </c>
      <c r="E15" s="218" t="s">
        <v>223</v>
      </c>
      <c r="F15" s="120" t="s">
        <v>64</v>
      </c>
      <c r="G15" s="219" t="s">
        <v>224</v>
      </c>
      <c r="I15" s="140" t="s">
        <v>68</v>
      </c>
      <c r="J15" s="140" t="s">
        <v>69</v>
      </c>
      <c r="K15" s="140" t="s">
        <v>70</v>
      </c>
      <c r="L15" s="140" t="s">
        <v>71</v>
      </c>
      <c r="M15" s="140" t="s">
        <v>72</v>
      </c>
      <c r="N15" s="140" t="s">
        <v>73</v>
      </c>
      <c r="O15" s="140" t="s">
        <v>74</v>
      </c>
      <c r="P15" s="140" t="s">
        <v>75</v>
      </c>
      <c r="Q15" s="140" t="s">
        <v>76</v>
      </c>
      <c r="R15" s="140" t="s">
        <v>77</v>
      </c>
      <c r="S15" s="140" t="s">
        <v>78</v>
      </c>
      <c r="T15" s="123" t="s">
        <v>103</v>
      </c>
      <c r="U15" s="123" t="s">
        <v>118</v>
      </c>
      <c r="V15" s="123" t="s">
        <v>104</v>
      </c>
      <c r="W15" s="123" t="s">
        <v>105</v>
      </c>
      <c r="X15" s="123" t="s">
        <v>106</v>
      </c>
      <c r="Y15" s="123" t="s">
        <v>107</v>
      </c>
      <c r="Z15" s="123" t="s">
        <v>108</v>
      </c>
      <c r="AA15" s="123" t="s">
        <v>109</v>
      </c>
      <c r="AB15" s="123" t="s">
        <v>110</v>
      </c>
      <c r="AC15" s="120" t="s">
        <v>225</v>
      </c>
    </row>
    <row r="16">
      <c r="A16" s="125">
        <v>1.0</v>
      </c>
      <c r="B16" s="125">
        <v>1.0</v>
      </c>
      <c r="C16" s="125" t="s">
        <v>226</v>
      </c>
      <c r="D16" s="173">
        <v>6.0</v>
      </c>
      <c r="E16" s="173">
        <v>6.0</v>
      </c>
      <c r="F16" s="173">
        <v>10.0</v>
      </c>
      <c r="G16" s="217">
        <f t="shared" ref="G16:G18" si="3">IF(D16=0,0,F16/D16)</f>
        <v>1.666666667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0.0</v>
      </c>
      <c r="P16" s="173">
        <v>20.0</v>
      </c>
      <c r="Q16" s="173">
        <v>0.0</v>
      </c>
      <c r="R16" s="173">
        <v>0.0</v>
      </c>
      <c r="S16" s="173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  <c r="Y16" s="125">
        <v>0.0</v>
      </c>
      <c r="Z16" s="125">
        <v>0.0</v>
      </c>
      <c r="AA16" s="125">
        <v>0.0</v>
      </c>
      <c r="AB16" s="125">
        <v>0.0</v>
      </c>
      <c r="AC16" s="125">
        <f t="shared" ref="AC16:AC18" si="4">SUMPRODUCT(I16:S16, {0,33,50,67,167,67,50,4.17,7.56,12.17,16.22})</f>
        <v>83.4</v>
      </c>
    </row>
    <row r="17">
      <c r="A17" s="125">
        <v>2.0</v>
      </c>
      <c r="B17" s="125">
        <v>1.0</v>
      </c>
      <c r="C17" s="125" t="s">
        <v>226</v>
      </c>
      <c r="D17" s="173">
        <v>7.0</v>
      </c>
      <c r="E17" s="173">
        <v>13.0</v>
      </c>
      <c r="F17" s="173">
        <v>30.0</v>
      </c>
      <c r="G17" s="217">
        <f t="shared" si="3"/>
        <v>4.285714286</v>
      </c>
      <c r="H17" s="194"/>
      <c r="I17" s="173">
        <v>0.0</v>
      </c>
      <c r="J17" s="173">
        <v>1.0</v>
      </c>
      <c r="K17" s="173">
        <v>0.0</v>
      </c>
      <c r="L17" s="173">
        <v>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  <c r="Y17" s="125">
        <v>0.0</v>
      </c>
      <c r="Z17" s="125">
        <v>0.0</v>
      </c>
      <c r="AA17" s="125">
        <v>0.0</v>
      </c>
      <c r="AB17" s="125">
        <v>0.0</v>
      </c>
      <c r="AC17" s="125">
        <f t="shared" si="4"/>
        <v>33</v>
      </c>
    </row>
    <row r="18">
      <c r="A18" s="125">
        <v>3.0</v>
      </c>
      <c r="B18" s="125">
        <v>1.0</v>
      </c>
      <c r="C18" s="125" t="s">
        <v>226</v>
      </c>
      <c r="D18" s="173">
        <v>13.0</v>
      </c>
      <c r="E18" s="173">
        <v>26.0</v>
      </c>
      <c r="F18" s="173">
        <v>60.0</v>
      </c>
      <c r="G18" s="217">
        <f t="shared" si="3"/>
        <v>4.615384615</v>
      </c>
      <c r="I18" s="173">
        <v>0.0</v>
      </c>
      <c r="J18" s="173">
        <v>0.0</v>
      </c>
      <c r="K18" s="173">
        <v>1.0</v>
      </c>
      <c r="L18" s="173">
        <v>0.0</v>
      </c>
      <c r="M18" s="173">
        <v>1.0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  <c r="Y18" s="125">
        <v>0.0</v>
      </c>
      <c r="Z18" s="125">
        <v>0.0</v>
      </c>
      <c r="AA18" s="125">
        <v>0.0</v>
      </c>
      <c r="AB18" s="125">
        <v>0.0</v>
      </c>
      <c r="AC18" s="125">
        <f t="shared" si="4"/>
        <v>217</v>
      </c>
    </row>
    <row r="19">
      <c r="G19" s="205"/>
    </row>
    <row r="20" ht="17.25" customHeight="1">
      <c r="A20" s="209" t="s">
        <v>58</v>
      </c>
      <c r="B20" s="210"/>
      <c r="C20" s="210"/>
      <c r="D20" s="210"/>
      <c r="E20" s="210"/>
      <c r="F20" s="210"/>
      <c r="G20" s="211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</row>
    <row r="21" ht="90.0" customHeight="1">
      <c r="A21" s="120" t="s">
        <v>143</v>
      </c>
      <c r="B21" s="120" t="s">
        <v>157</v>
      </c>
      <c r="C21" s="120" t="s">
        <v>221</v>
      </c>
      <c r="D21" s="218" t="s">
        <v>222</v>
      </c>
      <c r="E21" s="218" t="s">
        <v>223</v>
      </c>
      <c r="F21" s="120" t="s">
        <v>64</v>
      </c>
      <c r="G21" s="219" t="s">
        <v>224</v>
      </c>
      <c r="I21" s="140" t="s">
        <v>68</v>
      </c>
      <c r="J21" s="140" t="s">
        <v>69</v>
      </c>
      <c r="K21" s="140" t="s">
        <v>70</v>
      </c>
      <c r="L21" s="140" t="s">
        <v>71</v>
      </c>
      <c r="M21" s="140" t="s">
        <v>72</v>
      </c>
      <c r="N21" s="140" t="s">
        <v>73</v>
      </c>
      <c r="O21" s="140" t="s">
        <v>74</v>
      </c>
      <c r="P21" s="140" t="s">
        <v>75</v>
      </c>
      <c r="Q21" s="140" t="s">
        <v>76</v>
      </c>
      <c r="R21" s="140" t="s">
        <v>77</v>
      </c>
      <c r="S21" s="140" t="s">
        <v>78</v>
      </c>
      <c r="T21" s="123" t="s">
        <v>103</v>
      </c>
      <c r="U21" s="123" t="s">
        <v>118</v>
      </c>
      <c r="V21" s="123" t="s">
        <v>104</v>
      </c>
      <c r="W21" s="123" t="s">
        <v>105</v>
      </c>
      <c r="X21" s="123" t="s">
        <v>106</v>
      </c>
      <c r="Y21" s="123" t="s">
        <v>107</v>
      </c>
      <c r="Z21" s="123" t="s">
        <v>108</v>
      </c>
      <c r="AA21" s="123" t="s">
        <v>109</v>
      </c>
      <c r="AB21" s="123" t="s">
        <v>110</v>
      </c>
      <c r="AC21" s="120" t="s">
        <v>225</v>
      </c>
    </row>
    <row r="22" ht="15.75" customHeight="1">
      <c r="A22" s="125">
        <v>1.0</v>
      </c>
      <c r="B22" s="125">
        <v>1.0</v>
      </c>
      <c r="C22" s="125" t="s">
        <v>226</v>
      </c>
      <c r="D22" s="173">
        <v>11.0</v>
      </c>
      <c r="E22" s="173">
        <v>11.0</v>
      </c>
      <c r="F22" s="173">
        <v>15.0</v>
      </c>
      <c r="G22" s="217">
        <f t="shared" ref="G22:G24" si="5">IF(D22=0,0,F22/D22)</f>
        <v>1.363636364</v>
      </c>
      <c r="I22" s="173">
        <v>0.0</v>
      </c>
      <c r="J22" s="173">
        <v>0.0</v>
      </c>
      <c r="K22" s="173">
        <v>0.0</v>
      </c>
      <c r="L22" s="173">
        <v>0.0</v>
      </c>
      <c r="M22" s="173">
        <v>0.0</v>
      </c>
      <c r="N22" s="173">
        <v>0.0</v>
      </c>
      <c r="O22" s="173">
        <v>0.0</v>
      </c>
      <c r="P22" s="173">
        <v>20.0</v>
      </c>
      <c r="Q22" s="173">
        <v>0.0</v>
      </c>
      <c r="R22" s="173">
        <v>0.0</v>
      </c>
      <c r="S22" s="173">
        <v>0.0</v>
      </c>
      <c r="T22" s="125">
        <v>0.0</v>
      </c>
      <c r="U22" s="125">
        <v>0.0</v>
      </c>
      <c r="V22" s="125">
        <v>0.0</v>
      </c>
      <c r="W22" s="125">
        <v>0.0</v>
      </c>
      <c r="X22" s="125">
        <v>0.0</v>
      </c>
      <c r="Y22" s="125">
        <v>0.0</v>
      </c>
      <c r="Z22" s="125">
        <v>0.0</v>
      </c>
      <c r="AA22" s="125">
        <v>0.0</v>
      </c>
      <c r="AB22" s="125">
        <v>0.0</v>
      </c>
      <c r="AC22" s="125">
        <f t="shared" ref="AC22:AC24" si="6">SUMPRODUCT(I22:S22, {0,33,50,67,167,67,50,4.17,7.56,12.17,16.22})</f>
        <v>83.4</v>
      </c>
    </row>
    <row r="23" ht="15.75" customHeight="1">
      <c r="A23" s="125">
        <v>2.0</v>
      </c>
      <c r="B23" s="125">
        <v>1.0</v>
      </c>
      <c r="C23" s="125" t="s">
        <v>226</v>
      </c>
      <c r="D23" s="173">
        <v>15.0</v>
      </c>
      <c r="E23" s="173">
        <v>26.0</v>
      </c>
      <c r="F23" s="173">
        <v>50.0</v>
      </c>
      <c r="G23" s="217">
        <f t="shared" si="5"/>
        <v>3.333333333</v>
      </c>
      <c r="H23" s="194"/>
      <c r="I23" s="173">
        <v>0.0</v>
      </c>
      <c r="J23" s="173">
        <v>1.0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25">
        <v>0.0</v>
      </c>
      <c r="U23" s="125">
        <v>0.0</v>
      </c>
      <c r="V23" s="125">
        <v>0.0</v>
      </c>
      <c r="W23" s="125">
        <v>0.0</v>
      </c>
      <c r="X23" s="125">
        <v>0.0</v>
      </c>
      <c r="Y23" s="125">
        <v>0.0</v>
      </c>
      <c r="Z23" s="125">
        <v>0.0</v>
      </c>
      <c r="AA23" s="125">
        <v>0.0</v>
      </c>
      <c r="AB23" s="125">
        <v>0.0</v>
      </c>
      <c r="AC23" s="125">
        <f t="shared" si="6"/>
        <v>33</v>
      </c>
    </row>
    <row r="24" ht="15.75" customHeight="1">
      <c r="A24" s="125">
        <v>3.0</v>
      </c>
      <c r="B24" s="125">
        <v>1.0</v>
      </c>
      <c r="C24" s="125" t="s">
        <v>226</v>
      </c>
      <c r="D24" s="173">
        <v>16.0</v>
      </c>
      <c r="E24" s="173">
        <v>42.0</v>
      </c>
      <c r="F24" s="173">
        <v>100.0</v>
      </c>
      <c r="G24" s="217">
        <f t="shared" si="5"/>
        <v>6.25</v>
      </c>
      <c r="I24" s="173">
        <v>0.0</v>
      </c>
      <c r="J24" s="173">
        <v>0.0</v>
      </c>
      <c r="K24" s="173">
        <v>1.0</v>
      </c>
      <c r="L24" s="173">
        <v>0.0</v>
      </c>
      <c r="M24" s="173">
        <v>1.0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25">
        <v>0.0</v>
      </c>
      <c r="U24" s="125">
        <v>0.0</v>
      </c>
      <c r="V24" s="125">
        <v>0.0</v>
      </c>
      <c r="W24" s="125">
        <v>0.0</v>
      </c>
      <c r="X24" s="125">
        <v>0.0</v>
      </c>
      <c r="Y24" s="125">
        <v>0.0</v>
      </c>
      <c r="Z24" s="125">
        <v>0.0</v>
      </c>
      <c r="AA24" s="125">
        <v>0.0</v>
      </c>
      <c r="AB24" s="125">
        <v>0.0</v>
      </c>
      <c r="AC24" s="125">
        <f t="shared" si="6"/>
        <v>217</v>
      </c>
    </row>
    <row r="25" ht="15.75" customHeight="1">
      <c r="G25" s="205"/>
    </row>
    <row r="26" ht="17.25" customHeight="1">
      <c r="A26" s="209" t="s">
        <v>59</v>
      </c>
      <c r="B26" s="210"/>
      <c r="C26" s="210"/>
      <c r="D26" s="210"/>
      <c r="E26" s="210"/>
      <c r="F26" s="210"/>
      <c r="G26" s="211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</row>
    <row r="27" ht="90.0" customHeight="1">
      <c r="A27" s="120" t="s">
        <v>143</v>
      </c>
      <c r="B27" s="120" t="s">
        <v>157</v>
      </c>
      <c r="C27" s="120" t="s">
        <v>221</v>
      </c>
      <c r="D27" s="218" t="s">
        <v>222</v>
      </c>
      <c r="E27" s="218" t="s">
        <v>223</v>
      </c>
      <c r="F27" s="120" t="s">
        <v>64</v>
      </c>
      <c r="G27" s="219" t="s">
        <v>224</v>
      </c>
      <c r="I27" s="140" t="s">
        <v>68</v>
      </c>
      <c r="J27" s="140" t="s">
        <v>69</v>
      </c>
      <c r="K27" s="140" t="s">
        <v>70</v>
      </c>
      <c r="L27" s="140" t="s">
        <v>71</v>
      </c>
      <c r="M27" s="140" t="s">
        <v>72</v>
      </c>
      <c r="N27" s="140" t="s">
        <v>73</v>
      </c>
      <c r="O27" s="140" t="s">
        <v>74</v>
      </c>
      <c r="P27" s="140" t="s">
        <v>75</v>
      </c>
      <c r="Q27" s="140" t="s">
        <v>76</v>
      </c>
      <c r="R27" s="140" t="s">
        <v>77</v>
      </c>
      <c r="S27" s="140" t="s">
        <v>78</v>
      </c>
      <c r="T27" s="123" t="s">
        <v>103</v>
      </c>
      <c r="U27" s="123" t="s">
        <v>118</v>
      </c>
      <c r="V27" s="123" t="s">
        <v>104</v>
      </c>
      <c r="W27" s="123" t="s">
        <v>105</v>
      </c>
      <c r="X27" s="123" t="s">
        <v>106</v>
      </c>
      <c r="Y27" s="123" t="s">
        <v>107</v>
      </c>
      <c r="Z27" s="123" t="s">
        <v>108</v>
      </c>
      <c r="AA27" s="123" t="s">
        <v>109</v>
      </c>
      <c r="AB27" s="123" t="s">
        <v>110</v>
      </c>
      <c r="AC27" s="120" t="s">
        <v>225</v>
      </c>
    </row>
    <row r="28" ht="15.75" customHeight="1">
      <c r="A28" s="125">
        <v>1.0</v>
      </c>
      <c r="B28" s="125">
        <v>1.0</v>
      </c>
      <c r="C28" s="125" t="s">
        <v>226</v>
      </c>
      <c r="D28" s="173">
        <v>28.0</v>
      </c>
      <c r="E28" s="173">
        <v>28.0</v>
      </c>
      <c r="F28" s="173">
        <v>50.0</v>
      </c>
      <c r="G28" s="217">
        <f t="shared" ref="G28:G30" si="7">IF(D28=0,0,F28/D28)</f>
        <v>1.785714286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30.0</v>
      </c>
      <c r="Q28" s="173">
        <v>0.0</v>
      </c>
      <c r="R28" s="173">
        <v>0.0</v>
      </c>
      <c r="S28" s="173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  <c r="Y28" s="125">
        <v>0.0</v>
      </c>
      <c r="Z28" s="125">
        <v>0.0</v>
      </c>
      <c r="AA28" s="125">
        <v>0.0</v>
      </c>
      <c r="AB28" s="125">
        <v>0.0</v>
      </c>
      <c r="AC28" s="125">
        <f t="shared" ref="AC28:AC30" si="8">SUMPRODUCT(I28:S28, {0,33,50,67,167,67,50,4.17,7.56,12.17,16.22})</f>
        <v>125.1</v>
      </c>
    </row>
    <row r="29" ht="15.75" customHeight="1">
      <c r="A29" s="125">
        <v>2.0</v>
      </c>
      <c r="B29" s="125">
        <v>1.0</v>
      </c>
      <c r="C29" s="125" t="s">
        <v>226</v>
      </c>
      <c r="D29" s="173">
        <v>32.0</v>
      </c>
      <c r="E29" s="173">
        <v>60.0</v>
      </c>
      <c r="F29" s="173">
        <v>120.0</v>
      </c>
      <c r="G29" s="217">
        <f t="shared" si="7"/>
        <v>3.75</v>
      </c>
      <c r="H29" s="194"/>
      <c r="I29" s="173">
        <v>0.0</v>
      </c>
      <c r="J29" s="173">
        <v>1.0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  <c r="Y29" s="125">
        <v>0.0</v>
      </c>
      <c r="Z29" s="125">
        <v>0.0</v>
      </c>
      <c r="AA29" s="125">
        <v>0.0</v>
      </c>
      <c r="AB29" s="125">
        <v>0.0</v>
      </c>
      <c r="AC29" s="125">
        <f t="shared" si="8"/>
        <v>33</v>
      </c>
    </row>
    <row r="30" ht="15.75" customHeight="1">
      <c r="A30" s="125">
        <v>3.0</v>
      </c>
      <c r="B30" s="125">
        <v>1.0</v>
      </c>
      <c r="C30" s="125" t="s">
        <v>226</v>
      </c>
      <c r="D30" s="173">
        <v>40.0</v>
      </c>
      <c r="E30" s="173">
        <v>100.0</v>
      </c>
      <c r="F30" s="173">
        <v>250.0</v>
      </c>
      <c r="G30" s="217">
        <f t="shared" si="7"/>
        <v>6.25</v>
      </c>
      <c r="I30" s="173">
        <v>0.0</v>
      </c>
      <c r="J30" s="173">
        <v>0.0</v>
      </c>
      <c r="K30" s="173">
        <v>0.0</v>
      </c>
      <c r="L30" s="173">
        <v>0.0</v>
      </c>
      <c r="M30" s="173">
        <v>1.0</v>
      </c>
      <c r="N30" s="173">
        <v>0.0</v>
      </c>
      <c r="O30" s="173">
        <v>1.0</v>
      </c>
      <c r="P30" s="173">
        <v>0.0</v>
      </c>
      <c r="Q30" s="173">
        <v>0.0</v>
      </c>
      <c r="R30" s="173">
        <v>0.0</v>
      </c>
      <c r="S30" s="173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  <c r="Y30" s="125">
        <v>0.0</v>
      </c>
      <c r="Z30" s="125">
        <v>0.0</v>
      </c>
      <c r="AA30" s="125">
        <v>0.0</v>
      </c>
      <c r="AB30" s="125">
        <v>0.0</v>
      </c>
      <c r="AC30" s="125">
        <f t="shared" si="8"/>
        <v>217</v>
      </c>
    </row>
    <row r="31" ht="15.75" customHeight="1">
      <c r="G31" s="205"/>
    </row>
    <row r="32" ht="17.25" customHeight="1">
      <c r="A32" s="209" t="s">
        <v>60</v>
      </c>
      <c r="B32" s="210"/>
      <c r="C32" s="210"/>
      <c r="D32" s="210"/>
      <c r="E32" s="210"/>
      <c r="F32" s="210"/>
      <c r="G32" s="211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</row>
    <row r="33" ht="90.0" customHeight="1">
      <c r="A33" s="120" t="s">
        <v>143</v>
      </c>
      <c r="B33" s="120" t="s">
        <v>157</v>
      </c>
      <c r="C33" s="120" t="s">
        <v>221</v>
      </c>
      <c r="D33" s="218" t="s">
        <v>222</v>
      </c>
      <c r="E33" s="218" t="s">
        <v>223</v>
      </c>
      <c r="F33" s="120" t="s">
        <v>64</v>
      </c>
      <c r="G33" s="219" t="s">
        <v>224</v>
      </c>
      <c r="I33" s="140" t="s">
        <v>68</v>
      </c>
      <c r="J33" s="140" t="s">
        <v>69</v>
      </c>
      <c r="K33" s="140" t="s">
        <v>70</v>
      </c>
      <c r="L33" s="140" t="s">
        <v>71</v>
      </c>
      <c r="M33" s="140" t="s">
        <v>72</v>
      </c>
      <c r="N33" s="140" t="s">
        <v>73</v>
      </c>
      <c r="O33" s="140" t="s">
        <v>74</v>
      </c>
      <c r="P33" s="140" t="s">
        <v>75</v>
      </c>
      <c r="Q33" s="140" t="s">
        <v>76</v>
      </c>
      <c r="R33" s="140" t="s">
        <v>77</v>
      </c>
      <c r="S33" s="140" t="s">
        <v>78</v>
      </c>
      <c r="T33" s="123" t="s">
        <v>103</v>
      </c>
      <c r="U33" s="123" t="s">
        <v>118</v>
      </c>
      <c r="V33" s="123" t="s">
        <v>104</v>
      </c>
      <c r="W33" s="123" t="s">
        <v>105</v>
      </c>
      <c r="X33" s="123" t="s">
        <v>106</v>
      </c>
      <c r="Y33" s="123" t="s">
        <v>107</v>
      </c>
      <c r="Z33" s="123" t="s">
        <v>108</v>
      </c>
      <c r="AA33" s="123" t="s">
        <v>109</v>
      </c>
      <c r="AB33" s="123" t="s">
        <v>110</v>
      </c>
      <c r="AC33" s="120" t="s">
        <v>225</v>
      </c>
    </row>
    <row r="34" ht="15.75" customHeight="1">
      <c r="A34" s="125">
        <v>1.0</v>
      </c>
      <c r="B34" s="125">
        <v>1.0</v>
      </c>
      <c r="C34" s="125" t="s">
        <v>226</v>
      </c>
      <c r="D34" s="173">
        <v>80.0</v>
      </c>
      <c r="E34" s="173">
        <v>80.0</v>
      </c>
      <c r="F34" s="173">
        <v>100.0</v>
      </c>
      <c r="G34" s="217">
        <f t="shared" ref="G34:G36" si="9">IF(D34=0,0,F34/D34)</f>
        <v>1.25</v>
      </c>
      <c r="I34" s="173">
        <v>0.0</v>
      </c>
      <c r="J34" s="173">
        <v>0.0</v>
      </c>
      <c r="K34" s="173">
        <v>0.0</v>
      </c>
      <c r="L34" s="173">
        <v>0.0</v>
      </c>
      <c r="M34" s="173">
        <v>0.0</v>
      </c>
      <c r="N34" s="173">
        <v>0.0</v>
      </c>
      <c r="O34" s="173">
        <v>0.0</v>
      </c>
      <c r="P34" s="173">
        <v>60.0</v>
      </c>
      <c r="Q34" s="173">
        <v>0.0</v>
      </c>
      <c r="R34" s="173">
        <v>0.0</v>
      </c>
      <c r="S34" s="173">
        <v>0.0</v>
      </c>
      <c r="T34" s="125">
        <v>0.0</v>
      </c>
      <c r="U34" s="125">
        <v>0.0</v>
      </c>
      <c r="V34" s="125">
        <v>0.0</v>
      </c>
      <c r="W34" s="125">
        <v>0.0</v>
      </c>
      <c r="X34" s="125">
        <v>0.0</v>
      </c>
      <c r="Y34" s="125">
        <v>0.0</v>
      </c>
      <c r="Z34" s="125">
        <v>0.0</v>
      </c>
      <c r="AA34" s="125">
        <v>0.0</v>
      </c>
      <c r="AB34" s="125">
        <v>0.0</v>
      </c>
      <c r="AC34" s="125">
        <f t="shared" ref="AC34:AC36" si="10">SUMPRODUCT(I34:S34, {0,33,50,67,167,67,50,4.17,7.56,12.17,16.22})</f>
        <v>250.2</v>
      </c>
    </row>
    <row r="35" ht="15.75" customHeight="1">
      <c r="A35" s="125">
        <v>2.0</v>
      </c>
      <c r="B35" s="125">
        <v>1.0</v>
      </c>
      <c r="C35" s="125" t="s">
        <v>226</v>
      </c>
      <c r="D35" s="173">
        <v>95.0</v>
      </c>
      <c r="E35" s="173">
        <v>175.0</v>
      </c>
      <c r="F35" s="173">
        <v>300.0</v>
      </c>
      <c r="G35" s="217">
        <f t="shared" si="9"/>
        <v>3.157894737</v>
      </c>
      <c r="H35" s="194"/>
      <c r="I35" s="173">
        <v>0.0</v>
      </c>
      <c r="J35" s="173">
        <v>1.0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0.0</v>
      </c>
      <c r="Q35" s="173">
        <v>0.0</v>
      </c>
      <c r="R35" s="173">
        <v>0.0</v>
      </c>
      <c r="S35" s="173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  <c r="Y35" s="125">
        <v>0.0</v>
      </c>
      <c r="Z35" s="125">
        <v>0.0</v>
      </c>
      <c r="AA35" s="125">
        <v>0.0</v>
      </c>
      <c r="AB35" s="125">
        <v>0.0</v>
      </c>
      <c r="AC35" s="125">
        <f t="shared" si="10"/>
        <v>33</v>
      </c>
    </row>
    <row r="36" ht="15.75" customHeight="1">
      <c r="A36" s="125">
        <v>3.0</v>
      </c>
      <c r="B36" s="125">
        <v>1.0</v>
      </c>
      <c r="C36" s="125" t="s">
        <v>226</v>
      </c>
      <c r="D36" s="173">
        <v>105.0</v>
      </c>
      <c r="E36" s="173">
        <v>280.0</v>
      </c>
      <c r="F36" s="173">
        <v>400.0</v>
      </c>
      <c r="G36" s="217">
        <f t="shared" si="9"/>
        <v>3.80952381</v>
      </c>
      <c r="I36" s="173">
        <v>0.0</v>
      </c>
      <c r="J36" s="173">
        <v>0.0</v>
      </c>
      <c r="K36" s="173">
        <v>0.0</v>
      </c>
      <c r="L36" s="173">
        <v>0.0</v>
      </c>
      <c r="M36" s="173">
        <v>1.0</v>
      </c>
      <c r="N36" s="173">
        <v>0.0</v>
      </c>
      <c r="O36" s="173">
        <v>1.0</v>
      </c>
      <c r="P36" s="173">
        <v>0.0</v>
      </c>
      <c r="Q36" s="173">
        <v>0.0</v>
      </c>
      <c r="R36" s="173">
        <v>0.0</v>
      </c>
      <c r="S36" s="173">
        <v>0.0</v>
      </c>
      <c r="T36" s="125">
        <v>0.0</v>
      </c>
      <c r="U36" s="125">
        <v>0.0</v>
      </c>
      <c r="V36" s="125">
        <v>0.0</v>
      </c>
      <c r="W36" s="125">
        <v>0.0</v>
      </c>
      <c r="X36" s="125">
        <v>0.0</v>
      </c>
      <c r="Y36" s="125">
        <v>0.0</v>
      </c>
      <c r="Z36" s="125">
        <v>0.0</v>
      </c>
      <c r="AA36" s="125">
        <v>0.0</v>
      </c>
      <c r="AB36" s="125">
        <v>0.0</v>
      </c>
      <c r="AC36" s="125">
        <f t="shared" si="10"/>
        <v>217</v>
      </c>
    </row>
    <row r="37" ht="15.75" customHeight="1">
      <c r="G37" s="205"/>
    </row>
    <row r="38" ht="15.75" customHeight="1">
      <c r="G38" s="205"/>
    </row>
    <row r="39" ht="15.75" customHeight="1">
      <c r="G39" s="205"/>
    </row>
    <row r="40" ht="15.75" customHeight="1">
      <c r="G40" s="205"/>
    </row>
    <row r="41" ht="15.75" customHeight="1">
      <c r="G41" s="205"/>
    </row>
    <row r="42" ht="15.75" customHeight="1">
      <c r="G42" s="205"/>
    </row>
    <row r="43" ht="15.75" customHeight="1">
      <c r="G43" s="205"/>
    </row>
    <row r="44" ht="15.75" customHeight="1">
      <c r="G44" s="205"/>
    </row>
    <row r="45" ht="15.75" customHeight="1">
      <c r="G45" s="205"/>
    </row>
    <row r="46" ht="15.75" customHeight="1">
      <c r="G46" s="205"/>
    </row>
    <row r="47" ht="15.75" customHeight="1">
      <c r="G47" s="205"/>
    </row>
    <row r="48" ht="15.75" customHeight="1">
      <c r="G48" s="205"/>
    </row>
    <row r="49" ht="15.75" customHeight="1">
      <c r="G49" s="205"/>
    </row>
    <row r="50" ht="15.75" customHeight="1">
      <c r="G50" s="205"/>
    </row>
    <row r="51" ht="15.75" customHeight="1">
      <c r="G51" s="205"/>
    </row>
    <row r="52" ht="15.75" customHeight="1">
      <c r="G52" s="205"/>
    </row>
    <row r="53" ht="15.75" customHeight="1">
      <c r="G53" s="205"/>
    </row>
    <row r="54" ht="15.75" customHeight="1">
      <c r="G54" s="205"/>
    </row>
    <row r="55" ht="15.75" customHeight="1">
      <c r="G55" s="205"/>
    </row>
    <row r="56" ht="15.75" customHeight="1">
      <c r="G56" s="205"/>
    </row>
    <row r="57" ht="15.75" customHeight="1">
      <c r="G57" s="205"/>
    </row>
    <row r="58" ht="15.75" customHeight="1">
      <c r="G58" s="205"/>
    </row>
    <row r="59" ht="15.75" customHeight="1">
      <c r="G59" s="205"/>
    </row>
    <row r="60" ht="15.75" customHeight="1">
      <c r="G60" s="205"/>
    </row>
    <row r="61" ht="15.75" customHeight="1">
      <c r="G61" s="205"/>
    </row>
    <row r="62" ht="15.75" customHeight="1">
      <c r="G62" s="205"/>
    </row>
    <row r="63" ht="15.75" customHeight="1">
      <c r="G63" s="205"/>
    </row>
    <row r="64" ht="15.75" customHeight="1">
      <c r="G64" s="205"/>
    </row>
    <row r="65" ht="15.75" customHeight="1">
      <c r="G65" s="205"/>
    </row>
    <row r="66" ht="15.75" customHeight="1">
      <c r="G66" s="205"/>
    </row>
    <row r="67" ht="15.75" customHeight="1">
      <c r="G67" s="205"/>
    </row>
    <row r="68" ht="15.75" customHeight="1">
      <c r="G68" s="205"/>
    </row>
    <row r="69" ht="15.75" customHeight="1">
      <c r="G69" s="205"/>
    </row>
    <row r="70" ht="15.75" customHeight="1">
      <c r="G70" s="205"/>
    </row>
    <row r="71" ht="15.75" customHeight="1">
      <c r="G71" s="205"/>
    </row>
    <row r="72" ht="15.75" customHeight="1">
      <c r="G72" s="205"/>
    </row>
    <row r="73" ht="15.75" customHeight="1">
      <c r="G73" s="205"/>
    </row>
    <row r="74" ht="15.75" customHeight="1">
      <c r="G74" s="205"/>
    </row>
    <row r="75" ht="15.75" customHeight="1">
      <c r="G75" s="205"/>
    </row>
    <row r="76" ht="15.75" customHeight="1">
      <c r="G76" s="205"/>
    </row>
    <row r="77" ht="15.75" customHeight="1">
      <c r="G77" s="205"/>
    </row>
    <row r="78" ht="15.75" customHeight="1">
      <c r="G78" s="205"/>
    </row>
    <row r="79" ht="15.75" customHeight="1">
      <c r="G79" s="205"/>
    </row>
    <row r="80" ht="15.75" customHeight="1">
      <c r="G80" s="205"/>
    </row>
    <row r="81" ht="15.75" customHeight="1">
      <c r="G81" s="205"/>
    </row>
    <row r="82" ht="15.75" customHeight="1">
      <c r="G82" s="205"/>
    </row>
    <row r="83" ht="15.75" customHeight="1">
      <c r="G83" s="205"/>
    </row>
    <row r="84" ht="15.75" customHeight="1">
      <c r="G84" s="205"/>
    </row>
    <row r="85" ht="15.75" customHeight="1">
      <c r="G85" s="205"/>
    </row>
    <row r="86" ht="15.75" customHeight="1">
      <c r="G86" s="205"/>
    </row>
    <row r="87" ht="15.75" customHeight="1">
      <c r="G87" s="205"/>
    </row>
    <row r="88" ht="15.75" customHeight="1">
      <c r="G88" s="205"/>
    </row>
    <row r="89" ht="15.75" customHeight="1">
      <c r="G89" s="205"/>
    </row>
    <row r="90" ht="15.75" customHeight="1">
      <c r="G90" s="205"/>
    </row>
    <row r="91" ht="15.75" customHeight="1">
      <c r="G91" s="205"/>
    </row>
    <row r="92" ht="15.75" customHeight="1">
      <c r="G92" s="205"/>
    </row>
    <row r="93" ht="15.75" customHeight="1">
      <c r="G93" s="205"/>
    </row>
    <row r="94" ht="15.75" customHeight="1">
      <c r="G94" s="205"/>
    </row>
    <row r="95" ht="15.75" customHeight="1">
      <c r="G95" s="205"/>
    </row>
    <row r="96" ht="15.75" customHeight="1">
      <c r="G96" s="205"/>
    </row>
    <row r="97" ht="15.75" customHeight="1">
      <c r="G97" s="205"/>
    </row>
    <row r="98" ht="15.75" customHeight="1">
      <c r="G98" s="205"/>
    </row>
    <row r="99" ht="15.75" customHeight="1">
      <c r="G99" s="205"/>
    </row>
    <row r="100" ht="15.75" customHeight="1">
      <c r="G100" s="205"/>
    </row>
    <row r="101" ht="15.75" customHeight="1">
      <c r="G101" s="205"/>
    </row>
    <row r="102" ht="15.75" customHeight="1">
      <c r="G102" s="205"/>
    </row>
    <row r="103" ht="15.75" customHeight="1">
      <c r="G103" s="205"/>
    </row>
    <row r="104" ht="15.75" customHeight="1">
      <c r="G104" s="205"/>
    </row>
    <row r="105" ht="15.75" customHeight="1">
      <c r="G105" s="205"/>
    </row>
    <row r="106" ht="15.75" customHeight="1">
      <c r="G106" s="205"/>
    </row>
    <row r="107" ht="15.75" customHeight="1">
      <c r="G107" s="205"/>
    </row>
    <row r="108" ht="15.75" customHeight="1">
      <c r="G108" s="205"/>
    </row>
    <row r="109" ht="15.75" customHeight="1">
      <c r="G109" s="205"/>
    </row>
    <row r="110" ht="15.75" customHeight="1">
      <c r="G110" s="205"/>
    </row>
    <row r="111" ht="15.75" customHeight="1">
      <c r="G111" s="205"/>
    </row>
    <row r="112" ht="15.75" customHeight="1">
      <c r="G112" s="205"/>
    </row>
    <row r="113" ht="15.75" customHeight="1">
      <c r="G113" s="205"/>
    </row>
    <row r="114" ht="15.75" customHeight="1">
      <c r="G114" s="205"/>
    </row>
    <row r="115" ht="15.75" customHeight="1">
      <c r="G115" s="205"/>
    </row>
    <row r="116" ht="15.75" customHeight="1">
      <c r="G116" s="205"/>
    </row>
    <row r="117" ht="15.75" customHeight="1">
      <c r="G117" s="205"/>
    </row>
    <row r="118" ht="15.75" customHeight="1">
      <c r="G118" s="205"/>
    </row>
    <row r="119" ht="15.75" customHeight="1">
      <c r="G119" s="205"/>
    </row>
    <row r="120" ht="15.75" customHeight="1">
      <c r="G120" s="205"/>
    </row>
    <row r="121" ht="15.75" customHeight="1">
      <c r="G121" s="205"/>
    </row>
    <row r="122" ht="15.75" customHeight="1">
      <c r="G122" s="205"/>
    </row>
    <row r="123" ht="15.75" customHeight="1">
      <c r="G123" s="205"/>
    </row>
    <row r="124" ht="15.75" customHeight="1">
      <c r="G124" s="205"/>
    </row>
    <row r="125" ht="15.75" customHeight="1">
      <c r="G125" s="205"/>
    </row>
    <row r="126" ht="15.75" customHeight="1">
      <c r="G126" s="205"/>
    </row>
    <row r="127" ht="15.75" customHeight="1">
      <c r="G127" s="205"/>
    </row>
    <row r="128" ht="15.75" customHeight="1">
      <c r="G128" s="205"/>
    </row>
    <row r="129" ht="15.75" customHeight="1">
      <c r="G129" s="205"/>
    </row>
    <row r="130" ht="15.75" customHeight="1">
      <c r="G130" s="205"/>
    </row>
    <row r="131" ht="15.75" customHeight="1">
      <c r="G131" s="205"/>
    </row>
    <row r="132" ht="15.75" customHeight="1">
      <c r="G132" s="205"/>
    </row>
    <row r="133" ht="15.75" customHeight="1">
      <c r="G133" s="205"/>
    </row>
    <row r="134" ht="15.75" customHeight="1">
      <c r="G134" s="205"/>
    </row>
    <row r="135" ht="15.75" customHeight="1">
      <c r="G135" s="205"/>
    </row>
    <row r="136" ht="15.75" customHeight="1">
      <c r="G136" s="205"/>
    </row>
    <row r="137" ht="15.75" customHeight="1">
      <c r="G137" s="205"/>
    </row>
    <row r="138" ht="15.75" customHeight="1">
      <c r="G138" s="205"/>
    </row>
    <row r="139" ht="15.75" customHeight="1">
      <c r="G139" s="205"/>
    </row>
    <row r="140" ht="15.75" customHeight="1">
      <c r="G140" s="205"/>
    </row>
    <row r="141" ht="15.75" customHeight="1">
      <c r="G141" s="205"/>
    </row>
    <row r="142" ht="15.75" customHeight="1">
      <c r="G142" s="205"/>
    </row>
    <row r="143" ht="15.75" customHeight="1">
      <c r="G143" s="205"/>
    </row>
    <row r="144" ht="15.75" customHeight="1">
      <c r="G144" s="205"/>
    </row>
    <row r="145" ht="15.75" customHeight="1">
      <c r="G145" s="205"/>
    </row>
    <row r="146" ht="15.75" customHeight="1">
      <c r="G146" s="205"/>
    </row>
    <row r="147" ht="15.75" customHeight="1">
      <c r="G147" s="205"/>
    </row>
    <row r="148" ht="15.75" customHeight="1">
      <c r="G148" s="205"/>
    </row>
    <row r="149" ht="15.75" customHeight="1">
      <c r="G149" s="205"/>
    </row>
    <row r="150" ht="15.75" customHeight="1">
      <c r="G150" s="205"/>
    </row>
    <row r="151" ht="15.75" customHeight="1">
      <c r="G151" s="205"/>
    </row>
    <row r="152" ht="15.75" customHeight="1">
      <c r="G152" s="205"/>
    </row>
    <row r="153" ht="15.75" customHeight="1">
      <c r="G153" s="205"/>
    </row>
    <row r="154" ht="15.75" customHeight="1">
      <c r="G154" s="205"/>
    </row>
    <row r="155" ht="15.75" customHeight="1">
      <c r="G155" s="205"/>
    </row>
    <row r="156" ht="15.75" customHeight="1">
      <c r="G156" s="205"/>
    </row>
    <row r="157" ht="15.75" customHeight="1">
      <c r="G157" s="205"/>
    </row>
    <row r="158" ht="15.75" customHeight="1">
      <c r="G158" s="205"/>
    </row>
    <row r="159" ht="15.75" customHeight="1">
      <c r="G159" s="205"/>
    </row>
    <row r="160" ht="15.75" customHeight="1">
      <c r="G160" s="205"/>
    </row>
    <row r="161" ht="15.75" customHeight="1">
      <c r="G161" s="205"/>
    </row>
    <row r="162" ht="15.75" customHeight="1">
      <c r="G162" s="205"/>
    </row>
    <row r="163" ht="15.75" customHeight="1">
      <c r="G163" s="205"/>
    </row>
    <row r="164" ht="15.75" customHeight="1">
      <c r="G164" s="205"/>
    </row>
    <row r="165" ht="15.75" customHeight="1">
      <c r="G165" s="205"/>
    </row>
    <row r="166" ht="15.75" customHeight="1">
      <c r="G166" s="205"/>
    </row>
    <row r="167" ht="15.75" customHeight="1">
      <c r="G167" s="205"/>
    </row>
    <row r="168" ht="15.75" customHeight="1">
      <c r="G168" s="205"/>
    </row>
    <row r="169" ht="15.75" customHeight="1">
      <c r="G169" s="205"/>
    </row>
    <row r="170" ht="15.75" customHeight="1">
      <c r="G170" s="205"/>
    </row>
    <row r="171" ht="15.75" customHeight="1">
      <c r="G171" s="205"/>
    </row>
    <row r="172" ht="15.75" customHeight="1">
      <c r="G172" s="205"/>
    </row>
    <row r="173" ht="15.75" customHeight="1">
      <c r="G173" s="205"/>
    </row>
    <row r="174" ht="15.75" customHeight="1">
      <c r="G174" s="205"/>
    </row>
    <row r="175" ht="15.75" customHeight="1">
      <c r="G175" s="205"/>
    </row>
    <row r="176" ht="15.75" customHeight="1">
      <c r="G176" s="205"/>
    </row>
    <row r="177" ht="15.75" customHeight="1">
      <c r="G177" s="205"/>
    </row>
    <row r="178" ht="15.75" customHeight="1">
      <c r="G178" s="205"/>
    </row>
    <row r="179" ht="15.75" customHeight="1">
      <c r="G179" s="205"/>
    </row>
    <row r="180" ht="15.75" customHeight="1">
      <c r="G180" s="205"/>
    </row>
    <row r="181" ht="15.75" customHeight="1">
      <c r="G181" s="205"/>
    </row>
    <row r="182" ht="15.75" customHeight="1">
      <c r="G182" s="205"/>
    </row>
    <row r="183" ht="15.75" customHeight="1">
      <c r="G183" s="205"/>
    </row>
    <row r="184" ht="15.75" customHeight="1">
      <c r="G184" s="205"/>
    </row>
    <row r="185" ht="15.75" customHeight="1">
      <c r="G185" s="205"/>
    </row>
    <row r="186" ht="15.75" customHeight="1">
      <c r="G186" s="205"/>
    </row>
    <row r="187" ht="15.75" customHeight="1">
      <c r="G187" s="205"/>
    </row>
    <row r="188" ht="15.75" customHeight="1">
      <c r="G188" s="205"/>
    </row>
    <row r="189" ht="15.75" customHeight="1">
      <c r="G189" s="205"/>
    </row>
    <row r="190" ht="15.75" customHeight="1">
      <c r="G190" s="205"/>
    </row>
    <row r="191" ht="15.75" customHeight="1">
      <c r="G191" s="205"/>
    </row>
    <row r="192" ht="15.75" customHeight="1">
      <c r="G192" s="205"/>
    </row>
    <row r="193" ht="15.75" customHeight="1">
      <c r="G193" s="205"/>
    </row>
    <row r="194" ht="15.75" customHeight="1">
      <c r="G194" s="205"/>
    </row>
    <row r="195" ht="15.75" customHeight="1">
      <c r="G195" s="205"/>
    </row>
    <row r="196" ht="15.75" customHeight="1">
      <c r="G196" s="205"/>
    </row>
    <row r="197" ht="15.75" customHeight="1">
      <c r="G197" s="205"/>
    </row>
    <row r="198" ht="15.75" customHeight="1">
      <c r="G198" s="205"/>
    </row>
    <row r="199" ht="15.75" customHeight="1">
      <c r="G199" s="205"/>
    </row>
    <row r="200" ht="15.75" customHeight="1">
      <c r="G200" s="205"/>
    </row>
    <row r="201" ht="15.75" customHeight="1">
      <c r="G201" s="205"/>
    </row>
    <row r="202" ht="15.75" customHeight="1">
      <c r="G202" s="205"/>
    </row>
    <row r="203" ht="15.75" customHeight="1">
      <c r="G203" s="205"/>
    </row>
    <row r="204" ht="15.75" customHeight="1">
      <c r="G204" s="205"/>
    </row>
    <row r="205" ht="15.75" customHeight="1">
      <c r="G205" s="205"/>
    </row>
    <row r="206" ht="15.75" customHeight="1">
      <c r="G206" s="205"/>
    </row>
    <row r="207" ht="15.75" customHeight="1">
      <c r="G207" s="205"/>
    </row>
    <row r="208" ht="15.75" customHeight="1">
      <c r="G208" s="205"/>
    </row>
    <row r="209" ht="15.75" customHeight="1">
      <c r="G209" s="205"/>
    </row>
    <row r="210" ht="15.75" customHeight="1">
      <c r="G210" s="205"/>
    </row>
    <row r="211" ht="15.75" customHeight="1">
      <c r="G211" s="205"/>
    </row>
    <row r="212" ht="15.75" customHeight="1">
      <c r="G212" s="205"/>
    </row>
    <row r="213" ht="15.75" customHeight="1">
      <c r="G213" s="205"/>
    </row>
    <row r="214" ht="15.75" customHeight="1">
      <c r="G214" s="205"/>
    </row>
    <row r="215" ht="15.75" customHeight="1">
      <c r="G215" s="205"/>
    </row>
    <row r="216" ht="15.75" customHeight="1">
      <c r="G216" s="205"/>
    </row>
    <row r="217" ht="15.75" customHeight="1">
      <c r="G217" s="205"/>
    </row>
    <row r="218" ht="15.75" customHeight="1">
      <c r="G218" s="205"/>
    </row>
    <row r="219" ht="15.75" customHeight="1">
      <c r="G219" s="205"/>
    </row>
    <row r="220" ht="15.75" customHeight="1">
      <c r="G220" s="205"/>
    </row>
    <row r="221" ht="15.75" customHeight="1">
      <c r="G221" s="205"/>
    </row>
    <row r="222" ht="15.75" customHeight="1">
      <c r="G222" s="205"/>
    </row>
    <row r="223" ht="15.75" customHeight="1">
      <c r="G223" s="205"/>
    </row>
    <row r="224" ht="15.75" customHeight="1">
      <c r="G224" s="205"/>
    </row>
    <row r="225" ht="15.75" customHeight="1">
      <c r="G225" s="205"/>
    </row>
    <row r="226" ht="15.75" customHeight="1">
      <c r="G226" s="205"/>
    </row>
    <row r="227" ht="15.75" customHeight="1">
      <c r="G227" s="205"/>
    </row>
    <row r="228" ht="15.75" customHeight="1">
      <c r="G228" s="205"/>
    </row>
    <row r="229" ht="15.75" customHeight="1">
      <c r="G229" s="205"/>
    </row>
    <row r="230" ht="15.75" customHeight="1">
      <c r="G230" s="205"/>
    </row>
    <row r="231" ht="15.75" customHeight="1">
      <c r="G231" s="205"/>
    </row>
    <row r="232" ht="15.75" customHeight="1">
      <c r="G232" s="205"/>
    </row>
    <row r="233" ht="15.75" customHeight="1">
      <c r="G233" s="205"/>
    </row>
    <row r="234" ht="15.75" customHeight="1">
      <c r="G234" s="205"/>
    </row>
    <row r="235" ht="15.75" customHeight="1">
      <c r="G235" s="205"/>
    </row>
    <row r="236" ht="15.75" customHeight="1">
      <c r="G236" s="205"/>
    </row>
    <row r="237" ht="15.75" customHeight="1">
      <c r="G237" s="205"/>
    </row>
    <row r="238" ht="15.75" customHeight="1">
      <c r="G238" s="205"/>
    </row>
    <row r="239" ht="15.75" customHeight="1">
      <c r="G239" s="205"/>
    </row>
    <row r="240" ht="15.75" customHeight="1">
      <c r="G240" s="205"/>
    </row>
    <row r="241" ht="15.75" customHeight="1">
      <c r="G241" s="205"/>
    </row>
    <row r="242" ht="15.75" customHeight="1">
      <c r="G242" s="205"/>
    </row>
    <row r="243" ht="15.75" customHeight="1">
      <c r="G243" s="205"/>
    </row>
    <row r="244" ht="15.75" customHeight="1">
      <c r="G244" s="205"/>
    </row>
    <row r="245" ht="15.75" customHeight="1">
      <c r="G245" s="205"/>
    </row>
    <row r="246" ht="15.75" customHeight="1">
      <c r="G246" s="205"/>
    </row>
    <row r="247" ht="15.75" customHeight="1">
      <c r="G247" s="205"/>
    </row>
    <row r="248" ht="15.75" customHeight="1">
      <c r="G248" s="205"/>
    </row>
    <row r="249" ht="15.75" customHeight="1">
      <c r="G249" s="205"/>
    </row>
    <row r="250" ht="15.75" customHeight="1">
      <c r="G250" s="205"/>
    </row>
    <row r="251" ht="15.75" customHeight="1">
      <c r="G251" s="205"/>
    </row>
    <row r="252" ht="15.75" customHeight="1">
      <c r="G252" s="205"/>
    </row>
    <row r="253" ht="15.75" customHeight="1">
      <c r="G253" s="205"/>
    </row>
    <row r="254" ht="15.75" customHeight="1">
      <c r="G254" s="205"/>
    </row>
    <row r="255" ht="15.75" customHeight="1">
      <c r="G255" s="205"/>
    </row>
    <row r="256" ht="15.75" customHeight="1">
      <c r="G256" s="205"/>
    </row>
    <row r="257" ht="15.75" customHeight="1">
      <c r="G257" s="205"/>
    </row>
    <row r="258" ht="15.75" customHeight="1">
      <c r="G258" s="205"/>
    </row>
    <row r="259" ht="15.75" customHeight="1">
      <c r="G259" s="205"/>
    </row>
    <row r="260" ht="15.75" customHeight="1">
      <c r="G260" s="205"/>
    </row>
    <row r="261" ht="15.75" customHeight="1">
      <c r="G261" s="205"/>
    </row>
    <row r="262" ht="15.75" customHeight="1">
      <c r="G262" s="205"/>
    </row>
    <row r="263" ht="15.75" customHeight="1">
      <c r="G263" s="205"/>
    </row>
    <row r="264" ht="15.75" customHeight="1">
      <c r="G264" s="205"/>
    </row>
    <row r="265" ht="15.75" customHeight="1">
      <c r="G265" s="205"/>
    </row>
    <row r="266" ht="15.75" customHeight="1">
      <c r="G266" s="205"/>
    </row>
    <row r="267" ht="15.75" customHeight="1">
      <c r="G267" s="205"/>
    </row>
    <row r="268" ht="15.75" customHeight="1">
      <c r="G268" s="205"/>
    </row>
    <row r="269" ht="15.75" customHeight="1">
      <c r="G269" s="205"/>
    </row>
    <row r="270" ht="15.75" customHeight="1">
      <c r="G270" s="205"/>
    </row>
    <row r="271" ht="15.75" customHeight="1">
      <c r="G271" s="205"/>
    </row>
    <row r="272" ht="15.75" customHeight="1">
      <c r="G272" s="205"/>
    </row>
    <row r="273" ht="15.75" customHeight="1">
      <c r="G273" s="205"/>
    </row>
    <row r="274" ht="15.75" customHeight="1">
      <c r="G274" s="205"/>
    </row>
    <row r="275" ht="15.75" customHeight="1">
      <c r="G275" s="205"/>
    </row>
    <row r="276" ht="15.75" customHeight="1">
      <c r="G276" s="205"/>
    </row>
    <row r="277" ht="15.75" customHeight="1">
      <c r="G277" s="205"/>
    </row>
    <row r="278" ht="15.75" customHeight="1">
      <c r="G278" s="205"/>
    </row>
    <row r="279" ht="15.75" customHeight="1">
      <c r="G279" s="205"/>
    </row>
    <row r="280" ht="15.75" customHeight="1">
      <c r="G280" s="205"/>
    </row>
    <row r="281" ht="15.75" customHeight="1">
      <c r="G281" s="205"/>
    </row>
    <row r="282" ht="15.75" customHeight="1">
      <c r="G282" s="205"/>
    </row>
    <row r="283" ht="15.75" customHeight="1">
      <c r="G283" s="205"/>
    </row>
    <row r="284" ht="15.75" customHeight="1">
      <c r="G284" s="205"/>
    </row>
    <row r="285" ht="15.75" customHeight="1">
      <c r="G285" s="205"/>
    </row>
    <row r="286" ht="15.75" customHeight="1">
      <c r="G286" s="205"/>
    </row>
    <row r="287" ht="15.75" customHeight="1">
      <c r="G287" s="205"/>
    </row>
    <row r="288" ht="15.75" customHeight="1">
      <c r="G288" s="205"/>
    </row>
    <row r="289" ht="15.75" customHeight="1">
      <c r="G289" s="205"/>
    </row>
    <row r="290" ht="15.75" customHeight="1">
      <c r="G290" s="205"/>
    </row>
    <row r="291" ht="15.75" customHeight="1">
      <c r="G291" s="205"/>
    </row>
    <row r="292" ht="15.75" customHeight="1">
      <c r="G292" s="205"/>
    </row>
    <row r="293" ht="15.75" customHeight="1">
      <c r="G293" s="205"/>
    </row>
    <row r="294" ht="15.75" customHeight="1">
      <c r="G294" s="205"/>
    </row>
    <row r="295" ht="15.75" customHeight="1">
      <c r="G295" s="205"/>
    </row>
    <row r="296" ht="15.75" customHeight="1">
      <c r="G296" s="205"/>
    </row>
    <row r="297" ht="15.75" customHeight="1">
      <c r="G297" s="205"/>
    </row>
    <row r="298" ht="15.75" customHeight="1">
      <c r="G298" s="205"/>
    </row>
    <row r="299" ht="15.75" customHeight="1">
      <c r="G299" s="205"/>
    </row>
    <row r="300" ht="15.75" customHeight="1">
      <c r="G300" s="205"/>
    </row>
    <row r="301" ht="15.75" customHeight="1">
      <c r="G301" s="205"/>
    </row>
    <row r="302" ht="15.75" customHeight="1">
      <c r="G302" s="205"/>
    </row>
    <row r="303" ht="15.75" customHeight="1">
      <c r="G303" s="205"/>
    </row>
    <row r="304" ht="15.75" customHeight="1">
      <c r="G304" s="205"/>
    </row>
    <row r="305" ht="15.75" customHeight="1">
      <c r="G305" s="205"/>
    </row>
    <row r="306" ht="15.75" customHeight="1">
      <c r="G306" s="205"/>
    </row>
    <row r="307" ht="15.75" customHeight="1">
      <c r="G307" s="205"/>
    </row>
    <row r="308" ht="15.75" customHeight="1">
      <c r="G308" s="205"/>
    </row>
    <row r="309" ht="15.75" customHeight="1">
      <c r="G309" s="205"/>
    </row>
    <row r="310" ht="15.75" customHeight="1">
      <c r="G310" s="205"/>
    </row>
    <row r="311" ht="15.75" customHeight="1">
      <c r="G311" s="205"/>
    </row>
    <row r="312" ht="15.75" customHeight="1">
      <c r="G312" s="205"/>
    </row>
    <row r="313" ht="15.75" customHeight="1">
      <c r="G313" s="205"/>
    </row>
    <row r="314" ht="15.75" customHeight="1">
      <c r="G314" s="205"/>
    </row>
    <row r="315" ht="15.75" customHeight="1">
      <c r="G315" s="205"/>
    </row>
    <row r="316" ht="15.75" customHeight="1">
      <c r="G316" s="205"/>
    </row>
    <row r="317" ht="15.75" customHeight="1">
      <c r="G317" s="205"/>
    </row>
    <row r="318" ht="15.75" customHeight="1">
      <c r="G318" s="205"/>
    </row>
    <row r="319" ht="15.75" customHeight="1">
      <c r="G319" s="205"/>
    </row>
    <row r="320" ht="15.75" customHeight="1">
      <c r="G320" s="205"/>
    </row>
    <row r="321" ht="15.75" customHeight="1">
      <c r="G321" s="205"/>
    </row>
    <row r="322" ht="15.75" customHeight="1">
      <c r="G322" s="205"/>
    </row>
    <row r="323" ht="15.75" customHeight="1">
      <c r="G323" s="205"/>
    </row>
    <row r="324" ht="15.75" customHeight="1">
      <c r="G324" s="205"/>
    </row>
    <row r="325" ht="15.75" customHeight="1">
      <c r="G325" s="205"/>
    </row>
    <row r="326" ht="15.75" customHeight="1">
      <c r="G326" s="205"/>
    </row>
    <row r="327" ht="15.75" customHeight="1">
      <c r="G327" s="205"/>
    </row>
    <row r="328" ht="15.75" customHeight="1">
      <c r="G328" s="205"/>
    </row>
    <row r="329" ht="15.75" customHeight="1">
      <c r="G329" s="205"/>
    </row>
    <row r="330" ht="15.75" customHeight="1">
      <c r="G330" s="205"/>
    </row>
    <row r="331" ht="15.75" customHeight="1">
      <c r="G331" s="205"/>
    </row>
    <row r="332" ht="15.75" customHeight="1">
      <c r="G332" s="205"/>
    </row>
    <row r="333" ht="15.75" customHeight="1">
      <c r="G333" s="205"/>
    </row>
    <row r="334" ht="15.75" customHeight="1">
      <c r="G334" s="205"/>
    </row>
    <row r="335" ht="15.75" customHeight="1">
      <c r="G335" s="205"/>
    </row>
    <row r="336" ht="15.75" customHeight="1">
      <c r="G336" s="205"/>
    </row>
    <row r="337" ht="15.75" customHeight="1">
      <c r="G337" s="205"/>
    </row>
    <row r="338" ht="15.75" customHeight="1">
      <c r="G338" s="205"/>
    </row>
    <row r="339" ht="15.75" customHeight="1">
      <c r="G339" s="205"/>
    </row>
    <row r="340" ht="15.75" customHeight="1">
      <c r="G340" s="205"/>
    </row>
    <row r="341" ht="15.75" customHeight="1">
      <c r="G341" s="205"/>
    </row>
    <row r="342" ht="15.75" customHeight="1">
      <c r="G342" s="205"/>
    </row>
    <row r="343" ht="15.75" customHeight="1">
      <c r="G343" s="205"/>
    </row>
    <row r="344" ht="15.75" customHeight="1">
      <c r="G344" s="205"/>
    </row>
    <row r="345" ht="15.75" customHeight="1">
      <c r="G345" s="205"/>
    </row>
    <row r="346" ht="15.75" customHeight="1">
      <c r="G346" s="205"/>
    </row>
    <row r="347" ht="15.75" customHeight="1">
      <c r="G347" s="205"/>
    </row>
    <row r="348" ht="15.75" customHeight="1">
      <c r="G348" s="205"/>
    </row>
    <row r="349" ht="15.75" customHeight="1">
      <c r="G349" s="205"/>
    </row>
    <row r="350" ht="15.75" customHeight="1">
      <c r="G350" s="205"/>
    </row>
    <row r="351" ht="15.75" customHeight="1">
      <c r="G351" s="205"/>
    </row>
    <row r="352" ht="15.75" customHeight="1">
      <c r="G352" s="205"/>
    </row>
    <row r="353" ht="15.75" customHeight="1">
      <c r="G353" s="205"/>
    </row>
    <row r="354" ht="15.75" customHeight="1">
      <c r="G354" s="205"/>
    </row>
    <row r="355" ht="15.75" customHeight="1">
      <c r="G355" s="205"/>
    </row>
    <row r="356" ht="15.75" customHeight="1">
      <c r="G356" s="205"/>
    </row>
    <row r="357" ht="15.75" customHeight="1">
      <c r="G357" s="205"/>
    </row>
    <row r="358" ht="15.75" customHeight="1">
      <c r="G358" s="205"/>
    </row>
    <row r="359" ht="15.75" customHeight="1">
      <c r="G359" s="205"/>
    </row>
    <row r="360" ht="15.75" customHeight="1">
      <c r="G360" s="205"/>
    </row>
    <row r="361" ht="15.75" customHeight="1">
      <c r="G361" s="205"/>
    </row>
    <row r="362" ht="15.75" customHeight="1">
      <c r="G362" s="205"/>
    </row>
    <row r="363" ht="15.75" customHeight="1">
      <c r="G363" s="205"/>
    </row>
    <row r="364" ht="15.75" customHeight="1">
      <c r="G364" s="205"/>
    </row>
    <row r="365" ht="15.75" customHeight="1">
      <c r="G365" s="205"/>
    </row>
    <row r="366" ht="15.75" customHeight="1">
      <c r="G366" s="205"/>
    </row>
    <row r="367" ht="15.75" customHeight="1">
      <c r="G367" s="205"/>
    </row>
    <row r="368" ht="15.75" customHeight="1">
      <c r="G368" s="205"/>
    </row>
    <row r="369" ht="15.75" customHeight="1">
      <c r="G369" s="205"/>
    </row>
    <row r="370" ht="15.75" customHeight="1">
      <c r="G370" s="205"/>
    </row>
    <row r="371" ht="15.75" customHeight="1">
      <c r="G371" s="205"/>
    </row>
    <row r="372" ht="15.75" customHeight="1">
      <c r="G372" s="205"/>
    </row>
    <row r="373" ht="15.75" customHeight="1">
      <c r="G373" s="205"/>
    </row>
    <row r="374" ht="15.75" customHeight="1">
      <c r="G374" s="205"/>
    </row>
    <row r="375" ht="15.75" customHeight="1">
      <c r="G375" s="205"/>
    </row>
    <row r="376" ht="15.75" customHeight="1">
      <c r="G376" s="205"/>
    </row>
    <row r="377" ht="15.75" customHeight="1">
      <c r="G377" s="205"/>
    </row>
    <row r="378" ht="15.75" customHeight="1">
      <c r="G378" s="205"/>
    </row>
    <row r="379" ht="15.75" customHeight="1">
      <c r="G379" s="205"/>
    </row>
    <row r="380" ht="15.75" customHeight="1">
      <c r="G380" s="205"/>
    </row>
    <row r="381" ht="15.75" customHeight="1">
      <c r="G381" s="205"/>
    </row>
    <row r="382" ht="15.75" customHeight="1">
      <c r="G382" s="205"/>
    </row>
    <row r="383" ht="15.75" customHeight="1">
      <c r="G383" s="205"/>
    </row>
    <row r="384" ht="15.75" customHeight="1">
      <c r="G384" s="205"/>
    </row>
    <row r="385" ht="15.75" customHeight="1">
      <c r="G385" s="205"/>
    </row>
    <row r="386" ht="15.75" customHeight="1">
      <c r="G386" s="205"/>
    </row>
    <row r="387" ht="15.75" customHeight="1">
      <c r="G387" s="205"/>
    </row>
    <row r="388" ht="15.75" customHeight="1">
      <c r="G388" s="205"/>
    </row>
    <row r="389" ht="15.75" customHeight="1">
      <c r="G389" s="205"/>
    </row>
    <row r="390" ht="15.75" customHeight="1">
      <c r="G390" s="205"/>
    </row>
    <row r="391" ht="15.75" customHeight="1">
      <c r="G391" s="205"/>
    </row>
    <row r="392" ht="15.75" customHeight="1">
      <c r="G392" s="205"/>
    </row>
    <row r="393" ht="15.75" customHeight="1">
      <c r="G393" s="205"/>
    </row>
    <row r="394" ht="15.75" customHeight="1">
      <c r="G394" s="205"/>
    </row>
    <row r="395" ht="15.75" customHeight="1">
      <c r="G395" s="205"/>
    </row>
    <row r="396" ht="15.75" customHeight="1">
      <c r="G396" s="205"/>
    </row>
    <row r="397" ht="15.75" customHeight="1">
      <c r="G397" s="205"/>
    </row>
    <row r="398" ht="15.75" customHeight="1">
      <c r="G398" s="205"/>
    </row>
    <row r="399" ht="15.75" customHeight="1">
      <c r="G399" s="205"/>
    </row>
    <row r="400" ht="15.75" customHeight="1">
      <c r="G400" s="205"/>
    </row>
    <row r="401" ht="15.75" customHeight="1">
      <c r="G401" s="205"/>
    </row>
    <row r="402" ht="15.75" customHeight="1">
      <c r="G402" s="205"/>
    </row>
    <row r="403" ht="15.75" customHeight="1">
      <c r="G403" s="205"/>
    </row>
    <row r="404" ht="15.75" customHeight="1">
      <c r="G404" s="205"/>
    </row>
    <row r="405" ht="15.75" customHeight="1">
      <c r="G405" s="205"/>
    </row>
    <row r="406" ht="15.75" customHeight="1">
      <c r="G406" s="205"/>
    </row>
    <row r="407" ht="15.75" customHeight="1">
      <c r="G407" s="205"/>
    </row>
    <row r="408" ht="15.75" customHeight="1">
      <c r="G408" s="205"/>
    </row>
    <row r="409" ht="15.75" customHeight="1">
      <c r="G409" s="205"/>
    </row>
    <row r="410" ht="15.75" customHeight="1">
      <c r="G410" s="205"/>
    </row>
    <row r="411" ht="15.75" customHeight="1">
      <c r="G411" s="205"/>
    </row>
    <row r="412" ht="15.75" customHeight="1">
      <c r="G412" s="205"/>
    </row>
    <row r="413" ht="15.75" customHeight="1">
      <c r="G413" s="205"/>
    </row>
    <row r="414" ht="15.75" customHeight="1">
      <c r="G414" s="205"/>
    </row>
    <row r="415" ht="15.75" customHeight="1">
      <c r="G415" s="205"/>
    </row>
    <row r="416" ht="15.75" customHeight="1">
      <c r="G416" s="205"/>
    </row>
    <row r="417" ht="15.75" customHeight="1">
      <c r="G417" s="205"/>
    </row>
    <row r="418" ht="15.75" customHeight="1">
      <c r="G418" s="205"/>
    </row>
    <row r="419" ht="15.75" customHeight="1">
      <c r="G419" s="205"/>
    </row>
    <row r="420" ht="15.75" customHeight="1">
      <c r="G420" s="205"/>
    </row>
    <row r="421" ht="15.75" customHeight="1">
      <c r="G421" s="205"/>
    </row>
    <row r="422" ht="15.75" customHeight="1">
      <c r="G422" s="205"/>
    </row>
    <row r="423" ht="15.75" customHeight="1">
      <c r="G423" s="205"/>
    </row>
    <row r="424" ht="15.75" customHeight="1">
      <c r="G424" s="205"/>
    </row>
    <row r="425" ht="15.75" customHeight="1">
      <c r="G425" s="205"/>
    </row>
    <row r="426" ht="15.75" customHeight="1">
      <c r="G426" s="205"/>
    </row>
    <row r="427" ht="15.75" customHeight="1">
      <c r="G427" s="205"/>
    </row>
    <row r="428" ht="15.75" customHeight="1">
      <c r="G428" s="205"/>
    </row>
    <row r="429" ht="15.75" customHeight="1">
      <c r="G429" s="205"/>
    </row>
    <row r="430" ht="15.75" customHeight="1">
      <c r="G430" s="205"/>
    </row>
    <row r="431" ht="15.75" customHeight="1">
      <c r="G431" s="205"/>
    </row>
    <row r="432" ht="15.75" customHeight="1">
      <c r="G432" s="205"/>
    </row>
    <row r="433" ht="15.75" customHeight="1">
      <c r="G433" s="205"/>
    </row>
    <row r="434" ht="15.75" customHeight="1">
      <c r="G434" s="205"/>
    </row>
    <row r="435" ht="15.75" customHeight="1">
      <c r="G435" s="205"/>
    </row>
    <row r="436" ht="15.75" customHeight="1">
      <c r="G436" s="205"/>
    </row>
    <row r="437" ht="15.75" customHeight="1">
      <c r="G437" s="205"/>
    </row>
    <row r="438" ht="15.75" customHeight="1">
      <c r="G438" s="205"/>
    </row>
    <row r="439" ht="15.75" customHeight="1">
      <c r="G439" s="205"/>
    </row>
    <row r="440" ht="15.75" customHeight="1">
      <c r="G440" s="205"/>
    </row>
    <row r="441" ht="15.75" customHeight="1">
      <c r="G441" s="205"/>
    </row>
    <row r="442" ht="15.75" customHeight="1">
      <c r="G442" s="205"/>
    </row>
    <row r="443" ht="15.75" customHeight="1">
      <c r="G443" s="205"/>
    </row>
    <row r="444" ht="15.75" customHeight="1">
      <c r="G444" s="205"/>
    </row>
    <row r="445" ht="15.75" customHeight="1">
      <c r="G445" s="205"/>
    </row>
    <row r="446" ht="15.75" customHeight="1">
      <c r="G446" s="205"/>
    </row>
    <row r="447" ht="15.75" customHeight="1">
      <c r="G447" s="205"/>
    </row>
    <row r="448" ht="15.75" customHeight="1">
      <c r="G448" s="205"/>
    </row>
    <row r="449" ht="15.75" customHeight="1">
      <c r="G449" s="205"/>
    </row>
    <row r="450" ht="15.75" customHeight="1">
      <c r="G450" s="205"/>
    </row>
    <row r="451" ht="15.75" customHeight="1">
      <c r="G451" s="205"/>
    </row>
    <row r="452" ht="15.75" customHeight="1">
      <c r="G452" s="205"/>
    </row>
    <row r="453" ht="15.75" customHeight="1">
      <c r="G453" s="205"/>
    </row>
    <row r="454" ht="15.75" customHeight="1">
      <c r="G454" s="205"/>
    </row>
    <row r="455" ht="15.75" customHeight="1">
      <c r="G455" s="205"/>
    </row>
    <row r="456" ht="15.75" customHeight="1">
      <c r="G456" s="205"/>
    </row>
    <row r="457" ht="15.75" customHeight="1">
      <c r="G457" s="205"/>
    </row>
    <row r="458" ht="15.75" customHeight="1">
      <c r="G458" s="205"/>
    </row>
    <row r="459" ht="15.75" customHeight="1">
      <c r="G459" s="205"/>
    </row>
    <row r="460" ht="15.75" customHeight="1">
      <c r="G460" s="205"/>
    </row>
    <row r="461" ht="15.75" customHeight="1">
      <c r="G461" s="205"/>
    </row>
    <row r="462" ht="15.75" customHeight="1">
      <c r="G462" s="205"/>
    </row>
    <row r="463" ht="15.75" customHeight="1">
      <c r="G463" s="205"/>
    </row>
    <row r="464" ht="15.75" customHeight="1">
      <c r="G464" s="205"/>
    </row>
    <row r="465" ht="15.75" customHeight="1">
      <c r="G465" s="205"/>
    </row>
    <row r="466" ht="15.75" customHeight="1">
      <c r="G466" s="205"/>
    </row>
    <row r="467" ht="15.75" customHeight="1">
      <c r="G467" s="205"/>
    </row>
    <row r="468" ht="15.75" customHeight="1">
      <c r="G468" s="205"/>
    </row>
    <row r="469" ht="15.75" customHeight="1">
      <c r="G469" s="205"/>
    </row>
    <row r="470" ht="15.75" customHeight="1">
      <c r="G470" s="205"/>
    </row>
    <row r="471" ht="15.75" customHeight="1">
      <c r="G471" s="205"/>
    </row>
    <row r="472" ht="15.75" customHeight="1">
      <c r="G472" s="205"/>
    </row>
    <row r="473" ht="15.75" customHeight="1">
      <c r="G473" s="205"/>
    </row>
    <row r="474" ht="15.75" customHeight="1">
      <c r="G474" s="205"/>
    </row>
    <row r="475" ht="15.75" customHeight="1">
      <c r="G475" s="205"/>
    </row>
    <row r="476" ht="15.75" customHeight="1">
      <c r="G476" s="205"/>
    </row>
    <row r="477" ht="15.75" customHeight="1">
      <c r="G477" s="205"/>
    </row>
    <row r="478" ht="15.75" customHeight="1">
      <c r="G478" s="205"/>
    </row>
    <row r="479" ht="15.75" customHeight="1">
      <c r="G479" s="205"/>
    </row>
    <row r="480" ht="15.75" customHeight="1">
      <c r="G480" s="205"/>
    </row>
    <row r="481" ht="15.75" customHeight="1">
      <c r="G481" s="205"/>
    </row>
    <row r="482" ht="15.75" customHeight="1">
      <c r="G482" s="205"/>
    </row>
    <row r="483" ht="15.75" customHeight="1">
      <c r="G483" s="205"/>
    </row>
    <row r="484" ht="15.75" customHeight="1">
      <c r="G484" s="205"/>
    </row>
    <row r="485" ht="15.75" customHeight="1">
      <c r="G485" s="205"/>
    </row>
    <row r="486" ht="15.75" customHeight="1">
      <c r="G486" s="205"/>
    </row>
    <row r="487" ht="15.75" customHeight="1">
      <c r="G487" s="205"/>
    </row>
    <row r="488" ht="15.75" customHeight="1">
      <c r="G488" s="205"/>
    </row>
    <row r="489" ht="15.75" customHeight="1">
      <c r="G489" s="205"/>
    </row>
    <row r="490" ht="15.75" customHeight="1">
      <c r="G490" s="205"/>
    </row>
    <row r="491" ht="15.75" customHeight="1">
      <c r="G491" s="205"/>
    </row>
    <row r="492" ht="15.75" customHeight="1">
      <c r="G492" s="205"/>
    </row>
    <row r="493" ht="15.75" customHeight="1">
      <c r="G493" s="205"/>
    </row>
    <row r="494" ht="15.75" customHeight="1">
      <c r="G494" s="205"/>
    </row>
    <row r="495" ht="15.75" customHeight="1">
      <c r="G495" s="205"/>
    </row>
    <row r="496" ht="15.75" customHeight="1">
      <c r="G496" s="205"/>
    </row>
    <row r="497" ht="15.75" customHeight="1">
      <c r="G497" s="205"/>
    </row>
    <row r="498" ht="15.75" customHeight="1">
      <c r="G498" s="205"/>
    </row>
    <row r="499" ht="15.75" customHeight="1">
      <c r="G499" s="205"/>
    </row>
    <row r="500" ht="15.75" customHeight="1">
      <c r="G500" s="205"/>
    </row>
    <row r="501" ht="15.75" customHeight="1">
      <c r="G501" s="205"/>
    </row>
    <row r="502" ht="15.75" customHeight="1">
      <c r="G502" s="205"/>
    </row>
    <row r="503" ht="15.75" customHeight="1">
      <c r="G503" s="205"/>
    </row>
    <row r="504" ht="15.75" customHeight="1">
      <c r="G504" s="205"/>
    </row>
    <row r="505" ht="15.75" customHeight="1">
      <c r="G505" s="205"/>
    </row>
    <row r="506" ht="15.75" customHeight="1">
      <c r="G506" s="205"/>
    </row>
    <row r="507" ht="15.75" customHeight="1">
      <c r="G507" s="205"/>
    </row>
    <row r="508" ht="15.75" customHeight="1">
      <c r="G508" s="205"/>
    </row>
    <row r="509" ht="15.75" customHeight="1">
      <c r="G509" s="205"/>
    </row>
    <row r="510" ht="15.75" customHeight="1">
      <c r="G510" s="205"/>
    </row>
    <row r="511" ht="15.75" customHeight="1">
      <c r="G511" s="205"/>
    </row>
    <row r="512" ht="15.75" customHeight="1">
      <c r="G512" s="205"/>
    </row>
    <row r="513" ht="15.75" customHeight="1">
      <c r="G513" s="205"/>
    </row>
    <row r="514" ht="15.75" customHeight="1">
      <c r="G514" s="205"/>
    </row>
    <row r="515" ht="15.75" customHeight="1">
      <c r="G515" s="205"/>
    </row>
    <row r="516" ht="15.75" customHeight="1">
      <c r="G516" s="205"/>
    </row>
    <row r="517" ht="15.75" customHeight="1">
      <c r="G517" s="205"/>
    </row>
    <row r="518" ht="15.75" customHeight="1">
      <c r="G518" s="205"/>
    </row>
    <row r="519" ht="15.75" customHeight="1">
      <c r="G519" s="205"/>
    </row>
    <row r="520" ht="15.75" customHeight="1">
      <c r="G520" s="205"/>
    </row>
    <row r="521" ht="15.75" customHeight="1">
      <c r="G521" s="205"/>
    </row>
    <row r="522" ht="15.75" customHeight="1">
      <c r="G522" s="205"/>
    </row>
    <row r="523" ht="15.75" customHeight="1">
      <c r="G523" s="205"/>
    </row>
    <row r="524" ht="15.75" customHeight="1">
      <c r="G524" s="205"/>
    </row>
    <row r="525" ht="15.75" customHeight="1">
      <c r="G525" s="205"/>
    </row>
    <row r="526" ht="15.75" customHeight="1">
      <c r="G526" s="205"/>
    </row>
    <row r="527" ht="15.75" customHeight="1">
      <c r="G527" s="205"/>
    </row>
    <row r="528" ht="15.75" customHeight="1">
      <c r="G528" s="205"/>
    </row>
    <row r="529" ht="15.75" customHeight="1">
      <c r="G529" s="205"/>
    </row>
    <row r="530" ht="15.75" customHeight="1">
      <c r="G530" s="205"/>
    </row>
    <row r="531" ht="15.75" customHeight="1">
      <c r="G531" s="205"/>
    </row>
    <row r="532" ht="15.75" customHeight="1">
      <c r="G532" s="205"/>
    </row>
    <row r="533" ht="15.75" customHeight="1">
      <c r="G533" s="205"/>
    </row>
    <row r="534" ht="15.75" customHeight="1">
      <c r="G534" s="205"/>
    </row>
    <row r="535" ht="15.75" customHeight="1">
      <c r="G535" s="205"/>
    </row>
    <row r="536" ht="15.75" customHeight="1">
      <c r="G536" s="205"/>
    </row>
    <row r="537" ht="15.75" customHeight="1">
      <c r="G537" s="205"/>
    </row>
    <row r="538" ht="15.75" customHeight="1">
      <c r="G538" s="205"/>
    </row>
    <row r="539" ht="15.75" customHeight="1">
      <c r="G539" s="205"/>
    </row>
    <row r="540" ht="15.75" customHeight="1">
      <c r="G540" s="205"/>
    </row>
    <row r="541" ht="15.75" customHeight="1">
      <c r="G541" s="205"/>
    </row>
    <row r="542" ht="15.75" customHeight="1">
      <c r="G542" s="205"/>
    </row>
    <row r="543" ht="15.75" customHeight="1">
      <c r="G543" s="205"/>
    </row>
    <row r="544" ht="15.75" customHeight="1">
      <c r="G544" s="205"/>
    </row>
    <row r="545" ht="15.75" customHeight="1">
      <c r="G545" s="205"/>
    </row>
    <row r="546" ht="15.75" customHeight="1">
      <c r="G546" s="205"/>
    </row>
    <row r="547" ht="15.75" customHeight="1">
      <c r="G547" s="205"/>
    </row>
    <row r="548" ht="15.75" customHeight="1">
      <c r="G548" s="205"/>
    </row>
    <row r="549" ht="15.75" customHeight="1">
      <c r="G549" s="205"/>
    </row>
    <row r="550" ht="15.75" customHeight="1">
      <c r="G550" s="205"/>
    </row>
    <row r="551" ht="15.75" customHeight="1">
      <c r="G551" s="205"/>
    </row>
    <row r="552" ht="15.75" customHeight="1">
      <c r="G552" s="205"/>
    </row>
    <row r="553" ht="15.75" customHeight="1">
      <c r="G553" s="205"/>
    </row>
    <row r="554" ht="15.75" customHeight="1">
      <c r="G554" s="205"/>
    </row>
    <row r="555" ht="15.75" customHeight="1">
      <c r="G555" s="205"/>
    </row>
    <row r="556" ht="15.75" customHeight="1">
      <c r="G556" s="205"/>
    </row>
    <row r="557" ht="15.75" customHeight="1">
      <c r="G557" s="205"/>
    </row>
    <row r="558" ht="15.75" customHeight="1">
      <c r="G558" s="205"/>
    </row>
    <row r="559" ht="15.75" customHeight="1">
      <c r="G559" s="205"/>
    </row>
    <row r="560" ht="15.75" customHeight="1">
      <c r="G560" s="205"/>
    </row>
    <row r="561" ht="15.75" customHeight="1">
      <c r="G561" s="205"/>
    </row>
    <row r="562" ht="15.75" customHeight="1">
      <c r="G562" s="205"/>
    </row>
    <row r="563" ht="15.75" customHeight="1">
      <c r="G563" s="205"/>
    </row>
    <row r="564" ht="15.75" customHeight="1">
      <c r="G564" s="205"/>
    </row>
    <row r="565" ht="15.75" customHeight="1">
      <c r="G565" s="205"/>
    </row>
    <row r="566" ht="15.75" customHeight="1">
      <c r="G566" s="205"/>
    </row>
    <row r="567" ht="15.75" customHeight="1">
      <c r="G567" s="205"/>
    </row>
    <row r="568" ht="15.75" customHeight="1">
      <c r="G568" s="205"/>
    </row>
    <row r="569" ht="15.75" customHeight="1">
      <c r="G569" s="205"/>
    </row>
    <row r="570" ht="15.75" customHeight="1">
      <c r="G570" s="205"/>
    </row>
    <row r="571" ht="15.75" customHeight="1">
      <c r="G571" s="205"/>
    </row>
    <row r="572" ht="15.75" customHeight="1">
      <c r="G572" s="205"/>
    </row>
    <row r="573" ht="15.75" customHeight="1">
      <c r="G573" s="205"/>
    </row>
    <row r="574" ht="15.75" customHeight="1">
      <c r="G574" s="205"/>
    </row>
    <row r="575" ht="15.75" customHeight="1">
      <c r="G575" s="205"/>
    </row>
    <row r="576" ht="15.75" customHeight="1">
      <c r="G576" s="205"/>
    </row>
    <row r="577" ht="15.75" customHeight="1">
      <c r="G577" s="205"/>
    </row>
    <row r="578" ht="15.75" customHeight="1">
      <c r="G578" s="205"/>
    </row>
    <row r="579" ht="15.75" customHeight="1">
      <c r="G579" s="205"/>
    </row>
    <row r="580" ht="15.75" customHeight="1">
      <c r="G580" s="205"/>
    </row>
    <row r="581" ht="15.75" customHeight="1">
      <c r="G581" s="205"/>
    </row>
    <row r="582" ht="15.75" customHeight="1">
      <c r="G582" s="205"/>
    </row>
    <row r="583" ht="15.75" customHeight="1">
      <c r="G583" s="205"/>
    </row>
    <row r="584" ht="15.75" customHeight="1">
      <c r="G584" s="205"/>
    </row>
    <row r="585" ht="15.75" customHeight="1">
      <c r="G585" s="205"/>
    </row>
    <row r="586" ht="15.75" customHeight="1">
      <c r="G586" s="205"/>
    </row>
    <row r="587" ht="15.75" customHeight="1">
      <c r="G587" s="205"/>
    </row>
    <row r="588" ht="15.75" customHeight="1">
      <c r="G588" s="205"/>
    </row>
    <row r="589" ht="15.75" customHeight="1">
      <c r="G589" s="205"/>
    </row>
    <row r="590" ht="15.75" customHeight="1">
      <c r="G590" s="205"/>
    </row>
    <row r="591" ht="15.75" customHeight="1">
      <c r="G591" s="205"/>
    </row>
    <row r="592" ht="15.75" customHeight="1">
      <c r="G592" s="205"/>
    </row>
    <row r="593" ht="15.75" customHeight="1">
      <c r="G593" s="205"/>
    </row>
    <row r="594" ht="15.75" customHeight="1">
      <c r="G594" s="205"/>
    </row>
    <row r="595" ht="15.75" customHeight="1">
      <c r="G595" s="205"/>
    </row>
    <row r="596" ht="15.75" customHeight="1">
      <c r="G596" s="205"/>
    </row>
    <row r="597" ht="15.75" customHeight="1">
      <c r="G597" s="205"/>
    </row>
    <row r="598" ht="15.75" customHeight="1">
      <c r="G598" s="205"/>
    </row>
    <row r="599" ht="15.75" customHeight="1">
      <c r="G599" s="205"/>
    </row>
    <row r="600" ht="15.75" customHeight="1">
      <c r="G600" s="205"/>
    </row>
    <row r="601" ht="15.75" customHeight="1">
      <c r="G601" s="205"/>
    </row>
    <row r="602" ht="15.75" customHeight="1">
      <c r="G602" s="205"/>
    </row>
    <row r="603" ht="15.75" customHeight="1">
      <c r="G603" s="205"/>
    </row>
    <row r="604" ht="15.75" customHeight="1">
      <c r="G604" s="205"/>
    </row>
    <row r="605" ht="15.75" customHeight="1">
      <c r="G605" s="205"/>
    </row>
    <row r="606" ht="15.75" customHeight="1">
      <c r="G606" s="205"/>
    </row>
    <row r="607" ht="15.75" customHeight="1">
      <c r="G607" s="205"/>
    </row>
    <row r="608" ht="15.75" customHeight="1">
      <c r="G608" s="205"/>
    </row>
    <row r="609" ht="15.75" customHeight="1">
      <c r="G609" s="205"/>
    </row>
    <row r="610" ht="15.75" customHeight="1">
      <c r="G610" s="205"/>
    </row>
    <row r="611" ht="15.75" customHeight="1">
      <c r="G611" s="205"/>
    </row>
    <row r="612" ht="15.75" customHeight="1">
      <c r="G612" s="205"/>
    </row>
    <row r="613" ht="15.75" customHeight="1">
      <c r="G613" s="205"/>
    </row>
    <row r="614" ht="15.75" customHeight="1">
      <c r="G614" s="205"/>
    </row>
    <row r="615" ht="15.75" customHeight="1">
      <c r="G615" s="205"/>
    </row>
    <row r="616" ht="15.75" customHeight="1">
      <c r="G616" s="205"/>
    </row>
    <row r="617" ht="15.75" customHeight="1">
      <c r="G617" s="205"/>
    </row>
    <row r="618" ht="15.75" customHeight="1">
      <c r="G618" s="205"/>
    </row>
    <row r="619" ht="15.75" customHeight="1">
      <c r="G619" s="205"/>
    </row>
    <row r="620" ht="15.75" customHeight="1">
      <c r="G620" s="205"/>
    </row>
    <row r="621" ht="15.75" customHeight="1">
      <c r="G621" s="205"/>
    </row>
    <row r="622" ht="15.75" customHeight="1">
      <c r="G622" s="205"/>
    </row>
    <row r="623" ht="15.75" customHeight="1">
      <c r="G623" s="205"/>
    </row>
    <row r="624" ht="15.75" customHeight="1">
      <c r="G624" s="205"/>
    </row>
    <row r="625" ht="15.75" customHeight="1">
      <c r="G625" s="205"/>
    </row>
    <row r="626" ht="15.75" customHeight="1">
      <c r="G626" s="205"/>
    </row>
    <row r="627" ht="15.75" customHeight="1">
      <c r="G627" s="205"/>
    </row>
    <row r="628" ht="15.75" customHeight="1">
      <c r="G628" s="205"/>
    </row>
    <row r="629" ht="15.75" customHeight="1">
      <c r="G629" s="205"/>
    </row>
    <row r="630" ht="15.75" customHeight="1">
      <c r="G630" s="205"/>
    </row>
    <row r="631" ht="15.75" customHeight="1">
      <c r="G631" s="205"/>
    </row>
    <row r="632" ht="15.75" customHeight="1">
      <c r="G632" s="205"/>
    </row>
    <row r="633" ht="15.75" customHeight="1">
      <c r="G633" s="205"/>
    </row>
    <row r="634" ht="15.75" customHeight="1">
      <c r="G634" s="205"/>
    </row>
    <row r="635" ht="15.75" customHeight="1">
      <c r="G635" s="205"/>
    </row>
    <row r="636" ht="15.75" customHeight="1">
      <c r="G636" s="205"/>
    </row>
    <row r="637" ht="15.75" customHeight="1">
      <c r="G637" s="205"/>
    </row>
    <row r="638" ht="15.75" customHeight="1">
      <c r="G638" s="205"/>
    </row>
    <row r="639" ht="15.75" customHeight="1">
      <c r="G639" s="205"/>
    </row>
    <row r="640" ht="15.75" customHeight="1">
      <c r="G640" s="205"/>
    </row>
    <row r="641" ht="15.75" customHeight="1">
      <c r="G641" s="205"/>
    </row>
    <row r="642" ht="15.75" customHeight="1">
      <c r="G642" s="205"/>
    </row>
    <row r="643" ht="15.75" customHeight="1">
      <c r="G643" s="205"/>
    </row>
    <row r="644" ht="15.75" customHeight="1">
      <c r="G644" s="205"/>
    </row>
    <row r="645" ht="15.75" customHeight="1">
      <c r="G645" s="205"/>
    </row>
    <row r="646" ht="15.75" customHeight="1">
      <c r="G646" s="205"/>
    </row>
    <row r="647" ht="15.75" customHeight="1">
      <c r="G647" s="205"/>
    </row>
    <row r="648" ht="15.75" customHeight="1">
      <c r="G648" s="205"/>
    </row>
    <row r="649" ht="15.75" customHeight="1">
      <c r="G649" s="205"/>
    </row>
    <row r="650" ht="15.75" customHeight="1">
      <c r="G650" s="205"/>
    </row>
    <row r="651" ht="15.75" customHeight="1">
      <c r="G651" s="205"/>
    </row>
    <row r="652" ht="15.75" customHeight="1">
      <c r="G652" s="205"/>
    </row>
    <row r="653" ht="15.75" customHeight="1">
      <c r="G653" s="205"/>
    </row>
    <row r="654" ht="15.75" customHeight="1">
      <c r="G654" s="205"/>
    </row>
    <row r="655" ht="15.75" customHeight="1">
      <c r="G655" s="205"/>
    </row>
    <row r="656" ht="15.75" customHeight="1">
      <c r="G656" s="205"/>
    </row>
    <row r="657" ht="15.75" customHeight="1">
      <c r="G657" s="205"/>
    </row>
    <row r="658" ht="15.75" customHeight="1">
      <c r="G658" s="205"/>
    </row>
    <row r="659" ht="15.75" customHeight="1">
      <c r="G659" s="205"/>
    </row>
    <row r="660" ht="15.75" customHeight="1">
      <c r="G660" s="205"/>
    </row>
    <row r="661" ht="15.75" customHeight="1">
      <c r="G661" s="205"/>
    </row>
    <row r="662" ht="15.75" customHeight="1">
      <c r="G662" s="205"/>
    </row>
    <row r="663" ht="15.75" customHeight="1">
      <c r="G663" s="205"/>
    </row>
    <row r="664" ht="15.75" customHeight="1">
      <c r="G664" s="205"/>
    </row>
    <row r="665" ht="15.75" customHeight="1">
      <c r="G665" s="205"/>
    </row>
    <row r="666" ht="15.75" customHeight="1">
      <c r="G666" s="205"/>
    </row>
    <row r="667" ht="15.75" customHeight="1">
      <c r="G667" s="205"/>
    </row>
    <row r="668" ht="15.75" customHeight="1">
      <c r="G668" s="205"/>
    </row>
    <row r="669" ht="15.75" customHeight="1">
      <c r="G669" s="205"/>
    </row>
    <row r="670" ht="15.75" customHeight="1">
      <c r="G670" s="205"/>
    </row>
    <row r="671" ht="15.75" customHeight="1">
      <c r="G671" s="205"/>
    </row>
    <row r="672" ht="15.75" customHeight="1">
      <c r="G672" s="205"/>
    </row>
    <row r="673" ht="15.75" customHeight="1">
      <c r="G673" s="205"/>
    </row>
    <row r="674" ht="15.75" customHeight="1">
      <c r="G674" s="205"/>
    </row>
    <row r="675" ht="15.75" customHeight="1">
      <c r="G675" s="205"/>
    </row>
    <row r="676" ht="15.75" customHeight="1">
      <c r="G676" s="205"/>
    </row>
    <row r="677" ht="15.75" customHeight="1">
      <c r="G677" s="205"/>
    </row>
    <row r="678" ht="15.75" customHeight="1">
      <c r="G678" s="205"/>
    </row>
    <row r="679" ht="15.75" customHeight="1">
      <c r="G679" s="205"/>
    </row>
    <row r="680" ht="15.75" customHeight="1">
      <c r="G680" s="205"/>
    </row>
    <row r="681" ht="15.75" customHeight="1">
      <c r="G681" s="205"/>
    </row>
    <row r="682" ht="15.75" customHeight="1">
      <c r="G682" s="205"/>
    </row>
    <row r="683" ht="15.75" customHeight="1">
      <c r="G683" s="205"/>
    </row>
    <row r="684" ht="15.75" customHeight="1">
      <c r="G684" s="205"/>
    </row>
    <row r="685" ht="15.75" customHeight="1">
      <c r="G685" s="205"/>
    </row>
    <row r="686" ht="15.75" customHeight="1">
      <c r="G686" s="205"/>
    </row>
    <row r="687" ht="15.75" customHeight="1">
      <c r="G687" s="205"/>
    </row>
    <row r="688" ht="15.75" customHeight="1">
      <c r="G688" s="205"/>
    </row>
    <row r="689" ht="15.75" customHeight="1">
      <c r="G689" s="205"/>
    </row>
    <row r="690" ht="15.75" customHeight="1">
      <c r="G690" s="205"/>
    </row>
    <row r="691" ht="15.75" customHeight="1">
      <c r="G691" s="205"/>
    </row>
    <row r="692" ht="15.75" customHeight="1">
      <c r="G692" s="205"/>
    </row>
    <row r="693" ht="15.75" customHeight="1">
      <c r="G693" s="205"/>
    </row>
    <row r="694" ht="15.75" customHeight="1">
      <c r="G694" s="205"/>
    </row>
    <row r="695" ht="15.75" customHeight="1">
      <c r="G695" s="205"/>
    </row>
    <row r="696" ht="15.75" customHeight="1">
      <c r="G696" s="205"/>
    </row>
    <row r="697" ht="15.75" customHeight="1">
      <c r="G697" s="205"/>
    </row>
    <row r="698" ht="15.75" customHeight="1">
      <c r="G698" s="205"/>
    </row>
    <row r="699" ht="15.75" customHeight="1">
      <c r="G699" s="205"/>
    </row>
    <row r="700" ht="15.75" customHeight="1">
      <c r="G700" s="205"/>
    </row>
    <row r="701" ht="15.75" customHeight="1">
      <c r="G701" s="205"/>
    </row>
    <row r="702" ht="15.75" customHeight="1">
      <c r="G702" s="205"/>
    </row>
    <row r="703" ht="15.75" customHeight="1">
      <c r="G703" s="205"/>
    </row>
    <row r="704" ht="15.75" customHeight="1">
      <c r="G704" s="205"/>
    </row>
    <row r="705" ht="15.75" customHeight="1">
      <c r="G705" s="205"/>
    </row>
    <row r="706" ht="15.75" customHeight="1">
      <c r="G706" s="205"/>
    </row>
    <row r="707" ht="15.75" customHeight="1">
      <c r="G707" s="205"/>
    </row>
    <row r="708" ht="15.75" customHeight="1">
      <c r="G708" s="205"/>
    </row>
    <row r="709" ht="15.75" customHeight="1">
      <c r="G709" s="205"/>
    </row>
    <row r="710" ht="15.75" customHeight="1">
      <c r="G710" s="205"/>
    </row>
    <row r="711" ht="15.75" customHeight="1">
      <c r="G711" s="205"/>
    </row>
    <row r="712" ht="15.75" customHeight="1">
      <c r="G712" s="205"/>
    </row>
    <row r="713" ht="15.75" customHeight="1">
      <c r="G713" s="205"/>
    </row>
    <row r="714" ht="15.75" customHeight="1">
      <c r="G714" s="205"/>
    </row>
    <row r="715" ht="15.75" customHeight="1">
      <c r="G715" s="205"/>
    </row>
    <row r="716" ht="15.75" customHeight="1">
      <c r="G716" s="205"/>
    </row>
    <row r="717" ht="15.75" customHeight="1">
      <c r="G717" s="205"/>
    </row>
    <row r="718" ht="15.75" customHeight="1">
      <c r="G718" s="205"/>
    </row>
    <row r="719" ht="15.75" customHeight="1">
      <c r="G719" s="205"/>
    </row>
    <row r="720" ht="15.75" customHeight="1">
      <c r="G720" s="205"/>
    </row>
    <row r="721" ht="15.75" customHeight="1">
      <c r="G721" s="205"/>
    </row>
    <row r="722" ht="15.75" customHeight="1">
      <c r="G722" s="205"/>
    </row>
    <row r="723" ht="15.75" customHeight="1">
      <c r="G723" s="205"/>
    </row>
    <row r="724" ht="15.75" customHeight="1">
      <c r="G724" s="205"/>
    </row>
    <row r="725" ht="15.75" customHeight="1">
      <c r="G725" s="205"/>
    </row>
    <row r="726" ht="15.75" customHeight="1">
      <c r="G726" s="205"/>
    </row>
    <row r="727" ht="15.75" customHeight="1">
      <c r="G727" s="205"/>
    </row>
    <row r="728" ht="15.75" customHeight="1">
      <c r="G728" s="205"/>
    </row>
    <row r="729" ht="15.75" customHeight="1">
      <c r="G729" s="205"/>
    </row>
    <row r="730" ht="15.75" customHeight="1">
      <c r="G730" s="205"/>
    </row>
    <row r="731" ht="15.75" customHeight="1">
      <c r="G731" s="205"/>
    </row>
    <row r="732" ht="15.75" customHeight="1">
      <c r="G732" s="205"/>
    </row>
    <row r="733" ht="15.75" customHeight="1">
      <c r="G733" s="205"/>
    </row>
    <row r="734" ht="15.75" customHeight="1">
      <c r="G734" s="205"/>
    </row>
    <row r="735" ht="15.75" customHeight="1">
      <c r="G735" s="205"/>
    </row>
    <row r="736" ht="15.75" customHeight="1">
      <c r="G736" s="205"/>
    </row>
    <row r="737" ht="15.75" customHeight="1">
      <c r="G737" s="205"/>
    </row>
    <row r="738" ht="15.75" customHeight="1">
      <c r="G738" s="205"/>
    </row>
    <row r="739" ht="15.75" customHeight="1">
      <c r="G739" s="205"/>
    </row>
    <row r="740" ht="15.75" customHeight="1">
      <c r="G740" s="205"/>
    </row>
    <row r="741" ht="15.75" customHeight="1">
      <c r="G741" s="205"/>
    </row>
    <row r="742" ht="15.75" customHeight="1">
      <c r="G742" s="205"/>
    </row>
    <row r="743" ht="15.75" customHeight="1">
      <c r="G743" s="205"/>
    </row>
    <row r="744" ht="15.75" customHeight="1">
      <c r="G744" s="205"/>
    </row>
    <row r="745" ht="15.75" customHeight="1">
      <c r="G745" s="205"/>
    </row>
    <row r="746" ht="15.75" customHeight="1">
      <c r="G746" s="205"/>
    </row>
    <row r="747" ht="15.75" customHeight="1">
      <c r="G747" s="205"/>
    </row>
    <row r="748" ht="15.75" customHeight="1">
      <c r="G748" s="205"/>
    </row>
    <row r="749" ht="15.75" customHeight="1">
      <c r="G749" s="205"/>
    </row>
    <row r="750" ht="15.75" customHeight="1">
      <c r="G750" s="205"/>
    </row>
    <row r="751" ht="15.75" customHeight="1">
      <c r="G751" s="205"/>
    </row>
    <row r="752" ht="15.75" customHeight="1">
      <c r="G752" s="205"/>
    </row>
    <row r="753" ht="15.75" customHeight="1">
      <c r="G753" s="205"/>
    </row>
    <row r="754" ht="15.75" customHeight="1">
      <c r="G754" s="205"/>
    </row>
    <row r="755" ht="15.75" customHeight="1">
      <c r="G755" s="205"/>
    </row>
    <row r="756" ht="15.75" customHeight="1">
      <c r="G756" s="205"/>
    </row>
    <row r="757" ht="15.75" customHeight="1">
      <c r="G757" s="205"/>
    </row>
    <row r="758" ht="15.75" customHeight="1">
      <c r="G758" s="205"/>
    </row>
    <row r="759" ht="15.75" customHeight="1">
      <c r="G759" s="205"/>
    </row>
    <row r="760" ht="15.75" customHeight="1">
      <c r="G760" s="205"/>
    </row>
    <row r="761" ht="15.75" customHeight="1">
      <c r="G761" s="205"/>
    </row>
    <row r="762" ht="15.75" customHeight="1">
      <c r="G762" s="205"/>
    </row>
    <row r="763" ht="15.75" customHeight="1">
      <c r="G763" s="205"/>
    </row>
    <row r="764" ht="15.75" customHeight="1">
      <c r="G764" s="205"/>
    </row>
    <row r="765" ht="15.75" customHeight="1">
      <c r="G765" s="205"/>
    </row>
    <row r="766" ht="15.75" customHeight="1">
      <c r="G766" s="205"/>
    </row>
    <row r="767" ht="15.75" customHeight="1">
      <c r="G767" s="205"/>
    </row>
    <row r="768" ht="15.75" customHeight="1">
      <c r="G768" s="205"/>
    </row>
    <row r="769" ht="15.75" customHeight="1">
      <c r="G769" s="205"/>
    </row>
    <row r="770" ht="15.75" customHeight="1">
      <c r="G770" s="205"/>
    </row>
    <row r="771" ht="15.75" customHeight="1">
      <c r="G771" s="205"/>
    </row>
    <row r="772" ht="15.75" customHeight="1">
      <c r="G772" s="205"/>
    </row>
    <row r="773" ht="15.75" customHeight="1">
      <c r="G773" s="205"/>
    </row>
    <row r="774" ht="15.75" customHeight="1">
      <c r="G774" s="205"/>
    </row>
    <row r="775" ht="15.75" customHeight="1">
      <c r="G775" s="205"/>
    </row>
    <row r="776" ht="15.75" customHeight="1">
      <c r="G776" s="205"/>
    </row>
    <row r="777" ht="15.75" customHeight="1">
      <c r="G777" s="205"/>
    </row>
    <row r="778" ht="15.75" customHeight="1">
      <c r="G778" s="205"/>
    </row>
    <row r="779" ht="15.75" customHeight="1">
      <c r="G779" s="205"/>
    </row>
    <row r="780" ht="15.75" customHeight="1">
      <c r="G780" s="205"/>
    </row>
    <row r="781" ht="15.75" customHeight="1">
      <c r="G781" s="205"/>
    </row>
    <row r="782" ht="15.75" customHeight="1">
      <c r="G782" s="205"/>
    </row>
    <row r="783" ht="15.75" customHeight="1">
      <c r="G783" s="205"/>
    </row>
    <row r="784" ht="15.75" customHeight="1">
      <c r="G784" s="205"/>
    </row>
    <row r="785" ht="15.75" customHeight="1">
      <c r="G785" s="205"/>
    </row>
    <row r="786" ht="15.75" customHeight="1">
      <c r="G786" s="205"/>
    </row>
    <row r="787" ht="15.75" customHeight="1">
      <c r="G787" s="205"/>
    </row>
    <row r="788" ht="15.75" customHeight="1">
      <c r="G788" s="205"/>
    </row>
    <row r="789" ht="15.75" customHeight="1">
      <c r="G789" s="205"/>
    </row>
    <row r="790" ht="15.75" customHeight="1">
      <c r="G790" s="205"/>
    </row>
    <row r="791" ht="15.75" customHeight="1">
      <c r="G791" s="205"/>
    </row>
    <row r="792" ht="15.75" customHeight="1">
      <c r="G792" s="205"/>
    </row>
    <row r="793" ht="15.75" customHeight="1">
      <c r="G793" s="205"/>
    </row>
    <row r="794" ht="15.75" customHeight="1">
      <c r="G794" s="205"/>
    </row>
    <row r="795" ht="15.75" customHeight="1">
      <c r="G795" s="205"/>
    </row>
    <row r="796" ht="15.75" customHeight="1">
      <c r="G796" s="205"/>
    </row>
    <row r="797" ht="15.75" customHeight="1">
      <c r="G797" s="205"/>
    </row>
    <row r="798" ht="15.75" customHeight="1">
      <c r="G798" s="205"/>
    </row>
    <row r="799" ht="15.75" customHeight="1">
      <c r="G799" s="205"/>
    </row>
    <row r="800" ht="15.75" customHeight="1">
      <c r="G800" s="205"/>
    </row>
    <row r="801" ht="15.75" customHeight="1">
      <c r="G801" s="205"/>
    </row>
    <row r="802" ht="15.75" customHeight="1">
      <c r="G802" s="205"/>
    </row>
    <row r="803" ht="15.75" customHeight="1">
      <c r="G803" s="205"/>
    </row>
    <row r="804" ht="15.75" customHeight="1">
      <c r="G804" s="205"/>
    </row>
    <row r="805" ht="15.75" customHeight="1">
      <c r="G805" s="205"/>
    </row>
    <row r="806" ht="15.75" customHeight="1">
      <c r="G806" s="205"/>
    </row>
    <row r="807" ht="15.75" customHeight="1">
      <c r="G807" s="205"/>
    </row>
    <row r="808" ht="15.75" customHeight="1">
      <c r="G808" s="205"/>
    </row>
    <row r="809" ht="15.75" customHeight="1">
      <c r="G809" s="205"/>
    </row>
    <row r="810" ht="15.75" customHeight="1">
      <c r="G810" s="205"/>
    </row>
    <row r="811" ht="15.75" customHeight="1">
      <c r="G811" s="205"/>
    </row>
    <row r="812" ht="15.75" customHeight="1">
      <c r="G812" s="205"/>
    </row>
    <row r="813" ht="15.75" customHeight="1">
      <c r="G813" s="205"/>
    </row>
    <row r="814" ht="15.75" customHeight="1">
      <c r="G814" s="205"/>
    </row>
    <row r="815" ht="15.75" customHeight="1">
      <c r="G815" s="205"/>
    </row>
    <row r="816" ht="15.75" customHeight="1">
      <c r="G816" s="205"/>
    </row>
    <row r="817" ht="15.75" customHeight="1">
      <c r="G817" s="205"/>
    </row>
    <row r="818" ht="15.75" customHeight="1">
      <c r="G818" s="205"/>
    </row>
    <row r="819" ht="15.75" customHeight="1">
      <c r="G819" s="205"/>
    </row>
    <row r="820" ht="15.75" customHeight="1">
      <c r="G820" s="205"/>
    </row>
    <row r="821" ht="15.75" customHeight="1">
      <c r="G821" s="205"/>
    </row>
    <row r="822" ht="15.75" customHeight="1">
      <c r="G822" s="205"/>
    </row>
    <row r="823" ht="15.75" customHeight="1">
      <c r="G823" s="205"/>
    </row>
    <row r="824" ht="15.75" customHeight="1">
      <c r="G824" s="205"/>
    </row>
    <row r="825" ht="15.75" customHeight="1">
      <c r="G825" s="205"/>
    </row>
    <row r="826" ht="15.75" customHeight="1">
      <c r="G826" s="205"/>
    </row>
    <row r="827" ht="15.75" customHeight="1">
      <c r="G827" s="205"/>
    </row>
    <row r="828" ht="15.75" customHeight="1">
      <c r="G828" s="205"/>
    </row>
    <row r="829" ht="15.75" customHeight="1">
      <c r="G829" s="205"/>
    </row>
    <row r="830" ht="15.75" customHeight="1">
      <c r="G830" s="205"/>
    </row>
    <row r="831" ht="15.75" customHeight="1">
      <c r="G831" s="205"/>
    </row>
    <row r="832" ht="15.75" customHeight="1">
      <c r="G832" s="205"/>
    </row>
    <row r="833" ht="15.75" customHeight="1">
      <c r="G833" s="205"/>
    </row>
    <row r="834" ht="15.75" customHeight="1">
      <c r="G834" s="205"/>
    </row>
    <row r="835" ht="15.75" customHeight="1">
      <c r="G835" s="205"/>
    </row>
    <row r="836" ht="15.75" customHeight="1">
      <c r="G836" s="205"/>
    </row>
    <row r="837" ht="15.75" customHeight="1">
      <c r="G837" s="205"/>
    </row>
    <row r="838" ht="15.75" customHeight="1">
      <c r="G838" s="205"/>
    </row>
    <row r="839" ht="15.75" customHeight="1">
      <c r="G839" s="205"/>
    </row>
    <row r="840" ht="15.75" customHeight="1">
      <c r="G840" s="205"/>
    </row>
    <row r="841" ht="15.75" customHeight="1">
      <c r="G841" s="205"/>
    </row>
    <row r="842" ht="15.75" customHeight="1">
      <c r="G842" s="205"/>
    </row>
    <row r="843" ht="15.75" customHeight="1">
      <c r="G843" s="205"/>
    </row>
    <row r="844" ht="15.75" customHeight="1">
      <c r="G844" s="205"/>
    </row>
    <row r="845" ht="15.75" customHeight="1">
      <c r="G845" s="205"/>
    </row>
    <row r="846" ht="15.75" customHeight="1">
      <c r="G846" s="205"/>
    </row>
    <row r="847" ht="15.75" customHeight="1">
      <c r="G847" s="205"/>
    </row>
    <row r="848" ht="15.75" customHeight="1">
      <c r="G848" s="205"/>
    </row>
    <row r="849" ht="15.75" customHeight="1">
      <c r="G849" s="205"/>
    </row>
    <row r="850" ht="15.75" customHeight="1">
      <c r="G850" s="205"/>
    </row>
    <row r="851" ht="15.75" customHeight="1">
      <c r="G851" s="205"/>
    </row>
    <row r="852" ht="15.75" customHeight="1">
      <c r="G852" s="205"/>
    </row>
    <row r="853" ht="15.75" customHeight="1">
      <c r="G853" s="205"/>
    </row>
    <row r="854" ht="15.75" customHeight="1">
      <c r="G854" s="205"/>
    </row>
    <row r="855" ht="15.75" customHeight="1">
      <c r="G855" s="205"/>
    </row>
    <row r="856" ht="15.75" customHeight="1">
      <c r="G856" s="205"/>
    </row>
    <row r="857" ht="15.75" customHeight="1">
      <c r="G857" s="205"/>
    </row>
    <row r="858" ht="15.75" customHeight="1">
      <c r="G858" s="205"/>
    </row>
    <row r="859" ht="15.75" customHeight="1">
      <c r="G859" s="205"/>
    </row>
    <row r="860" ht="15.75" customHeight="1">
      <c r="G860" s="205"/>
    </row>
    <row r="861" ht="15.75" customHeight="1">
      <c r="G861" s="205"/>
    </row>
    <row r="862" ht="15.75" customHeight="1">
      <c r="G862" s="205"/>
    </row>
    <row r="863" ht="15.75" customHeight="1">
      <c r="G863" s="205"/>
    </row>
    <row r="864" ht="15.75" customHeight="1">
      <c r="G864" s="205"/>
    </row>
    <row r="865" ht="15.75" customHeight="1">
      <c r="G865" s="205"/>
    </row>
    <row r="866" ht="15.75" customHeight="1">
      <c r="G866" s="205"/>
    </row>
    <row r="867" ht="15.75" customHeight="1">
      <c r="G867" s="205"/>
    </row>
    <row r="868" ht="15.75" customHeight="1">
      <c r="G868" s="205"/>
    </row>
    <row r="869" ht="15.75" customHeight="1">
      <c r="G869" s="205"/>
    </row>
    <row r="870" ht="15.75" customHeight="1">
      <c r="G870" s="205"/>
    </row>
    <row r="871" ht="15.75" customHeight="1">
      <c r="G871" s="205"/>
    </row>
    <row r="872" ht="15.75" customHeight="1">
      <c r="G872" s="205"/>
    </row>
    <row r="873" ht="15.75" customHeight="1">
      <c r="G873" s="205"/>
    </row>
    <row r="874" ht="15.75" customHeight="1">
      <c r="G874" s="205"/>
    </row>
    <row r="875" ht="15.75" customHeight="1">
      <c r="G875" s="205"/>
    </row>
    <row r="876" ht="15.75" customHeight="1">
      <c r="G876" s="205"/>
    </row>
    <row r="877" ht="15.75" customHeight="1">
      <c r="G877" s="205"/>
    </row>
    <row r="878" ht="15.75" customHeight="1">
      <c r="G878" s="205"/>
    </row>
    <row r="879" ht="15.75" customHeight="1">
      <c r="G879" s="205"/>
    </row>
    <row r="880" ht="15.75" customHeight="1">
      <c r="G880" s="205"/>
    </row>
    <row r="881" ht="15.75" customHeight="1">
      <c r="G881" s="205"/>
    </row>
    <row r="882" ht="15.75" customHeight="1">
      <c r="G882" s="205"/>
    </row>
    <row r="883" ht="15.75" customHeight="1">
      <c r="G883" s="205"/>
    </row>
    <row r="884" ht="15.75" customHeight="1">
      <c r="G884" s="205"/>
    </row>
    <row r="885" ht="15.75" customHeight="1">
      <c r="G885" s="205"/>
    </row>
    <row r="886" ht="15.75" customHeight="1">
      <c r="G886" s="205"/>
    </row>
    <row r="887" ht="15.75" customHeight="1">
      <c r="G887" s="205"/>
    </row>
    <row r="888" ht="15.75" customHeight="1">
      <c r="G888" s="205"/>
    </row>
    <row r="889" ht="15.75" customHeight="1">
      <c r="G889" s="205"/>
    </row>
    <row r="890" ht="15.75" customHeight="1">
      <c r="G890" s="205"/>
    </row>
    <row r="891" ht="15.75" customHeight="1">
      <c r="G891" s="205"/>
    </row>
    <row r="892" ht="15.75" customHeight="1">
      <c r="G892" s="205"/>
    </row>
    <row r="893" ht="15.75" customHeight="1">
      <c r="G893" s="205"/>
    </row>
    <row r="894" ht="15.75" customHeight="1">
      <c r="G894" s="205"/>
    </row>
    <row r="895" ht="15.75" customHeight="1">
      <c r="G895" s="205"/>
    </row>
    <row r="896" ht="15.75" customHeight="1">
      <c r="G896" s="205"/>
    </row>
    <row r="897" ht="15.75" customHeight="1">
      <c r="G897" s="205"/>
    </row>
    <row r="898" ht="15.75" customHeight="1">
      <c r="G898" s="205"/>
    </row>
    <row r="899" ht="15.75" customHeight="1">
      <c r="G899" s="205"/>
    </row>
    <row r="900" ht="15.75" customHeight="1">
      <c r="G900" s="205"/>
    </row>
    <row r="901" ht="15.75" customHeight="1">
      <c r="G901" s="205"/>
    </row>
    <row r="902" ht="15.75" customHeight="1">
      <c r="G902" s="205"/>
    </row>
    <row r="903" ht="15.75" customHeight="1">
      <c r="G903" s="205"/>
    </row>
    <row r="904" ht="15.75" customHeight="1">
      <c r="G904" s="205"/>
    </row>
    <row r="905" ht="15.75" customHeight="1">
      <c r="G905" s="205"/>
    </row>
    <row r="906" ht="15.75" customHeight="1">
      <c r="G906" s="205"/>
    </row>
    <row r="907" ht="15.75" customHeight="1">
      <c r="G907" s="205"/>
    </row>
    <row r="908" ht="15.75" customHeight="1">
      <c r="G908" s="205"/>
    </row>
    <row r="909" ht="15.75" customHeight="1">
      <c r="G909" s="205"/>
    </row>
    <row r="910" ht="15.75" customHeight="1">
      <c r="G910" s="205"/>
    </row>
    <row r="911" ht="15.75" customHeight="1">
      <c r="G911" s="205"/>
    </row>
    <row r="912" ht="15.75" customHeight="1">
      <c r="G912" s="205"/>
    </row>
    <row r="913" ht="15.75" customHeight="1">
      <c r="G913" s="205"/>
    </row>
    <row r="914" ht="15.75" customHeight="1">
      <c r="G914" s="205"/>
    </row>
    <row r="915" ht="15.75" customHeight="1">
      <c r="G915" s="205"/>
    </row>
    <row r="916" ht="15.75" customHeight="1">
      <c r="G916" s="205"/>
    </row>
    <row r="917" ht="15.75" customHeight="1">
      <c r="G917" s="205"/>
    </row>
    <row r="918" ht="15.75" customHeight="1">
      <c r="G918" s="205"/>
    </row>
    <row r="919" ht="15.75" customHeight="1">
      <c r="G919" s="205"/>
    </row>
    <row r="920" ht="15.75" customHeight="1">
      <c r="G920" s="205"/>
    </row>
    <row r="921" ht="15.75" customHeight="1">
      <c r="G921" s="205"/>
    </row>
    <row r="922" ht="15.75" customHeight="1">
      <c r="G922" s="205"/>
    </row>
    <row r="923" ht="15.75" customHeight="1">
      <c r="G923" s="205"/>
    </row>
    <row r="924" ht="15.75" customHeight="1">
      <c r="G924" s="205"/>
    </row>
    <row r="925" ht="15.75" customHeight="1">
      <c r="G925" s="205"/>
    </row>
    <row r="926" ht="15.75" customHeight="1">
      <c r="G926" s="205"/>
    </row>
    <row r="927" ht="15.75" customHeight="1">
      <c r="G927" s="205"/>
    </row>
    <row r="928" ht="15.75" customHeight="1">
      <c r="G928" s="205"/>
    </row>
    <row r="929" ht="15.75" customHeight="1">
      <c r="G929" s="205"/>
    </row>
    <row r="930" ht="15.75" customHeight="1">
      <c r="G930" s="205"/>
    </row>
    <row r="931" ht="15.75" customHeight="1">
      <c r="G931" s="205"/>
    </row>
    <row r="932" ht="15.75" customHeight="1">
      <c r="G932" s="205"/>
    </row>
    <row r="933" ht="15.75" customHeight="1">
      <c r="G933" s="205"/>
    </row>
    <row r="934" ht="15.75" customHeight="1">
      <c r="G934" s="205"/>
    </row>
    <row r="935" ht="15.75" customHeight="1">
      <c r="G935" s="205"/>
    </row>
    <row r="936" ht="15.75" customHeight="1">
      <c r="G936" s="205"/>
    </row>
    <row r="937" ht="15.75" customHeight="1">
      <c r="G937" s="205"/>
    </row>
    <row r="938" ht="15.75" customHeight="1">
      <c r="G938" s="205"/>
    </row>
    <row r="939" ht="15.75" customHeight="1">
      <c r="G939" s="205"/>
    </row>
    <row r="940" ht="15.75" customHeight="1">
      <c r="G940" s="205"/>
    </row>
    <row r="941" ht="15.75" customHeight="1">
      <c r="G941" s="205"/>
    </row>
    <row r="942" ht="15.75" customHeight="1">
      <c r="G942" s="205"/>
    </row>
    <row r="943" ht="15.75" customHeight="1">
      <c r="G943" s="205"/>
    </row>
    <row r="944" ht="15.75" customHeight="1">
      <c r="G944" s="205"/>
    </row>
    <row r="945" ht="15.75" customHeight="1">
      <c r="G945" s="205"/>
    </row>
    <row r="946" ht="15.75" customHeight="1">
      <c r="G946" s="205"/>
    </row>
    <row r="947" ht="15.75" customHeight="1">
      <c r="G947" s="205"/>
    </row>
    <row r="948" ht="15.75" customHeight="1">
      <c r="G948" s="205"/>
    </row>
    <row r="949" ht="15.75" customHeight="1">
      <c r="G949" s="205"/>
    </row>
    <row r="950" ht="15.75" customHeight="1">
      <c r="G950" s="205"/>
    </row>
    <row r="951" ht="15.75" customHeight="1">
      <c r="G951" s="205"/>
    </row>
    <row r="952" ht="15.75" customHeight="1">
      <c r="G952" s="205"/>
    </row>
    <row r="953" ht="15.75" customHeight="1">
      <c r="G953" s="205"/>
    </row>
    <row r="954" ht="15.75" customHeight="1">
      <c r="G954" s="205"/>
    </row>
    <row r="955" ht="15.75" customHeight="1">
      <c r="G955" s="205"/>
    </row>
    <row r="956" ht="15.75" customHeight="1">
      <c r="G956" s="205"/>
    </row>
    <row r="957" ht="15.75" customHeight="1">
      <c r="G957" s="205"/>
    </row>
    <row r="958" ht="15.75" customHeight="1">
      <c r="G958" s="205"/>
    </row>
    <row r="959" ht="15.75" customHeight="1">
      <c r="G959" s="205"/>
    </row>
    <row r="960" ht="15.75" customHeight="1">
      <c r="G960" s="205"/>
    </row>
    <row r="961" ht="15.75" customHeight="1">
      <c r="G961" s="205"/>
    </row>
    <row r="962" ht="15.75" customHeight="1">
      <c r="G962" s="205"/>
    </row>
    <row r="963" ht="15.75" customHeight="1">
      <c r="G963" s="205"/>
    </row>
    <row r="964" ht="15.75" customHeight="1">
      <c r="G964" s="205"/>
    </row>
    <row r="965" ht="15.75" customHeight="1">
      <c r="G965" s="205"/>
    </row>
    <row r="966" ht="15.75" customHeight="1">
      <c r="G966" s="205"/>
    </row>
    <row r="967" ht="15.75" customHeight="1">
      <c r="G967" s="205"/>
    </row>
    <row r="968" ht="15.75" customHeight="1">
      <c r="G968" s="205"/>
    </row>
    <row r="969" ht="15.75" customHeight="1">
      <c r="G969" s="205"/>
    </row>
    <row r="970" ht="15.75" customHeight="1">
      <c r="G970" s="205"/>
    </row>
    <row r="971" ht="15.75" customHeight="1">
      <c r="G971" s="205"/>
    </row>
    <row r="972" ht="15.75" customHeight="1">
      <c r="G972" s="205"/>
    </row>
    <row r="973" ht="15.75" customHeight="1">
      <c r="G973" s="205"/>
    </row>
    <row r="974" ht="15.75" customHeight="1">
      <c r="G974" s="205"/>
    </row>
    <row r="975" ht="15.75" customHeight="1">
      <c r="G975" s="205"/>
    </row>
    <row r="976" ht="15.75" customHeight="1">
      <c r="G976" s="205"/>
    </row>
    <row r="977" ht="15.75" customHeight="1">
      <c r="G977" s="205"/>
    </row>
    <row r="978" ht="15.75" customHeight="1">
      <c r="G978" s="205"/>
    </row>
    <row r="979" ht="15.75" customHeight="1">
      <c r="G979" s="205"/>
    </row>
    <row r="980" ht="15.75" customHeight="1">
      <c r="G980" s="205"/>
    </row>
    <row r="981" ht="15.75" customHeight="1">
      <c r="G981" s="205"/>
    </row>
    <row r="982" ht="15.75" customHeight="1">
      <c r="G982" s="205"/>
    </row>
    <row r="983" ht="15.75" customHeight="1">
      <c r="G983" s="205"/>
    </row>
    <row r="984" ht="15.75" customHeight="1">
      <c r="G984" s="205"/>
    </row>
    <row r="985" ht="15.75" customHeight="1">
      <c r="G985" s="205"/>
    </row>
    <row r="986" ht="15.75" customHeight="1">
      <c r="G986" s="205"/>
    </row>
    <row r="987" ht="15.75" customHeight="1">
      <c r="G987" s="205"/>
    </row>
    <row r="988" ht="15.75" customHeight="1">
      <c r="G988" s="205"/>
    </row>
    <row r="989" ht="15.75" customHeight="1">
      <c r="G989" s="205"/>
    </row>
    <row r="990" ht="15.75" customHeight="1">
      <c r="G990" s="205"/>
    </row>
    <row r="991" ht="15.75" customHeight="1">
      <c r="G991" s="205"/>
    </row>
    <row r="992" ht="15.75" customHeight="1">
      <c r="G992" s="205"/>
    </row>
    <row r="993" ht="15.75" customHeight="1">
      <c r="G993" s="205"/>
    </row>
    <row r="994" ht="15.75" customHeight="1">
      <c r="G994" s="205"/>
    </row>
    <row r="995" ht="15.75" customHeight="1">
      <c r="G995" s="205"/>
    </row>
    <row r="996" ht="15.75" customHeight="1">
      <c r="G996" s="205"/>
    </row>
    <row r="997" ht="15.75" customHeight="1">
      <c r="G997" s="205"/>
    </row>
    <row r="998" ht="15.75" customHeight="1">
      <c r="G998" s="205"/>
    </row>
    <row r="999" ht="15.75" customHeight="1">
      <c r="G999" s="205"/>
    </row>
    <row r="1000" ht="15.75" customHeight="1">
      <c r="G1000" s="205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14" t="s">
        <v>217</v>
      </c>
      <c r="G1" s="205"/>
    </row>
    <row r="2" ht="19.5" customHeight="1">
      <c r="A2" s="116" t="s">
        <v>114</v>
      </c>
      <c r="B2" s="116"/>
      <c r="C2" s="116"/>
      <c r="D2" s="116"/>
      <c r="E2" s="116"/>
      <c r="F2" s="116"/>
      <c r="G2" s="20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</row>
    <row r="3">
      <c r="A3" s="149" t="s">
        <v>218</v>
      </c>
      <c r="B3" s="150">
        <v>5.0</v>
      </c>
      <c r="G3" s="205"/>
    </row>
    <row r="4">
      <c r="A4" s="149" t="s">
        <v>219</v>
      </c>
      <c r="B4" s="150">
        <v>3.0</v>
      </c>
      <c r="G4" s="205"/>
    </row>
    <row r="5">
      <c r="A5" s="149" t="s">
        <v>220</v>
      </c>
      <c r="B5" s="150">
        <v>1.0</v>
      </c>
      <c r="G5" s="205"/>
    </row>
    <row r="6">
      <c r="G6" s="205"/>
    </row>
    <row r="7" ht="19.5" customHeight="1">
      <c r="A7" s="207" t="s">
        <v>116</v>
      </c>
      <c r="B7" s="207"/>
      <c r="C7" s="207"/>
      <c r="D7" s="207"/>
      <c r="E7" s="207"/>
      <c r="F7" s="207"/>
      <c r="G7" s="208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</row>
    <row r="8" ht="17.25" customHeight="1">
      <c r="A8" s="209" t="s">
        <v>56</v>
      </c>
      <c r="B8" s="210"/>
      <c r="C8" s="210"/>
      <c r="D8" s="210"/>
      <c r="E8" s="210"/>
      <c r="F8" s="210"/>
      <c r="G8" s="211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</row>
    <row r="9" ht="90.0" customHeight="1">
      <c r="A9" s="212" t="s">
        <v>143</v>
      </c>
      <c r="B9" s="212" t="s">
        <v>157</v>
      </c>
      <c r="C9" s="212" t="s">
        <v>221</v>
      </c>
      <c r="D9" s="213" t="s">
        <v>222</v>
      </c>
      <c r="E9" s="213" t="s">
        <v>223</v>
      </c>
      <c r="F9" s="212" t="s">
        <v>64</v>
      </c>
      <c r="G9" s="214" t="s">
        <v>224</v>
      </c>
      <c r="I9" s="215" t="s">
        <v>68</v>
      </c>
      <c r="J9" s="215" t="s">
        <v>69</v>
      </c>
      <c r="K9" s="215" t="s">
        <v>70</v>
      </c>
      <c r="L9" s="215" t="s">
        <v>71</v>
      </c>
      <c r="M9" s="215" t="s">
        <v>72</v>
      </c>
      <c r="N9" s="215" t="s">
        <v>73</v>
      </c>
      <c r="O9" s="215" t="s">
        <v>74</v>
      </c>
      <c r="P9" s="215" t="s">
        <v>75</v>
      </c>
      <c r="Q9" s="215" t="s">
        <v>76</v>
      </c>
      <c r="R9" s="215" t="s">
        <v>77</v>
      </c>
      <c r="S9" s="215" t="s">
        <v>78</v>
      </c>
      <c r="T9" s="216" t="s">
        <v>103</v>
      </c>
      <c r="U9" s="216" t="s">
        <v>118</v>
      </c>
      <c r="V9" s="216" t="s">
        <v>104</v>
      </c>
      <c r="W9" s="216" t="s">
        <v>105</v>
      </c>
      <c r="X9" s="216" t="s">
        <v>106</v>
      </c>
      <c r="Y9" s="216" t="s">
        <v>107</v>
      </c>
      <c r="Z9" s="216" t="s">
        <v>108</v>
      </c>
      <c r="AA9" s="216" t="s">
        <v>109</v>
      </c>
      <c r="AB9" s="216" t="s">
        <v>110</v>
      </c>
      <c r="AC9" s="212" t="s">
        <v>225</v>
      </c>
    </row>
    <row r="10">
      <c r="A10" s="125">
        <v>1.0</v>
      </c>
      <c r="B10" s="125">
        <v>1.0</v>
      </c>
      <c r="C10" s="125" t="s">
        <v>226</v>
      </c>
      <c r="D10" s="173">
        <v>2.0</v>
      </c>
      <c r="E10" s="173">
        <v>2.0</v>
      </c>
      <c r="F10" s="173">
        <v>0.0</v>
      </c>
      <c r="G10" s="217">
        <f t="shared" ref="G10:G12" si="1">IF(D10=0,0,F10/D10)</f>
        <v>0</v>
      </c>
      <c r="I10" s="173">
        <v>0.0</v>
      </c>
      <c r="J10" s="173">
        <v>0.0</v>
      </c>
      <c r="K10" s="173">
        <v>0.0</v>
      </c>
      <c r="L10" s="173">
        <v>0.0</v>
      </c>
      <c r="M10" s="173">
        <v>0.0</v>
      </c>
      <c r="N10" s="173">
        <v>0.0</v>
      </c>
      <c r="O10" s="173">
        <v>0.0</v>
      </c>
      <c r="P10" s="173">
        <v>20.0</v>
      </c>
      <c r="Q10" s="173">
        <v>0.0</v>
      </c>
      <c r="R10" s="173">
        <v>0.0</v>
      </c>
      <c r="S10" s="173">
        <v>0.0</v>
      </c>
      <c r="T10" s="125">
        <v>0.0</v>
      </c>
      <c r="U10" s="125">
        <v>0.0</v>
      </c>
      <c r="V10" s="125">
        <v>0.0</v>
      </c>
      <c r="W10" s="125">
        <v>0.0</v>
      </c>
      <c r="X10" s="125">
        <v>0.0</v>
      </c>
      <c r="Y10" s="125">
        <v>0.0</v>
      </c>
      <c r="Z10" s="125">
        <v>0.0</v>
      </c>
      <c r="AA10" s="125">
        <v>0.0</v>
      </c>
      <c r="AB10" s="125">
        <v>0.0</v>
      </c>
      <c r="AC10" s="125">
        <f t="shared" ref="AC10:AC12" si="2">SUMPRODUCT(I10:S10, {0,33,50,67,167,67,50,4.17,7.56,12.17,16.22})</f>
        <v>83.4</v>
      </c>
    </row>
    <row r="11">
      <c r="A11" s="125">
        <v>2.0</v>
      </c>
      <c r="B11" s="125">
        <v>1.0</v>
      </c>
      <c r="C11" s="125" t="s">
        <v>226</v>
      </c>
      <c r="D11" s="173">
        <v>3.0</v>
      </c>
      <c r="E11" s="173">
        <v>5.0</v>
      </c>
      <c r="F11" s="173">
        <v>10.0</v>
      </c>
      <c r="G11" s="217">
        <f t="shared" si="1"/>
        <v>3.333333333</v>
      </c>
      <c r="H11" s="194"/>
      <c r="I11" s="173">
        <v>0.0</v>
      </c>
      <c r="J11" s="173">
        <v>1.0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25">
        <v>0.0</v>
      </c>
      <c r="U11" s="125">
        <v>0.0</v>
      </c>
      <c r="V11" s="125">
        <v>0.0</v>
      </c>
      <c r="W11" s="125">
        <v>0.0</v>
      </c>
      <c r="X11" s="125">
        <v>0.0</v>
      </c>
      <c r="Y11" s="125">
        <v>0.0</v>
      </c>
      <c r="Z11" s="125">
        <v>0.0</v>
      </c>
      <c r="AA11" s="125">
        <v>0.0</v>
      </c>
      <c r="AB11" s="125">
        <v>0.0</v>
      </c>
      <c r="AC11" s="125">
        <f t="shared" si="2"/>
        <v>33</v>
      </c>
    </row>
    <row r="12">
      <c r="A12" s="125">
        <v>3.0</v>
      </c>
      <c r="B12" s="125">
        <v>1.0</v>
      </c>
      <c r="C12" s="125" t="s">
        <v>226</v>
      </c>
      <c r="D12" s="173">
        <v>5.0</v>
      </c>
      <c r="E12" s="173">
        <v>10.0</v>
      </c>
      <c r="F12" s="173">
        <v>15.0</v>
      </c>
      <c r="G12" s="217">
        <f t="shared" si="1"/>
        <v>3</v>
      </c>
      <c r="I12" s="173">
        <v>0.0</v>
      </c>
      <c r="J12" s="173">
        <v>0.0</v>
      </c>
      <c r="K12" s="173">
        <v>1.0</v>
      </c>
      <c r="L12" s="173">
        <v>0.0</v>
      </c>
      <c r="M12" s="173">
        <v>1.0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25">
        <v>0.0</v>
      </c>
      <c r="U12" s="125">
        <v>0.0</v>
      </c>
      <c r="V12" s="125">
        <v>0.0</v>
      </c>
      <c r="W12" s="125">
        <v>0.0</v>
      </c>
      <c r="X12" s="125">
        <v>0.0</v>
      </c>
      <c r="Y12" s="125">
        <v>0.0</v>
      </c>
      <c r="Z12" s="125">
        <v>0.0</v>
      </c>
      <c r="AA12" s="125">
        <v>0.0</v>
      </c>
      <c r="AB12" s="125">
        <v>0.0</v>
      </c>
      <c r="AC12" s="125">
        <f t="shared" si="2"/>
        <v>217</v>
      </c>
    </row>
    <row r="13">
      <c r="G13" s="205"/>
    </row>
    <row r="14" ht="17.25" customHeight="1">
      <c r="A14" s="209" t="s">
        <v>57</v>
      </c>
      <c r="B14" s="210"/>
      <c r="C14" s="210"/>
      <c r="D14" s="210"/>
      <c r="E14" s="210"/>
      <c r="F14" s="210"/>
      <c r="G14" s="211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</row>
    <row r="15" ht="90.0" customHeight="1">
      <c r="A15" s="120" t="s">
        <v>143</v>
      </c>
      <c r="B15" s="120" t="s">
        <v>157</v>
      </c>
      <c r="C15" s="120" t="s">
        <v>221</v>
      </c>
      <c r="D15" s="218" t="s">
        <v>222</v>
      </c>
      <c r="E15" s="218" t="s">
        <v>223</v>
      </c>
      <c r="F15" s="120" t="s">
        <v>64</v>
      </c>
      <c r="G15" s="219" t="s">
        <v>224</v>
      </c>
      <c r="I15" s="140" t="s">
        <v>68</v>
      </c>
      <c r="J15" s="140" t="s">
        <v>69</v>
      </c>
      <c r="K15" s="140" t="s">
        <v>70</v>
      </c>
      <c r="L15" s="140" t="s">
        <v>71</v>
      </c>
      <c r="M15" s="140" t="s">
        <v>72</v>
      </c>
      <c r="N15" s="140" t="s">
        <v>73</v>
      </c>
      <c r="O15" s="140" t="s">
        <v>74</v>
      </c>
      <c r="P15" s="140" t="s">
        <v>75</v>
      </c>
      <c r="Q15" s="140" t="s">
        <v>76</v>
      </c>
      <c r="R15" s="140" t="s">
        <v>77</v>
      </c>
      <c r="S15" s="140" t="s">
        <v>78</v>
      </c>
      <c r="T15" s="123" t="s">
        <v>103</v>
      </c>
      <c r="U15" s="123" t="s">
        <v>118</v>
      </c>
      <c r="V15" s="123" t="s">
        <v>104</v>
      </c>
      <c r="W15" s="123" t="s">
        <v>105</v>
      </c>
      <c r="X15" s="123" t="s">
        <v>106</v>
      </c>
      <c r="Y15" s="123" t="s">
        <v>107</v>
      </c>
      <c r="Z15" s="123" t="s">
        <v>108</v>
      </c>
      <c r="AA15" s="123" t="s">
        <v>109</v>
      </c>
      <c r="AB15" s="123" t="s">
        <v>110</v>
      </c>
      <c r="AC15" s="120" t="s">
        <v>225</v>
      </c>
    </row>
    <row r="16">
      <c r="A16" s="125">
        <v>1.0</v>
      </c>
      <c r="B16" s="125">
        <v>1.0</v>
      </c>
      <c r="C16" s="125" t="s">
        <v>226</v>
      </c>
      <c r="D16" s="173">
        <v>6.0</v>
      </c>
      <c r="E16" s="173">
        <v>6.0</v>
      </c>
      <c r="F16" s="173">
        <v>10.0</v>
      </c>
      <c r="G16" s="217">
        <f t="shared" ref="G16:G18" si="3">IF(D16=0,0,F16/D16)</f>
        <v>1.666666667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0.0</v>
      </c>
      <c r="P16" s="173">
        <v>20.0</v>
      </c>
      <c r="Q16" s="173">
        <v>0.0</v>
      </c>
      <c r="R16" s="173">
        <v>0.0</v>
      </c>
      <c r="S16" s="173">
        <v>0.0</v>
      </c>
      <c r="T16" s="125">
        <v>0.0</v>
      </c>
      <c r="U16" s="125">
        <v>0.0</v>
      </c>
      <c r="V16" s="125">
        <v>0.0</v>
      </c>
      <c r="W16" s="125">
        <v>0.0</v>
      </c>
      <c r="X16" s="125">
        <v>0.0</v>
      </c>
      <c r="Y16" s="125">
        <v>0.0</v>
      </c>
      <c r="Z16" s="125">
        <v>0.0</v>
      </c>
      <c r="AA16" s="125">
        <v>0.0</v>
      </c>
      <c r="AB16" s="125">
        <v>0.0</v>
      </c>
      <c r="AC16" s="125">
        <f t="shared" ref="AC16:AC18" si="4">SUMPRODUCT(I16:S16, {0,33,50,67,167,67,50,4.17,7.56,12.17,16.22})</f>
        <v>83.4</v>
      </c>
    </row>
    <row r="17">
      <c r="A17" s="125">
        <v>2.0</v>
      </c>
      <c r="B17" s="125">
        <v>1.0</v>
      </c>
      <c r="C17" s="125" t="s">
        <v>226</v>
      </c>
      <c r="D17" s="173">
        <v>7.0</v>
      </c>
      <c r="E17" s="173">
        <v>13.0</v>
      </c>
      <c r="F17" s="173">
        <v>30.0</v>
      </c>
      <c r="G17" s="217">
        <f t="shared" si="3"/>
        <v>4.285714286</v>
      </c>
      <c r="H17" s="194"/>
      <c r="I17" s="173">
        <v>0.0</v>
      </c>
      <c r="J17" s="173">
        <v>1.0</v>
      </c>
      <c r="K17" s="173">
        <v>0.0</v>
      </c>
      <c r="L17" s="173">
        <v>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25">
        <v>0.0</v>
      </c>
      <c r="U17" s="125">
        <v>0.0</v>
      </c>
      <c r="V17" s="125">
        <v>0.0</v>
      </c>
      <c r="W17" s="125">
        <v>0.0</v>
      </c>
      <c r="X17" s="125">
        <v>0.0</v>
      </c>
      <c r="Y17" s="125">
        <v>0.0</v>
      </c>
      <c r="Z17" s="125">
        <v>0.0</v>
      </c>
      <c r="AA17" s="125">
        <v>0.0</v>
      </c>
      <c r="AB17" s="125">
        <v>0.0</v>
      </c>
      <c r="AC17" s="125">
        <f t="shared" si="4"/>
        <v>33</v>
      </c>
    </row>
    <row r="18">
      <c r="A18" s="125">
        <v>3.0</v>
      </c>
      <c r="B18" s="125">
        <v>1.0</v>
      </c>
      <c r="C18" s="125" t="s">
        <v>226</v>
      </c>
      <c r="D18" s="173">
        <v>13.0</v>
      </c>
      <c r="E18" s="173">
        <v>26.0</v>
      </c>
      <c r="F18" s="173">
        <v>60.0</v>
      </c>
      <c r="G18" s="217">
        <f t="shared" si="3"/>
        <v>4.615384615</v>
      </c>
      <c r="I18" s="173">
        <v>0.0</v>
      </c>
      <c r="J18" s="173">
        <v>0.0</v>
      </c>
      <c r="K18" s="173">
        <v>1.0</v>
      </c>
      <c r="L18" s="173">
        <v>0.0</v>
      </c>
      <c r="M18" s="173">
        <v>1.0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25">
        <v>0.0</v>
      </c>
      <c r="U18" s="125">
        <v>0.0</v>
      </c>
      <c r="V18" s="125">
        <v>0.0</v>
      </c>
      <c r="W18" s="125">
        <v>0.0</v>
      </c>
      <c r="X18" s="125">
        <v>0.0</v>
      </c>
      <c r="Y18" s="125">
        <v>0.0</v>
      </c>
      <c r="Z18" s="125">
        <v>0.0</v>
      </c>
      <c r="AA18" s="125">
        <v>0.0</v>
      </c>
      <c r="AB18" s="125">
        <v>0.0</v>
      </c>
      <c r="AC18" s="125">
        <f t="shared" si="4"/>
        <v>217</v>
      </c>
    </row>
    <row r="19">
      <c r="G19" s="205"/>
    </row>
    <row r="20" ht="17.25" customHeight="1">
      <c r="A20" s="209" t="s">
        <v>58</v>
      </c>
      <c r="B20" s="210"/>
      <c r="C20" s="210"/>
      <c r="D20" s="210"/>
      <c r="E20" s="210"/>
      <c r="F20" s="210"/>
      <c r="G20" s="211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</row>
    <row r="21" ht="90.0" customHeight="1">
      <c r="A21" s="120" t="s">
        <v>143</v>
      </c>
      <c r="B21" s="120" t="s">
        <v>157</v>
      </c>
      <c r="C21" s="120" t="s">
        <v>221</v>
      </c>
      <c r="D21" s="218" t="s">
        <v>222</v>
      </c>
      <c r="E21" s="218" t="s">
        <v>223</v>
      </c>
      <c r="F21" s="120" t="s">
        <v>64</v>
      </c>
      <c r="G21" s="219" t="s">
        <v>224</v>
      </c>
      <c r="I21" s="140" t="s">
        <v>68</v>
      </c>
      <c r="J21" s="140" t="s">
        <v>69</v>
      </c>
      <c r="K21" s="140" t="s">
        <v>70</v>
      </c>
      <c r="L21" s="140" t="s">
        <v>71</v>
      </c>
      <c r="M21" s="140" t="s">
        <v>72</v>
      </c>
      <c r="N21" s="140" t="s">
        <v>73</v>
      </c>
      <c r="O21" s="140" t="s">
        <v>74</v>
      </c>
      <c r="P21" s="140" t="s">
        <v>75</v>
      </c>
      <c r="Q21" s="140" t="s">
        <v>76</v>
      </c>
      <c r="R21" s="140" t="s">
        <v>77</v>
      </c>
      <c r="S21" s="140" t="s">
        <v>78</v>
      </c>
      <c r="T21" s="123" t="s">
        <v>103</v>
      </c>
      <c r="U21" s="123" t="s">
        <v>118</v>
      </c>
      <c r="V21" s="123" t="s">
        <v>104</v>
      </c>
      <c r="W21" s="123" t="s">
        <v>105</v>
      </c>
      <c r="X21" s="123" t="s">
        <v>106</v>
      </c>
      <c r="Y21" s="123" t="s">
        <v>107</v>
      </c>
      <c r="Z21" s="123" t="s">
        <v>108</v>
      </c>
      <c r="AA21" s="123" t="s">
        <v>109</v>
      </c>
      <c r="AB21" s="123" t="s">
        <v>110</v>
      </c>
      <c r="AC21" s="120" t="s">
        <v>225</v>
      </c>
    </row>
    <row r="22" ht="15.75" customHeight="1">
      <c r="A22" s="125">
        <v>1.0</v>
      </c>
      <c r="B22" s="125">
        <v>1.0</v>
      </c>
      <c r="C22" s="125" t="s">
        <v>226</v>
      </c>
      <c r="D22" s="173">
        <v>11.0</v>
      </c>
      <c r="E22" s="173">
        <v>11.0</v>
      </c>
      <c r="F22" s="173">
        <v>15.0</v>
      </c>
      <c r="G22" s="217">
        <f t="shared" ref="G22:G24" si="5">IF(D22=0,0,F22/D22)</f>
        <v>1.363636364</v>
      </c>
      <c r="I22" s="173">
        <v>0.0</v>
      </c>
      <c r="J22" s="173">
        <v>0.0</v>
      </c>
      <c r="K22" s="173">
        <v>0.0</v>
      </c>
      <c r="L22" s="173">
        <v>0.0</v>
      </c>
      <c r="M22" s="173">
        <v>0.0</v>
      </c>
      <c r="N22" s="173">
        <v>0.0</v>
      </c>
      <c r="O22" s="173">
        <v>0.0</v>
      </c>
      <c r="P22" s="173">
        <v>20.0</v>
      </c>
      <c r="Q22" s="173">
        <v>0.0</v>
      </c>
      <c r="R22" s="173">
        <v>0.0</v>
      </c>
      <c r="S22" s="173">
        <v>0.0</v>
      </c>
      <c r="T22" s="125">
        <v>0.0</v>
      </c>
      <c r="U22" s="125">
        <v>0.0</v>
      </c>
      <c r="V22" s="125">
        <v>0.0</v>
      </c>
      <c r="W22" s="125">
        <v>0.0</v>
      </c>
      <c r="X22" s="125">
        <v>0.0</v>
      </c>
      <c r="Y22" s="125">
        <v>0.0</v>
      </c>
      <c r="Z22" s="125">
        <v>0.0</v>
      </c>
      <c r="AA22" s="125">
        <v>0.0</v>
      </c>
      <c r="AB22" s="125">
        <v>0.0</v>
      </c>
      <c r="AC22" s="125">
        <f t="shared" ref="AC22:AC24" si="6">SUMPRODUCT(I22:S22, {0,33,50,67,167,67,50,4.17,7.56,12.17,16.22})</f>
        <v>83.4</v>
      </c>
    </row>
    <row r="23" ht="15.75" customHeight="1">
      <c r="A23" s="125">
        <v>2.0</v>
      </c>
      <c r="B23" s="125">
        <v>1.0</v>
      </c>
      <c r="C23" s="125" t="s">
        <v>226</v>
      </c>
      <c r="D23" s="173">
        <v>15.0</v>
      </c>
      <c r="E23" s="173">
        <v>26.0</v>
      </c>
      <c r="F23" s="173">
        <v>50.0</v>
      </c>
      <c r="G23" s="217">
        <f t="shared" si="5"/>
        <v>3.333333333</v>
      </c>
      <c r="H23" s="194"/>
      <c r="I23" s="173">
        <v>0.0</v>
      </c>
      <c r="J23" s="173">
        <v>1.0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25">
        <v>0.0</v>
      </c>
      <c r="U23" s="125">
        <v>0.0</v>
      </c>
      <c r="V23" s="125">
        <v>0.0</v>
      </c>
      <c r="W23" s="125">
        <v>0.0</v>
      </c>
      <c r="X23" s="125">
        <v>0.0</v>
      </c>
      <c r="Y23" s="125">
        <v>0.0</v>
      </c>
      <c r="Z23" s="125">
        <v>0.0</v>
      </c>
      <c r="AA23" s="125">
        <v>0.0</v>
      </c>
      <c r="AB23" s="125">
        <v>0.0</v>
      </c>
      <c r="AC23" s="125">
        <f t="shared" si="6"/>
        <v>33</v>
      </c>
    </row>
    <row r="24" ht="15.75" customHeight="1">
      <c r="A24" s="125">
        <v>3.0</v>
      </c>
      <c r="B24" s="125">
        <v>1.0</v>
      </c>
      <c r="C24" s="125" t="s">
        <v>226</v>
      </c>
      <c r="D24" s="173">
        <v>16.0</v>
      </c>
      <c r="E24" s="173">
        <v>42.0</v>
      </c>
      <c r="F24" s="173">
        <v>100.0</v>
      </c>
      <c r="G24" s="217">
        <f t="shared" si="5"/>
        <v>6.25</v>
      </c>
      <c r="I24" s="173">
        <v>0.0</v>
      </c>
      <c r="J24" s="173">
        <v>0.0</v>
      </c>
      <c r="K24" s="173">
        <v>1.0</v>
      </c>
      <c r="L24" s="173">
        <v>0.0</v>
      </c>
      <c r="M24" s="173">
        <v>1.0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25">
        <v>0.0</v>
      </c>
      <c r="U24" s="125">
        <v>0.0</v>
      </c>
      <c r="V24" s="125">
        <v>0.0</v>
      </c>
      <c r="W24" s="125">
        <v>0.0</v>
      </c>
      <c r="X24" s="125">
        <v>0.0</v>
      </c>
      <c r="Y24" s="125">
        <v>0.0</v>
      </c>
      <c r="Z24" s="125">
        <v>0.0</v>
      </c>
      <c r="AA24" s="125">
        <v>0.0</v>
      </c>
      <c r="AB24" s="125">
        <v>0.0</v>
      </c>
      <c r="AC24" s="125">
        <f t="shared" si="6"/>
        <v>217</v>
      </c>
    </row>
    <row r="25" ht="15.75" customHeight="1">
      <c r="G25" s="205"/>
    </row>
    <row r="26" ht="17.25" customHeight="1">
      <c r="A26" s="209" t="s">
        <v>59</v>
      </c>
      <c r="B26" s="210"/>
      <c r="C26" s="210"/>
      <c r="D26" s="210"/>
      <c r="E26" s="210"/>
      <c r="F26" s="210"/>
      <c r="G26" s="211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</row>
    <row r="27" ht="90.0" customHeight="1">
      <c r="A27" s="120" t="s">
        <v>143</v>
      </c>
      <c r="B27" s="120" t="s">
        <v>157</v>
      </c>
      <c r="C27" s="120" t="s">
        <v>221</v>
      </c>
      <c r="D27" s="218" t="s">
        <v>222</v>
      </c>
      <c r="E27" s="218" t="s">
        <v>223</v>
      </c>
      <c r="F27" s="120" t="s">
        <v>64</v>
      </c>
      <c r="G27" s="219" t="s">
        <v>224</v>
      </c>
      <c r="I27" s="140" t="s">
        <v>68</v>
      </c>
      <c r="J27" s="140" t="s">
        <v>69</v>
      </c>
      <c r="K27" s="140" t="s">
        <v>70</v>
      </c>
      <c r="L27" s="140" t="s">
        <v>71</v>
      </c>
      <c r="M27" s="140" t="s">
        <v>72</v>
      </c>
      <c r="N27" s="140" t="s">
        <v>73</v>
      </c>
      <c r="O27" s="140" t="s">
        <v>74</v>
      </c>
      <c r="P27" s="140" t="s">
        <v>75</v>
      </c>
      <c r="Q27" s="140" t="s">
        <v>76</v>
      </c>
      <c r="R27" s="140" t="s">
        <v>77</v>
      </c>
      <c r="S27" s="140" t="s">
        <v>78</v>
      </c>
      <c r="T27" s="123" t="s">
        <v>103</v>
      </c>
      <c r="U27" s="123" t="s">
        <v>118</v>
      </c>
      <c r="V27" s="123" t="s">
        <v>104</v>
      </c>
      <c r="W27" s="123" t="s">
        <v>105</v>
      </c>
      <c r="X27" s="123" t="s">
        <v>106</v>
      </c>
      <c r="Y27" s="123" t="s">
        <v>107</v>
      </c>
      <c r="Z27" s="123" t="s">
        <v>108</v>
      </c>
      <c r="AA27" s="123" t="s">
        <v>109</v>
      </c>
      <c r="AB27" s="123" t="s">
        <v>110</v>
      </c>
      <c r="AC27" s="120" t="s">
        <v>225</v>
      </c>
    </row>
    <row r="28" ht="15.75" customHeight="1">
      <c r="A28" s="125">
        <v>1.0</v>
      </c>
      <c r="B28" s="125">
        <v>1.0</v>
      </c>
      <c r="C28" s="125" t="s">
        <v>226</v>
      </c>
      <c r="D28" s="173">
        <v>28.0</v>
      </c>
      <c r="E28" s="173">
        <v>28.0</v>
      </c>
      <c r="F28" s="173">
        <v>50.0</v>
      </c>
      <c r="G28" s="217">
        <f t="shared" ref="G28:G30" si="7">IF(D28=0,0,F28/D28)</f>
        <v>1.785714286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30.0</v>
      </c>
      <c r="Q28" s="173">
        <v>0.0</v>
      </c>
      <c r="R28" s="173">
        <v>0.0</v>
      </c>
      <c r="S28" s="173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  <c r="Y28" s="125">
        <v>0.0</v>
      </c>
      <c r="Z28" s="125">
        <v>0.0</v>
      </c>
      <c r="AA28" s="125">
        <v>0.0</v>
      </c>
      <c r="AB28" s="125">
        <v>0.0</v>
      </c>
      <c r="AC28" s="125">
        <f t="shared" ref="AC28:AC30" si="8">SUMPRODUCT(I28:S28, {0,33,50,67,167,67,50,4.17,7.56,12.17,16.22})</f>
        <v>125.1</v>
      </c>
    </row>
    <row r="29" ht="15.75" customHeight="1">
      <c r="A29" s="125">
        <v>2.0</v>
      </c>
      <c r="B29" s="125">
        <v>1.0</v>
      </c>
      <c r="C29" s="125" t="s">
        <v>226</v>
      </c>
      <c r="D29" s="173">
        <v>32.0</v>
      </c>
      <c r="E29" s="173">
        <v>60.0</v>
      </c>
      <c r="F29" s="173">
        <v>120.0</v>
      </c>
      <c r="G29" s="217">
        <f t="shared" si="7"/>
        <v>3.75</v>
      </c>
      <c r="H29" s="194"/>
      <c r="I29" s="173">
        <v>0.0</v>
      </c>
      <c r="J29" s="173">
        <v>1.0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  <c r="Y29" s="125">
        <v>0.0</v>
      </c>
      <c r="Z29" s="125">
        <v>0.0</v>
      </c>
      <c r="AA29" s="125">
        <v>0.0</v>
      </c>
      <c r="AB29" s="125">
        <v>0.0</v>
      </c>
      <c r="AC29" s="125">
        <f t="shared" si="8"/>
        <v>33</v>
      </c>
    </row>
    <row r="30" ht="15.75" customHeight="1">
      <c r="A30" s="125">
        <v>3.0</v>
      </c>
      <c r="B30" s="125">
        <v>1.0</v>
      </c>
      <c r="C30" s="125" t="s">
        <v>226</v>
      </c>
      <c r="D30" s="173">
        <v>40.0</v>
      </c>
      <c r="E30" s="173">
        <v>100.0</v>
      </c>
      <c r="F30" s="173">
        <v>250.0</v>
      </c>
      <c r="G30" s="217">
        <f t="shared" si="7"/>
        <v>6.25</v>
      </c>
      <c r="I30" s="173">
        <v>0.0</v>
      </c>
      <c r="J30" s="173">
        <v>0.0</v>
      </c>
      <c r="K30" s="173">
        <v>0.0</v>
      </c>
      <c r="L30" s="173">
        <v>0.0</v>
      </c>
      <c r="M30" s="173">
        <v>1.0</v>
      </c>
      <c r="N30" s="173">
        <v>0.0</v>
      </c>
      <c r="O30" s="173">
        <v>1.0</v>
      </c>
      <c r="P30" s="173">
        <v>0.0</v>
      </c>
      <c r="Q30" s="173">
        <v>0.0</v>
      </c>
      <c r="R30" s="173">
        <v>0.0</v>
      </c>
      <c r="S30" s="173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  <c r="Y30" s="125">
        <v>0.0</v>
      </c>
      <c r="Z30" s="125">
        <v>0.0</v>
      </c>
      <c r="AA30" s="125">
        <v>0.0</v>
      </c>
      <c r="AB30" s="125">
        <v>0.0</v>
      </c>
      <c r="AC30" s="125">
        <f t="shared" si="8"/>
        <v>217</v>
      </c>
    </row>
    <row r="31" ht="15.75" customHeight="1">
      <c r="G31" s="205"/>
    </row>
    <row r="32" ht="17.25" customHeight="1">
      <c r="A32" s="209" t="s">
        <v>60</v>
      </c>
      <c r="B32" s="210"/>
      <c r="C32" s="210"/>
      <c r="D32" s="210"/>
      <c r="E32" s="210"/>
      <c r="F32" s="210"/>
      <c r="G32" s="211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</row>
    <row r="33" ht="90.0" customHeight="1">
      <c r="A33" s="120" t="s">
        <v>143</v>
      </c>
      <c r="B33" s="120" t="s">
        <v>157</v>
      </c>
      <c r="C33" s="120" t="s">
        <v>221</v>
      </c>
      <c r="D33" s="218" t="s">
        <v>222</v>
      </c>
      <c r="E33" s="218" t="s">
        <v>223</v>
      </c>
      <c r="F33" s="120" t="s">
        <v>64</v>
      </c>
      <c r="G33" s="219" t="s">
        <v>224</v>
      </c>
      <c r="I33" s="140" t="s">
        <v>68</v>
      </c>
      <c r="J33" s="140" t="s">
        <v>69</v>
      </c>
      <c r="K33" s="140" t="s">
        <v>70</v>
      </c>
      <c r="L33" s="140" t="s">
        <v>71</v>
      </c>
      <c r="M33" s="140" t="s">
        <v>72</v>
      </c>
      <c r="N33" s="140" t="s">
        <v>73</v>
      </c>
      <c r="O33" s="140" t="s">
        <v>74</v>
      </c>
      <c r="P33" s="140" t="s">
        <v>75</v>
      </c>
      <c r="Q33" s="140" t="s">
        <v>76</v>
      </c>
      <c r="R33" s="140" t="s">
        <v>77</v>
      </c>
      <c r="S33" s="140" t="s">
        <v>78</v>
      </c>
      <c r="T33" s="123" t="s">
        <v>103</v>
      </c>
      <c r="U33" s="123" t="s">
        <v>118</v>
      </c>
      <c r="V33" s="123" t="s">
        <v>104</v>
      </c>
      <c r="W33" s="123" t="s">
        <v>105</v>
      </c>
      <c r="X33" s="123" t="s">
        <v>106</v>
      </c>
      <c r="Y33" s="123" t="s">
        <v>107</v>
      </c>
      <c r="Z33" s="123" t="s">
        <v>108</v>
      </c>
      <c r="AA33" s="123" t="s">
        <v>109</v>
      </c>
      <c r="AB33" s="123" t="s">
        <v>110</v>
      </c>
      <c r="AC33" s="120" t="s">
        <v>225</v>
      </c>
    </row>
    <row r="34" ht="15.75" customHeight="1">
      <c r="A34" s="125">
        <v>1.0</v>
      </c>
      <c r="B34" s="125">
        <v>1.0</v>
      </c>
      <c r="C34" s="125" t="s">
        <v>226</v>
      </c>
      <c r="D34" s="173">
        <v>80.0</v>
      </c>
      <c r="E34" s="173">
        <v>80.0</v>
      </c>
      <c r="F34" s="173">
        <v>100.0</v>
      </c>
      <c r="G34" s="217">
        <f t="shared" ref="G34:G36" si="9">IF(D34=0,0,F34/D34)</f>
        <v>1.25</v>
      </c>
      <c r="I34" s="173">
        <v>0.0</v>
      </c>
      <c r="J34" s="173">
        <v>0.0</v>
      </c>
      <c r="K34" s="173">
        <v>0.0</v>
      </c>
      <c r="L34" s="173">
        <v>0.0</v>
      </c>
      <c r="M34" s="173">
        <v>0.0</v>
      </c>
      <c r="N34" s="173">
        <v>0.0</v>
      </c>
      <c r="O34" s="173">
        <v>0.0</v>
      </c>
      <c r="P34" s="173">
        <v>60.0</v>
      </c>
      <c r="Q34" s="173">
        <v>0.0</v>
      </c>
      <c r="R34" s="173">
        <v>0.0</v>
      </c>
      <c r="S34" s="173">
        <v>0.0</v>
      </c>
      <c r="T34" s="125">
        <v>0.0</v>
      </c>
      <c r="U34" s="125">
        <v>0.0</v>
      </c>
      <c r="V34" s="125">
        <v>0.0</v>
      </c>
      <c r="W34" s="125">
        <v>0.0</v>
      </c>
      <c r="X34" s="125">
        <v>0.0</v>
      </c>
      <c r="Y34" s="125">
        <v>0.0</v>
      </c>
      <c r="Z34" s="125">
        <v>0.0</v>
      </c>
      <c r="AA34" s="125">
        <v>0.0</v>
      </c>
      <c r="AB34" s="125">
        <v>0.0</v>
      </c>
      <c r="AC34" s="125">
        <f t="shared" ref="AC34:AC36" si="10">SUMPRODUCT(I34:S34, {0,33,50,67,167,67,50,4.17,7.56,12.17,16.22})</f>
        <v>250.2</v>
      </c>
    </row>
    <row r="35" ht="15.75" customHeight="1">
      <c r="A35" s="125">
        <v>2.0</v>
      </c>
      <c r="B35" s="125">
        <v>1.0</v>
      </c>
      <c r="C35" s="125" t="s">
        <v>226</v>
      </c>
      <c r="D35" s="173">
        <v>95.0</v>
      </c>
      <c r="E35" s="173">
        <v>175.0</v>
      </c>
      <c r="F35" s="173">
        <v>300.0</v>
      </c>
      <c r="G35" s="217">
        <f t="shared" si="9"/>
        <v>3.157894737</v>
      </c>
      <c r="H35" s="194"/>
      <c r="I35" s="173">
        <v>0.0</v>
      </c>
      <c r="J35" s="173">
        <v>1.0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0.0</v>
      </c>
      <c r="Q35" s="173">
        <v>0.0</v>
      </c>
      <c r="R35" s="173">
        <v>0.0</v>
      </c>
      <c r="S35" s="173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  <c r="Y35" s="125">
        <v>0.0</v>
      </c>
      <c r="Z35" s="125">
        <v>0.0</v>
      </c>
      <c r="AA35" s="125">
        <v>0.0</v>
      </c>
      <c r="AB35" s="125">
        <v>0.0</v>
      </c>
      <c r="AC35" s="125">
        <f t="shared" si="10"/>
        <v>33</v>
      </c>
    </row>
    <row r="36" ht="15.75" customHeight="1">
      <c r="A36" s="125">
        <v>3.0</v>
      </c>
      <c r="B36" s="125">
        <v>1.0</v>
      </c>
      <c r="C36" s="125" t="s">
        <v>226</v>
      </c>
      <c r="D36" s="173">
        <v>105.0</v>
      </c>
      <c r="E36" s="173">
        <v>280.0</v>
      </c>
      <c r="F36" s="173">
        <v>400.0</v>
      </c>
      <c r="G36" s="217">
        <f t="shared" si="9"/>
        <v>3.80952381</v>
      </c>
      <c r="I36" s="173">
        <v>0.0</v>
      </c>
      <c r="J36" s="173">
        <v>0.0</v>
      </c>
      <c r="K36" s="173">
        <v>0.0</v>
      </c>
      <c r="L36" s="173">
        <v>0.0</v>
      </c>
      <c r="M36" s="173">
        <v>1.0</v>
      </c>
      <c r="N36" s="173">
        <v>0.0</v>
      </c>
      <c r="O36" s="173">
        <v>1.0</v>
      </c>
      <c r="P36" s="173">
        <v>0.0</v>
      </c>
      <c r="Q36" s="173">
        <v>0.0</v>
      </c>
      <c r="R36" s="173">
        <v>0.0</v>
      </c>
      <c r="S36" s="173">
        <v>0.0</v>
      </c>
      <c r="T36" s="125">
        <v>0.0</v>
      </c>
      <c r="U36" s="125">
        <v>0.0</v>
      </c>
      <c r="V36" s="125">
        <v>0.0</v>
      </c>
      <c r="W36" s="125">
        <v>0.0</v>
      </c>
      <c r="X36" s="125">
        <v>0.0</v>
      </c>
      <c r="Y36" s="125">
        <v>0.0</v>
      </c>
      <c r="Z36" s="125">
        <v>0.0</v>
      </c>
      <c r="AA36" s="125">
        <v>0.0</v>
      </c>
      <c r="AB36" s="125">
        <v>0.0</v>
      </c>
      <c r="AC36" s="125">
        <f t="shared" si="10"/>
        <v>217</v>
      </c>
    </row>
    <row r="37" ht="15.75" customHeight="1">
      <c r="G37" s="205"/>
    </row>
    <row r="38" ht="15.75" customHeight="1">
      <c r="G38" s="205"/>
    </row>
    <row r="39" ht="15.75" customHeight="1">
      <c r="G39" s="205"/>
    </row>
    <row r="40" ht="15.75" customHeight="1">
      <c r="G40" s="205"/>
    </row>
    <row r="41" ht="15.75" customHeight="1">
      <c r="G41" s="205"/>
    </row>
    <row r="42" ht="15.75" customHeight="1">
      <c r="G42" s="205"/>
    </row>
    <row r="43" ht="15.75" customHeight="1">
      <c r="G43" s="205"/>
    </row>
    <row r="44" ht="15.75" customHeight="1">
      <c r="G44" s="205"/>
    </row>
    <row r="45" ht="15.75" customHeight="1">
      <c r="G45" s="205"/>
    </row>
    <row r="46" ht="15.75" customHeight="1">
      <c r="G46" s="205"/>
    </row>
    <row r="47" ht="15.75" customHeight="1">
      <c r="G47" s="205"/>
    </row>
    <row r="48" ht="15.75" customHeight="1">
      <c r="G48" s="205"/>
    </row>
    <row r="49" ht="15.75" customHeight="1">
      <c r="G49" s="205"/>
    </row>
    <row r="50" ht="15.75" customHeight="1">
      <c r="G50" s="205"/>
    </row>
    <row r="51" ht="15.75" customHeight="1">
      <c r="G51" s="205"/>
    </row>
    <row r="52" ht="15.75" customHeight="1">
      <c r="G52" s="205"/>
    </row>
    <row r="53" ht="15.75" customHeight="1">
      <c r="G53" s="205"/>
    </row>
    <row r="54" ht="15.75" customHeight="1">
      <c r="G54" s="205"/>
    </row>
    <row r="55" ht="15.75" customHeight="1">
      <c r="G55" s="205"/>
    </row>
    <row r="56" ht="15.75" customHeight="1">
      <c r="G56" s="205"/>
    </row>
    <row r="57" ht="15.75" customHeight="1">
      <c r="G57" s="205"/>
    </row>
    <row r="58" ht="15.75" customHeight="1">
      <c r="G58" s="205"/>
    </row>
    <row r="59" ht="15.75" customHeight="1">
      <c r="G59" s="205"/>
    </row>
    <row r="60" ht="15.75" customHeight="1">
      <c r="G60" s="205"/>
    </row>
    <row r="61" ht="15.75" customHeight="1">
      <c r="G61" s="205"/>
    </row>
    <row r="62" ht="15.75" customHeight="1">
      <c r="G62" s="205"/>
    </row>
    <row r="63" ht="15.75" customHeight="1">
      <c r="G63" s="205"/>
    </row>
    <row r="64" ht="15.75" customHeight="1">
      <c r="G64" s="205"/>
    </row>
    <row r="65" ht="15.75" customHeight="1">
      <c r="G65" s="205"/>
    </row>
    <row r="66" ht="15.75" customHeight="1">
      <c r="G66" s="205"/>
    </row>
    <row r="67" ht="15.75" customHeight="1">
      <c r="G67" s="205"/>
    </row>
    <row r="68" ht="15.75" customHeight="1">
      <c r="G68" s="205"/>
    </row>
    <row r="69" ht="15.75" customHeight="1">
      <c r="G69" s="205"/>
    </row>
    <row r="70" ht="15.75" customHeight="1">
      <c r="G70" s="205"/>
    </row>
    <row r="71" ht="15.75" customHeight="1">
      <c r="G71" s="205"/>
    </row>
    <row r="72" ht="15.75" customHeight="1">
      <c r="G72" s="205"/>
    </row>
    <row r="73" ht="15.75" customHeight="1">
      <c r="G73" s="205"/>
    </row>
    <row r="74" ht="15.75" customHeight="1">
      <c r="G74" s="205"/>
    </row>
    <row r="75" ht="15.75" customHeight="1">
      <c r="G75" s="205"/>
    </row>
    <row r="76" ht="15.75" customHeight="1">
      <c r="G76" s="205"/>
    </row>
    <row r="77" ht="15.75" customHeight="1">
      <c r="G77" s="205"/>
    </row>
    <row r="78" ht="15.75" customHeight="1">
      <c r="G78" s="205"/>
    </row>
    <row r="79" ht="15.75" customHeight="1">
      <c r="G79" s="205"/>
    </row>
    <row r="80" ht="15.75" customHeight="1">
      <c r="G80" s="205"/>
    </row>
    <row r="81" ht="15.75" customHeight="1">
      <c r="G81" s="205"/>
    </row>
    <row r="82" ht="15.75" customHeight="1">
      <c r="G82" s="205"/>
    </row>
    <row r="83" ht="15.75" customHeight="1">
      <c r="G83" s="205"/>
    </row>
    <row r="84" ht="15.75" customHeight="1">
      <c r="G84" s="205"/>
    </row>
    <row r="85" ht="15.75" customHeight="1">
      <c r="G85" s="205"/>
    </row>
    <row r="86" ht="15.75" customHeight="1">
      <c r="G86" s="205"/>
    </row>
    <row r="87" ht="15.75" customHeight="1">
      <c r="G87" s="205"/>
    </row>
    <row r="88" ht="15.75" customHeight="1">
      <c r="G88" s="205"/>
    </row>
    <row r="89" ht="15.75" customHeight="1">
      <c r="G89" s="205"/>
    </row>
    <row r="90" ht="15.75" customHeight="1">
      <c r="G90" s="205"/>
    </row>
    <row r="91" ht="15.75" customHeight="1">
      <c r="G91" s="205"/>
    </row>
    <row r="92" ht="15.75" customHeight="1">
      <c r="G92" s="205"/>
    </row>
    <row r="93" ht="15.75" customHeight="1">
      <c r="G93" s="205"/>
    </row>
    <row r="94" ht="15.75" customHeight="1">
      <c r="G94" s="205"/>
    </row>
    <row r="95" ht="15.75" customHeight="1">
      <c r="G95" s="205"/>
    </row>
    <row r="96" ht="15.75" customHeight="1">
      <c r="G96" s="205"/>
    </row>
    <row r="97" ht="15.75" customHeight="1">
      <c r="G97" s="205"/>
    </row>
    <row r="98" ht="15.75" customHeight="1">
      <c r="G98" s="205"/>
    </row>
    <row r="99" ht="15.75" customHeight="1">
      <c r="G99" s="205"/>
    </row>
    <row r="100" ht="15.75" customHeight="1">
      <c r="G100" s="205"/>
    </row>
    <row r="101" ht="15.75" customHeight="1">
      <c r="G101" s="205"/>
    </row>
    <row r="102" ht="15.75" customHeight="1">
      <c r="G102" s="205"/>
    </row>
    <row r="103" ht="15.75" customHeight="1">
      <c r="G103" s="205"/>
    </row>
    <row r="104" ht="15.75" customHeight="1">
      <c r="G104" s="205"/>
    </row>
    <row r="105" ht="15.75" customHeight="1">
      <c r="G105" s="205"/>
    </row>
    <row r="106" ht="15.75" customHeight="1">
      <c r="G106" s="205"/>
    </row>
    <row r="107" ht="15.75" customHeight="1">
      <c r="G107" s="205"/>
    </row>
    <row r="108" ht="15.75" customHeight="1">
      <c r="G108" s="205"/>
    </row>
    <row r="109" ht="15.75" customHeight="1">
      <c r="G109" s="205"/>
    </row>
    <row r="110" ht="15.75" customHeight="1">
      <c r="G110" s="205"/>
    </row>
    <row r="111" ht="15.75" customHeight="1">
      <c r="G111" s="205"/>
    </row>
    <row r="112" ht="15.75" customHeight="1">
      <c r="G112" s="205"/>
    </row>
    <row r="113" ht="15.75" customHeight="1">
      <c r="G113" s="205"/>
    </row>
    <row r="114" ht="15.75" customHeight="1">
      <c r="G114" s="205"/>
    </row>
    <row r="115" ht="15.75" customHeight="1">
      <c r="G115" s="205"/>
    </row>
    <row r="116" ht="15.75" customHeight="1">
      <c r="G116" s="205"/>
    </row>
    <row r="117" ht="15.75" customHeight="1">
      <c r="G117" s="205"/>
    </row>
    <row r="118" ht="15.75" customHeight="1">
      <c r="G118" s="205"/>
    </row>
    <row r="119" ht="15.75" customHeight="1">
      <c r="G119" s="205"/>
    </row>
    <row r="120" ht="15.75" customHeight="1">
      <c r="G120" s="205"/>
    </row>
    <row r="121" ht="15.75" customHeight="1">
      <c r="G121" s="205"/>
    </row>
    <row r="122" ht="15.75" customHeight="1">
      <c r="G122" s="205"/>
    </row>
    <row r="123" ht="15.75" customHeight="1">
      <c r="G123" s="205"/>
    </row>
    <row r="124" ht="15.75" customHeight="1">
      <c r="G124" s="205"/>
    </row>
    <row r="125" ht="15.75" customHeight="1">
      <c r="G125" s="205"/>
    </row>
    <row r="126" ht="15.75" customHeight="1">
      <c r="G126" s="205"/>
    </row>
    <row r="127" ht="15.75" customHeight="1">
      <c r="G127" s="205"/>
    </row>
    <row r="128" ht="15.75" customHeight="1">
      <c r="G128" s="205"/>
    </row>
    <row r="129" ht="15.75" customHeight="1">
      <c r="G129" s="205"/>
    </row>
    <row r="130" ht="15.75" customHeight="1">
      <c r="G130" s="205"/>
    </row>
    <row r="131" ht="15.75" customHeight="1">
      <c r="G131" s="205"/>
    </row>
    <row r="132" ht="15.75" customHeight="1">
      <c r="G132" s="205"/>
    </row>
    <row r="133" ht="15.75" customHeight="1">
      <c r="G133" s="205"/>
    </row>
    <row r="134" ht="15.75" customHeight="1">
      <c r="G134" s="205"/>
    </row>
    <row r="135" ht="15.75" customHeight="1">
      <c r="G135" s="205"/>
    </row>
    <row r="136" ht="15.75" customHeight="1">
      <c r="G136" s="205"/>
    </row>
    <row r="137" ht="15.75" customHeight="1">
      <c r="G137" s="205"/>
    </row>
    <row r="138" ht="15.75" customHeight="1">
      <c r="G138" s="205"/>
    </row>
    <row r="139" ht="15.75" customHeight="1">
      <c r="G139" s="205"/>
    </row>
    <row r="140" ht="15.75" customHeight="1">
      <c r="G140" s="205"/>
    </row>
    <row r="141" ht="15.75" customHeight="1">
      <c r="G141" s="205"/>
    </row>
    <row r="142" ht="15.75" customHeight="1">
      <c r="G142" s="205"/>
    </row>
    <row r="143" ht="15.75" customHeight="1">
      <c r="G143" s="205"/>
    </row>
    <row r="144" ht="15.75" customHeight="1">
      <c r="G144" s="205"/>
    </row>
    <row r="145" ht="15.75" customHeight="1">
      <c r="G145" s="205"/>
    </row>
    <row r="146" ht="15.75" customHeight="1">
      <c r="G146" s="205"/>
    </row>
    <row r="147" ht="15.75" customHeight="1">
      <c r="G147" s="205"/>
    </row>
    <row r="148" ht="15.75" customHeight="1">
      <c r="G148" s="205"/>
    </row>
    <row r="149" ht="15.75" customHeight="1">
      <c r="G149" s="205"/>
    </row>
    <row r="150" ht="15.75" customHeight="1">
      <c r="G150" s="205"/>
    </row>
    <row r="151" ht="15.75" customHeight="1">
      <c r="G151" s="205"/>
    </row>
    <row r="152" ht="15.75" customHeight="1">
      <c r="G152" s="205"/>
    </row>
    <row r="153" ht="15.75" customHeight="1">
      <c r="G153" s="205"/>
    </row>
    <row r="154" ht="15.75" customHeight="1">
      <c r="G154" s="205"/>
    </row>
    <row r="155" ht="15.75" customHeight="1">
      <c r="G155" s="205"/>
    </row>
    <row r="156" ht="15.75" customHeight="1">
      <c r="G156" s="205"/>
    </row>
    <row r="157" ht="15.75" customHeight="1">
      <c r="G157" s="205"/>
    </row>
    <row r="158" ht="15.75" customHeight="1">
      <c r="G158" s="205"/>
    </row>
    <row r="159" ht="15.75" customHeight="1">
      <c r="G159" s="205"/>
    </row>
    <row r="160" ht="15.75" customHeight="1">
      <c r="G160" s="205"/>
    </row>
    <row r="161" ht="15.75" customHeight="1">
      <c r="G161" s="205"/>
    </row>
    <row r="162" ht="15.75" customHeight="1">
      <c r="G162" s="205"/>
    </row>
    <row r="163" ht="15.75" customHeight="1">
      <c r="G163" s="205"/>
    </row>
    <row r="164" ht="15.75" customHeight="1">
      <c r="G164" s="205"/>
    </row>
    <row r="165" ht="15.75" customHeight="1">
      <c r="G165" s="205"/>
    </row>
    <row r="166" ht="15.75" customHeight="1">
      <c r="G166" s="205"/>
    </row>
    <row r="167" ht="15.75" customHeight="1">
      <c r="G167" s="205"/>
    </row>
    <row r="168" ht="15.75" customHeight="1">
      <c r="G168" s="205"/>
    </row>
    <row r="169" ht="15.75" customHeight="1">
      <c r="G169" s="205"/>
    </row>
    <row r="170" ht="15.75" customHeight="1">
      <c r="G170" s="205"/>
    </row>
    <row r="171" ht="15.75" customHeight="1">
      <c r="G171" s="205"/>
    </row>
    <row r="172" ht="15.75" customHeight="1">
      <c r="G172" s="205"/>
    </row>
    <row r="173" ht="15.75" customHeight="1">
      <c r="G173" s="205"/>
    </row>
    <row r="174" ht="15.75" customHeight="1">
      <c r="G174" s="205"/>
    </row>
    <row r="175" ht="15.75" customHeight="1">
      <c r="G175" s="205"/>
    </row>
    <row r="176" ht="15.75" customHeight="1">
      <c r="G176" s="205"/>
    </row>
    <row r="177" ht="15.75" customHeight="1">
      <c r="G177" s="205"/>
    </row>
    <row r="178" ht="15.75" customHeight="1">
      <c r="G178" s="205"/>
    </row>
    <row r="179" ht="15.75" customHeight="1">
      <c r="G179" s="205"/>
    </row>
    <row r="180" ht="15.75" customHeight="1">
      <c r="G180" s="205"/>
    </row>
    <row r="181" ht="15.75" customHeight="1">
      <c r="G181" s="205"/>
    </row>
    <row r="182" ht="15.75" customHeight="1">
      <c r="G182" s="205"/>
    </row>
    <row r="183" ht="15.75" customHeight="1">
      <c r="G183" s="205"/>
    </row>
    <row r="184" ht="15.75" customHeight="1">
      <c r="G184" s="205"/>
    </row>
    <row r="185" ht="15.75" customHeight="1">
      <c r="G185" s="205"/>
    </row>
    <row r="186" ht="15.75" customHeight="1">
      <c r="G186" s="205"/>
    </row>
    <row r="187" ht="15.75" customHeight="1">
      <c r="G187" s="205"/>
    </row>
    <row r="188" ht="15.75" customHeight="1">
      <c r="G188" s="205"/>
    </row>
    <row r="189" ht="15.75" customHeight="1">
      <c r="G189" s="205"/>
    </row>
    <row r="190" ht="15.75" customHeight="1">
      <c r="G190" s="205"/>
    </row>
    <row r="191" ht="15.75" customHeight="1">
      <c r="G191" s="205"/>
    </row>
    <row r="192" ht="15.75" customHeight="1">
      <c r="G192" s="205"/>
    </row>
    <row r="193" ht="15.75" customHeight="1">
      <c r="G193" s="205"/>
    </row>
    <row r="194" ht="15.75" customHeight="1">
      <c r="G194" s="205"/>
    </row>
    <row r="195" ht="15.75" customHeight="1">
      <c r="G195" s="205"/>
    </row>
    <row r="196" ht="15.75" customHeight="1">
      <c r="G196" s="205"/>
    </row>
    <row r="197" ht="15.75" customHeight="1">
      <c r="G197" s="205"/>
    </row>
    <row r="198" ht="15.75" customHeight="1">
      <c r="G198" s="205"/>
    </row>
    <row r="199" ht="15.75" customHeight="1">
      <c r="G199" s="205"/>
    </row>
    <row r="200" ht="15.75" customHeight="1">
      <c r="G200" s="205"/>
    </row>
    <row r="201" ht="15.75" customHeight="1">
      <c r="G201" s="205"/>
    </row>
    <row r="202" ht="15.75" customHeight="1">
      <c r="G202" s="205"/>
    </row>
    <row r="203" ht="15.75" customHeight="1">
      <c r="G203" s="205"/>
    </row>
    <row r="204" ht="15.75" customHeight="1">
      <c r="G204" s="205"/>
    </row>
    <row r="205" ht="15.75" customHeight="1">
      <c r="G205" s="205"/>
    </row>
    <row r="206" ht="15.75" customHeight="1">
      <c r="G206" s="205"/>
    </row>
    <row r="207" ht="15.75" customHeight="1">
      <c r="G207" s="205"/>
    </row>
    <row r="208" ht="15.75" customHeight="1">
      <c r="G208" s="205"/>
    </row>
    <row r="209" ht="15.75" customHeight="1">
      <c r="G209" s="205"/>
    </row>
    <row r="210" ht="15.75" customHeight="1">
      <c r="G210" s="205"/>
    </row>
    <row r="211" ht="15.75" customHeight="1">
      <c r="G211" s="205"/>
    </row>
    <row r="212" ht="15.75" customHeight="1">
      <c r="G212" s="205"/>
    </row>
    <row r="213" ht="15.75" customHeight="1">
      <c r="G213" s="205"/>
    </row>
    <row r="214" ht="15.75" customHeight="1">
      <c r="G214" s="205"/>
    </row>
    <row r="215" ht="15.75" customHeight="1">
      <c r="G215" s="205"/>
    </row>
    <row r="216" ht="15.75" customHeight="1">
      <c r="G216" s="205"/>
    </row>
    <row r="217" ht="15.75" customHeight="1">
      <c r="G217" s="205"/>
    </row>
    <row r="218" ht="15.75" customHeight="1">
      <c r="G218" s="205"/>
    </row>
    <row r="219" ht="15.75" customHeight="1">
      <c r="G219" s="205"/>
    </row>
    <row r="220" ht="15.75" customHeight="1">
      <c r="G220" s="205"/>
    </row>
    <row r="221" ht="15.75" customHeight="1">
      <c r="G221" s="205"/>
    </row>
    <row r="222" ht="15.75" customHeight="1">
      <c r="G222" s="205"/>
    </row>
    <row r="223" ht="15.75" customHeight="1">
      <c r="G223" s="205"/>
    </row>
    <row r="224" ht="15.75" customHeight="1">
      <c r="G224" s="205"/>
    </row>
    <row r="225" ht="15.75" customHeight="1">
      <c r="G225" s="205"/>
    </row>
    <row r="226" ht="15.75" customHeight="1">
      <c r="G226" s="205"/>
    </row>
    <row r="227" ht="15.75" customHeight="1">
      <c r="G227" s="205"/>
    </row>
    <row r="228" ht="15.75" customHeight="1">
      <c r="G228" s="205"/>
    </row>
    <row r="229" ht="15.75" customHeight="1">
      <c r="G229" s="205"/>
    </row>
    <row r="230" ht="15.75" customHeight="1">
      <c r="G230" s="205"/>
    </row>
    <row r="231" ht="15.75" customHeight="1">
      <c r="G231" s="205"/>
    </row>
    <row r="232" ht="15.75" customHeight="1">
      <c r="G232" s="205"/>
    </row>
    <row r="233" ht="15.75" customHeight="1">
      <c r="G233" s="205"/>
    </row>
    <row r="234" ht="15.75" customHeight="1">
      <c r="G234" s="205"/>
    </row>
    <row r="235" ht="15.75" customHeight="1">
      <c r="G235" s="205"/>
    </row>
    <row r="236" ht="15.75" customHeight="1">
      <c r="G236" s="205"/>
    </row>
    <row r="237" ht="15.75" customHeight="1">
      <c r="G237" s="205"/>
    </row>
    <row r="238" ht="15.75" customHeight="1">
      <c r="G238" s="205"/>
    </row>
    <row r="239" ht="15.75" customHeight="1">
      <c r="G239" s="205"/>
    </row>
    <row r="240" ht="15.75" customHeight="1">
      <c r="G240" s="205"/>
    </row>
    <row r="241" ht="15.75" customHeight="1">
      <c r="G241" s="205"/>
    </row>
    <row r="242" ht="15.75" customHeight="1">
      <c r="G242" s="205"/>
    </row>
    <row r="243" ht="15.75" customHeight="1">
      <c r="G243" s="205"/>
    </row>
    <row r="244" ht="15.75" customHeight="1">
      <c r="G244" s="205"/>
    </row>
    <row r="245" ht="15.75" customHeight="1">
      <c r="G245" s="205"/>
    </row>
    <row r="246" ht="15.75" customHeight="1">
      <c r="G246" s="205"/>
    </row>
    <row r="247" ht="15.75" customHeight="1">
      <c r="G247" s="205"/>
    </row>
    <row r="248" ht="15.75" customHeight="1">
      <c r="G248" s="205"/>
    </row>
    <row r="249" ht="15.75" customHeight="1">
      <c r="G249" s="205"/>
    </row>
    <row r="250" ht="15.75" customHeight="1">
      <c r="G250" s="205"/>
    </row>
    <row r="251" ht="15.75" customHeight="1">
      <c r="G251" s="205"/>
    </row>
    <row r="252" ht="15.75" customHeight="1">
      <c r="G252" s="205"/>
    </row>
    <row r="253" ht="15.75" customHeight="1">
      <c r="G253" s="205"/>
    </row>
    <row r="254" ht="15.75" customHeight="1">
      <c r="G254" s="205"/>
    </row>
    <row r="255" ht="15.75" customHeight="1">
      <c r="G255" s="205"/>
    </row>
    <row r="256" ht="15.75" customHeight="1">
      <c r="G256" s="205"/>
    </row>
    <row r="257" ht="15.75" customHeight="1">
      <c r="G257" s="205"/>
    </row>
    <row r="258" ht="15.75" customHeight="1">
      <c r="G258" s="205"/>
    </row>
    <row r="259" ht="15.75" customHeight="1">
      <c r="G259" s="205"/>
    </row>
    <row r="260" ht="15.75" customHeight="1">
      <c r="G260" s="205"/>
    </row>
    <row r="261" ht="15.75" customHeight="1">
      <c r="G261" s="205"/>
    </row>
    <row r="262" ht="15.75" customHeight="1">
      <c r="G262" s="205"/>
    </row>
    <row r="263" ht="15.75" customHeight="1">
      <c r="G263" s="205"/>
    </row>
    <row r="264" ht="15.75" customHeight="1">
      <c r="G264" s="205"/>
    </row>
    <row r="265" ht="15.75" customHeight="1">
      <c r="G265" s="205"/>
    </row>
    <row r="266" ht="15.75" customHeight="1">
      <c r="G266" s="205"/>
    </row>
    <row r="267" ht="15.75" customHeight="1">
      <c r="G267" s="205"/>
    </row>
    <row r="268" ht="15.75" customHeight="1">
      <c r="G268" s="205"/>
    </row>
    <row r="269" ht="15.75" customHeight="1">
      <c r="G269" s="205"/>
    </row>
    <row r="270" ht="15.75" customHeight="1">
      <c r="G270" s="205"/>
    </row>
    <row r="271" ht="15.75" customHeight="1">
      <c r="G271" s="205"/>
    </row>
    <row r="272" ht="15.75" customHeight="1">
      <c r="G272" s="205"/>
    </row>
    <row r="273" ht="15.75" customHeight="1">
      <c r="G273" s="205"/>
    </row>
    <row r="274" ht="15.75" customHeight="1">
      <c r="G274" s="205"/>
    </row>
    <row r="275" ht="15.75" customHeight="1">
      <c r="G275" s="205"/>
    </row>
    <row r="276" ht="15.75" customHeight="1">
      <c r="G276" s="205"/>
    </row>
    <row r="277" ht="15.75" customHeight="1">
      <c r="G277" s="205"/>
    </row>
    <row r="278" ht="15.75" customHeight="1">
      <c r="G278" s="205"/>
    </row>
    <row r="279" ht="15.75" customHeight="1">
      <c r="G279" s="205"/>
    </row>
    <row r="280" ht="15.75" customHeight="1">
      <c r="G280" s="205"/>
    </row>
    <row r="281" ht="15.75" customHeight="1">
      <c r="G281" s="205"/>
    </row>
    <row r="282" ht="15.75" customHeight="1">
      <c r="G282" s="205"/>
    </row>
    <row r="283" ht="15.75" customHeight="1">
      <c r="G283" s="205"/>
    </row>
    <row r="284" ht="15.75" customHeight="1">
      <c r="G284" s="205"/>
    </row>
    <row r="285" ht="15.75" customHeight="1">
      <c r="G285" s="205"/>
    </row>
    <row r="286" ht="15.75" customHeight="1">
      <c r="G286" s="205"/>
    </row>
    <row r="287" ht="15.75" customHeight="1">
      <c r="G287" s="205"/>
    </row>
    <row r="288" ht="15.75" customHeight="1">
      <c r="G288" s="205"/>
    </row>
    <row r="289" ht="15.75" customHeight="1">
      <c r="G289" s="205"/>
    </row>
    <row r="290" ht="15.75" customHeight="1">
      <c r="G290" s="205"/>
    </row>
    <row r="291" ht="15.75" customHeight="1">
      <c r="G291" s="205"/>
    </row>
    <row r="292" ht="15.75" customHeight="1">
      <c r="G292" s="205"/>
    </row>
    <row r="293" ht="15.75" customHeight="1">
      <c r="G293" s="205"/>
    </row>
    <row r="294" ht="15.75" customHeight="1">
      <c r="G294" s="205"/>
    </row>
    <row r="295" ht="15.75" customHeight="1">
      <c r="G295" s="205"/>
    </row>
    <row r="296" ht="15.75" customHeight="1">
      <c r="G296" s="205"/>
    </row>
    <row r="297" ht="15.75" customHeight="1">
      <c r="G297" s="205"/>
    </row>
    <row r="298" ht="15.75" customHeight="1">
      <c r="G298" s="205"/>
    </row>
    <row r="299" ht="15.75" customHeight="1">
      <c r="G299" s="205"/>
    </row>
    <row r="300" ht="15.75" customHeight="1">
      <c r="G300" s="205"/>
    </row>
    <row r="301" ht="15.75" customHeight="1">
      <c r="G301" s="205"/>
    </row>
    <row r="302" ht="15.75" customHeight="1">
      <c r="G302" s="205"/>
    </row>
    <row r="303" ht="15.75" customHeight="1">
      <c r="G303" s="205"/>
    </row>
    <row r="304" ht="15.75" customHeight="1">
      <c r="G304" s="205"/>
    </row>
    <row r="305" ht="15.75" customHeight="1">
      <c r="G305" s="205"/>
    </row>
    <row r="306" ht="15.75" customHeight="1">
      <c r="G306" s="205"/>
    </row>
    <row r="307" ht="15.75" customHeight="1">
      <c r="G307" s="205"/>
    </row>
    <row r="308" ht="15.75" customHeight="1">
      <c r="G308" s="205"/>
    </row>
    <row r="309" ht="15.75" customHeight="1">
      <c r="G309" s="205"/>
    </row>
    <row r="310" ht="15.75" customHeight="1">
      <c r="G310" s="205"/>
    </row>
    <row r="311" ht="15.75" customHeight="1">
      <c r="G311" s="205"/>
    </row>
    <row r="312" ht="15.75" customHeight="1">
      <c r="G312" s="205"/>
    </row>
    <row r="313" ht="15.75" customHeight="1">
      <c r="G313" s="205"/>
    </row>
    <row r="314" ht="15.75" customHeight="1">
      <c r="G314" s="205"/>
    </row>
    <row r="315" ht="15.75" customHeight="1">
      <c r="G315" s="205"/>
    </row>
    <row r="316" ht="15.75" customHeight="1">
      <c r="G316" s="205"/>
    </row>
    <row r="317" ht="15.75" customHeight="1">
      <c r="G317" s="205"/>
    </row>
    <row r="318" ht="15.75" customHeight="1">
      <c r="G318" s="205"/>
    </row>
    <row r="319" ht="15.75" customHeight="1">
      <c r="G319" s="205"/>
    </row>
    <row r="320" ht="15.75" customHeight="1">
      <c r="G320" s="205"/>
    </row>
    <row r="321" ht="15.75" customHeight="1">
      <c r="G321" s="205"/>
    </row>
    <row r="322" ht="15.75" customHeight="1">
      <c r="G322" s="205"/>
    </row>
    <row r="323" ht="15.75" customHeight="1">
      <c r="G323" s="205"/>
    </row>
    <row r="324" ht="15.75" customHeight="1">
      <c r="G324" s="205"/>
    </row>
    <row r="325" ht="15.75" customHeight="1">
      <c r="G325" s="205"/>
    </row>
    <row r="326" ht="15.75" customHeight="1">
      <c r="G326" s="205"/>
    </row>
    <row r="327" ht="15.75" customHeight="1">
      <c r="G327" s="205"/>
    </row>
    <row r="328" ht="15.75" customHeight="1">
      <c r="G328" s="205"/>
    </row>
    <row r="329" ht="15.75" customHeight="1">
      <c r="G329" s="205"/>
    </row>
    <row r="330" ht="15.75" customHeight="1">
      <c r="G330" s="205"/>
    </row>
    <row r="331" ht="15.75" customHeight="1">
      <c r="G331" s="205"/>
    </row>
    <row r="332" ht="15.75" customHeight="1">
      <c r="G332" s="205"/>
    </row>
    <row r="333" ht="15.75" customHeight="1">
      <c r="G333" s="205"/>
    </row>
    <row r="334" ht="15.75" customHeight="1">
      <c r="G334" s="205"/>
    </row>
    <row r="335" ht="15.75" customHeight="1">
      <c r="G335" s="205"/>
    </row>
    <row r="336" ht="15.75" customHeight="1">
      <c r="G336" s="205"/>
    </row>
    <row r="337" ht="15.75" customHeight="1">
      <c r="G337" s="205"/>
    </row>
    <row r="338" ht="15.75" customHeight="1">
      <c r="G338" s="205"/>
    </row>
    <row r="339" ht="15.75" customHeight="1">
      <c r="G339" s="205"/>
    </row>
    <row r="340" ht="15.75" customHeight="1">
      <c r="G340" s="205"/>
    </row>
    <row r="341" ht="15.75" customHeight="1">
      <c r="G341" s="205"/>
    </row>
    <row r="342" ht="15.75" customHeight="1">
      <c r="G342" s="205"/>
    </row>
    <row r="343" ht="15.75" customHeight="1">
      <c r="G343" s="205"/>
    </row>
    <row r="344" ht="15.75" customHeight="1">
      <c r="G344" s="205"/>
    </row>
    <row r="345" ht="15.75" customHeight="1">
      <c r="G345" s="205"/>
    </row>
    <row r="346" ht="15.75" customHeight="1">
      <c r="G346" s="205"/>
    </row>
    <row r="347" ht="15.75" customHeight="1">
      <c r="G347" s="205"/>
    </row>
    <row r="348" ht="15.75" customHeight="1">
      <c r="G348" s="205"/>
    </row>
    <row r="349" ht="15.75" customHeight="1">
      <c r="G349" s="205"/>
    </row>
    <row r="350" ht="15.75" customHeight="1">
      <c r="G350" s="205"/>
    </row>
    <row r="351" ht="15.75" customHeight="1">
      <c r="G351" s="205"/>
    </row>
    <row r="352" ht="15.75" customHeight="1">
      <c r="G352" s="205"/>
    </row>
    <row r="353" ht="15.75" customHeight="1">
      <c r="G353" s="205"/>
    </row>
    <row r="354" ht="15.75" customHeight="1">
      <c r="G354" s="205"/>
    </row>
    <row r="355" ht="15.75" customHeight="1">
      <c r="G355" s="205"/>
    </row>
    <row r="356" ht="15.75" customHeight="1">
      <c r="G356" s="205"/>
    </row>
    <row r="357" ht="15.75" customHeight="1">
      <c r="G357" s="205"/>
    </row>
    <row r="358" ht="15.75" customHeight="1">
      <c r="G358" s="205"/>
    </row>
    <row r="359" ht="15.75" customHeight="1">
      <c r="G359" s="205"/>
    </row>
    <row r="360" ht="15.75" customHeight="1">
      <c r="G360" s="205"/>
    </row>
    <row r="361" ht="15.75" customHeight="1">
      <c r="G361" s="205"/>
    </row>
    <row r="362" ht="15.75" customHeight="1">
      <c r="G362" s="205"/>
    </row>
    <row r="363" ht="15.75" customHeight="1">
      <c r="G363" s="205"/>
    </row>
    <row r="364" ht="15.75" customHeight="1">
      <c r="G364" s="205"/>
    </row>
    <row r="365" ht="15.75" customHeight="1">
      <c r="G365" s="205"/>
    </row>
    <row r="366" ht="15.75" customHeight="1">
      <c r="G366" s="205"/>
    </row>
    <row r="367" ht="15.75" customHeight="1">
      <c r="G367" s="205"/>
    </row>
    <row r="368" ht="15.75" customHeight="1">
      <c r="G368" s="205"/>
    </row>
    <row r="369" ht="15.75" customHeight="1">
      <c r="G369" s="205"/>
    </row>
    <row r="370" ht="15.75" customHeight="1">
      <c r="G370" s="205"/>
    </row>
    <row r="371" ht="15.75" customHeight="1">
      <c r="G371" s="205"/>
    </row>
    <row r="372" ht="15.75" customHeight="1">
      <c r="G372" s="205"/>
    </row>
    <row r="373" ht="15.75" customHeight="1">
      <c r="G373" s="205"/>
    </row>
    <row r="374" ht="15.75" customHeight="1">
      <c r="G374" s="205"/>
    </row>
    <row r="375" ht="15.75" customHeight="1">
      <c r="G375" s="205"/>
    </row>
    <row r="376" ht="15.75" customHeight="1">
      <c r="G376" s="205"/>
    </row>
    <row r="377" ht="15.75" customHeight="1">
      <c r="G377" s="205"/>
    </row>
    <row r="378" ht="15.75" customHeight="1">
      <c r="G378" s="205"/>
    </row>
    <row r="379" ht="15.75" customHeight="1">
      <c r="G379" s="205"/>
    </row>
    <row r="380" ht="15.75" customHeight="1">
      <c r="G380" s="205"/>
    </row>
    <row r="381" ht="15.75" customHeight="1">
      <c r="G381" s="205"/>
    </row>
    <row r="382" ht="15.75" customHeight="1">
      <c r="G382" s="205"/>
    </row>
    <row r="383" ht="15.75" customHeight="1">
      <c r="G383" s="205"/>
    </row>
    <row r="384" ht="15.75" customHeight="1">
      <c r="G384" s="205"/>
    </row>
    <row r="385" ht="15.75" customHeight="1">
      <c r="G385" s="205"/>
    </row>
    <row r="386" ht="15.75" customHeight="1">
      <c r="G386" s="205"/>
    </row>
    <row r="387" ht="15.75" customHeight="1">
      <c r="G387" s="205"/>
    </row>
    <row r="388" ht="15.75" customHeight="1">
      <c r="G388" s="205"/>
    </row>
    <row r="389" ht="15.75" customHeight="1">
      <c r="G389" s="205"/>
    </row>
    <row r="390" ht="15.75" customHeight="1">
      <c r="G390" s="205"/>
    </row>
    <row r="391" ht="15.75" customHeight="1">
      <c r="G391" s="205"/>
    </row>
    <row r="392" ht="15.75" customHeight="1">
      <c r="G392" s="205"/>
    </row>
    <row r="393" ht="15.75" customHeight="1">
      <c r="G393" s="205"/>
    </row>
    <row r="394" ht="15.75" customHeight="1">
      <c r="G394" s="205"/>
    </row>
    <row r="395" ht="15.75" customHeight="1">
      <c r="G395" s="205"/>
    </row>
    <row r="396" ht="15.75" customHeight="1">
      <c r="G396" s="205"/>
    </row>
    <row r="397" ht="15.75" customHeight="1">
      <c r="G397" s="205"/>
    </row>
    <row r="398" ht="15.75" customHeight="1">
      <c r="G398" s="205"/>
    </row>
    <row r="399" ht="15.75" customHeight="1">
      <c r="G399" s="205"/>
    </row>
    <row r="400" ht="15.75" customHeight="1">
      <c r="G400" s="205"/>
    </row>
    <row r="401" ht="15.75" customHeight="1">
      <c r="G401" s="205"/>
    </row>
    <row r="402" ht="15.75" customHeight="1">
      <c r="G402" s="205"/>
    </row>
    <row r="403" ht="15.75" customHeight="1">
      <c r="G403" s="205"/>
    </row>
    <row r="404" ht="15.75" customHeight="1">
      <c r="G404" s="205"/>
    </row>
    <row r="405" ht="15.75" customHeight="1">
      <c r="G405" s="205"/>
    </row>
    <row r="406" ht="15.75" customHeight="1">
      <c r="G406" s="205"/>
    </row>
    <row r="407" ht="15.75" customHeight="1">
      <c r="G407" s="205"/>
    </row>
    <row r="408" ht="15.75" customHeight="1">
      <c r="G408" s="205"/>
    </row>
    <row r="409" ht="15.75" customHeight="1">
      <c r="G409" s="205"/>
    </row>
    <row r="410" ht="15.75" customHeight="1">
      <c r="G410" s="205"/>
    </row>
    <row r="411" ht="15.75" customHeight="1">
      <c r="G411" s="205"/>
    </row>
    <row r="412" ht="15.75" customHeight="1">
      <c r="G412" s="205"/>
    </row>
    <row r="413" ht="15.75" customHeight="1">
      <c r="G413" s="205"/>
    </row>
    <row r="414" ht="15.75" customHeight="1">
      <c r="G414" s="205"/>
    </row>
    <row r="415" ht="15.75" customHeight="1">
      <c r="G415" s="205"/>
    </row>
    <row r="416" ht="15.75" customHeight="1">
      <c r="G416" s="205"/>
    </row>
    <row r="417" ht="15.75" customHeight="1">
      <c r="G417" s="205"/>
    </row>
    <row r="418" ht="15.75" customHeight="1">
      <c r="G418" s="205"/>
    </row>
    <row r="419" ht="15.75" customHeight="1">
      <c r="G419" s="205"/>
    </row>
    <row r="420" ht="15.75" customHeight="1">
      <c r="G420" s="205"/>
    </row>
    <row r="421" ht="15.75" customHeight="1">
      <c r="G421" s="205"/>
    </row>
    <row r="422" ht="15.75" customHeight="1">
      <c r="G422" s="205"/>
    </row>
    <row r="423" ht="15.75" customHeight="1">
      <c r="G423" s="205"/>
    </row>
    <row r="424" ht="15.75" customHeight="1">
      <c r="G424" s="205"/>
    </row>
    <row r="425" ht="15.75" customHeight="1">
      <c r="G425" s="205"/>
    </row>
    <row r="426" ht="15.75" customHeight="1">
      <c r="G426" s="205"/>
    </row>
    <row r="427" ht="15.75" customHeight="1">
      <c r="G427" s="205"/>
    </row>
    <row r="428" ht="15.75" customHeight="1">
      <c r="G428" s="205"/>
    </row>
    <row r="429" ht="15.75" customHeight="1">
      <c r="G429" s="205"/>
    </row>
    <row r="430" ht="15.75" customHeight="1">
      <c r="G430" s="205"/>
    </row>
    <row r="431" ht="15.75" customHeight="1">
      <c r="G431" s="205"/>
    </row>
    <row r="432" ht="15.75" customHeight="1">
      <c r="G432" s="205"/>
    </row>
    <row r="433" ht="15.75" customHeight="1">
      <c r="G433" s="205"/>
    </row>
    <row r="434" ht="15.75" customHeight="1">
      <c r="G434" s="205"/>
    </row>
    <row r="435" ht="15.75" customHeight="1">
      <c r="G435" s="205"/>
    </row>
    <row r="436" ht="15.75" customHeight="1">
      <c r="G436" s="205"/>
    </row>
    <row r="437" ht="15.75" customHeight="1">
      <c r="G437" s="205"/>
    </row>
    <row r="438" ht="15.75" customHeight="1">
      <c r="G438" s="205"/>
    </row>
    <row r="439" ht="15.75" customHeight="1">
      <c r="G439" s="205"/>
    </row>
    <row r="440" ht="15.75" customHeight="1">
      <c r="G440" s="205"/>
    </row>
    <row r="441" ht="15.75" customHeight="1">
      <c r="G441" s="205"/>
    </row>
    <row r="442" ht="15.75" customHeight="1">
      <c r="G442" s="205"/>
    </row>
    <row r="443" ht="15.75" customHeight="1">
      <c r="G443" s="205"/>
    </row>
    <row r="444" ht="15.75" customHeight="1">
      <c r="G444" s="205"/>
    </row>
    <row r="445" ht="15.75" customHeight="1">
      <c r="G445" s="205"/>
    </row>
    <row r="446" ht="15.75" customHeight="1">
      <c r="G446" s="205"/>
    </row>
    <row r="447" ht="15.75" customHeight="1">
      <c r="G447" s="205"/>
    </row>
    <row r="448" ht="15.75" customHeight="1">
      <c r="G448" s="205"/>
    </row>
    <row r="449" ht="15.75" customHeight="1">
      <c r="G449" s="205"/>
    </row>
    <row r="450" ht="15.75" customHeight="1">
      <c r="G450" s="205"/>
    </row>
    <row r="451" ht="15.75" customHeight="1">
      <c r="G451" s="205"/>
    </row>
    <row r="452" ht="15.75" customHeight="1">
      <c r="G452" s="205"/>
    </row>
    <row r="453" ht="15.75" customHeight="1">
      <c r="G453" s="205"/>
    </row>
    <row r="454" ht="15.75" customHeight="1">
      <c r="G454" s="205"/>
    </row>
    <row r="455" ht="15.75" customHeight="1">
      <c r="G455" s="205"/>
    </row>
    <row r="456" ht="15.75" customHeight="1">
      <c r="G456" s="205"/>
    </row>
    <row r="457" ht="15.75" customHeight="1">
      <c r="G457" s="205"/>
    </row>
    <row r="458" ht="15.75" customHeight="1">
      <c r="G458" s="205"/>
    </row>
    <row r="459" ht="15.75" customHeight="1">
      <c r="G459" s="205"/>
    </row>
    <row r="460" ht="15.75" customHeight="1">
      <c r="G460" s="205"/>
    </row>
    <row r="461" ht="15.75" customHeight="1">
      <c r="G461" s="205"/>
    </row>
    <row r="462" ht="15.75" customHeight="1">
      <c r="G462" s="205"/>
    </row>
    <row r="463" ht="15.75" customHeight="1">
      <c r="G463" s="205"/>
    </row>
    <row r="464" ht="15.75" customHeight="1">
      <c r="G464" s="205"/>
    </row>
    <row r="465" ht="15.75" customHeight="1">
      <c r="G465" s="205"/>
    </row>
    <row r="466" ht="15.75" customHeight="1">
      <c r="G466" s="205"/>
    </row>
    <row r="467" ht="15.75" customHeight="1">
      <c r="G467" s="205"/>
    </row>
    <row r="468" ht="15.75" customHeight="1">
      <c r="G468" s="205"/>
    </row>
    <row r="469" ht="15.75" customHeight="1">
      <c r="G469" s="205"/>
    </row>
    <row r="470" ht="15.75" customHeight="1">
      <c r="G470" s="205"/>
    </row>
    <row r="471" ht="15.75" customHeight="1">
      <c r="G471" s="205"/>
    </row>
    <row r="472" ht="15.75" customHeight="1">
      <c r="G472" s="205"/>
    </row>
    <row r="473" ht="15.75" customHeight="1">
      <c r="G473" s="205"/>
    </row>
    <row r="474" ht="15.75" customHeight="1">
      <c r="G474" s="205"/>
    </row>
    <row r="475" ht="15.75" customHeight="1">
      <c r="G475" s="205"/>
    </row>
    <row r="476" ht="15.75" customHeight="1">
      <c r="G476" s="205"/>
    </row>
    <row r="477" ht="15.75" customHeight="1">
      <c r="G477" s="205"/>
    </row>
    <row r="478" ht="15.75" customHeight="1">
      <c r="G478" s="205"/>
    </row>
    <row r="479" ht="15.75" customHeight="1">
      <c r="G479" s="205"/>
    </row>
    <row r="480" ht="15.75" customHeight="1">
      <c r="G480" s="205"/>
    </row>
    <row r="481" ht="15.75" customHeight="1">
      <c r="G481" s="205"/>
    </row>
    <row r="482" ht="15.75" customHeight="1">
      <c r="G482" s="205"/>
    </row>
    <row r="483" ht="15.75" customHeight="1">
      <c r="G483" s="205"/>
    </row>
    <row r="484" ht="15.75" customHeight="1">
      <c r="G484" s="205"/>
    </row>
    <row r="485" ht="15.75" customHeight="1">
      <c r="G485" s="205"/>
    </row>
    <row r="486" ht="15.75" customHeight="1">
      <c r="G486" s="205"/>
    </row>
    <row r="487" ht="15.75" customHeight="1">
      <c r="G487" s="205"/>
    </row>
    <row r="488" ht="15.75" customHeight="1">
      <c r="G488" s="205"/>
    </row>
    <row r="489" ht="15.75" customHeight="1">
      <c r="G489" s="205"/>
    </row>
    <row r="490" ht="15.75" customHeight="1">
      <c r="G490" s="205"/>
    </row>
    <row r="491" ht="15.75" customHeight="1">
      <c r="G491" s="205"/>
    </row>
    <row r="492" ht="15.75" customHeight="1">
      <c r="G492" s="205"/>
    </row>
    <row r="493" ht="15.75" customHeight="1">
      <c r="G493" s="205"/>
    </row>
    <row r="494" ht="15.75" customHeight="1">
      <c r="G494" s="205"/>
    </row>
    <row r="495" ht="15.75" customHeight="1">
      <c r="G495" s="205"/>
    </row>
    <row r="496" ht="15.75" customHeight="1">
      <c r="G496" s="205"/>
    </row>
    <row r="497" ht="15.75" customHeight="1">
      <c r="G497" s="205"/>
    </row>
    <row r="498" ht="15.75" customHeight="1">
      <c r="G498" s="205"/>
    </row>
    <row r="499" ht="15.75" customHeight="1">
      <c r="G499" s="205"/>
    </row>
    <row r="500" ht="15.75" customHeight="1">
      <c r="G500" s="205"/>
    </row>
    <row r="501" ht="15.75" customHeight="1">
      <c r="G501" s="205"/>
    </row>
    <row r="502" ht="15.75" customHeight="1">
      <c r="G502" s="205"/>
    </row>
    <row r="503" ht="15.75" customHeight="1">
      <c r="G503" s="205"/>
    </row>
    <row r="504" ht="15.75" customHeight="1">
      <c r="G504" s="205"/>
    </row>
    <row r="505" ht="15.75" customHeight="1">
      <c r="G505" s="205"/>
    </row>
    <row r="506" ht="15.75" customHeight="1">
      <c r="G506" s="205"/>
    </row>
    <row r="507" ht="15.75" customHeight="1">
      <c r="G507" s="205"/>
    </row>
    <row r="508" ht="15.75" customHeight="1">
      <c r="G508" s="205"/>
    </row>
    <row r="509" ht="15.75" customHeight="1">
      <c r="G509" s="205"/>
    </row>
    <row r="510" ht="15.75" customHeight="1">
      <c r="G510" s="205"/>
    </row>
    <row r="511" ht="15.75" customHeight="1">
      <c r="G511" s="205"/>
    </row>
    <row r="512" ht="15.75" customHeight="1">
      <c r="G512" s="205"/>
    </row>
    <row r="513" ht="15.75" customHeight="1">
      <c r="G513" s="205"/>
    </row>
    <row r="514" ht="15.75" customHeight="1">
      <c r="G514" s="205"/>
    </row>
    <row r="515" ht="15.75" customHeight="1">
      <c r="G515" s="205"/>
    </row>
    <row r="516" ht="15.75" customHeight="1">
      <c r="G516" s="205"/>
    </row>
    <row r="517" ht="15.75" customHeight="1">
      <c r="G517" s="205"/>
    </row>
    <row r="518" ht="15.75" customHeight="1">
      <c r="G518" s="205"/>
    </row>
    <row r="519" ht="15.75" customHeight="1">
      <c r="G519" s="205"/>
    </row>
    <row r="520" ht="15.75" customHeight="1">
      <c r="G520" s="205"/>
    </row>
    <row r="521" ht="15.75" customHeight="1">
      <c r="G521" s="205"/>
    </row>
    <row r="522" ht="15.75" customHeight="1">
      <c r="G522" s="205"/>
    </row>
    <row r="523" ht="15.75" customHeight="1">
      <c r="G523" s="205"/>
    </row>
    <row r="524" ht="15.75" customHeight="1">
      <c r="G524" s="205"/>
    </row>
    <row r="525" ht="15.75" customHeight="1">
      <c r="G525" s="205"/>
    </row>
    <row r="526" ht="15.75" customHeight="1">
      <c r="G526" s="205"/>
    </row>
    <row r="527" ht="15.75" customHeight="1">
      <c r="G527" s="205"/>
    </row>
    <row r="528" ht="15.75" customHeight="1">
      <c r="G528" s="205"/>
    </row>
    <row r="529" ht="15.75" customHeight="1">
      <c r="G529" s="205"/>
    </row>
    <row r="530" ht="15.75" customHeight="1">
      <c r="G530" s="205"/>
    </row>
    <row r="531" ht="15.75" customHeight="1">
      <c r="G531" s="205"/>
    </row>
    <row r="532" ht="15.75" customHeight="1">
      <c r="G532" s="205"/>
    </row>
    <row r="533" ht="15.75" customHeight="1">
      <c r="G533" s="205"/>
    </row>
    <row r="534" ht="15.75" customHeight="1">
      <c r="G534" s="205"/>
    </row>
    <row r="535" ht="15.75" customHeight="1">
      <c r="G535" s="205"/>
    </row>
    <row r="536" ht="15.75" customHeight="1">
      <c r="G536" s="205"/>
    </row>
    <row r="537" ht="15.75" customHeight="1">
      <c r="G537" s="205"/>
    </row>
    <row r="538" ht="15.75" customHeight="1">
      <c r="G538" s="205"/>
    </row>
    <row r="539" ht="15.75" customHeight="1">
      <c r="G539" s="205"/>
    </row>
    <row r="540" ht="15.75" customHeight="1">
      <c r="G540" s="205"/>
    </row>
    <row r="541" ht="15.75" customHeight="1">
      <c r="G541" s="205"/>
    </row>
    <row r="542" ht="15.75" customHeight="1">
      <c r="G542" s="205"/>
    </row>
    <row r="543" ht="15.75" customHeight="1">
      <c r="G543" s="205"/>
    </row>
    <row r="544" ht="15.75" customHeight="1">
      <c r="G544" s="205"/>
    </row>
    <row r="545" ht="15.75" customHeight="1">
      <c r="G545" s="205"/>
    </row>
    <row r="546" ht="15.75" customHeight="1">
      <c r="G546" s="205"/>
    </row>
    <row r="547" ht="15.75" customHeight="1">
      <c r="G547" s="205"/>
    </row>
    <row r="548" ht="15.75" customHeight="1">
      <c r="G548" s="205"/>
    </row>
    <row r="549" ht="15.75" customHeight="1">
      <c r="G549" s="205"/>
    </row>
    <row r="550" ht="15.75" customHeight="1">
      <c r="G550" s="205"/>
    </row>
    <row r="551" ht="15.75" customHeight="1">
      <c r="G551" s="205"/>
    </row>
    <row r="552" ht="15.75" customHeight="1">
      <c r="G552" s="205"/>
    </row>
    <row r="553" ht="15.75" customHeight="1">
      <c r="G553" s="205"/>
    </row>
    <row r="554" ht="15.75" customHeight="1">
      <c r="G554" s="205"/>
    </row>
    <row r="555" ht="15.75" customHeight="1">
      <c r="G555" s="205"/>
    </row>
    <row r="556" ht="15.75" customHeight="1">
      <c r="G556" s="205"/>
    </row>
    <row r="557" ht="15.75" customHeight="1">
      <c r="G557" s="205"/>
    </row>
    <row r="558" ht="15.75" customHeight="1">
      <c r="G558" s="205"/>
    </row>
    <row r="559" ht="15.75" customHeight="1">
      <c r="G559" s="205"/>
    </row>
    <row r="560" ht="15.75" customHeight="1">
      <c r="G560" s="205"/>
    </row>
    <row r="561" ht="15.75" customHeight="1">
      <c r="G561" s="205"/>
    </row>
    <row r="562" ht="15.75" customHeight="1">
      <c r="G562" s="205"/>
    </row>
    <row r="563" ht="15.75" customHeight="1">
      <c r="G563" s="205"/>
    </row>
    <row r="564" ht="15.75" customHeight="1">
      <c r="G564" s="205"/>
    </row>
    <row r="565" ht="15.75" customHeight="1">
      <c r="G565" s="205"/>
    </row>
    <row r="566" ht="15.75" customHeight="1">
      <c r="G566" s="205"/>
    </row>
    <row r="567" ht="15.75" customHeight="1">
      <c r="G567" s="205"/>
    </row>
    <row r="568" ht="15.75" customHeight="1">
      <c r="G568" s="205"/>
    </row>
    <row r="569" ht="15.75" customHeight="1">
      <c r="G569" s="205"/>
    </row>
    <row r="570" ht="15.75" customHeight="1">
      <c r="G570" s="205"/>
    </row>
    <row r="571" ht="15.75" customHeight="1">
      <c r="G571" s="205"/>
    </row>
    <row r="572" ht="15.75" customHeight="1">
      <c r="G572" s="205"/>
    </row>
    <row r="573" ht="15.75" customHeight="1">
      <c r="G573" s="205"/>
    </row>
    <row r="574" ht="15.75" customHeight="1">
      <c r="G574" s="205"/>
    </row>
    <row r="575" ht="15.75" customHeight="1">
      <c r="G575" s="205"/>
    </row>
    <row r="576" ht="15.75" customHeight="1">
      <c r="G576" s="205"/>
    </row>
    <row r="577" ht="15.75" customHeight="1">
      <c r="G577" s="205"/>
    </row>
    <row r="578" ht="15.75" customHeight="1">
      <c r="G578" s="205"/>
    </row>
    <row r="579" ht="15.75" customHeight="1">
      <c r="G579" s="205"/>
    </row>
    <row r="580" ht="15.75" customHeight="1">
      <c r="G580" s="205"/>
    </row>
    <row r="581" ht="15.75" customHeight="1">
      <c r="G581" s="205"/>
    </row>
    <row r="582" ht="15.75" customHeight="1">
      <c r="G582" s="205"/>
    </row>
    <row r="583" ht="15.75" customHeight="1">
      <c r="G583" s="205"/>
    </row>
    <row r="584" ht="15.75" customHeight="1">
      <c r="G584" s="205"/>
    </row>
    <row r="585" ht="15.75" customHeight="1">
      <c r="G585" s="205"/>
    </row>
    <row r="586" ht="15.75" customHeight="1">
      <c r="G586" s="205"/>
    </row>
    <row r="587" ht="15.75" customHeight="1">
      <c r="G587" s="205"/>
    </row>
    <row r="588" ht="15.75" customHeight="1">
      <c r="G588" s="205"/>
    </row>
    <row r="589" ht="15.75" customHeight="1">
      <c r="G589" s="205"/>
    </row>
    <row r="590" ht="15.75" customHeight="1">
      <c r="G590" s="205"/>
    </row>
    <row r="591" ht="15.75" customHeight="1">
      <c r="G591" s="205"/>
    </row>
    <row r="592" ht="15.75" customHeight="1">
      <c r="G592" s="205"/>
    </row>
    <row r="593" ht="15.75" customHeight="1">
      <c r="G593" s="205"/>
    </row>
    <row r="594" ht="15.75" customHeight="1">
      <c r="G594" s="205"/>
    </row>
    <row r="595" ht="15.75" customHeight="1">
      <c r="G595" s="205"/>
    </row>
    <row r="596" ht="15.75" customHeight="1">
      <c r="G596" s="205"/>
    </row>
    <row r="597" ht="15.75" customHeight="1">
      <c r="G597" s="205"/>
    </row>
    <row r="598" ht="15.75" customHeight="1">
      <c r="G598" s="205"/>
    </row>
    <row r="599" ht="15.75" customHeight="1">
      <c r="G599" s="205"/>
    </row>
    <row r="600" ht="15.75" customHeight="1">
      <c r="G600" s="205"/>
    </row>
    <row r="601" ht="15.75" customHeight="1">
      <c r="G601" s="205"/>
    </row>
    <row r="602" ht="15.75" customHeight="1">
      <c r="G602" s="205"/>
    </row>
    <row r="603" ht="15.75" customHeight="1">
      <c r="G603" s="205"/>
    </row>
    <row r="604" ht="15.75" customHeight="1">
      <c r="G604" s="205"/>
    </row>
    <row r="605" ht="15.75" customHeight="1">
      <c r="G605" s="205"/>
    </row>
    <row r="606" ht="15.75" customHeight="1">
      <c r="G606" s="205"/>
    </row>
    <row r="607" ht="15.75" customHeight="1">
      <c r="G607" s="205"/>
    </row>
    <row r="608" ht="15.75" customHeight="1">
      <c r="G608" s="205"/>
    </row>
    <row r="609" ht="15.75" customHeight="1">
      <c r="G609" s="205"/>
    </row>
    <row r="610" ht="15.75" customHeight="1">
      <c r="G610" s="205"/>
    </row>
    <row r="611" ht="15.75" customHeight="1">
      <c r="G611" s="205"/>
    </row>
    <row r="612" ht="15.75" customHeight="1">
      <c r="G612" s="205"/>
    </row>
    <row r="613" ht="15.75" customHeight="1">
      <c r="G613" s="205"/>
    </row>
    <row r="614" ht="15.75" customHeight="1">
      <c r="G614" s="205"/>
    </row>
    <row r="615" ht="15.75" customHeight="1">
      <c r="G615" s="205"/>
    </row>
    <row r="616" ht="15.75" customHeight="1">
      <c r="G616" s="205"/>
    </row>
    <row r="617" ht="15.75" customHeight="1">
      <c r="G617" s="205"/>
    </row>
    <row r="618" ht="15.75" customHeight="1">
      <c r="G618" s="205"/>
    </row>
    <row r="619" ht="15.75" customHeight="1">
      <c r="G619" s="205"/>
    </row>
    <row r="620" ht="15.75" customHeight="1">
      <c r="G620" s="205"/>
    </row>
    <row r="621" ht="15.75" customHeight="1">
      <c r="G621" s="205"/>
    </row>
    <row r="622" ht="15.75" customHeight="1">
      <c r="G622" s="205"/>
    </row>
    <row r="623" ht="15.75" customHeight="1">
      <c r="G623" s="205"/>
    </row>
    <row r="624" ht="15.75" customHeight="1">
      <c r="G624" s="205"/>
    </row>
    <row r="625" ht="15.75" customHeight="1">
      <c r="G625" s="205"/>
    </row>
    <row r="626" ht="15.75" customHeight="1">
      <c r="G626" s="205"/>
    </row>
    <row r="627" ht="15.75" customHeight="1">
      <c r="G627" s="205"/>
    </row>
    <row r="628" ht="15.75" customHeight="1">
      <c r="G628" s="205"/>
    </row>
    <row r="629" ht="15.75" customHeight="1">
      <c r="G629" s="205"/>
    </row>
    <row r="630" ht="15.75" customHeight="1">
      <c r="G630" s="205"/>
    </row>
    <row r="631" ht="15.75" customHeight="1">
      <c r="G631" s="205"/>
    </row>
    <row r="632" ht="15.75" customHeight="1">
      <c r="G632" s="205"/>
    </row>
    <row r="633" ht="15.75" customHeight="1">
      <c r="G633" s="205"/>
    </row>
    <row r="634" ht="15.75" customHeight="1">
      <c r="G634" s="205"/>
    </row>
    <row r="635" ht="15.75" customHeight="1">
      <c r="G635" s="205"/>
    </row>
    <row r="636" ht="15.75" customHeight="1">
      <c r="G636" s="205"/>
    </row>
    <row r="637" ht="15.75" customHeight="1">
      <c r="G637" s="205"/>
    </row>
    <row r="638" ht="15.75" customHeight="1">
      <c r="G638" s="205"/>
    </row>
    <row r="639" ht="15.75" customHeight="1">
      <c r="G639" s="205"/>
    </row>
    <row r="640" ht="15.75" customHeight="1">
      <c r="G640" s="205"/>
    </row>
    <row r="641" ht="15.75" customHeight="1">
      <c r="G641" s="205"/>
    </row>
    <row r="642" ht="15.75" customHeight="1">
      <c r="G642" s="205"/>
    </row>
    <row r="643" ht="15.75" customHeight="1">
      <c r="G643" s="205"/>
    </row>
    <row r="644" ht="15.75" customHeight="1">
      <c r="G644" s="205"/>
    </row>
    <row r="645" ht="15.75" customHeight="1">
      <c r="G645" s="205"/>
    </row>
    <row r="646" ht="15.75" customHeight="1">
      <c r="G646" s="205"/>
    </row>
    <row r="647" ht="15.75" customHeight="1">
      <c r="G647" s="205"/>
    </row>
    <row r="648" ht="15.75" customHeight="1">
      <c r="G648" s="205"/>
    </row>
    <row r="649" ht="15.75" customHeight="1">
      <c r="G649" s="205"/>
    </row>
    <row r="650" ht="15.75" customHeight="1">
      <c r="G650" s="205"/>
    </row>
    <row r="651" ht="15.75" customHeight="1">
      <c r="G651" s="205"/>
    </row>
    <row r="652" ht="15.75" customHeight="1">
      <c r="G652" s="205"/>
    </row>
    <row r="653" ht="15.75" customHeight="1">
      <c r="G653" s="205"/>
    </row>
    <row r="654" ht="15.75" customHeight="1">
      <c r="G654" s="205"/>
    </row>
    <row r="655" ht="15.75" customHeight="1">
      <c r="G655" s="205"/>
    </row>
    <row r="656" ht="15.75" customHeight="1">
      <c r="G656" s="205"/>
    </row>
    <row r="657" ht="15.75" customHeight="1">
      <c r="G657" s="205"/>
    </row>
    <row r="658" ht="15.75" customHeight="1">
      <c r="G658" s="205"/>
    </row>
    <row r="659" ht="15.75" customHeight="1">
      <c r="G659" s="205"/>
    </row>
    <row r="660" ht="15.75" customHeight="1">
      <c r="G660" s="205"/>
    </row>
    <row r="661" ht="15.75" customHeight="1">
      <c r="G661" s="205"/>
    </row>
    <row r="662" ht="15.75" customHeight="1">
      <c r="G662" s="205"/>
    </row>
    <row r="663" ht="15.75" customHeight="1">
      <c r="G663" s="205"/>
    </row>
    <row r="664" ht="15.75" customHeight="1">
      <c r="G664" s="205"/>
    </row>
    <row r="665" ht="15.75" customHeight="1">
      <c r="G665" s="205"/>
    </row>
    <row r="666" ht="15.75" customHeight="1">
      <c r="G666" s="205"/>
    </row>
    <row r="667" ht="15.75" customHeight="1">
      <c r="G667" s="205"/>
    </row>
    <row r="668" ht="15.75" customHeight="1">
      <c r="G668" s="205"/>
    </row>
    <row r="669" ht="15.75" customHeight="1">
      <c r="G669" s="205"/>
    </row>
    <row r="670" ht="15.75" customHeight="1">
      <c r="G670" s="205"/>
    </row>
    <row r="671" ht="15.75" customHeight="1">
      <c r="G671" s="205"/>
    </row>
    <row r="672" ht="15.75" customHeight="1">
      <c r="G672" s="205"/>
    </row>
    <row r="673" ht="15.75" customHeight="1">
      <c r="G673" s="205"/>
    </row>
    <row r="674" ht="15.75" customHeight="1">
      <c r="G674" s="205"/>
    </row>
    <row r="675" ht="15.75" customHeight="1">
      <c r="G675" s="205"/>
    </row>
    <row r="676" ht="15.75" customHeight="1">
      <c r="G676" s="205"/>
    </row>
    <row r="677" ht="15.75" customHeight="1">
      <c r="G677" s="205"/>
    </row>
    <row r="678" ht="15.75" customHeight="1">
      <c r="G678" s="205"/>
    </row>
    <row r="679" ht="15.75" customHeight="1">
      <c r="G679" s="205"/>
    </row>
    <row r="680" ht="15.75" customHeight="1">
      <c r="G680" s="205"/>
    </row>
    <row r="681" ht="15.75" customHeight="1">
      <c r="G681" s="205"/>
    </row>
    <row r="682" ht="15.75" customHeight="1">
      <c r="G682" s="205"/>
    </row>
    <row r="683" ht="15.75" customHeight="1">
      <c r="G683" s="205"/>
    </row>
    <row r="684" ht="15.75" customHeight="1">
      <c r="G684" s="205"/>
    </row>
    <row r="685" ht="15.75" customHeight="1">
      <c r="G685" s="205"/>
    </row>
    <row r="686" ht="15.75" customHeight="1">
      <c r="G686" s="205"/>
    </row>
    <row r="687" ht="15.75" customHeight="1">
      <c r="G687" s="205"/>
    </row>
    <row r="688" ht="15.75" customHeight="1">
      <c r="G688" s="205"/>
    </row>
    <row r="689" ht="15.75" customHeight="1">
      <c r="G689" s="205"/>
    </row>
    <row r="690" ht="15.75" customHeight="1">
      <c r="G690" s="205"/>
    </row>
    <row r="691" ht="15.75" customHeight="1">
      <c r="G691" s="205"/>
    </row>
    <row r="692" ht="15.75" customHeight="1">
      <c r="G692" s="205"/>
    </row>
    <row r="693" ht="15.75" customHeight="1">
      <c r="G693" s="205"/>
    </row>
    <row r="694" ht="15.75" customHeight="1">
      <c r="G694" s="205"/>
    </row>
    <row r="695" ht="15.75" customHeight="1">
      <c r="G695" s="205"/>
    </row>
    <row r="696" ht="15.75" customHeight="1">
      <c r="G696" s="205"/>
    </row>
    <row r="697" ht="15.75" customHeight="1">
      <c r="G697" s="205"/>
    </row>
    <row r="698" ht="15.75" customHeight="1">
      <c r="G698" s="205"/>
    </row>
    <row r="699" ht="15.75" customHeight="1">
      <c r="G699" s="205"/>
    </row>
    <row r="700" ht="15.75" customHeight="1">
      <c r="G700" s="205"/>
    </row>
    <row r="701" ht="15.75" customHeight="1">
      <c r="G701" s="205"/>
    </row>
    <row r="702" ht="15.75" customHeight="1">
      <c r="G702" s="205"/>
    </row>
    <row r="703" ht="15.75" customHeight="1">
      <c r="G703" s="205"/>
    </row>
    <row r="704" ht="15.75" customHeight="1">
      <c r="G704" s="205"/>
    </row>
    <row r="705" ht="15.75" customHeight="1">
      <c r="G705" s="205"/>
    </row>
    <row r="706" ht="15.75" customHeight="1">
      <c r="G706" s="205"/>
    </row>
    <row r="707" ht="15.75" customHeight="1">
      <c r="G707" s="205"/>
    </row>
    <row r="708" ht="15.75" customHeight="1">
      <c r="G708" s="205"/>
    </row>
    <row r="709" ht="15.75" customHeight="1">
      <c r="G709" s="205"/>
    </row>
    <row r="710" ht="15.75" customHeight="1">
      <c r="G710" s="205"/>
    </row>
    <row r="711" ht="15.75" customHeight="1">
      <c r="G711" s="205"/>
    </row>
    <row r="712" ht="15.75" customHeight="1">
      <c r="G712" s="205"/>
    </row>
    <row r="713" ht="15.75" customHeight="1">
      <c r="G713" s="205"/>
    </row>
    <row r="714" ht="15.75" customHeight="1">
      <c r="G714" s="205"/>
    </row>
    <row r="715" ht="15.75" customHeight="1">
      <c r="G715" s="205"/>
    </row>
    <row r="716" ht="15.75" customHeight="1">
      <c r="G716" s="205"/>
    </row>
    <row r="717" ht="15.75" customHeight="1">
      <c r="G717" s="205"/>
    </row>
    <row r="718" ht="15.75" customHeight="1">
      <c r="G718" s="205"/>
    </row>
    <row r="719" ht="15.75" customHeight="1">
      <c r="G719" s="205"/>
    </row>
    <row r="720" ht="15.75" customHeight="1">
      <c r="G720" s="205"/>
    </row>
    <row r="721" ht="15.75" customHeight="1">
      <c r="G721" s="205"/>
    </row>
    <row r="722" ht="15.75" customHeight="1">
      <c r="G722" s="205"/>
    </row>
    <row r="723" ht="15.75" customHeight="1">
      <c r="G723" s="205"/>
    </row>
    <row r="724" ht="15.75" customHeight="1">
      <c r="G724" s="205"/>
    </row>
    <row r="725" ht="15.75" customHeight="1">
      <c r="G725" s="205"/>
    </row>
    <row r="726" ht="15.75" customHeight="1">
      <c r="G726" s="205"/>
    </row>
    <row r="727" ht="15.75" customHeight="1">
      <c r="G727" s="205"/>
    </row>
    <row r="728" ht="15.75" customHeight="1">
      <c r="G728" s="205"/>
    </row>
    <row r="729" ht="15.75" customHeight="1">
      <c r="G729" s="205"/>
    </row>
    <row r="730" ht="15.75" customHeight="1">
      <c r="G730" s="205"/>
    </row>
    <row r="731" ht="15.75" customHeight="1">
      <c r="G731" s="205"/>
    </row>
    <row r="732" ht="15.75" customHeight="1">
      <c r="G732" s="205"/>
    </row>
    <row r="733" ht="15.75" customHeight="1">
      <c r="G733" s="205"/>
    </row>
    <row r="734" ht="15.75" customHeight="1">
      <c r="G734" s="205"/>
    </row>
    <row r="735" ht="15.75" customHeight="1">
      <c r="G735" s="205"/>
    </row>
    <row r="736" ht="15.75" customHeight="1">
      <c r="G736" s="205"/>
    </row>
    <row r="737" ht="15.75" customHeight="1">
      <c r="G737" s="205"/>
    </row>
    <row r="738" ht="15.75" customHeight="1">
      <c r="G738" s="205"/>
    </row>
    <row r="739" ht="15.75" customHeight="1">
      <c r="G739" s="205"/>
    </row>
    <row r="740" ht="15.75" customHeight="1">
      <c r="G740" s="205"/>
    </row>
    <row r="741" ht="15.75" customHeight="1">
      <c r="G741" s="205"/>
    </row>
    <row r="742" ht="15.75" customHeight="1">
      <c r="G742" s="205"/>
    </row>
    <row r="743" ht="15.75" customHeight="1">
      <c r="G743" s="205"/>
    </row>
    <row r="744" ht="15.75" customHeight="1">
      <c r="G744" s="205"/>
    </row>
    <row r="745" ht="15.75" customHeight="1">
      <c r="G745" s="205"/>
    </row>
    <row r="746" ht="15.75" customHeight="1">
      <c r="G746" s="205"/>
    </row>
    <row r="747" ht="15.75" customHeight="1">
      <c r="G747" s="205"/>
    </row>
    <row r="748" ht="15.75" customHeight="1">
      <c r="G748" s="205"/>
    </row>
    <row r="749" ht="15.75" customHeight="1">
      <c r="G749" s="205"/>
    </row>
    <row r="750" ht="15.75" customHeight="1">
      <c r="G750" s="205"/>
    </row>
    <row r="751" ht="15.75" customHeight="1">
      <c r="G751" s="205"/>
    </row>
    <row r="752" ht="15.75" customHeight="1">
      <c r="G752" s="205"/>
    </row>
    <row r="753" ht="15.75" customHeight="1">
      <c r="G753" s="205"/>
    </row>
    <row r="754" ht="15.75" customHeight="1">
      <c r="G754" s="205"/>
    </row>
    <row r="755" ht="15.75" customHeight="1">
      <c r="G755" s="205"/>
    </row>
    <row r="756" ht="15.75" customHeight="1">
      <c r="G756" s="205"/>
    </row>
    <row r="757" ht="15.75" customHeight="1">
      <c r="G757" s="205"/>
    </row>
    <row r="758" ht="15.75" customHeight="1">
      <c r="G758" s="205"/>
    </row>
    <row r="759" ht="15.75" customHeight="1">
      <c r="G759" s="205"/>
    </row>
    <row r="760" ht="15.75" customHeight="1">
      <c r="G760" s="205"/>
    </row>
    <row r="761" ht="15.75" customHeight="1">
      <c r="G761" s="205"/>
    </row>
    <row r="762" ht="15.75" customHeight="1">
      <c r="G762" s="205"/>
    </row>
    <row r="763" ht="15.75" customHeight="1">
      <c r="G763" s="205"/>
    </row>
    <row r="764" ht="15.75" customHeight="1">
      <c r="G764" s="205"/>
    </row>
    <row r="765" ht="15.75" customHeight="1">
      <c r="G765" s="205"/>
    </row>
    <row r="766" ht="15.75" customHeight="1">
      <c r="G766" s="205"/>
    </row>
    <row r="767" ht="15.75" customHeight="1">
      <c r="G767" s="205"/>
    </row>
    <row r="768" ht="15.75" customHeight="1">
      <c r="G768" s="205"/>
    </row>
    <row r="769" ht="15.75" customHeight="1">
      <c r="G769" s="205"/>
    </row>
    <row r="770" ht="15.75" customHeight="1">
      <c r="G770" s="205"/>
    </row>
    <row r="771" ht="15.75" customHeight="1">
      <c r="G771" s="205"/>
    </row>
    <row r="772" ht="15.75" customHeight="1">
      <c r="G772" s="205"/>
    </row>
    <row r="773" ht="15.75" customHeight="1">
      <c r="G773" s="205"/>
    </row>
    <row r="774" ht="15.75" customHeight="1">
      <c r="G774" s="205"/>
    </row>
    <row r="775" ht="15.75" customHeight="1">
      <c r="G775" s="205"/>
    </row>
    <row r="776" ht="15.75" customHeight="1">
      <c r="G776" s="205"/>
    </row>
    <row r="777" ht="15.75" customHeight="1">
      <c r="G777" s="205"/>
    </row>
    <row r="778" ht="15.75" customHeight="1">
      <c r="G778" s="205"/>
    </row>
    <row r="779" ht="15.75" customHeight="1">
      <c r="G779" s="205"/>
    </row>
    <row r="780" ht="15.75" customHeight="1">
      <c r="G780" s="205"/>
    </row>
    <row r="781" ht="15.75" customHeight="1">
      <c r="G781" s="205"/>
    </row>
    <row r="782" ht="15.75" customHeight="1">
      <c r="G782" s="205"/>
    </row>
    <row r="783" ht="15.75" customHeight="1">
      <c r="G783" s="205"/>
    </row>
    <row r="784" ht="15.75" customHeight="1">
      <c r="G784" s="205"/>
    </row>
    <row r="785" ht="15.75" customHeight="1">
      <c r="G785" s="205"/>
    </row>
    <row r="786" ht="15.75" customHeight="1">
      <c r="G786" s="205"/>
    </row>
    <row r="787" ht="15.75" customHeight="1">
      <c r="G787" s="205"/>
    </row>
    <row r="788" ht="15.75" customHeight="1">
      <c r="G788" s="205"/>
    </row>
    <row r="789" ht="15.75" customHeight="1">
      <c r="G789" s="205"/>
    </row>
    <row r="790" ht="15.75" customHeight="1">
      <c r="G790" s="205"/>
    </row>
    <row r="791" ht="15.75" customHeight="1">
      <c r="G791" s="205"/>
    </row>
    <row r="792" ht="15.75" customHeight="1">
      <c r="G792" s="205"/>
    </row>
    <row r="793" ht="15.75" customHeight="1">
      <c r="G793" s="205"/>
    </row>
    <row r="794" ht="15.75" customHeight="1">
      <c r="G794" s="205"/>
    </row>
    <row r="795" ht="15.75" customHeight="1">
      <c r="G795" s="205"/>
    </row>
    <row r="796" ht="15.75" customHeight="1">
      <c r="G796" s="205"/>
    </row>
    <row r="797" ht="15.75" customHeight="1">
      <c r="G797" s="205"/>
    </row>
    <row r="798" ht="15.75" customHeight="1">
      <c r="G798" s="205"/>
    </row>
    <row r="799" ht="15.75" customHeight="1">
      <c r="G799" s="205"/>
    </row>
    <row r="800" ht="15.75" customHeight="1">
      <c r="G800" s="205"/>
    </row>
    <row r="801" ht="15.75" customHeight="1">
      <c r="G801" s="205"/>
    </row>
    <row r="802" ht="15.75" customHeight="1">
      <c r="G802" s="205"/>
    </row>
    <row r="803" ht="15.75" customHeight="1">
      <c r="G803" s="205"/>
    </row>
    <row r="804" ht="15.75" customHeight="1">
      <c r="G804" s="205"/>
    </row>
    <row r="805" ht="15.75" customHeight="1">
      <c r="G805" s="205"/>
    </row>
    <row r="806" ht="15.75" customHeight="1">
      <c r="G806" s="205"/>
    </row>
    <row r="807" ht="15.75" customHeight="1">
      <c r="G807" s="205"/>
    </row>
    <row r="808" ht="15.75" customHeight="1">
      <c r="G808" s="205"/>
    </row>
    <row r="809" ht="15.75" customHeight="1">
      <c r="G809" s="205"/>
    </row>
    <row r="810" ht="15.75" customHeight="1">
      <c r="G810" s="205"/>
    </row>
    <row r="811" ht="15.75" customHeight="1">
      <c r="G811" s="205"/>
    </row>
    <row r="812" ht="15.75" customHeight="1">
      <c r="G812" s="205"/>
    </row>
    <row r="813" ht="15.75" customHeight="1">
      <c r="G813" s="205"/>
    </row>
    <row r="814" ht="15.75" customHeight="1">
      <c r="G814" s="205"/>
    </row>
    <row r="815" ht="15.75" customHeight="1">
      <c r="G815" s="205"/>
    </row>
    <row r="816" ht="15.75" customHeight="1">
      <c r="G816" s="205"/>
    </row>
    <row r="817" ht="15.75" customHeight="1">
      <c r="G817" s="205"/>
    </row>
    <row r="818" ht="15.75" customHeight="1">
      <c r="G818" s="205"/>
    </row>
    <row r="819" ht="15.75" customHeight="1">
      <c r="G819" s="205"/>
    </row>
    <row r="820" ht="15.75" customHeight="1">
      <c r="G820" s="205"/>
    </row>
    <row r="821" ht="15.75" customHeight="1">
      <c r="G821" s="205"/>
    </row>
    <row r="822" ht="15.75" customHeight="1">
      <c r="G822" s="205"/>
    </row>
    <row r="823" ht="15.75" customHeight="1">
      <c r="G823" s="205"/>
    </row>
    <row r="824" ht="15.75" customHeight="1">
      <c r="G824" s="205"/>
    </row>
    <row r="825" ht="15.75" customHeight="1">
      <c r="G825" s="205"/>
    </row>
    <row r="826" ht="15.75" customHeight="1">
      <c r="G826" s="205"/>
    </row>
    <row r="827" ht="15.75" customHeight="1">
      <c r="G827" s="205"/>
    </row>
    <row r="828" ht="15.75" customHeight="1">
      <c r="G828" s="205"/>
    </row>
    <row r="829" ht="15.75" customHeight="1">
      <c r="G829" s="205"/>
    </row>
    <row r="830" ht="15.75" customHeight="1">
      <c r="G830" s="205"/>
    </row>
    <row r="831" ht="15.75" customHeight="1">
      <c r="G831" s="205"/>
    </row>
    <row r="832" ht="15.75" customHeight="1">
      <c r="G832" s="205"/>
    </row>
    <row r="833" ht="15.75" customHeight="1">
      <c r="G833" s="205"/>
    </row>
    <row r="834" ht="15.75" customHeight="1">
      <c r="G834" s="205"/>
    </row>
    <row r="835" ht="15.75" customHeight="1">
      <c r="G835" s="205"/>
    </row>
    <row r="836" ht="15.75" customHeight="1">
      <c r="G836" s="205"/>
    </row>
    <row r="837" ht="15.75" customHeight="1">
      <c r="G837" s="205"/>
    </row>
    <row r="838" ht="15.75" customHeight="1">
      <c r="G838" s="205"/>
    </row>
    <row r="839" ht="15.75" customHeight="1">
      <c r="G839" s="205"/>
    </row>
    <row r="840" ht="15.75" customHeight="1">
      <c r="G840" s="205"/>
    </row>
    <row r="841" ht="15.75" customHeight="1">
      <c r="G841" s="205"/>
    </row>
    <row r="842" ht="15.75" customHeight="1">
      <c r="G842" s="205"/>
    </row>
    <row r="843" ht="15.75" customHeight="1">
      <c r="G843" s="205"/>
    </row>
    <row r="844" ht="15.75" customHeight="1">
      <c r="G844" s="205"/>
    </row>
    <row r="845" ht="15.75" customHeight="1">
      <c r="G845" s="205"/>
    </row>
    <row r="846" ht="15.75" customHeight="1">
      <c r="G846" s="205"/>
    </row>
    <row r="847" ht="15.75" customHeight="1">
      <c r="G847" s="205"/>
    </row>
    <row r="848" ht="15.75" customHeight="1">
      <c r="G848" s="205"/>
    </row>
    <row r="849" ht="15.75" customHeight="1">
      <c r="G849" s="205"/>
    </row>
    <row r="850" ht="15.75" customHeight="1">
      <c r="G850" s="205"/>
    </row>
    <row r="851" ht="15.75" customHeight="1">
      <c r="G851" s="205"/>
    </row>
    <row r="852" ht="15.75" customHeight="1">
      <c r="G852" s="205"/>
    </row>
    <row r="853" ht="15.75" customHeight="1">
      <c r="G853" s="205"/>
    </row>
    <row r="854" ht="15.75" customHeight="1">
      <c r="G854" s="205"/>
    </row>
    <row r="855" ht="15.75" customHeight="1">
      <c r="G855" s="205"/>
    </row>
    <row r="856" ht="15.75" customHeight="1">
      <c r="G856" s="205"/>
    </row>
    <row r="857" ht="15.75" customHeight="1">
      <c r="G857" s="205"/>
    </row>
    <row r="858" ht="15.75" customHeight="1">
      <c r="G858" s="205"/>
    </row>
    <row r="859" ht="15.75" customHeight="1">
      <c r="G859" s="205"/>
    </row>
    <row r="860" ht="15.75" customHeight="1">
      <c r="G860" s="205"/>
    </row>
    <row r="861" ht="15.75" customHeight="1">
      <c r="G861" s="205"/>
    </row>
    <row r="862" ht="15.75" customHeight="1">
      <c r="G862" s="205"/>
    </row>
    <row r="863" ht="15.75" customHeight="1">
      <c r="G863" s="205"/>
    </row>
    <row r="864" ht="15.75" customHeight="1">
      <c r="G864" s="205"/>
    </row>
    <row r="865" ht="15.75" customHeight="1">
      <c r="G865" s="205"/>
    </row>
    <row r="866" ht="15.75" customHeight="1">
      <c r="G866" s="205"/>
    </row>
    <row r="867" ht="15.75" customHeight="1">
      <c r="G867" s="205"/>
    </row>
    <row r="868" ht="15.75" customHeight="1">
      <c r="G868" s="205"/>
    </row>
    <row r="869" ht="15.75" customHeight="1">
      <c r="G869" s="205"/>
    </row>
    <row r="870" ht="15.75" customHeight="1">
      <c r="G870" s="205"/>
    </row>
    <row r="871" ht="15.75" customHeight="1">
      <c r="G871" s="205"/>
    </row>
    <row r="872" ht="15.75" customHeight="1">
      <c r="G872" s="205"/>
    </row>
    <row r="873" ht="15.75" customHeight="1">
      <c r="G873" s="205"/>
    </row>
    <row r="874" ht="15.75" customHeight="1">
      <c r="G874" s="205"/>
    </row>
    <row r="875" ht="15.75" customHeight="1">
      <c r="G875" s="205"/>
    </row>
    <row r="876" ht="15.75" customHeight="1">
      <c r="G876" s="205"/>
    </row>
    <row r="877" ht="15.75" customHeight="1">
      <c r="G877" s="205"/>
    </row>
    <row r="878" ht="15.75" customHeight="1">
      <c r="G878" s="205"/>
    </row>
    <row r="879" ht="15.75" customHeight="1">
      <c r="G879" s="205"/>
    </row>
    <row r="880" ht="15.75" customHeight="1">
      <c r="G880" s="205"/>
    </row>
    <row r="881" ht="15.75" customHeight="1">
      <c r="G881" s="205"/>
    </row>
    <row r="882" ht="15.75" customHeight="1">
      <c r="G882" s="205"/>
    </row>
    <row r="883" ht="15.75" customHeight="1">
      <c r="G883" s="205"/>
    </row>
    <row r="884" ht="15.75" customHeight="1">
      <c r="G884" s="205"/>
    </row>
    <row r="885" ht="15.75" customHeight="1">
      <c r="G885" s="205"/>
    </row>
    <row r="886" ht="15.75" customHeight="1">
      <c r="G886" s="205"/>
    </row>
    <row r="887" ht="15.75" customHeight="1">
      <c r="G887" s="205"/>
    </row>
    <row r="888" ht="15.75" customHeight="1">
      <c r="G888" s="205"/>
    </row>
    <row r="889" ht="15.75" customHeight="1">
      <c r="G889" s="205"/>
    </row>
    <row r="890" ht="15.75" customHeight="1">
      <c r="G890" s="205"/>
    </row>
    <row r="891" ht="15.75" customHeight="1">
      <c r="G891" s="205"/>
    </row>
    <row r="892" ht="15.75" customHeight="1">
      <c r="G892" s="205"/>
    </row>
    <row r="893" ht="15.75" customHeight="1">
      <c r="G893" s="205"/>
    </row>
    <row r="894" ht="15.75" customHeight="1">
      <c r="G894" s="205"/>
    </row>
    <row r="895" ht="15.75" customHeight="1">
      <c r="G895" s="205"/>
    </row>
    <row r="896" ht="15.75" customHeight="1">
      <c r="G896" s="205"/>
    </row>
    <row r="897" ht="15.75" customHeight="1">
      <c r="G897" s="205"/>
    </row>
    <row r="898" ht="15.75" customHeight="1">
      <c r="G898" s="205"/>
    </row>
    <row r="899" ht="15.75" customHeight="1">
      <c r="G899" s="205"/>
    </row>
    <row r="900" ht="15.75" customHeight="1">
      <c r="G900" s="205"/>
    </row>
    <row r="901" ht="15.75" customHeight="1">
      <c r="G901" s="205"/>
    </row>
    <row r="902" ht="15.75" customHeight="1">
      <c r="G902" s="205"/>
    </row>
    <row r="903" ht="15.75" customHeight="1">
      <c r="G903" s="205"/>
    </row>
    <row r="904" ht="15.75" customHeight="1">
      <c r="G904" s="205"/>
    </row>
    <row r="905" ht="15.75" customHeight="1">
      <c r="G905" s="205"/>
    </row>
    <row r="906" ht="15.75" customHeight="1">
      <c r="G906" s="205"/>
    </row>
    <row r="907" ht="15.75" customHeight="1">
      <c r="G907" s="205"/>
    </row>
    <row r="908" ht="15.75" customHeight="1">
      <c r="G908" s="205"/>
    </row>
    <row r="909" ht="15.75" customHeight="1">
      <c r="G909" s="205"/>
    </row>
    <row r="910" ht="15.75" customHeight="1">
      <c r="G910" s="205"/>
    </row>
    <row r="911" ht="15.75" customHeight="1">
      <c r="G911" s="205"/>
    </row>
    <row r="912" ht="15.75" customHeight="1">
      <c r="G912" s="205"/>
    </row>
    <row r="913" ht="15.75" customHeight="1">
      <c r="G913" s="205"/>
    </row>
    <row r="914" ht="15.75" customHeight="1">
      <c r="G914" s="205"/>
    </row>
    <row r="915" ht="15.75" customHeight="1">
      <c r="G915" s="205"/>
    </row>
    <row r="916" ht="15.75" customHeight="1">
      <c r="G916" s="205"/>
    </row>
    <row r="917" ht="15.75" customHeight="1">
      <c r="G917" s="205"/>
    </row>
    <row r="918" ht="15.75" customHeight="1">
      <c r="G918" s="205"/>
    </row>
    <row r="919" ht="15.75" customHeight="1">
      <c r="G919" s="205"/>
    </row>
    <row r="920" ht="15.75" customHeight="1">
      <c r="G920" s="205"/>
    </row>
    <row r="921" ht="15.75" customHeight="1">
      <c r="G921" s="205"/>
    </row>
    <row r="922" ht="15.75" customHeight="1">
      <c r="G922" s="205"/>
    </row>
    <row r="923" ht="15.75" customHeight="1">
      <c r="G923" s="205"/>
    </row>
    <row r="924" ht="15.75" customHeight="1">
      <c r="G924" s="205"/>
    </row>
    <row r="925" ht="15.75" customHeight="1">
      <c r="G925" s="205"/>
    </row>
    <row r="926" ht="15.75" customHeight="1">
      <c r="G926" s="205"/>
    </row>
    <row r="927" ht="15.75" customHeight="1">
      <c r="G927" s="205"/>
    </row>
    <row r="928" ht="15.75" customHeight="1">
      <c r="G928" s="205"/>
    </row>
    <row r="929" ht="15.75" customHeight="1">
      <c r="G929" s="205"/>
    </row>
    <row r="930" ht="15.75" customHeight="1">
      <c r="G930" s="205"/>
    </row>
    <row r="931" ht="15.75" customHeight="1">
      <c r="G931" s="205"/>
    </row>
    <row r="932" ht="15.75" customHeight="1">
      <c r="G932" s="205"/>
    </row>
    <row r="933" ht="15.75" customHeight="1">
      <c r="G933" s="205"/>
    </row>
    <row r="934" ht="15.75" customHeight="1">
      <c r="G934" s="205"/>
    </row>
    <row r="935" ht="15.75" customHeight="1">
      <c r="G935" s="205"/>
    </row>
    <row r="936" ht="15.75" customHeight="1">
      <c r="G936" s="205"/>
    </row>
    <row r="937" ht="15.75" customHeight="1">
      <c r="G937" s="205"/>
    </row>
    <row r="938" ht="15.75" customHeight="1">
      <c r="G938" s="205"/>
    </row>
    <row r="939" ht="15.75" customHeight="1">
      <c r="G939" s="205"/>
    </row>
    <row r="940" ht="15.75" customHeight="1">
      <c r="G940" s="205"/>
    </row>
    <row r="941" ht="15.75" customHeight="1">
      <c r="G941" s="205"/>
    </row>
    <row r="942" ht="15.75" customHeight="1">
      <c r="G942" s="205"/>
    </row>
    <row r="943" ht="15.75" customHeight="1">
      <c r="G943" s="205"/>
    </row>
    <row r="944" ht="15.75" customHeight="1">
      <c r="G944" s="205"/>
    </row>
    <row r="945" ht="15.75" customHeight="1">
      <c r="G945" s="205"/>
    </row>
    <row r="946" ht="15.75" customHeight="1">
      <c r="G946" s="205"/>
    </row>
    <row r="947" ht="15.75" customHeight="1">
      <c r="G947" s="205"/>
    </row>
    <row r="948" ht="15.75" customHeight="1">
      <c r="G948" s="205"/>
    </row>
    <row r="949" ht="15.75" customHeight="1">
      <c r="G949" s="205"/>
    </row>
    <row r="950" ht="15.75" customHeight="1">
      <c r="G950" s="205"/>
    </row>
    <row r="951" ht="15.75" customHeight="1">
      <c r="G951" s="205"/>
    </row>
    <row r="952" ht="15.75" customHeight="1">
      <c r="G952" s="205"/>
    </row>
    <row r="953" ht="15.75" customHeight="1">
      <c r="G953" s="205"/>
    </row>
    <row r="954" ht="15.75" customHeight="1">
      <c r="G954" s="205"/>
    </row>
    <row r="955" ht="15.75" customHeight="1">
      <c r="G955" s="205"/>
    </row>
    <row r="956" ht="15.75" customHeight="1">
      <c r="G956" s="205"/>
    </row>
    <row r="957" ht="15.75" customHeight="1">
      <c r="G957" s="205"/>
    </row>
    <row r="958" ht="15.75" customHeight="1">
      <c r="G958" s="205"/>
    </row>
    <row r="959" ht="15.75" customHeight="1">
      <c r="G959" s="205"/>
    </row>
    <row r="960" ht="15.75" customHeight="1">
      <c r="G960" s="205"/>
    </row>
    <row r="961" ht="15.75" customHeight="1">
      <c r="G961" s="205"/>
    </row>
    <row r="962" ht="15.75" customHeight="1">
      <c r="G962" s="205"/>
    </row>
    <row r="963" ht="15.75" customHeight="1">
      <c r="G963" s="205"/>
    </row>
    <row r="964" ht="15.75" customHeight="1">
      <c r="G964" s="205"/>
    </row>
    <row r="965" ht="15.75" customHeight="1">
      <c r="G965" s="205"/>
    </row>
    <row r="966" ht="15.75" customHeight="1">
      <c r="G966" s="205"/>
    </row>
    <row r="967" ht="15.75" customHeight="1">
      <c r="G967" s="205"/>
    </row>
    <row r="968" ht="15.75" customHeight="1">
      <c r="G968" s="205"/>
    </row>
    <row r="969" ht="15.75" customHeight="1">
      <c r="G969" s="205"/>
    </row>
    <row r="970" ht="15.75" customHeight="1">
      <c r="G970" s="205"/>
    </row>
    <row r="971" ht="15.75" customHeight="1">
      <c r="G971" s="205"/>
    </row>
    <row r="972" ht="15.75" customHeight="1">
      <c r="G972" s="205"/>
    </row>
    <row r="973" ht="15.75" customHeight="1">
      <c r="G973" s="205"/>
    </row>
    <row r="974" ht="15.75" customHeight="1">
      <c r="G974" s="205"/>
    </row>
    <row r="975" ht="15.75" customHeight="1">
      <c r="G975" s="205"/>
    </row>
    <row r="976" ht="15.75" customHeight="1">
      <c r="G976" s="205"/>
    </row>
    <row r="977" ht="15.75" customHeight="1">
      <c r="G977" s="205"/>
    </row>
    <row r="978" ht="15.75" customHeight="1">
      <c r="G978" s="205"/>
    </row>
    <row r="979" ht="15.75" customHeight="1">
      <c r="G979" s="205"/>
    </row>
    <row r="980" ht="15.75" customHeight="1">
      <c r="G980" s="205"/>
    </row>
    <row r="981" ht="15.75" customHeight="1">
      <c r="G981" s="205"/>
    </row>
    <row r="982" ht="15.75" customHeight="1">
      <c r="G982" s="205"/>
    </row>
    <row r="983" ht="15.75" customHeight="1">
      <c r="G983" s="205"/>
    </row>
    <row r="984" ht="15.75" customHeight="1">
      <c r="G984" s="205"/>
    </row>
    <row r="985" ht="15.75" customHeight="1">
      <c r="G985" s="205"/>
    </row>
    <row r="986" ht="15.75" customHeight="1">
      <c r="G986" s="205"/>
    </row>
    <row r="987" ht="15.75" customHeight="1">
      <c r="G987" s="205"/>
    </row>
    <row r="988" ht="15.75" customHeight="1">
      <c r="G988" s="205"/>
    </row>
    <row r="989" ht="15.75" customHeight="1">
      <c r="G989" s="205"/>
    </row>
    <row r="990" ht="15.75" customHeight="1">
      <c r="G990" s="205"/>
    </row>
    <row r="991" ht="15.75" customHeight="1">
      <c r="G991" s="205"/>
    </row>
    <row r="992" ht="15.75" customHeight="1">
      <c r="G992" s="205"/>
    </row>
    <row r="993" ht="15.75" customHeight="1">
      <c r="G993" s="205"/>
    </row>
    <row r="994" ht="15.75" customHeight="1">
      <c r="G994" s="205"/>
    </row>
    <row r="995" ht="15.75" customHeight="1">
      <c r="G995" s="205"/>
    </row>
    <row r="996" ht="15.75" customHeight="1">
      <c r="G996" s="205"/>
    </row>
    <row r="997" ht="15.75" customHeight="1">
      <c r="G997" s="205"/>
    </row>
    <row r="998" ht="15.75" customHeight="1">
      <c r="G998" s="205"/>
    </row>
    <row r="999" ht="15.75" customHeight="1">
      <c r="G999" s="205"/>
    </row>
    <row r="1000" ht="15.75" customHeight="1">
      <c r="G1000" s="205"/>
    </row>
  </sheetData>
  <conditionalFormatting sqref="I10:S12">
    <cfRule type="cellIs" dxfId="5" priority="1" operator="greaterThan">
      <formula>0</formula>
    </cfRule>
  </conditionalFormatting>
  <conditionalFormatting sqref="T10:AB12">
    <cfRule type="cellIs" dxfId="5" priority="2" operator="greaterThan">
      <formula>0</formula>
    </cfRule>
  </conditionalFormatting>
  <conditionalFormatting sqref="A1:G1000">
    <cfRule type="expression" dxfId="7" priority="3">
      <formula>ISFORMULA(A1)</formula>
    </cfRule>
  </conditionalFormatting>
  <conditionalFormatting sqref="A10:AC12">
    <cfRule type="expression" dxfId="6" priority="4">
      <formula>ISEVEN($A10)</formula>
    </cfRule>
  </conditionalFormatting>
  <conditionalFormatting sqref="I16:S18">
    <cfRule type="cellIs" dxfId="5" priority="5" operator="greaterThan">
      <formula>0</formula>
    </cfRule>
  </conditionalFormatting>
  <conditionalFormatting sqref="T16:AB18">
    <cfRule type="cellIs" dxfId="5" priority="6" operator="greaterThan">
      <formula>0</formula>
    </cfRule>
  </conditionalFormatting>
  <conditionalFormatting sqref="A16:AC18">
    <cfRule type="expression" dxfId="6" priority="7">
      <formula>ISEVEN($A16)</formula>
    </cfRule>
  </conditionalFormatting>
  <conditionalFormatting sqref="I22:S24">
    <cfRule type="cellIs" dxfId="5" priority="8" operator="greaterThan">
      <formula>0</formula>
    </cfRule>
  </conditionalFormatting>
  <conditionalFormatting sqref="T22:AB24">
    <cfRule type="cellIs" dxfId="5" priority="9" operator="greaterThan">
      <formula>0</formula>
    </cfRule>
  </conditionalFormatting>
  <conditionalFormatting sqref="A22:AC24">
    <cfRule type="expression" dxfId="6" priority="10">
      <formula>ISEVEN($A22)</formula>
    </cfRule>
  </conditionalFormatting>
  <conditionalFormatting sqref="I28:S30">
    <cfRule type="cellIs" dxfId="5" priority="11" operator="greaterThan">
      <formula>0</formula>
    </cfRule>
  </conditionalFormatting>
  <conditionalFormatting sqref="T28:AB30">
    <cfRule type="cellIs" dxfId="5" priority="12" operator="greaterThan">
      <formula>0</formula>
    </cfRule>
  </conditionalFormatting>
  <conditionalFormatting sqref="A28:AC30">
    <cfRule type="expression" dxfId="6" priority="13">
      <formula>ISEVEN($A28)</formula>
    </cfRule>
  </conditionalFormatting>
  <conditionalFormatting sqref="I34:S36">
    <cfRule type="cellIs" dxfId="5" priority="14" operator="greaterThan">
      <formula>0</formula>
    </cfRule>
  </conditionalFormatting>
  <conditionalFormatting sqref="T34:AB36">
    <cfRule type="cellIs" dxfId="5" priority="15" operator="greaterThan">
      <formula>0</formula>
    </cfRule>
  </conditionalFormatting>
  <conditionalFormatting sqref="A34:AC36">
    <cfRule type="expression" dxfId="6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14" t="s">
        <v>35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</row>
    <row r="3">
      <c r="A3" s="149" t="s">
        <v>190</v>
      </c>
      <c r="B3" s="184">
        <v>4.0</v>
      </c>
    </row>
    <row r="4">
      <c r="A4" s="149" t="s">
        <v>153</v>
      </c>
      <c r="B4" s="150">
        <v>1.0</v>
      </c>
    </row>
    <row r="5">
      <c r="A5" s="149" t="s">
        <v>154</v>
      </c>
      <c r="B5" s="150">
        <v>17.0</v>
      </c>
    </row>
    <row r="6">
      <c r="A6" s="149" t="s">
        <v>227</v>
      </c>
      <c r="B6" s="150" t="b">
        <f>TRUE()</f>
        <v>1</v>
      </c>
    </row>
    <row r="7">
      <c r="A7" s="149" t="s">
        <v>228</v>
      </c>
      <c r="B7" s="150" t="b">
        <f>FALSE()</f>
        <v>0</v>
      </c>
    </row>
    <row r="8">
      <c r="A8" s="149" t="s">
        <v>200</v>
      </c>
      <c r="B8" s="220" t="s">
        <v>229</v>
      </c>
    </row>
    <row r="9">
      <c r="A9" s="149" t="s">
        <v>230</v>
      </c>
      <c r="B9" s="150">
        <v>30.0</v>
      </c>
    </row>
    <row r="10">
      <c r="A10" s="149" t="s">
        <v>231</v>
      </c>
      <c r="B10" s="150">
        <v>10.0</v>
      </c>
    </row>
    <row r="11">
      <c r="A11" s="149" t="s">
        <v>232</v>
      </c>
      <c r="B11" s="150">
        <v>3.0</v>
      </c>
    </row>
    <row r="12">
      <c r="A12" s="149" t="s">
        <v>233</v>
      </c>
      <c r="B12" s="150">
        <v>15.0</v>
      </c>
    </row>
    <row r="13">
      <c r="A13" s="149" t="s">
        <v>234</v>
      </c>
      <c r="B13" s="150" t="s">
        <v>235</v>
      </c>
    </row>
    <row r="15" ht="19.5" customHeight="1">
      <c r="A15" s="116" t="s">
        <v>236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</row>
    <row r="16" ht="21.75" customHeight="1">
      <c r="A16" s="120" t="s">
        <v>98</v>
      </c>
      <c r="B16" s="120" t="s">
        <v>237</v>
      </c>
    </row>
    <row r="17">
      <c r="A17" s="125">
        <v>1.0</v>
      </c>
      <c r="B17" s="125" t="s">
        <v>238</v>
      </c>
    </row>
    <row r="18">
      <c r="A18" s="125">
        <v>2.0</v>
      </c>
      <c r="B18" s="125" t="s">
        <v>239</v>
      </c>
    </row>
    <row r="19">
      <c r="A19" s="125">
        <v>3.0</v>
      </c>
      <c r="B19" s="125" t="s">
        <v>240</v>
      </c>
    </row>
    <row r="20">
      <c r="A20" s="125">
        <v>4.0</v>
      </c>
      <c r="B20" s="125" t="s">
        <v>241</v>
      </c>
    </row>
    <row r="21" ht="15.75" customHeight="1">
      <c r="A21" s="125">
        <v>5.0</v>
      </c>
      <c r="B21" s="125" t="s">
        <v>242</v>
      </c>
    </row>
    <row r="22" ht="15.75" customHeight="1"/>
    <row r="23" ht="19.5" customHeight="1">
      <c r="A23" s="116" t="s">
        <v>243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</row>
    <row r="24" ht="90.0" customHeight="1">
      <c r="A24" s="120" t="s">
        <v>244</v>
      </c>
      <c r="B24" s="120" t="s">
        <v>245</v>
      </c>
      <c r="C24" s="120" t="s">
        <v>246</v>
      </c>
      <c r="D24" s="120" t="s">
        <v>247</v>
      </c>
      <c r="E24" s="120" t="s">
        <v>248</v>
      </c>
      <c r="F24" s="120" t="s">
        <v>249</v>
      </c>
      <c r="G24" s="121" t="s">
        <v>250</v>
      </c>
      <c r="H24" s="221" t="s">
        <v>82</v>
      </c>
      <c r="I24" s="123" t="s">
        <v>68</v>
      </c>
      <c r="J24" s="123" t="s">
        <v>103</v>
      </c>
      <c r="K24" s="123" t="s">
        <v>69</v>
      </c>
      <c r="L24" s="123" t="s">
        <v>70</v>
      </c>
      <c r="M24" s="123" t="s">
        <v>71</v>
      </c>
      <c r="N24" s="123" t="s">
        <v>72</v>
      </c>
      <c r="O24" s="123" t="s">
        <v>73</v>
      </c>
      <c r="P24" s="123" t="s">
        <v>74</v>
      </c>
      <c r="Q24" s="123" t="s">
        <v>75</v>
      </c>
      <c r="R24" s="123" t="s">
        <v>76</v>
      </c>
      <c r="S24" s="123" t="s">
        <v>77</v>
      </c>
      <c r="T24" s="123" t="s">
        <v>78</v>
      </c>
      <c r="U24" s="123" t="s">
        <v>118</v>
      </c>
      <c r="V24" s="123" t="s">
        <v>104</v>
      </c>
      <c r="W24" s="123" t="s">
        <v>105</v>
      </c>
      <c r="X24" s="123" t="s">
        <v>106</v>
      </c>
      <c r="Y24" s="123" t="s">
        <v>107</v>
      </c>
      <c r="Z24" s="123" t="s">
        <v>108</v>
      </c>
      <c r="AA24" s="123" t="s">
        <v>109</v>
      </c>
      <c r="AB24" s="123" t="s">
        <v>110</v>
      </c>
    </row>
    <row r="25" ht="15.75" customHeight="1">
      <c r="A25" s="125">
        <v>1.0</v>
      </c>
      <c r="B25" s="125">
        <v>1.0</v>
      </c>
      <c r="C25" s="185" t="s">
        <v>251</v>
      </c>
      <c r="D25" s="185" t="s">
        <v>252</v>
      </c>
      <c r="E25" s="125">
        <v>0.0</v>
      </c>
      <c r="F25" s="125">
        <v>80.0</v>
      </c>
      <c r="G25" s="126">
        <f t="shared" ref="G25:G54" si="1">A25</f>
        <v>1</v>
      </c>
      <c r="H25" s="222">
        <v>0.0</v>
      </c>
      <c r="I25" s="125">
        <v>0.0</v>
      </c>
      <c r="J25" s="125">
        <v>0.0</v>
      </c>
      <c r="K25" s="125">
        <v>0.0</v>
      </c>
      <c r="L25" s="125">
        <v>0.0</v>
      </c>
      <c r="M25" s="125">
        <v>0.0</v>
      </c>
      <c r="N25" s="125">
        <v>0.0</v>
      </c>
      <c r="O25" s="125">
        <v>0.0</v>
      </c>
      <c r="P25" s="125">
        <v>0.0</v>
      </c>
      <c r="Q25" s="125">
        <v>0.0</v>
      </c>
      <c r="R25" s="125">
        <v>0.0</v>
      </c>
      <c r="S25" s="125">
        <v>0.0</v>
      </c>
      <c r="T25" s="125">
        <v>0.0</v>
      </c>
      <c r="U25" s="125">
        <v>0.0</v>
      </c>
      <c r="V25" s="125">
        <v>0.0</v>
      </c>
      <c r="W25" s="125">
        <v>0.0</v>
      </c>
      <c r="X25" s="125">
        <v>0.0</v>
      </c>
      <c r="Y25" s="125">
        <v>0.0</v>
      </c>
      <c r="Z25" s="125">
        <v>0.0</v>
      </c>
      <c r="AA25" s="125">
        <v>0.0</v>
      </c>
      <c r="AB25" s="125">
        <v>0.0</v>
      </c>
    </row>
    <row r="26" ht="15.75" customHeight="1">
      <c r="A26" s="125">
        <v>2.0</v>
      </c>
      <c r="B26" s="125">
        <v>1.0</v>
      </c>
      <c r="C26" s="185" t="s">
        <v>251</v>
      </c>
      <c r="D26" s="185" t="s">
        <v>253</v>
      </c>
      <c r="E26" s="125">
        <v>0.0</v>
      </c>
      <c r="F26" s="125">
        <v>130.0</v>
      </c>
      <c r="G26" s="126">
        <f t="shared" si="1"/>
        <v>2</v>
      </c>
      <c r="H26" s="222">
        <v>0.0</v>
      </c>
      <c r="I26" s="125">
        <v>0.0</v>
      </c>
      <c r="J26" s="125">
        <v>0.0</v>
      </c>
      <c r="K26" s="125">
        <v>0.0</v>
      </c>
      <c r="L26" s="125">
        <v>0.0</v>
      </c>
      <c r="M26" s="125">
        <v>0.0</v>
      </c>
      <c r="N26" s="125">
        <v>0.0</v>
      </c>
      <c r="O26" s="125">
        <v>0.0</v>
      </c>
      <c r="P26" s="125">
        <v>0.0</v>
      </c>
      <c r="Q26" s="125">
        <v>0.0</v>
      </c>
      <c r="R26" s="125">
        <v>0.0</v>
      </c>
      <c r="S26" s="125">
        <v>0.0</v>
      </c>
      <c r="T26" s="125">
        <v>0.0</v>
      </c>
      <c r="U26" s="125">
        <v>0.0</v>
      </c>
      <c r="V26" s="125">
        <v>0.0</v>
      </c>
      <c r="W26" s="125">
        <v>0.0</v>
      </c>
      <c r="X26" s="125">
        <v>0.0</v>
      </c>
      <c r="Y26" s="125">
        <v>0.0</v>
      </c>
      <c r="Z26" s="125">
        <v>0.0</v>
      </c>
      <c r="AA26" s="125">
        <v>0.0</v>
      </c>
      <c r="AB26" s="125">
        <v>0.0</v>
      </c>
    </row>
    <row r="27" ht="15.75" customHeight="1">
      <c r="A27" s="125">
        <v>3.0</v>
      </c>
      <c r="B27" s="125">
        <v>1.0</v>
      </c>
      <c r="C27" s="185" t="s">
        <v>251</v>
      </c>
      <c r="D27" s="185" t="s">
        <v>254</v>
      </c>
      <c r="E27" s="125">
        <v>0.0</v>
      </c>
      <c r="F27" s="125">
        <v>155.0</v>
      </c>
      <c r="G27" s="126">
        <f t="shared" si="1"/>
        <v>3</v>
      </c>
      <c r="H27" s="222">
        <v>0.0</v>
      </c>
      <c r="I27" s="125">
        <v>0.0</v>
      </c>
      <c r="J27" s="125">
        <v>0.0</v>
      </c>
      <c r="K27" s="125">
        <v>0.0</v>
      </c>
      <c r="L27" s="125">
        <v>1.0</v>
      </c>
      <c r="M27" s="125">
        <v>0.0</v>
      </c>
      <c r="N27" s="125">
        <v>0.0</v>
      </c>
      <c r="O27" s="125">
        <v>0.0</v>
      </c>
      <c r="P27" s="125">
        <v>0.0</v>
      </c>
      <c r="Q27" s="125">
        <v>0.0</v>
      </c>
      <c r="R27" s="125">
        <v>0.0</v>
      </c>
      <c r="S27" s="125">
        <v>0.0</v>
      </c>
      <c r="T27" s="125">
        <v>0.0</v>
      </c>
      <c r="U27" s="125">
        <v>0.0</v>
      </c>
      <c r="V27" s="125">
        <v>0.0</v>
      </c>
      <c r="W27" s="125">
        <v>0.0</v>
      </c>
      <c r="X27" s="125">
        <v>0.0</v>
      </c>
      <c r="Y27" s="125">
        <v>0.0</v>
      </c>
      <c r="Z27" s="125">
        <v>0.0</v>
      </c>
      <c r="AA27" s="125">
        <v>0.0</v>
      </c>
      <c r="AB27" s="125">
        <v>0.0</v>
      </c>
    </row>
    <row r="28" ht="15.75" customHeight="1">
      <c r="A28" s="125">
        <v>4.0</v>
      </c>
      <c r="B28" s="125">
        <v>2.0</v>
      </c>
      <c r="C28" s="185" t="s">
        <v>255</v>
      </c>
      <c r="D28" s="185" t="s">
        <v>256</v>
      </c>
      <c r="E28" s="125">
        <v>2.0</v>
      </c>
      <c r="F28" s="125">
        <v>80.0</v>
      </c>
      <c r="G28" s="126">
        <f t="shared" si="1"/>
        <v>4</v>
      </c>
      <c r="H28" s="222">
        <v>0.0</v>
      </c>
      <c r="I28" s="125">
        <v>0.0</v>
      </c>
      <c r="J28" s="125">
        <v>0.0</v>
      </c>
      <c r="K28" s="125">
        <v>0.0</v>
      </c>
      <c r="L28" s="125">
        <v>0.0</v>
      </c>
      <c r="M28" s="125">
        <v>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  <c r="W28" s="125">
        <v>0.0</v>
      </c>
      <c r="X28" s="125">
        <v>0.0</v>
      </c>
      <c r="Y28" s="125">
        <v>0.0</v>
      </c>
      <c r="Z28" s="125">
        <v>0.0</v>
      </c>
      <c r="AA28" s="125">
        <v>0.0</v>
      </c>
      <c r="AB28" s="125">
        <v>0.0</v>
      </c>
    </row>
    <row r="29" ht="15.75" customHeight="1">
      <c r="A29" s="125">
        <v>5.0</v>
      </c>
      <c r="B29" s="125">
        <v>2.0</v>
      </c>
      <c r="C29" s="185" t="s">
        <v>255</v>
      </c>
      <c r="D29" s="185" t="s">
        <v>257</v>
      </c>
      <c r="E29" s="125">
        <v>2.0</v>
      </c>
      <c r="F29" s="125">
        <v>130.0</v>
      </c>
      <c r="G29" s="126">
        <f t="shared" si="1"/>
        <v>5</v>
      </c>
      <c r="H29" s="222">
        <v>0.0</v>
      </c>
      <c r="I29" s="125">
        <v>0.0</v>
      </c>
      <c r="J29" s="125">
        <v>0.0</v>
      </c>
      <c r="K29" s="125">
        <v>0.0</v>
      </c>
      <c r="L29" s="125">
        <v>0.0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25">
        <v>0.0</v>
      </c>
      <c r="T29" s="125">
        <v>0.0</v>
      </c>
      <c r="U29" s="125">
        <v>0.0</v>
      </c>
      <c r="V29" s="125">
        <v>0.0</v>
      </c>
      <c r="W29" s="125">
        <v>0.0</v>
      </c>
      <c r="X29" s="125">
        <v>0.0</v>
      </c>
      <c r="Y29" s="125">
        <v>0.0</v>
      </c>
      <c r="Z29" s="125">
        <v>0.0</v>
      </c>
      <c r="AA29" s="125">
        <v>0.0</v>
      </c>
      <c r="AB29" s="125">
        <v>0.0</v>
      </c>
    </row>
    <row r="30" ht="15.75" customHeight="1">
      <c r="A30" s="125">
        <v>6.0</v>
      </c>
      <c r="B30" s="125">
        <v>2.0</v>
      </c>
      <c r="C30" s="185" t="s">
        <v>255</v>
      </c>
      <c r="D30" s="185" t="s">
        <v>258</v>
      </c>
      <c r="E30" s="125">
        <v>2.0</v>
      </c>
      <c r="F30" s="125">
        <v>160.0</v>
      </c>
      <c r="G30" s="126">
        <f t="shared" si="1"/>
        <v>6</v>
      </c>
      <c r="H30" s="222">
        <v>0.0</v>
      </c>
      <c r="I30" s="125">
        <v>0.0</v>
      </c>
      <c r="J30" s="125">
        <v>0.0</v>
      </c>
      <c r="K30" s="125">
        <v>0.0</v>
      </c>
      <c r="L30" s="125">
        <v>0.0</v>
      </c>
      <c r="M30" s="125">
        <v>0.0</v>
      </c>
      <c r="N30" s="125">
        <v>0.0</v>
      </c>
      <c r="O30" s="125">
        <v>0.0</v>
      </c>
      <c r="P30" s="125">
        <v>0.0</v>
      </c>
      <c r="Q30" s="125">
        <v>30.0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  <c r="W30" s="125">
        <v>0.0</v>
      </c>
      <c r="X30" s="125">
        <v>0.0</v>
      </c>
      <c r="Y30" s="125">
        <v>0.0</v>
      </c>
      <c r="Z30" s="125">
        <v>0.0</v>
      </c>
      <c r="AA30" s="125">
        <v>0.0</v>
      </c>
      <c r="AB30" s="125">
        <v>0.0</v>
      </c>
    </row>
    <row r="31" ht="15.75" customHeight="1">
      <c r="A31" s="125">
        <v>7.0</v>
      </c>
      <c r="B31" s="125">
        <v>3.0</v>
      </c>
      <c r="C31" s="185" t="s">
        <v>259</v>
      </c>
      <c r="D31" s="185" t="s">
        <v>252</v>
      </c>
      <c r="E31" s="125">
        <v>4.0</v>
      </c>
      <c r="F31" s="125">
        <v>80.0</v>
      </c>
      <c r="G31" s="126">
        <f t="shared" si="1"/>
        <v>7</v>
      </c>
      <c r="H31" s="222">
        <v>0.0</v>
      </c>
      <c r="I31" s="125">
        <v>0.0</v>
      </c>
      <c r="J31" s="125">
        <v>0.0</v>
      </c>
      <c r="K31" s="125">
        <v>0.0</v>
      </c>
      <c r="L31" s="125">
        <v>0.0</v>
      </c>
      <c r="M31" s="125">
        <v>0.0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25">
        <v>0.0</v>
      </c>
      <c r="V31" s="125">
        <v>0.0</v>
      </c>
      <c r="W31" s="125">
        <v>0.0</v>
      </c>
      <c r="X31" s="125">
        <v>0.0</v>
      </c>
      <c r="Y31" s="125">
        <v>0.0</v>
      </c>
      <c r="Z31" s="125">
        <v>0.0</v>
      </c>
      <c r="AA31" s="125">
        <v>0.0</v>
      </c>
      <c r="AB31" s="125">
        <v>0.0</v>
      </c>
    </row>
    <row r="32" ht="15.75" customHeight="1">
      <c r="A32" s="125">
        <v>8.0</v>
      </c>
      <c r="B32" s="125">
        <v>3.0</v>
      </c>
      <c r="C32" s="185" t="s">
        <v>259</v>
      </c>
      <c r="D32" s="185" t="s">
        <v>253</v>
      </c>
      <c r="E32" s="125">
        <v>4.0</v>
      </c>
      <c r="F32" s="125">
        <v>135.0</v>
      </c>
      <c r="G32" s="126">
        <f t="shared" si="1"/>
        <v>8</v>
      </c>
      <c r="H32" s="222">
        <v>0.0</v>
      </c>
      <c r="I32" s="125">
        <v>0.0</v>
      </c>
      <c r="J32" s="125">
        <v>0.0</v>
      </c>
      <c r="K32" s="125">
        <v>0.0</v>
      </c>
      <c r="L32" s="125">
        <v>0.0</v>
      </c>
      <c r="M32" s="125">
        <v>0.0</v>
      </c>
      <c r="N32" s="125">
        <v>0.0</v>
      </c>
      <c r="O32" s="125">
        <v>0.0</v>
      </c>
      <c r="P32" s="125">
        <v>0.0</v>
      </c>
      <c r="Q32" s="125">
        <v>0.0</v>
      </c>
      <c r="R32" s="125">
        <v>0.0</v>
      </c>
      <c r="S32" s="125">
        <v>0.0</v>
      </c>
      <c r="T32" s="125">
        <v>0.0</v>
      </c>
      <c r="U32" s="125">
        <v>0.0</v>
      </c>
      <c r="V32" s="125">
        <v>0.0</v>
      </c>
      <c r="W32" s="125">
        <v>0.0</v>
      </c>
      <c r="X32" s="125">
        <v>0.0</v>
      </c>
      <c r="Y32" s="125">
        <v>0.0</v>
      </c>
      <c r="Z32" s="125">
        <v>0.0</v>
      </c>
      <c r="AA32" s="125">
        <v>0.0</v>
      </c>
      <c r="AB32" s="125">
        <v>0.0</v>
      </c>
    </row>
    <row r="33" ht="15.75" customHeight="1">
      <c r="A33" s="125">
        <v>9.0</v>
      </c>
      <c r="B33" s="125">
        <v>3.0</v>
      </c>
      <c r="C33" s="185" t="s">
        <v>259</v>
      </c>
      <c r="D33" s="185" t="s">
        <v>254</v>
      </c>
      <c r="E33" s="125">
        <v>4.0</v>
      </c>
      <c r="F33" s="125">
        <v>165.0</v>
      </c>
      <c r="G33" s="126">
        <f t="shared" si="1"/>
        <v>9</v>
      </c>
      <c r="H33" s="222">
        <v>25.0</v>
      </c>
      <c r="I33" s="125">
        <v>0.0</v>
      </c>
      <c r="J33" s="125">
        <v>0.0</v>
      </c>
      <c r="K33" s="125">
        <v>0.0</v>
      </c>
      <c r="L33" s="125">
        <v>0.0</v>
      </c>
      <c r="M33" s="125">
        <v>0.0</v>
      </c>
      <c r="N33" s="125">
        <v>0.0</v>
      </c>
      <c r="O33" s="125">
        <v>0.0</v>
      </c>
      <c r="P33" s="125">
        <v>0.0</v>
      </c>
      <c r="Q33" s="125">
        <v>0.0</v>
      </c>
      <c r="R33" s="125">
        <v>0.0</v>
      </c>
      <c r="S33" s="125">
        <v>0.0</v>
      </c>
      <c r="T33" s="125">
        <v>0.0</v>
      </c>
      <c r="U33" s="125">
        <v>0.0</v>
      </c>
      <c r="V33" s="125">
        <v>0.0</v>
      </c>
      <c r="W33" s="125">
        <v>0.0</v>
      </c>
      <c r="X33" s="125">
        <v>0.0</v>
      </c>
      <c r="Y33" s="125">
        <v>0.0</v>
      </c>
      <c r="Z33" s="125">
        <v>0.0</v>
      </c>
      <c r="AA33" s="125">
        <v>0.0</v>
      </c>
      <c r="AB33" s="125">
        <v>0.0</v>
      </c>
    </row>
    <row r="34" ht="15.75" customHeight="1">
      <c r="A34" s="125">
        <v>10.0</v>
      </c>
      <c r="B34" s="125">
        <v>4.0</v>
      </c>
      <c r="C34" s="185" t="s">
        <v>260</v>
      </c>
      <c r="D34" s="185" t="s">
        <v>252</v>
      </c>
      <c r="E34" s="125">
        <v>6.0</v>
      </c>
      <c r="F34" s="125">
        <v>165.0</v>
      </c>
      <c r="G34" s="126">
        <f t="shared" si="1"/>
        <v>10</v>
      </c>
      <c r="H34" s="222">
        <v>0.0</v>
      </c>
      <c r="I34" s="125">
        <v>0.0</v>
      </c>
      <c r="J34" s="125">
        <v>0.0</v>
      </c>
      <c r="K34" s="125">
        <v>0.0</v>
      </c>
      <c r="L34" s="125">
        <v>0.0</v>
      </c>
      <c r="M34" s="125">
        <v>0.0</v>
      </c>
      <c r="N34" s="125">
        <v>0.0</v>
      </c>
      <c r="O34" s="125">
        <v>0.0</v>
      </c>
      <c r="P34" s="125">
        <v>0.0</v>
      </c>
      <c r="Q34" s="125">
        <v>0.0</v>
      </c>
      <c r="R34" s="125">
        <v>0.0</v>
      </c>
      <c r="S34" s="125">
        <v>0.0</v>
      </c>
      <c r="T34" s="125">
        <v>0.0</v>
      </c>
      <c r="U34" s="125">
        <v>0.0</v>
      </c>
      <c r="V34" s="125">
        <v>0.0</v>
      </c>
      <c r="W34" s="125">
        <v>0.0</v>
      </c>
      <c r="X34" s="125">
        <v>0.0</v>
      </c>
      <c r="Y34" s="125">
        <v>0.0</v>
      </c>
      <c r="Z34" s="125">
        <v>0.0</v>
      </c>
      <c r="AA34" s="125">
        <v>0.0</v>
      </c>
      <c r="AB34" s="125">
        <v>0.0</v>
      </c>
    </row>
    <row r="35" ht="15.75" customHeight="1">
      <c r="A35" s="125">
        <v>11.0</v>
      </c>
      <c r="B35" s="125">
        <v>4.0</v>
      </c>
      <c r="C35" s="185" t="s">
        <v>260</v>
      </c>
      <c r="D35" s="185" t="s">
        <v>253</v>
      </c>
      <c r="E35" s="125">
        <v>6.0</v>
      </c>
      <c r="F35" s="125">
        <v>230.0</v>
      </c>
      <c r="G35" s="126">
        <f t="shared" si="1"/>
        <v>11</v>
      </c>
      <c r="H35" s="222">
        <v>0.0</v>
      </c>
      <c r="I35" s="125">
        <v>0.0</v>
      </c>
      <c r="J35" s="125">
        <v>0.0</v>
      </c>
      <c r="K35" s="125">
        <v>0.0</v>
      </c>
      <c r="L35" s="125">
        <v>0.0</v>
      </c>
      <c r="M35" s="125">
        <v>0.0</v>
      </c>
      <c r="N35" s="125">
        <v>0.0</v>
      </c>
      <c r="O35" s="125">
        <v>0.0</v>
      </c>
      <c r="P35" s="125">
        <v>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  <c r="W35" s="125">
        <v>0.0</v>
      </c>
      <c r="X35" s="125">
        <v>0.0</v>
      </c>
      <c r="Y35" s="125">
        <v>0.0</v>
      </c>
      <c r="Z35" s="125">
        <v>0.0</v>
      </c>
      <c r="AA35" s="125">
        <v>0.0</v>
      </c>
      <c r="AB35" s="125">
        <v>0.0</v>
      </c>
    </row>
    <row r="36" ht="15.75" customHeight="1">
      <c r="A36" s="125">
        <v>12.0</v>
      </c>
      <c r="B36" s="125">
        <v>4.0</v>
      </c>
      <c r="C36" s="185" t="s">
        <v>260</v>
      </c>
      <c r="D36" s="185" t="s">
        <v>254</v>
      </c>
      <c r="E36" s="125">
        <v>6.0</v>
      </c>
      <c r="F36" s="125">
        <v>265.0</v>
      </c>
      <c r="G36" s="126">
        <f t="shared" si="1"/>
        <v>12</v>
      </c>
      <c r="H36" s="222">
        <v>0.0</v>
      </c>
      <c r="I36" s="125">
        <v>0.0</v>
      </c>
      <c r="J36" s="125">
        <v>0.0</v>
      </c>
      <c r="K36" s="125">
        <v>0.0</v>
      </c>
      <c r="L36" s="125">
        <v>0.0</v>
      </c>
      <c r="M36" s="125">
        <v>0.0</v>
      </c>
      <c r="N36" s="125">
        <v>0.0</v>
      </c>
      <c r="O36" s="125">
        <v>0.0</v>
      </c>
      <c r="P36" s="125">
        <v>0.0</v>
      </c>
      <c r="Q36" s="125">
        <v>30.0</v>
      </c>
      <c r="R36" s="125">
        <v>15.0</v>
      </c>
      <c r="S36" s="125">
        <v>0.0</v>
      </c>
      <c r="T36" s="125">
        <v>0.0</v>
      </c>
      <c r="U36" s="125">
        <v>0.0</v>
      </c>
      <c r="V36" s="125">
        <v>0.0</v>
      </c>
      <c r="W36" s="125">
        <v>0.0</v>
      </c>
      <c r="X36" s="125">
        <v>0.0</v>
      </c>
      <c r="Y36" s="125">
        <v>0.0</v>
      </c>
      <c r="Z36" s="125">
        <v>0.0</v>
      </c>
      <c r="AA36" s="125">
        <v>0.0</v>
      </c>
      <c r="AB36" s="125">
        <v>0.0</v>
      </c>
    </row>
    <row r="37" ht="15.75" customHeight="1">
      <c r="A37" s="125">
        <v>13.0</v>
      </c>
      <c r="B37" s="125">
        <v>5.0</v>
      </c>
      <c r="C37" s="185" t="s">
        <v>261</v>
      </c>
      <c r="D37" s="185" t="s">
        <v>256</v>
      </c>
      <c r="E37" s="125">
        <v>8.0</v>
      </c>
      <c r="F37" s="125">
        <v>180.0</v>
      </c>
      <c r="G37" s="126">
        <f t="shared" si="1"/>
        <v>13</v>
      </c>
      <c r="H37" s="222">
        <v>0.0</v>
      </c>
      <c r="I37" s="125">
        <v>0.0</v>
      </c>
      <c r="J37" s="125">
        <v>0.0</v>
      </c>
      <c r="K37" s="125">
        <v>0.0</v>
      </c>
      <c r="L37" s="125">
        <v>0.0</v>
      </c>
      <c r="M37" s="125">
        <v>0.0</v>
      </c>
      <c r="N37" s="125">
        <v>0.0</v>
      </c>
      <c r="O37" s="125">
        <v>0.0</v>
      </c>
      <c r="P37" s="125">
        <v>0.0</v>
      </c>
      <c r="Q37" s="125">
        <v>0.0</v>
      </c>
      <c r="R37" s="125">
        <v>0.0</v>
      </c>
      <c r="S37" s="125">
        <v>0.0</v>
      </c>
      <c r="T37" s="125">
        <v>0.0</v>
      </c>
      <c r="U37" s="125">
        <v>0.0</v>
      </c>
      <c r="V37" s="125">
        <v>0.0</v>
      </c>
      <c r="W37" s="125">
        <v>0.0</v>
      </c>
      <c r="X37" s="125">
        <v>0.0</v>
      </c>
      <c r="Y37" s="125">
        <v>0.0</v>
      </c>
      <c r="Z37" s="125">
        <v>0.0</v>
      </c>
      <c r="AA37" s="125">
        <v>0.0</v>
      </c>
      <c r="AB37" s="125">
        <v>0.0</v>
      </c>
    </row>
    <row r="38" ht="15.75" customHeight="1">
      <c r="A38" s="125">
        <v>14.0</v>
      </c>
      <c r="B38" s="125">
        <v>5.0</v>
      </c>
      <c r="C38" s="185" t="s">
        <v>261</v>
      </c>
      <c r="D38" s="185" t="s">
        <v>257</v>
      </c>
      <c r="E38" s="125">
        <v>8.0</v>
      </c>
      <c r="F38" s="125">
        <v>250.0</v>
      </c>
      <c r="G38" s="126">
        <f t="shared" si="1"/>
        <v>14</v>
      </c>
      <c r="H38" s="222">
        <v>0.0</v>
      </c>
      <c r="I38" s="125">
        <v>0.0</v>
      </c>
      <c r="J38" s="125">
        <v>0.0</v>
      </c>
      <c r="K38" s="125">
        <v>0.0</v>
      </c>
      <c r="L38" s="125">
        <v>0.0</v>
      </c>
      <c r="M38" s="125">
        <v>0.0</v>
      </c>
      <c r="N38" s="125">
        <v>0.0</v>
      </c>
      <c r="O38" s="125">
        <v>0.0</v>
      </c>
      <c r="P38" s="125">
        <v>0.0</v>
      </c>
      <c r="Q38" s="125">
        <v>0.0</v>
      </c>
      <c r="R38" s="125">
        <v>0.0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  <c r="X38" s="125">
        <v>0.0</v>
      </c>
      <c r="Y38" s="125">
        <v>0.0</v>
      </c>
      <c r="Z38" s="125">
        <v>0.0</v>
      </c>
      <c r="AA38" s="125">
        <v>0.0</v>
      </c>
      <c r="AB38" s="125">
        <v>0.0</v>
      </c>
    </row>
    <row r="39" ht="15.75" customHeight="1">
      <c r="A39" s="125">
        <v>15.0</v>
      </c>
      <c r="B39" s="125">
        <v>5.0</v>
      </c>
      <c r="C39" s="185" t="s">
        <v>261</v>
      </c>
      <c r="D39" s="185" t="s">
        <v>258</v>
      </c>
      <c r="E39" s="125">
        <v>8.0</v>
      </c>
      <c r="F39" s="125">
        <v>300.0</v>
      </c>
      <c r="G39" s="126">
        <f t="shared" si="1"/>
        <v>15</v>
      </c>
      <c r="H39" s="222">
        <v>0.0</v>
      </c>
      <c r="I39" s="125">
        <v>0.0</v>
      </c>
      <c r="J39" s="125">
        <v>0.0</v>
      </c>
      <c r="K39" s="125">
        <v>1.0</v>
      </c>
      <c r="L39" s="125">
        <v>0.0</v>
      </c>
      <c r="M39" s="125">
        <v>0.0</v>
      </c>
      <c r="N39" s="125">
        <v>0.0</v>
      </c>
      <c r="O39" s="125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  <c r="X39" s="125">
        <v>0.0</v>
      </c>
      <c r="Y39" s="125">
        <v>0.0</v>
      </c>
      <c r="Z39" s="125">
        <v>0.0</v>
      </c>
      <c r="AA39" s="125">
        <v>0.0</v>
      </c>
      <c r="AB39" s="125">
        <v>0.0</v>
      </c>
    </row>
    <row r="40" ht="15.75" customHeight="1">
      <c r="A40" s="125">
        <v>16.0</v>
      </c>
      <c r="B40" s="125">
        <v>6.0</v>
      </c>
      <c r="C40" s="185" t="s">
        <v>262</v>
      </c>
      <c r="D40" s="185" t="s">
        <v>256</v>
      </c>
      <c r="E40" s="125">
        <v>10.0</v>
      </c>
      <c r="F40" s="125">
        <v>180.0</v>
      </c>
      <c r="G40" s="126">
        <f t="shared" si="1"/>
        <v>16</v>
      </c>
      <c r="H40" s="222">
        <v>0.0</v>
      </c>
      <c r="I40" s="125">
        <v>0.0</v>
      </c>
      <c r="J40" s="125">
        <v>0.0</v>
      </c>
      <c r="K40" s="125">
        <v>0.0</v>
      </c>
      <c r="L40" s="125">
        <v>0.0</v>
      </c>
      <c r="M40" s="125">
        <v>0.0</v>
      </c>
      <c r="N40" s="125">
        <v>0.0</v>
      </c>
      <c r="O40" s="125">
        <v>0.0</v>
      </c>
      <c r="P40" s="125">
        <v>0.0</v>
      </c>
      <c r="Q40" s="125">
        <v>0.0</v>
      </c>
      <c r="R40" s="125">
        <v>0.0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  <c r="X40" s="125">
        <v>0.0</v>
      </c>
      <c r="Y40" s="125">
        <v>0.0</v>
      </c>
      <c r="Z40" s="125">
        <v>0.0</v>
      </c>
      <c r="AA40" s="125">
        <v>0.0</v>
      </c>
      <c r="AB40" s="125">
        <v>0.0</v>
      </c>
    </row>
    <row r="41" ht="15.75" customHeight="1">
      <c r="A41" s="125">
        <v>17.0</v>
      </c>
      <c r="B41" s="125">
        <v>6.0</v>
      </c>
      <c r="C41" s="185" t="s">
        <v>262</v>
      </c>
      <c r="D41" s="185" t="s">
        <v>257</v>
      </c>
      <c r="E41" s="125">
        <v>10.0</v>
      </c>
      <c r="F41" s="125">
        <v>260.0</v>
      </c>
      <c r="G41" s="126">
        <f t="shared" si="1"/>
        <v>17</v>
      </c>
      <c r="H41" s="222">
        <v>0.0</v>
      </c>
      <c r="I41" s="125">
        <v>0.0</v>
      </c>
      <c r="J41" s="125">
        <v>0.0</v>
      </c>
      <c r="K41" s="125">
        <v>0.0</v>
      </c>
      <c r="L41" s="125">
        <v>0.0</v>
      </c>
      <c r="M41" s="125">
        <v>0.0</v>
      </c>
      <c r="N41" s="125">
        <v>0.0</v>
      </c>
      <c r="O41" s="125">
        <v>0.0</v>
      </c>
      <c r="P41" s="125">
        <v>0.0</v>
      </c>
      <c r="Q41" s="125">
        <v>0.0</v>
      </c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  <c r="X41" s="125">
        <v>0.0</v>
      </c>
      <c r="Y41" s="125">
        <v>0.0</v>
      </c>
      <c r="Z41" s="125">
        <v>0.0</v>
      </c>
      <c r="AA41" s="125">
        <v>0.0</v>
      </c>
      <c r="AB41" s="125">
        <v>0.0</v>
      </c>
    </row>
    <row r="42" ht="15.75" customHeight="1">
      <c r="A42" s="125">
        <v>18.0</v>
      </c>
      <c r="B42" s="125">
        <v>6.0</v>
      </c>
      <c r="C42" s="185" t="s">
        <v>262</v>
      </c>
      <c r="D42" s="185" t="s">
        <v>258</v>
      </c>
      <c r="E42" s="125">
        <v>10.0</v>
      </c>
      <c r="F42" s="125">
        <v>300.0</v>
      </c>
      <c r="G42" s="126">
        <f t="shared" si="1"/>
        <v>18</v>
      </c>
      <c r="H42" s="222">
        <v>0.0</v>
      </c>
      <c r="I42" s="125">
        <v>0.0</v>
      </c>
      <c r="J42" s="125">
        <v>0.0</v>
      </c>
      <c r="K42" s="125">
        <v>0.0</v>
      </c>
      <c r="L42" s="125">
        <v>0.0</v>
      </c>
      <c r="M42" s="125">
        <v>0.0</v>
      </c>
      <c r="N42" s="125">
        <v>0.0</v>
      </c>
      <c r="O42" s="125">
        <v>0.0</v>
      </c>
      <c r="P42" s="125">
        <v>0.0</v>
      </c>
      <c r="Q42" s="125">
        <v>30.0</v>
      </c>
      <c r="R42" s="125">
        <v>0.0</v>
      </c>
      <c r="S42" s="125">
        <v>15.0</v>
      </c>
      <c r="T42" s="125">
        <v>0.0</v>
      </c>
      <c r="U42" s="125">
        <v>0.0</v>
      </c>
      <c r="V42" s="125">
        <v>0.0</v>
      </c>
      <c r="W42" s="125">
        <v>0.0</v>
      </c>
      <c r="X42" s="125">
        <v>0.0</v>
      </c>
      <c r="Y42" s="125">
        <v>0.0</v>
      </c>
      <c r="Z42" s="125">
        <v>0.0</v>
      </c>
      <c r="AA42" s="125">
        <v>0.0</v>
      </c>
      <c r="AB42" s="125">
        <v>0.0</v>
      </c>
    </row>
    <row r="43" ht="15.75" customHeight="1">
      <c r="A43" s="125">
        <v>19.0</v>
      </c>
      <c r="B43" s="125">
        <v>7.0</v>
      </c>
      <c r="C43" s="185" t="s">
        <v>263</v>
      </c>
      <c r="D43" s="185" t="s">
        <v>264</v>
      </c>
      <c r="E43" s="125">
        <v>13.0</v>
      </c>
      <c r="F43" s="125">
        <v>300.0</v>
      </c>
      <c r="G43" s="126">
        <f t="shared" si="1"/>
        <v>19</v>
      </c>
      <c r="H43" s="222">
        <v>0.0</v>
      </c>
      <c r="I43" s="125">
        <v>0.0</v>
      </c>
      <c r="J43" s="125">
        <v>0.0</v>
      </c>
      <c r="K43" s="125">
        <v>0.0</v>
      </c>
      <c r="L43" s="125">
        <v>0.0</v>
      </c>
      <c r="M43" s="125">
        <v>0.0</v>
      </c>
      <c r="N43" s="125">
        <v>0.0</v>
      </c>
      <c r="O43" s="125">
        <v>0.0</v>
      </c>
      <c r="P43" s="125">
        <v>0.0</v>
      </c>
      <c r="Q43" s="125">
        <v>0.0</v>
      </c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  <c r="X43" s="125">
        <v>0.0</v>
      </c>
      <c r="Y43" s="125">
        <v>0.0</v>
      </c>
      <c r="Z43" s="125">
        <v>0.0</v>
      </c>
      <c r="AA43" s="125">
        <v>0.0</v>
      </c>
      <c r="AB43" s="125">
        <v>0.0</v>
      </c>
    </row>
    <row r="44" ht="15.75" customHeight="1">
      <c r="A44" s="125">
        <v>20.0</v>
      </c>
      <c r="B44" s="125">
        <v>7.0</v>
      </c>
      <c r="C44" s="185" t="s">
        <v>263</v>
      </c>
      <c r="D44" s="185" t="s">
        <v>265</v>
      </c>
      <c r="E44" s="125">
        <v>13.0</v>
      </c>
      <c r="F44" s="125">
        <v>375.0</v>
      </c>
      <c r="G44" s="126">
        <f t="shared" si="1"/>
        <v>20</v>
      </c>
      <c r="H44" s="222">
        <v>0.0</v>
      </c>
      <c r="I44" s="125">
        <v>0.0</v>
      </c>
      <c r="J44" s="125">
        <v>0.0</v>
      </c>
      <c r="K44" s="125">
        <v>0.0</v>
      </c>
      <c r="L44" s="125">
        <v>0.0</v>
      </c>
      <c r="M44" s="125">
        <v>0.0</v>
      </c>
      <c r="N44" s="125">
        <v>0.0</v>
      </c>
      <c r="O44" s="125">
        <v>0.0</v>
      </c>
      <c r="P44" s="125">
        <v>0.0</v>
      </c>
      <c r="Q44" s="125">
        <v>0.0</v>
      </c>
      <c r="R44" s="125">
        <v>0.0</v>
      </c>
      <c r="S44" s="125">
        <v>0.0</v>
      </c>
      <c r="T44" s="125">
        <v>0.0</v>
      </c>
      <c r="U44" s="125">
        <v>0.0</v>
      </c>
      <c r="V44" s="125">
        <v>0.0</v>
      </c>
      <c r="W44" s="125">
        <v>0.0</v>
      </c>
      <c r="X44" s="125">
        <v>0.0</v>
      </c>
      <c r="Y44" s="125">
        <v>0.0</v>
      </c>
      <c r="Z44" s="125">
        <v>0.0</v>
      </c>
      <c r="AA44" s="125">
        <v>0.0</v>
      </c>
      <c r="AB44" s="125">
        <v>0.0</v>
      </c>
    </row>
    <row r="45" ht="15.75" customHeight="1">
      <c r="A45" s="125">
        <v>21.0</v>
      </c>
      <c r="B45" s="125">
        <v>7.0</v>
      </c>
      <c r="C45" s="185" t="s">
        <v>263</v>
      </c>
      <c r="D45" s="185" t="s">
        <v>266</v>
      </c>
      <c r="E45" s="125">
        <v>13.0</v>
      </c>
      <c r="F45" s="125">
        <v>410.0</v>
      </c>
      <c r="G45" s="126">
        <f t="shared" si="1"/>
        <v>21</v>
      </c>
      <c r="H45" s="222">
        <v>25.0</v>
      </c>
      <c r="I45" s="125">
        <v>0.0</v>
      </c>
      <c r="J45" s="125">
        <v>0.0</v>
      </c>
      <c r="K45" s="125">
        <v>0.0</v>
      </c>
      <c r="L45" s="125">
        <v>0.0</v>
      </c>
      <c r="M45" s="125">
        <v>0.0</v>
      </c>
      <c r="N45" s="125">
        <v>0.0</v>
      </c>
      <c r="O45" s="125">
        <v>0.0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  <c r="X45" s="125">
        <v>0.0</v>
      </c>
      <c r="Y45" s="125">
        <v>0.0</v>
      </c>
      <c r="Z45" s="125">
        <v>0.0</v>
      </c>
      <c r="AA45" s="125">
        <v>0.0</v>
      </c>
      <c r="AB45" s="125">
        <v>0.0</v>
      </c>
    </row>
    <row r="46" ht="15.75" customHeight="1">
      <c r="A46" s="125">
        <v>22.0</v>
      </c>
      <c r="B46" s="125">
        <v>8.0</v>
      </c>
      <c r="C46" s="185" t="s">
        <v>267</v>
      </c>
      <c r="D46" s="185" t="s">
        <v>264</v>
      </c>
      <c r="E46" s="125">
        <v>16.0</v>
      </c>
      <c r="F46" s="125">
        <v>385.0</v>
      </c>
      <c r="G46" s="126">
        <f t="shared" si="1"/>
        <v>22</v>
      </c>
      <c r="H46" s="222">
        <v>0.0</v>
      </c>
      <c r="I46" s="125">
        <v>0.0</v>
      </c>
      <c r="J46" s="125">
        <v>0.0</v>
      </c>
      <c r="K46" s="125">
        <v>0.0</v>
      </c>
      <c r="L46" s="125">
        <v>0.0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5">
        <v>0.0</v>
      </c>
      <c r="V46" s="125">
        <v>0.0</v>
      </c>
      <c r="W46" s="125">
        <v>0.0</v>
      </c>
      <c r="X46" s="125">
        <v>0.0</v>
      </c>
      <c r="Y46" s="125">
        <v>0.0</v>
      </c>
      <c r="Z46" s="125">
        <v>0.0</v>
      </c>
      <c r="AA46" s="125">
        <v>0.0</v>
      </c>
      <c r="AB46" s="125">
        <v>0.0</v>
      </c>
    </row>
    <row r="47" ht="15.75" customHeight="1">
      <c r="A47" s="125">
        <v>23.0</v>
      </c>
      <c r="B47" s="125">
        <v>8.0</v>
      </c>
      <c r="C47" s="185" t="s">
        <v>267</v>
      </c>
      <c r="D47" s="185" t="s">
        <v>265</v>
      </c>
      <c r="E47" s="125">
        <v>16.0</v>
      </c>
      <c r="F47" s="125">
        <v>475.0</v>
      </c>
      <c r="G47" s="126">
        <f t="shared" si="1"/>
        <v>23</v>
      </c>
      <c r="H47" s="222">
        <v>0.0</v>
      </c>
      <c r="I47" s="125">
        <v>0.0</v>
      </c>
      <c r="J47" s="125">
        <v>0.0</v>
      </c>
      <c r="K47" s="125">
        <v>0.0</v>
      </c>
      <c r="L47" s="125">
        <v>0.0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25">
        <v>0.0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  <c r="X47" s="125">
        <v>0.0</v>
      </c>
      <c r="Y47" s="125">
        <v>0.0</v>
      </c>
      <c r="Z47" s="125">
        <v>0.0</v>
      </c>
      <c r="AA47" s="125">
        <v>0.0</v>
      </c>
      <c r="AB47" s="125">
        <v>0.0</v>
      </c>
    </row>
    <row r="48" ht="15.75" customHeight="1">
      <c r="A48" s="125">
        <v>24.0</v>
      </c>
      <c r="B48" s="125">
        <v>8.0</v>
      </c>
      <c r="C48" s="185" t="s">
        <v>267</v>
      </c>
      <c r="D48" s="185" t="s">
        <v>266</v>
      </c>
      <c r="E48" s="125">
        <v>16.0</v>
      </c>
      <c r="F48" s="125">
        <v>500.0</v>
      </c>
      <c r="G48" s="126">
        <f t="shared" si="1"/>
        <v>24</v>
      </c>
      <c r="H48" s="222">
        <v>0.0</v>
      </c>
      <c r="I48" s="125">
        <v>0.0</v>
      </c>
      <c r="J48" s="125">
        <v>0.0</v>
      </c>
      <c r="K48" s="125">
        <v>0.0</v>
      </c>
      <c r="L48" s="125">
        <v>0.0</v>
      </c>
      <c r="M48" s="125">
        <v>0.0</v>
      </c>
      <c r="N48" s="125">
        <v>0.0</v>
      </c>
      <c r="O48" s="125">
        <v>0.0</v>
      </c>
      <c r="P48" s="125">
        <v>0.0</v>
      </c>
      <c r="Q48" s="125">
        <v>60.0</v>
      </c>
      <c r="R48" s="125">
        <v>0.0</v>
      </c>
      <c r="S48" s="125">
        <v>0.0</v>
      </c>
      <c r="T48" s="125">
        <v>15.0</v>
      </c>
      <c r="U48" s="125">
        <v>0.0</v>
      </c>
      <c r="V48" s="125">
        <v>0.0</v>
      </c>
      <c r="W48" s="125">
        <v>0.0</v>
      </c>
      <c r="X48" s="125">
        <v>0.0</v>
      </c>
      <c r="Y48" s="125">
        <v>0.0</v>
      </c>
      <c r="Z48" s="125">
        <v>0.0</v>
      </c>
      <c r="AA48" s="125">
        <v>0.0</v>
      </c>
      <c r="AB48" s="125">
        <v>0.0</v>
      </c>
    </row>
    <row r="49" ht="15.75" customHeight="1">
      <c r="A49" s="125">
        <v>25.0</v>
      </c>
      <c r="B49" s="125">
        <v>9.0</v>
      </c>
      <c r="C49" s="185" t="s">
        <v>268</v>
      </c>
      <c r="D49" s="185" t="s">
        <v>264</v>
      </c>
      <c r="E49" s="125">
        <v>20.0</v>
      </c>
      <c r="F49" s="125">
        <v>400.0</v>
      </c>
      <c r="G49" s="126">
        <f t="shared" si="1"/>
        <v>25</v>
      </c>
      <c r="H49" s="222">
        <v>0.0</v>
      </c>
      <c r="I49" s="125">
        <v>0.0</v>
      </c>
      <c r="J49" s="125">
        <v>0.0</v>
      </c>
      <c r="K49" s="125">
        <v>0.0</v>
      </c>
      <c r="L49" s="125">
        <v>0.0</v>
      </c>
      <c r="M49" s="125">
        <v>0.0</v>
      </c>
      <c r="N49" s="125">
        <v>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5">
        <v>0.0</v>
      </c>
      <c r="V49" s="125">
        <v>0.0</v>
      </c>
      <c r="W49" s="125">
        <v>0.0</v>
      </c>
      <c r="X49" s="125">
        <v>0.0</v>
      </c>
      <c r="Y49" s="125">
        <v>0.0</v>
      </c>
      <c r="Z49" s="125">
        <v>0.0</v>
      </c>
      <c r="AA49" s="125">
        <v>0.0</v>
      </c>
      <c r="AB49" s="125">
        <v>0.0</v>
      </c>
    </row>
    <row r="50" ht="15.75" customHeight="1">
      <c r="A50" s="125">
        <v>26.0</v>
      </c>
      <c r="B50" s="125">
        <v>9.0</v>
      </c>
      <c r="C50" s="185" t="s">
        <v>268</v>
      </c>
      <c r="D50" s="185" t="s">
        <v>265</v>
      </c>
      <c r="E50" s="125">
        <v>20.0</v>
      </c>
      <c r="F50" s="125">
        <v>480.0</v>
      </c>
      <c r="G50" s="126">
        <f t="shared" si="1"/>
        <v>26</v>
      </c>
      <c r="H50" s="222">
        <v>0.0</v>
      </c>
      <c r="I50" s="125">
        <v>0.0</v>
      </c>
      <c r="J50" s="125">
        <v>0.0</v>
      </c>
      <c r="K50" s="125">
        <v>0.0</v>
      </c>
      <c r="L50" s="125">
        <v>0.0</v>
      </c>
      <c r="M50" s="125">
        <v>0.0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  <c r="X50" s="125">
        <v>0.0</v>
      </c>
      <c r="Y50" s="125">
        <v>0.0</v>
      </c>
      <c r="Z50" s="125">
        <v>0.0</v>
      </c>
      <c r="AA50" s="125">
        <v>0.0</v>
      </c>
      <c r="AB50" s="125">
        <v>0.0</v>
      </c>
    </row>
    <row r="51" ht="15.75" customHeight="1">
      <c r="A51" s="125">
        <v>27.0</v>
      </c>
      <c r="B51" s="125">
        <v>9.0</v>
      </c>
      <c r="C51" s="185" t="s">
        <v>268</v>
      </c>
      <c r="D51" s="185" t="s">
        <v>266</v>
      </c>
      <c r="E51" s="125">
        <v>20.0</v>
      </c>
      <c r="F51" s="125">
        <v>520.0</v>
      </c>
      <c r="G51" s="126">
        <f t="shared" si="1"/>
        <v>27</v>
      </c>
      <c r="H51" s="222">
        <v>0.0</v>
      </c>
      <c r="I51" s="125">
        <v>0.0</v>
      </c>
      <c r="J51" s="125">
        <v>0.0</v>
      </c>
      <c r="K51" s="125">
        <v>0.0</v>
      </c>
      <c r="L51" s="125">
        <v>0.0</v>
      </c>
      <c r="M51" s="125">
        <v>0.0</v>
      </c>
      <c r="N51" s="125">
        <v>0.0</v>
      </c>
      <c r="O51" s="125">
        <v>1.0</v>
      </c>
      <c r="P51" s="125">
        <v>0.0</v>
      </c>
      <c r="Q51" s="125">
        <v>0.0</v>
      </c>
      <c r="R51" s="125">
        <v>0.0</v>
      </c>
      <c r="S51" s="125">
        <v>0.0</v>
      </c>
      <c r="T51" s="125">
        <v>0.0</v>
      </c>
      <c r="U51" s="125">
        <v>0.0</v>
      </c>
      <c r="V51" s="125">
        <v>0.0</v>
      </c>
      <c r="W51" s="125">
        <v>0.0</v>
      </c>
      <c r="X51" s="125">
        <v>0.0</v>
      </c>
      <c r="Y51" s="125">
        <v>0.0</v>
      </c>
      <c r="Z51" s="125">
        <v>0.0</v>
      </c>
      <c r="AA51" s="125">
        <v>0.0</v>
      </c>
      <c r="AB51" s="125">
        <v>0.0</v>
      </c>
    </row>
    <row r="52" ht="15.75" customHeight="1">
      <c r="A52" s="125">
        <v>28.0</v>
      </c>
      <c r="B52" s="125">
        <v>10.0</v>
      </c>
      <c r="C52" s="185" t="s">
        <v>269</v>
      </c>
      <c r="D52" s="185" t="s">
        <v>270</v>
      </c>
      <c r="E52" s="125">
        <v>25.0</v>
      </c>
      <c r="F52" s="125">
        <v>600.0</v>
      </c>
      <c r="G52" s="126">
        <f t="shared" si="1"/>
        <v>28</v>
      </c>
      <c r="H52" s="222">
        <v>0.0</v>
      </c>
      <c r="I52" s="125">
        <v>0.0</v>
      </c>
      <c r="J52" s="125">
        <v>0.0</v>
      </c>
      <c r="K52" s="125">
        <v>0.0</v>
      </c>
      <c r="L52" s="125">
        <v>0.0</v>
      </c>
      <c r="M52" s="125">
        <v>0.0</v>
      </c>
      <c r="N52" s="125">
        <v>0.0</v>
      </c>
      <c r="O52" s="125">
        <v>0.0</v>
      </c>
      <c r="P52" s="125">
        <v>0.0</v>
      </c>
      <c r="Q52" s="125">
        <v>0.0</v>
      </c>
      <c r="R52" s="125">
        <v>0.0</v>
      </c>
      <c r="S52" s="125">
        <v>0.0</v>
      </c>
      <c r="T52" s="125">
        <v>0.0</v>
      </c>
      <c r="U52" s="125">
        <v>0.0</v>
      </c>
      <c r="V52" s="125">
        <v>0.0</v>
      </c>
      <c r="W52" s="125">
        <v>0.0</v>
      </c>
      <c r="X52" s="125">
        <v>0.0</v>
      </c>
      <c r="Y52" s="125">
        <v>0.0</v>
      </c>
      <c r="Z52" s="125">
        <v>0.0</v>
      </c>
      <c r="AA52" s="125">
        <v>0.0</v>
      </c>
      <c r="AB52" s="125">
        <v>0.0</v>
      </c>
    </row>
    <row r="53" ht="15.75" customHeight="1">
      <c r="A53" s="125">
        <v>29.0</v>
      </c>
      <c r="B53" s="125">
        <v>10.0</v>
      </c>
      <c r="C53" s="185" t="s">
        <v>269</v>
      </c>
      <c r="D53" s="185" t="s">
        <v>271</v>
      </c>
      <c r="E53" s="125">
        <v>25.0</v>
      </c>
      <c r="F53" s="125">
        <v>600.0</v>
      </c>
      <c r="G53" s="126">
        <f t="shared" si="1"/>
        <v>29</v>
      </c>
      <c r="H53" s="222">
        <v>0.0</v>
      </c>
      <c r="I53" s="125">
        <v>0.0</v>
      </c>
      <c r="J53" s="125">
        <v>0.0</v>
      </c>
      <c r="K53" s="125">
        <v>0.0</v>
      </c>
      <c r="L53" s="125">
        <v>0.0</v>
      </c>
      <c r="M53" s="125">
        <v>0.0</v>
      </c>
      <c r="N53" s="125">
        <v>0.0</v>
      </c>
      <c r="O53" s="125">
        <v>0.0</v>
      </c>
      <c r="P53" s="125">
        <v>0.0</v>
      </c>
      <c r="Q53" s="125">
        <v>0.0</v>
      </c>
      <c r="R53" s="125">
        <v>0.0</v>
      </c>
      <c r="S53" s="125">
        <v>0.0</v>
      </c>
      <c r="T53" s="125">
        <v>0.0</v>
      </c>
      <c r="U53" s="125">
        <v>0.0</v>
      </c>
      <c r="V53" s="125">
        <v>0.0</v>
      </c>
      <c r="W53" s="125">
        <v>0.0</v>
      </c>
      <c r="X53" s="125">
        <v>0.0</v>
      </c>
      <c r="Y53" s="125">
        <v>0.0</v>
      </c>
      <c r="Z53" s="125">
        <v>0.0</v>
      </c>
      <c r="AA53" s="125">
        <v>0.0</v>
      </c>
      <c r="AB53" s="125">
        <v>0.0</v>
      </c>
    </row>
    <row r="54" ht="15.75" customHeight="1">
      <c r="A54" s="125">
        <v>30.0</v>
      </c>
      <c r="B54" s="125">
        <v>10.0</v>
      </c>
      <c r="C54" s="185" t="s">
        <v>269</v>
      </c>
      <c r="D54" s="185" t="s">
        <v>272</v>
      </c>
      <c r="E54" s="125">
        <v>25.0</v>
      </c>
      <c r="F54" s="125">
        <v>600.0</v>
      </c>
      <c r="G54" s="126">
        <f t="shared" si="1"/>
        <v>30</v>
      </c>
      <c r="H54" s="222">
        <v>50.0</v>
      </c>
      <c r="I54" s="125">
        <v>0.0</v>
      </c>
      <c r="J54" s="125">
        <v>0.0</v>
      </c>
      <c r="K54" s="125">
        <v>0.0</v>
      </c>
      <c r="L54" s="125">
        <v>0.0</v>
      </c>
      <c r="M54" s="125">
        <v>1.0</v>
      </c>
      <c r="N54" s="125">
        <v>0.0</v>
      </c>
      <c r="O54" s="125">
        <v>0.0</v>
      </c>
      <c r="P54" s="125">
        <v>0.0</v>
      </c>
      <c r="Q54" s="125">
        <v>120.0</v>
      </c>
      <c r="R54" s="125">
        <v>0.0</v>
      </c>
      <c r="S54" s="125">
        <v>0.0</v>
      </c>
      <c r="T54" s="125">
        <v>0.0</v>
      </c>
      <c r="U54" s="125">
        <v>0.0</v>
      </c>
      <c r="V54" s="125">
        <v>0.0</v>
      </c>
      <c r="W54" s="125">
        <v>0.0</v>
      </c>
      <c r="X54" s="125">
        <v>0.0</v>
      </c>
      <c r="Y54" s="125">
        <v>0.0</v>
      </c>
      <c r="Z54" s="125">
        <v>0.0</v>
      </c>
      <c r="AA54" s="125">
        <v>0.0</v>
      </c>
      <c r="AB54" s="125">
        <v>0.0</v>
      </c>
    </row>
    <row r="55" ht="15.75" customHeight="1"/>
    <row r="56" ht="19.5" customHeight="1">
      <c r="A56" s="115" t="s">
        <v>273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</row>
    <row r="57" ht="90.0" customHeight="1">
      <c r="A57" s="120" t="s">
        <v>274</v>
      </c>
      <c r="B57" s="120" t="s">
        <v>275</v>
      </c>
      <c r="H57" s="221" t="s">
        <v>82</v>
      </c>
      <c r="I57" s="123" t="s">
        <v>68</v>
      </c>
      <c r="J57" s="123" t="s">
        <v>103</v>
      </c>
      <c r="K57" s="123" t="s">
        <v>69</v>
      </c>
      <c r="L57" s="123" t="s">
        <v>70</v>
      </c>
      <c r="M57" s="123" t="s">
        <v>71</v>
      </c>
      <c r="N57" s="123" t="s">
        <v>72</v>
      </c>
      <c r="O57" s="123" t="s">
        <v>73</v>
      </c>
      <c r="P57" s="123" t="s">
        <v>74</v>
      </c>
      <c r="Q57" s="123" t="s">
        <v>75</v>
      </c>
      <c r="R57" s="123" t="s">
        <v>76</v>
      </c>
      <c r="S57" s="123" t="s">
        <v>77</v>
      </c>
      <c r="T57" s="123" t="s">
        <v>78</v>
      </c>
      <c r="U57" s="123" t="s">
        <v>118</v>
      </c>
      <c r="V57" s="123" t="s">
        <v>104</v>
      </c>
      <c r="W57" s="123" t="s">
        <v>105</v>
      </c>
      <c r="X57" s="123" t="s">
        <v>106</v>
      </c>
      <c r="Y57" s="123" t="s">
        <v>107</v>
      </c>
      <c r="Z57" s="123" t="s">
        <v>108</v>
      </c>
      <c r="AA57" s="123" t="s">
        <v>109</v>
      </c>
      <c r="AB57" s="123" t="s">
        <v>110</v>
      </c>
    </row>
    <row r="58" ht="15.75" customHeight="1">
      <c r="A58" s="125">
        <v>1.0</v>
      </c>
      <c r="B58" s="125">
        <v>840.0</v>
      </c>
      <c r="H58" s="222">
        <v>0.0</v>
      </c>
      <c r="I58" s="125">
        <v>0.0</v>
      </c>
      <c r="J58" s="125">
        <v>0.0</v>
      </c>
      <c r="K58" s="125">
        <v>0.0</v>
      </c>
      <c r="L58" s="125">
        <v>0.0</v>
      </c>
      <c r="M58" s="125">
        <v>1.0</v>
      </c>
      <c r="N58" s="125">
        <v>0.0</v>
      </c>
      <c r="O58" s="125">
        <v>0.0</v>
      </c>
      <c r="P58" s="125">
        <v>0.0</v>
      </c>
      <c r="Q58" s="125">
        <v>0.0</v>
      </c>
      <c r="R58" s="125">
        <v>0.0</v>
      </c>
      <c r="S58" s="125">
        <v>0.0</v>
      </c>
      <c r="T58" s="125">
        <v>0.0</v>
      </c>
      <c r="U58" s="125">
        <v>0.0</v>
      </c>
      <c r="V58" s="125">
        <v>0.0</v>
      </c>
      <c r="W58" s="125">
        <v>0.0</v>
      </c>
      <c r="X58" s="125">
        <v>0.0</v>
      </c>
      <c r="Y58" s="125">
        <v>0.0</v>
      </c>
      <c r="Z58" s="125">
        <v>0.0</v>
      </c>
      <c r="AA58" s="125">
        <v>0.0</v>
      </c>
      <c r="AB58" s="125">
        <v>0.0</v>
      </c>
    </row>
    <row r="59" ht="15.75" customHeight="1">
      <c r="A59" s="125">
        <v>2.0</v>
      </c>
      <c r="B59" s="125">
        <v>840.0</v>
      </c>
      <c r="C59" s="194"/>
      <c r="D59" s="194"/>
      <c r="E59" s="194"/>
      <c r="F59" s="194"/>
      <c r="G59" s="194"/>
      <c r="H59" s="222">
        <v>0.0</v>
      </c>
      <c r="I59" s="125">
        <v>0.0</v>
      </c>
      <c r="J59" s="125">
        <v>0.0</v>
      </c>
      <c r="K59" s="125">
        <v>2.0</v>
      </c>
      <c r="L59" s="125">
        <v>0.0</v>
      </c>
      <c r="M59" s="125">
        <v>0.0</v>
      </c>
      <c r="N59" s="125">
        <v>0.0</v>
      </c>
      <c r="O59" s="125">
        <v>0.0</v>
      </c>
      <c r="P59" s="125">
        <v>0.0</v>
      </c>
      <c r="Q59" s="125">
        <v>0.0</v>
      </c>
      <c r="R59" s="125">
        <v>0.0</v>
      </c>
      <c r="S59" s="125">
        <v>0.0</v>
      </c>
      <c r="T59" s="125">
        <v>0.0</v>
      </c>
      <c r="U59" s="125">
        <v>0.0</v>
      </c>
      <c r="V59" s="125">
        <v>0.0</v>
      </c>
      <c r="W59" s="125">
        <v>0.0</v>
      </c>
      <c r="X59" s="125">
        <v>0.0</v>
      </c>
      <c r="Y59" s="125">
        <v>0.0</v>
      </c>
      <c r="Z59" s="125">
        <v>0.0</v>
      </c>
      <c r="AA59" s="125">
        <v>0.0</v>
      </c>
      <c r="AB59" s="125">
        <v>0.0</v>
      </c>
    </row>
    <row r="60" ht="15.75" customHeight="1">
      <c r="A60" s="125">
        <v>3.0</v>
      </c>
      <c r="B60" s="125">
        <v>830.0</v>
      </c>
      <c r="H60" s="222">
        <v>0.0</v>
      </c>
      <c r="I60" s="125">
        <v>0.0</v>
      </c>
      <c r="J60" s="125">
        <v>0.0</v>
      </c>
      <c r="K60" s="125">
        <v>0.0</v>
      </c>
      <c r="L60" s="125">
        <v>1.0</v>
      </c>
      <c r="M60" s="125">
        <v>0.0</v>
      </c>
      <c r="N60" s="125">
        <v>0.0</v>
      </c>
      <c r="O60" s="125">
        <v>0.0</v>
      </c>
      <c r="P60" s="125">
        <v>0.0</v>
      </c>
      <c r="Q60" s="125">
        <v>0.0</v>
      </c>
      <c r="R60" s="125">
        <v>0.0</v>
      </c>
      <c r="S60" s="125">
        <v>0.0</v>
      </c>
      <c r="T60" s="125">
        <v>0.0</v>
      </c>
      <c r="U60" s="125">
        <v>0.0</v>
      </c>
      <c r="V60" s="125">
        <v>0.0</v>
      </c>
      <c r="W60" s="125">
        <v>0.0</v>
      </c>
      <c r="X60" s="125">
        <v>0.0</v>
      </c>
      <c r="Y60" s="125">
        <v>0.0</v>
      </c>
      <c r="Z60" s="125">
        <v>0.0</v>
      </c>
      <c r="AA60" s="125">
        <v>0.0</v>
      </c>
      <c r="AB60" s="125">
        <v>0.0</v>
      </c>
    </row>
    <row r="61" ht="15.75" customHeight="1">
      <c r="A61" s="125">
        <v>4.0</v>
      </c>
      <c r="B61" s="125">
        <v>800.0</v>
      </c>
      <c r="C61" s="194"/>
      <c r="D61" s="194"/>
      <c r="E61" s="194"/>
      <c r="F61" s="194"/>
      <c r="G61" s="194"/>
      <c r="H61" s="222">
        <v>25.0</v>
      </c>
      <c r="I61" s="125">
        <v>0.0</v>
      </c>
      <c r="J61" s="125">
        <v>0.0</v>
      </c>
      <c r="K61" s="125">
        <v>0.0</v>
      </c>
      <c r="L61" s="125">
        <v>0.0</v>
      </c>
      <c r="M61" s="125">
        <v>0.0</v>
      </c>
      <c r="N61" s="125">
        <v>0.0</v>
      </c>
      <c r="O61" s="125">
        <v>0.0</v>
      </c>
      <c r="P61" s="125">
        <v>0.0</v>
      </c>
      <c r="Q61" s="125">
        <v>0.0</v>
      </c>
      <c r="R61" s="125">
        <v>0.0</v>
      </c>
      <c r="S61" s="125">
        <v>0.0</v>
      </c>
      <c r="T61" s="125">
        <v>0.0</v>
      </c>
      <c r="U61" s="125">
        <v>0.0</v>
      </c>
      <c r="V61" s="125">
        <v>0.0</v>
      </c>
      <c r="W61" s="125">
        <v>0.0</v>
      </c>
      <c r="X61" s="125">
        <v>0.0</v>
      </c>
      <c r="Y61" s="125">
        <v>0.0</v>
      </c>
      <c r="Z61" s="125">
        <v>0.0</v>
      </c>
      <c r="AA61" s="125">
        <v>0.0</v>
      </c>
      <c r="AB61" s="125">
        <v>0.0</v>
      </c>
    </row>
    <row r="62" ht="15.75" customHeight="1">
      <c r="A62" s="125">
        <v>5.0</v>
      </c>
      <c r="B62" s="125">
        <v>810.0</v>
      </c>
      <c r="H62" s="222">
        <v>0.0</v>
      </c>
      <c r="I62" s="125">
        <v>0.0</v>
      </c>
      <c r="J62" s="125">
        <v>0.0</v>
      </c>
      <c r="K62" s="125">
        <v>1.0</v>
      </c>
      <c r="L62" s="125">
        <v>0.0</v>
      </c>
      <c r="M62" s="125">
        <v>0.0</v>
      </c>
      <c r="N62" s="125">
        <v>0.0</v>
      </c>
      <c r="O62" s="125">
        <v>0.0</v>
      </c>
      <c r="P62" s="125">
        <v>0.0</v>
      </c>
      <c r="Q62" s="125">
        <v>0.0</v>
      </c>
      <c r="R62" s="125">
        <v>0.0</v>
      </c>
      <c r="S62" s="125">
        <v>0.0</v>
      </c>
      <c r="T62" s="125">
        <v>0.0</v>
      </c>
      <c r="U62" s="125">
        <v>0.0</v>
      </c>
      <c r="V62" s="125">
        <v>0.0</v>
      </c>
      <c r="W62" s="125">
        <v>0.0</v>
      </c>
      <c r="X62" s="125">
        <v>0.0</v>
      </c>
      <c r="Y62" s="125">
        <v>0.0</v>
      </c>
      <c r="Z62" s="125">
        <v>0.0</v>
      </c>
      <c r="AA62" s="125">
        <v>0.0</v>
      </c>
      <c r="AB62" s="125">
        <v>0.0</v>
      </c>
    </row>
    <row r="63" ht="15.75" customHeight="1">
      <c r="A63" s="125">
        <v>6.0</v>
      </c>
      <c r="B63" s="125">
        <v>880.0</v>
      </c>
      <c r="C63" s="194"/>
      <c r="D63" s="194"/>
      <c r="E63" s="194"/>
      <c r="F63" s="194"/>
      <c r="G63" s="194"/>
      <c r="H63" s="222">
        <v>0.0</v>
      </c>
      <c r="I63" s="125">
        <v>0.0</v>
      </c>
      <c r="J63" s="125">
        <v>0.0</v>
      </c>
      <c r="K63" s="125">
        <v>0.0</v>
      </c>
      <c r="L63" s="125">
        <v>2.0</v>
      </c>
      <c r="M63" s="125">
        <v>0.0</v>
      </c>
      <c r="N63" s="125">
        <v>0.0</v>
      </c>
      <c r="O63" s="125">
        <v>0.0</v>
      </c>
      <c r="P63" s="125">
        <v>0.0</v>
      </c>
      <c r="Q63" s="125">
        <v>0.0</v>
      </c>
      <c r="R63" s="125">
        <v>0.0</v>
      </c>
      <c r="S63" s="125">
        <v>0.0</v>
      </c>
      <c r="T63" s="125">
        <v>0.0</v>
      </c>
      <c r="U63" s="125">
        <v>0.0</v>
      </c>
      <c r="V63" s="125">
        <v>0.0</v>
      </c>
      <c r="W63" s="125">
        <v>0.0</v>
      </c>
      <c r="X63" s="125">
        <v>0.0</v>
      </c>
      <c r="Y63" s="125">
        <v>0.0</v>
      </c>
      <c r="Z63" s="125">
        <v>0.0</v>
      </c>
      <c r="AA63" s="125">
        <v>0.0</v>
      </c>
      <c r="AB63" s="125">
        <v>0.0</v>
      </c>
    </row>
    <row r="64" ht="15.75" customHeight="1">
      <c r="A64" s="125">
        <v>7.0</v>
      </c>
      <c r="B64" s="125">
        <v>840.0</v>
      </c>
      <c r="H64" s="222">
        <v>0.0</v>
      </c>
      <c r="I64" s="125">
        <v>0.0</v>
      </c>
      <c r="J64" s="125">
        <v>0.0</v>
      </c>
      <c r="K64" s="125">
        <v>0.0</v>
      </c>
      <c r="L64" s="125">
        <v>0.0</v>
      </c>
      <c r="M64" s="125">
        <v>1.0</v>
      </c>
      <c r="N64" s="125">
        <v>0.0</v>
      </c>
      <c r="O64" s="125">
        <v>0.0</v>
      </c>
      <c r="P64" s="125">
        <v>0.0</v>
      </c>
      <c r="Q64" s="125">
        <v>0.0</v>
      </c>
      <c r="R64" s="125">
        <v>0.0</v>
      </c>
      <c r="S64" s="125">
        <v>0.0</v>
      </c>
      <c r="T64" s="125">
        <v>0.0</v>
      </c>
      <c r="U64" s="125">
        <v>0.0</v>
      </c>
      <c r="V64" s="125">
        <v>0.0</v>
      </c>
      <c r="W64" s="125">
        <v>0.0</v>
      </c>
      <c r="X64" s="125">
        <v>0.0</v>
      </c>
      <c r="Y64" s="125">
        <v>0.0</v>
      </c>
      <c r="Z64" s="125">
        <v>0.0</v>
      </c>
      <c r="AA64" s="125">
        <v>0.0</v>
      </c>
      <c r="AB64" s="125">
        <v>0.0</v>
      </c>
    </row>
    <row r="65" ht="15.75" customHeight="1">
      <c r="A65" s="125">
        <v>8.0</v>
      </c>
      <c r="B65" s="125">
        <v>880.0</v>
      </c>
      <c r="C65" s="194"/>
      <c r="D65" s="194"/>
      <c r="E65" s="194"/>
      <c r="F65" s="194"/>
      <c r="G65" s="194"/>
      <c r="H65" s="222">
        <v>0.0</v>
      </c>
      <c r="I65" s="125">
        <v>0.0</v>
      </c>
      <c r="J65" s="125">
        <v>0.0</v>
      </c>
      <c r="K65" s="125">
        <v>3.0</v>
      </c>
      <c r="L65" s="125">
        <v>0.0</v>
      </c>
      <c r="M65" s="125">
        <v>0.0</v>
      </c>
      <c r="N65" s="125">
        <v>0.0</v>
      </c>
      <c r="O65" s="125">
        <v>0.0</v>
      </c>
      <c r="P65" s="125">
        <v>0.0</v>
      </c>
      <c r="Q65" s="125">
        <v>0.0</v>
      </c>
      <c r="R65" s="125">
        <v>0.0</v>
      </c>
      <c r="S65" s="125">
        <v>0.0</v>
      </c>
      <c r="T65" s="125">
        <v>0.0</v>
      </c>
      <c r="U65" s="125">
        <v>0.0</v>
      </c>
      <c r="V65" s="125">
        <v>0.0</v>
      </c>
      <c r="W65" s="125">
        <v>0.0</v>
      </c>
      <c r="X65" s="125">
        <v>0.0</v>
      </c>
      <c r="Y65" s="125">
        <v>0.0</v>
      </c>
      <c r="Z65" s="125">
        <v>0.0</v>
      </c>
      <c r="AA65" s="125">
        <v>0.0</v>
      </c>
      <c r="AB65" s="125">
        <v>0.0</v>
      </c>
    </row>
    <row r="66" ht="15.75" customHeight="1">
      <c r="A66" s="125">
        <v>9.0</v>
      </c>
      <c r="B66" s="125">
        <v>840.0</v>
      </c>
      <c r="H66" s="222">
        <v>0.0</v>
      </c>
      <c r="I66" s="125">
        <v>0.0</v>
      </c>
      <c r="J66" s="125">
        <v>0.0</v>
      </c>
      <c r="K66" s="125">
        <v>0.0</v>
      </c>
      <c r="L66" s="125">
        <v>0.0</v>
      </c>
      <c r="M66" s="125">
        <v>1.0</v>
      </c>
      <c r="N66" s="125">
        <v>0.0</v>
      </c>
      <c r="O66" s="125">
        <v>0.0</v>
      </c>
      <c r="P66" s="125">
        <v>0.0</v>
      </c>
      <c r="Q66" s="125">
        <v>0.0</v>
      </c>
      <c r="R66" s="125">
        <v>0.0</v>
      </c>
      <c r="S66" s="125">
        <v>0.0</v>
      </c>
      <c r="T66" s="125">
        <v>0.0</v>
      </c>
      <c r="U66" s="125">
        <v>0.0</v>
      </c>
      <c r="V66" s="125">
        <v>0.0</v>
      </c>
      <c r="W66" s="125">
        <v>0.0</v>
      </c>
      <c r="X66" s="125">
        <v>0.0</v>
      </c>
      <c r="Y66" s="125">
        <v>0.0</v>
      </c>
      <c r="Z66" s="125">
        <v>0.0</v>
      </c>
      <c r="AA66" s="125">
        <v>0.0</v>
      </c>
      <c r="AB66" s="125">
        <v>0.0</v>
      </c>
    </row>
    <row r="67" ht="15.75" customHeight="1">
      <c r="A67" s="125">
        <v>10.0</v>
      </c>
      <c r="B67" s="125">
        <v>930.0</v>
      </c>
      <c r="C67" s="194"/>
      <c r="D67" s="194"/>
      <c r="E67" s="194"/>
      <c r="F67" s="194"/>
      <c r="G67" s="194"/>
      <c r="H67" s="222">
        <v>0.0</v>
      </c>
      <c r="I67" s="125">
        <v>0.0</v>
      </c>
      <c r="J67" s="125">
        <v>0.0</v>
      </c>
      <c r="K67" s="125">
        <v>0.0</v>
      </c>
      <c r="L67" s="125">
        <v>3.0</v>
      </c>
      <c r="M67" s="125">
        <v>0.0</v>
      </c>
      <c r="N67" s="125">
        <v>0.0</v>
      </c>
      <c r="O67" s="125">
        <v>0.0</v>
      </c>
      <c r="P67" s="125">
        <v>0.0</v>
      </c>
      <c r="Q67" s="125">
        <v>0.0</v>
      </c>
      <c r="R67" s="125">
        <v>0.0</v>
      </c>
      <c r="S67" s="125">
        <v>0.0</v>
      </c>
      <c r="T67" s="125">
        <v>0.0</v>
      </c>
      <c r="U67" s="125">
        <v>0.0</v>
      </c>
      <c r="V67" s="125">
        <v>0.0</v>
      </c>
      <c r="W67" s="125">
        <v>0.0</v>
      </c>
      <c r="X67" s="125">
        <v>0.0</v>
      </c>
      <c r="Y67" s="125">
        <v>0.0</v>
      </c>
      <c r="Z67" s="125">
        <v>0.0</v>
      </c>
      <c r="AA67" s="125">
        <v>0.0</v>
      </c>
      <c r="AB67" s="125">
        <v>0.0</v>
      </c>
    </row>
    <row r="68" ht="15.75" customHeight="1">
      <c r="A68" s="125">
        <v>11.0</v>
      </c>
      <c r="B68" s="125">
        <v>980.0</v>
      </c>
      <c r="H68" s="222">
        <v>0.0</v>
      </c>
      <c r="I68" s="125">
        <v>0.0</v>
      </c>
      <c r="J68" s="125">
        <v>0.0</v>
      </c>
      <c r="K68" s="125">
        <v>0.0</v>
      </c>
      <c r="L68" s="125">
        <v>0.0</v>
      </c>
      <c r="M68" s="125">
        <v>3.0</v>
      </c>
      <c r="N68" s="125">
        <v>0.0</v>
      </c>
      <c r="O68" s="125">
        <v>0.0</v>
      </c>
      <c r="P68" s="125">
        <v>0.0</v>
      </c>
      <c r="Q68" s="125">
        <v>0.0</v>
      </c>
      <c r="R68" s="125">
        <v>0.0</v>
      </c>
      <c r="S68" s="125">
        <v>0.0</v>
      </c>
      <c r="T68" s="125">
        <v>0.0</v>
      </c>
      <c r="U68" s="125">
        <v>0.0</v>
      </c>
      <c r="V68" s="125">
        <v>0.0</v>
      </c>
      <c r="W68" s="125">
        <v>0.0</v>
      </c>
      <c r="X68" s="125">
        <v>0.0</v>
      </c>
      <c r="Y68" s="125">
        <v>0.0</v>
      </c>
      <c r="Z68" s="125">
        <v>0.0</v>
      </c>
      <c r="AA68" s="125">
        <v>0.0</v>
      </c>
      <c r="AB68" s="125">
        <v>0.0</v>
      </c>
    </row>
    <row r="69" ht="15.75" customHeight="1">
      <c r="A69" s="125">
        <v>12.0</v>
      </c>
      <c r="B69" s="125">
        <v>840.0</v>
      </c>
      <c r="C69" s="194"/>
      <c r="D69" s="194"/>
      <c r="E69" s="194"/>
      <c r="F69" s="194"/>
      <c r="G69" s="194"/>
      <c r="H69" s="222">
        <v>0.0</v>
      </c>
      <c r="I69" s="125">
        <v>0.0</v>
      </c>
      <c r="J69" s="125">
        <v>0.0</v>
      </c>
      <c r="K69" s="125">
        <v>2.0</v>
      </c>
      <c r="L69" s="125">
        <v>0.0</v>
      </c>
      <c r="M69" s="125">
        <v>0.0</v>
      </c>
      <c r="N69" s="125">
        <v>0.0</v>
      </c>
      <c r="O69" s="125">
        <v>0.0</v>
      </c>
      <c r="P69" s="125">
        <v>0.0</v>
      </c>
      <c r="Q69" s="125">
        <v>0.0</v>
      </c>
      <c r="R69" s="125">
        <v>0.0</v>
      </c>
      <c r="S69" s="125">
        <v>0.0</v>
      </c>
      <c r="T69" s="125">
        <v>0.0</v>
      </c>
      <c r="U69" s="125">
        <v>0.0</v>
      </c>
      <c r="V69" s="125">
        <v>0.0</v>
      </c>
      <c r="W69" s="125">
        <v>0.0</v>
      </c>
      <c r="X69" s="125">
        <v>0.0</v>
      </c>
      <c r="Y69" s="125">
        <v>0.0</v>
      </c>
      <c r="Z69" s="125">
        <v>0.0</v>
      </c>
      <c r="AA69" s="125">
        <v>0.0</v>
      </c>
      <c r="AB69" s="125">
        <v>0.0</v>
      </c>
    </row>
    <row r="70" ht="15.75" customHeight="1">
      <c r="A70" s="125">
        <v>13.0</v>
      </c>
      <c r="B70" s="125">
        <v>1110.0</v>
      </c>
      <c r="H70" s="222">
        <v>0.0</v>
      </c>
      <c r="I70" s="125">
        <v>0.0</v>
      </c>
      <c r="J70" s="125">
        <v>0.0</v>
      </c>
      <c r="K70" s="125">
        <v>0.0</v>
      </c>
      <c r="L70" s="125">
        <v>0.0</v>
      </c>
      <c r="M70" s="125">
        <v>5.0</v>
      </c>
      <c r="N70" s="125">
        <v>0.0</v>
      </c>
      <c r="O70" s="125">
        <v>0.0</v>
      </c>
      <c r="P70" s="125">
        <v>0.0</v>
      </c>
      <c r="Q70" s="125">
        <v>0.0</v>
      </c>
      <c r="R70" s="125">
        <v>0.0</v>
      </c>
      <c r="S70" s="125">
        <v>0.0</v>
      </c>
      <c r="T70" s="125">
        <v>0.0</v>
      </c>
      <c r="U70" s="125">
        <v>0.0</v>
      </c>
      <c r="V70" s="125">
        <v>0.0</v>
      </c>
      <c r="W70" s="125">
        <v>0.0</v>
      </c>
      <c r="X70" s="125">
        <v>0.0</v>
      </c>
      <c r="Y70" s="125">
        <v>0.0</v>
      </c>
      <c r="Z70" s="125">
        <v>0.0</v>
      </c>
      <c r="AA70" s="125">
        <v>0.0</v>
      </c>
      <c r="AB70" s="125">
        <v>0.0</v>
      </c>
    </row>
    <row r="71" ht="15.75" customHeight="1">
      <c r="A71" s="125">
        <v>14.0</v>
      </c>
      <c r="B71" s="125">
        <v>830.0</v>
      </c>
      <c r="C71" s="194"/>
      <c r="D71" s="194"/>
      <c r="E71" s="194"/>
      <c r="F71" s="194"/>
      <c r="G71" s="194"/>
      <c r="H71" s="222">
        <v>50.0</v>
      </c>
      <c r="I71" s="125">
        <v>0.0</v>
      </c>
      <c r="J71" s="125">
        <v>0.0</v>
      </c>
      <c r="K71" s="125">
        <v>0.0</v>
      </c>
      <c r="L71" s="125">
        <v>0.0</v>
      </c>
      <c r="M71" s="125">
        <v>0.0</v>
      </c>
      <c r="N71" s="125">
        <v>0.0</v>
      </c>
      <c r="O71" s="125">
        <v>0.0</v>
      </c>
      <c r="P71" s="125">
        <v>0.0</v>
      </c>
      <c r="Q71" s="125">
        <v>0.0</v>
      </c>
      <c r="R71" s="125">
        <v>0.0</v>
      </c>
      <c r="S71" s="125">
        <v>0.0</v>
      </c>
      <c r="T71" s="125">
        <v>0.0</v>
      </c>
      <c r="U71" s="125">
        <v>0.0</v>
      </c>
      <c r="V71" s="125">
        <v>0.0</v>
      </c>
      <c r="W71" s="125">
        <v>0.0</v>
      </c>
      <c r="X71" s="125">
        <v>0.0</v>
      </c>
      <c r="Y71" s="125">
        <v>0.0</v>
      </c>
      <c r="Z71" s="125">
        <v>0.0</v>
      </c>
      <c r="AA71" s="125">
        <v>0.0</v>
      </c>
      <c r="AB71" s="125">
        <v>0.0</v>
      </c>
    </row>
    <row r="72" ht="15.75" customHeight="1">
      <c r="A72" s="125">
        <v>15.0</v>
      </c>
      <c r="B72" s="125">
        <v>880.0</v>
      </c>
      <c r="H72" s="222">
        <v>0.0</v>
      </c>
      <c r="I72" s="125">
        <v>0.0</v>
      </c>
      <c r="J72" s="125">
        <v>0.0</v>
      </c>
      <c r="K72" s="125">
        <v>0.0</v>
      </c>
      <c r="L72" s="125">
        <v>2.0</v>
      </c>
      <c r="M72" s="125">
        <v>0.0</v>
      </c>
      <c r="N72" s="125">
        <v>0.0</v>
      </c>
      <c r="O72" s="125">
        <v>0.0</v>
      </c>
      <c r="P72" s="125">
        <v>0.0</v>
      </c>
      <c r="Q72" s="125">
        <v>0.0</v>
      </c>
      <c r="R72" s="125">
        <v>0.0</v>
      </c>
      <c r="S72" s="125">
        <v>0.0</v>
      </c>
      <c r="T72" s="125">
        <v>0.0</v>
      </c>
      <c r="U72" s="125">
        <v>0.0</v>
      </c>
      <c r="V72" s="125">
        <v>0.0</v>
      </c>
      <c r="W72" s="125">
        <v>0.0</v>
      </c>
      <c r="X72" s="125">
        <v>0.0</v>
      </c>
      <c r="Y72" s="125">
        <v>0.0</v>
      </c>
      <c r="Z72" s="125">
        <v>0.0</v>
      </c>
      <c r="AA72" s="125">
        <v>0.0</v>
      </c>
      <c r="AB72" s="125">
        <v>0.0</v>
      </c>
    </row>
    <row r="73" ht="15.75" customHeight="1"/>
    <row r="74" ht="19.5" customHeight="1">
      <c r="A74" s="115" t="s">
        <v>276</v>
      </c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</row>
    <row r="75" ht="90.0" customHeight="1">
      <c r="A75" s="120" t="s">
        <v>274</v>
      </c>
      <c r="B75" s="120" t="s">
        <v>275</v>
      </c>
      <c r="H75" s="221" t="s">
        <v>82</v>
      </c>
      <c r="I75" s="123" t="s">
        <v>68</v>
      </c>
      <c r="J75" s="123" t="s">
        <v>103</v>
      </c>
      <c r="K75" s="123" t="s">
        <v>69</v>
      </c>
      <c r="L75" s="123" t="s">
        <v>70</v>
      </c>
      <c r="M75" s="123" t="s">
        <v>71</v>
      </c>
      <c r="N75" s="123" t="s">
        <v>72</v>
      </c>
      <c r="O75" s="123" t="s">
        <v>73</v>
      </c>
      <c r="P75" s="123" t="s">
        <v>74</v>
      </c>
      <c r="Q75" s="123" t="s">
        <v>75</v>
      </c>
      <c r="R75" s="123" t="s">
        <v>76</v>
      </c>
      <c r="S75" s="123" t="s">
        <v>77</v>
      </c>
      <c r="T75" s="123" t="s">
        <v>78</v>
      </c>
      <c r="U75" s="123" t="s">
        <v>118</v>
      </c>
      <c r="V75" s="123" t="s">
        <v>104</v>
      </c>
      <c r="W75" s="123" t="s">
        <v>105</v>
      </c>
      <c r="X75" s="123" t="s">
        <v>106</v>
      </c>
      <c r="Y75" s="123" t="s">
        <v>107</v>
      </c>
      <c r="Z75" s="123" t="s">
        <v>108</v>
      </c>
      <c r="AA75" s="123" t="s">
        <v>109</v>
      </c>
      <c r="AB75" s="123" t="s">
        <v>110</v>
      </c>
    </row>
    <row r="76" ht="15.75" customHeight="1">
      <c r="A76" s="125">
        <v>1.0</v>
      </c>
      <c r="B76" s="125">
        <v>830.0</v>
      </c>
      <c r="H76" s="222">
        <v>0.0</v>
      </c>
      <c r="I76" s="125">
        <v>0.0</v>
      </c>
      <c r="J76" s="125">
        <v>0.0</v>
      </c>
      <c r="K76" s="125">
        <v>0.0</v>
      </c>
      <c r="L76" s="125">
        <v>0.0</v>
      </c>
      <c r="M76" s="125">
        <v>0.0</v>
      </c>
      <c r="N76" s="125">
        <v>1.0</v>
      </c>
      <c r="O76" s="125">
        <v>0.0</v>
      </c>
      <c r="P76" s="125">
        <v>0.0</v>
      </c>
      <c r="Q76" s="125">
        <v>0.0</v>
      </c>
      <c r="R76" s="125">
        <v>0.0</v>
      </c>
      <c r="S76" s="125">
        <v>0.0</v>
      </c>
      <c r="T76" s="125">
        <v>0.0</v>
      </c>
      <c r="U76" s="125">
        <v>0.0</v>
      </c>
      <c r="V76" s="125">
        <v>0.0</v>
      </c>
      <c r="W76" s="125">
        <v>0.0</v>
      </c>
      <c r="X76" s="125">
        <v>0.0</v>
      </c>
      <c r="Y76" s="125">
        <v>0.0</v>
      </c>
      <c r="Z76" s="125">
        <v>0.0</v>
      </c>
      <c r="AA76" s="125">
        <v>0.0</v>
      </c>
      <c r="AB76" s="125">
        <v>0.0</v>
      </c>
    </row>
    <row r="77" ht="15.75" customHeight="1">
      <c r="A77" s="125">
        <v>2.0</v>
      </c>
      <c r="B77" s="125">
        <v>800.0</v>
      </c>
      <c r="C77" s="194"/>
      <c r="D77" s="194"/>
      <c r="E77" s="194"/>
      <c r="F77" s="194"/>
      <c r="G77" s="194"/>
      <c r="H77" s="222">
        <v>25.0</v>
      </c>
      <c r="I77" s="125">
        <v>0.0</v>
      </c>
      <c r="J77" s="125">
        <v>0.0</v>
      </c>
      <c r="K77" s="125">
        <v>0.0</v>
      </c>
      <c r="L77" s="125">
        <v>0.0</v>
      </c>
      <c r="M77" s="125">
        <v>0.0</v>
      </c>
      <c r="N77" s="125">
        <v>0.0</v>
      </c>
      <c r="O77" s="125">
        <v>0.0</v>
      </c>
      <c r="P77" s="125">
        <v>0.0</v>
      </c>
      <c r="Q77" s="125">
        <v>0.0</v>
      </c>
      <c r="R77" s="125">
        <v>0.0</v>
      </c>
      <c r="S77" s="125">
        <v>0.0</v>
      </c>
      <c r="T77" s="125">
        <v>0.0</v>
      </c>
      <c r="U77" s="125">
        <v>0.0</v>
      </c>
      <c r="V77" s="125">
        <v>0.0</v>
      </c>
      <c r="W77" s="125">
        <v>0.0</v>
      </c>
      <c r="X77" s="125">
        <v>0.0</v>
      </c>
      <c r="Y77" s="125">
        <v>0.0</v>
      </c>
      <c r="Z77" s="125">
        <v>0.0</v>
      </c>
      <c r="AA77" s="125">
        <v>0.0</v>
      </c>
      <c r="AB77" s="125">
        <v>0.0</v>
      </c>
    </row>
    <row r="78" ht="15.75" customHeight="1">
      <c r="A78" s="125">
        <v>3.0</v>
      </c>
      <c r="B78" s="125">
        <v>910.0</v>
      </c>
      <c r="H78" s="222">
        <v>0.0</v>
      </c>
      <c r="I78" s="125">
        <v>0.0</v>
      </c>
      <c r="J78" s="125">
        <v>0.0</v>
      </c>
      <c r="K78" s="125">
        <v>0.0</v>
      </c>
      <c r="L78" s="125">
        <v>0.0</v>
      </c>
      <c r="M78" s="125">
        <v>0.0</v>
      </c>
      <c r="N78" s="125">
        <v>0.0</v>
      </c>
      <c r="O78" s="125">
        <v>2.0</v>
      </c>
      <c r="P78" s="125">
        <v>0.0</v>
      </c>
      <c r="Q78" s="125">
        <v>0.0</v>
      </c>
      <c r="R78" s="125">
        <v>0.0</v>
      </c>
      <c r="S78" s="125">
        <v>0.0</v>
      </c>
      <c r="T78" s="125">
        <v>0.0</v>
      </c>
      <c r="U78" s="125">
        <v>0.0</v>
      </c>
      <c r="V78" s="125">
        <v>0.0</v>
      </c>
      <c r="W78" s="125">
        <v>0.0</v>
      </c>
      <c r="X78" s="125">
        <v>0.0</v>
      </c>
      <c r="Y78" s="125">
        <v>0.0</v>
      </c>
      <c r="Z78" s="125">
        <v>0.0</v>
      </c>
      <c r="AA78" s="125">
        <v>0.0</v>
      </c>
      <c r="AB78" s="125">
        <v>0.0</v>
      </c>
    </row>
    <row r="79" ht="15.75" customHeight="1">
      <c r="A79" s="125">
        <v>4.0</v>
      </c>
      <c r="B79" s="125">
        <v>940.0</v>
      </c>
      <c r="C79" s="194"/>
      <c r="D79" s="194"/>
      <c r="E79" s="194"/>
      <c r="F79" s="194"/>
      <c r="G79" s="194"/>
      <c r="H79" s="222">
        <v>0.0</v>
      </c>
      <c r="I79" s="125">
        <v>0.0</v>
      </c>
      <c r="J79" s="125">
        <v>0.0</v>
      </c>
      <c r="K79" s="125">
        <v>0.0</v>
      </c>
      <c r="L79" s="125">
        <v>0.0</v>
      </c>
      <c r="M79" s="125">
        <v>0.0</v>
      </c>
      <c r="N79" s="125">
        <v>0.0</v>
      </c>
      <c r="O79" s="125">
        <v>0.0</v>
      </c>
      <c r="P79" s="125">
        <v>1.0</v>
      </c>
      <c r="Q79" s="125">
        <v>0.0</v>
      </c>
      <c r="R79" s="125">
        <v>0.0</v>
      </c>
      <c r="S79" s="125">
        <v>0.0</v>
      </c>
      <c r="T79" s="125">
        <v>0.0</v>
      </c>
      <c r="U79" s="125">
        <v>0.0</v>
      </c>
      <c r="V79" s="125">
        <v>0.0</v>
      </c>
      <c r="W79" s="125">
        <v>0.0</v>
      </c>
      <c r="X79" s="125">
        <v>0.0</v>
      </c>
      <c r="Y79" s="125">
        <v>0.0</v>
      </c>
      <c r="Z79" s="125">
        <v>0.0</v>
      </c>
      <c r="AA79" s="125">
        <v>0.0</v>
      </c>
      <c r="AB79" s="125">
        <v>0.0</v>
      </c>
    </row>
    <row r="80" ht="15.75" customHeight="1">
      <c r="A80" s="125">
        <v>5.0</v>
      </c>
      <c r="B80" s="125">
        <v>910.0</v>
      </c>
      <c r="H80" s="222">
        <v>0.0</v>
      </c>
      <c r="I80" s="125">
        <v>0.0</v>
      </c>
      <c r="J80" s="125">
        <v>0.0</v>
      </c>
      <c r="K80" s="125">
        <v>0.0</v>
      </c>
      <c r="L80" s="125">
        <v>0.0</v>
      </c>
      <c r="M80" s="125">
        <v>0.0</v>
      </c>
      <c r="N80" s="125">
        <v>0.0</v>
      </c>
      <c r="O80" s="125">
        <v>2.0</v>
      </c>
      <c r="P80" s="125">
        <v>0.0</v>
      </c>
      <c r="Q80" s="125">
        <v>0.0</v>
      </c>
      <c r="R80" s="125">
        <v>0.0</v>
      </c>
      <c r="S80" s="125">
        <v>0.0</v>
      </c>
      <c r="T80" s="125">
        <v>0.0</v>
      </c>
      <c r="U80" s="125">
        <v>0.0</v>
      </c>
      <c r="V80" s="125">
        <v>0.0</v>
      </c>
      <c r="W80" s="125">
        <v>0.0</v>
      </c>
      <c r="X80" s="125">
        <v>0.0</v>
      </c>
      <c r="Y80" s="125">
        <v>0.0</v>
      </c>
      <c r="Z80" s="125">
        <v>0.0</v>
      </c>
      <c r="AA80" s="125">
        <v>0.0</v>
      </c>
      <c r="AB80" s="125">
        <v>0.0</v>
      </c>
    </row>
    <row r="81" ht="15.75" customHeight="1">
      <c r="A81" s="125">
        <v>6.0</v>
      </c>
      <c r="B81" s="125">
        <v>880.0</v>
      </c>
      <c r="C81" s="194"/>
      <c r="D81" s="194"/>
      <c r="E81" s="194"/>
      <c r="F81" s="194"/>
      <c r="G81" s="194"/>
      <c r="H81" s="222">
        <v>0.0</v>
      </c>
      <c r="I81" s="125">
        <v>0.0</v>
      </c>
      <c r="J81" s="125">
        <v>0.0</v>
      </c>
      <c r="K81" s="125">
        <v>0.0</v>
      </c>
      <c r="L81" s="125">
        <v>0.0</v>
      </c>
      <c r="M81" s="125">
        <v>0.0</v>
      </c>
      <c r="N81" s="125">
        <v>2.0</v>
      </c>
      <c r="O81" s="125">
        <v>0.0</v>
      </c>
      <c r="P81" s="125">
        <v>0.0</v>
      </c>
      <c r="Q81" s="125">
        <v>0.0</v>
      </c>
      <c r="R81" s="125">
        <v>0.0</v>
      </c>
      <c r="S81" s="125">
        <v>0.0</v>
      </c>
      <c r="T81" s="125">
        <v>0.0</v>
      </c>
      <c r="U81" s="125">
        <v>0.0</v>
      </c>
      <c r="V81" s="125">
        <v>0.0</v>
      </c>
      <c r="W81" s="125">
        <v>0.0</v>
      </c>
      <c r="X81" s="125">
        <v>0.0</v>
      </c>
      <c r="Y81" s="125">
        <v>0.0</v>
      </c>
      <c r="Z81" s="125">
        <v>0.0</v>
      </c>
      <c r="AA81" s="125">
        <v>0.0</v>
      </c>
      <c r="AB81" s="125">
        <v>0.0</v>
      </c>
    </row>
    <row r="82" ht="15.75" customHeight="1">
      <c r="A82" s="125">
        <v>7.0</v>
      </c>
      <c r="B82" s="125">
        <v>940.0</v>
      </c>
      <c r="H82" s="222">
        <v>0.0</v>
      </c>
      <c r="I82" s="125">
        <v>0.0</v>
      </c>
      <c r="J82" s="125">
        <v>0.0</v>
      </c>
      <c r="K82" s="125">
        <v>0.0</v>
      </c>
      <c r="L82" s="125">
        <v>0.0</v>
      </c>
      <c r="M82" s="125">
        <v>0.0</v>
      </c>
      <c r="N82" s="125">
        <v>0.0</v>
      </c>
      <c r="O82" s="125">
        <v>0.0</v>
      </c>
      <c r="P82" s="125">
        <v>1.0</v>
      </c>
      <c r="Q82" s="125">
        <v>0.0</v>
      </c>
      <c r="R82" s="125">
        <v>0.0</v>
      </c>
      <c r="S82" s="125">
        <v>0.0</v>
      </c>
      <c r="T82" s="125">
        <v>0.0</v>
      </c>
      <c r="U82" s="125">
        <v>0.0</v>
      </c>
      <c r="V82" s="125">
        <v>0.0</v>
      </c>
      <c r="W82" s="125">
        <v>0.0</v>
      </c>
      <c r="X82" s="125">
        <v>0.0</v>
      </c>
      <c r="Y82" s="125">
        <v>0.0</v>
      </c>
      <c r="Z82" s="125">
        <v>0.0</v>
      </c>
      <c r="AA82" s="125">
        <v>0.0</v>
      </c>
      <c r="AB82" s="125">
        <v>0.0</v>
      </c>
    </row>
    <row r="83" ht="15.75" customHeight="1">
      <c r="A83" s="125">
        <v>8.0</v>
      </c>
      <c r="B83" s="125">
        <v>980.0</v>
      </c>
      <c r="C83" s="194"/>
      <c r="D83" s="194"/>
      <c r="E83" s="194"/>
      <c r="F83" s="194"/>
      <c r="G83" s="194"/>
      <c r="H83" s="222">
        <v>0.0</v>
      </c>
      <c r="I83" s="125">
        <v>0.0</v>
      </c>
      <c r="J83" s="125">
        <v>0.0</v>
      </c>
      <c r="K83" s="125">
        <v>0.0</v>
      </c>
      <c r="L83" s="125">
        <v>0.0</v>
      </c>
      <c r="M83" s="125">
        <v>0.0</v>
      </c>
      <c r="N83" s="125">
        <v>0.0</v>
      </c>
      <c r="O83" s="125">
        <v>3.0</v>
      </c>
      <c r="P83" s="125">
        <v>0.0</v>
      </c>
      <c r="Q83" s="125">
        <v>0.0</v>
      </c>
      <c r="R83" s="125">
        <v>0.0</v>
      </c>
      <c r="S83" s="125">
        <v>0.0</v>
      </c>
      <c r="T83" s="125">
        <v>0.0</v>
      </c>
      <c r="U83" s="125">
        <v>0.0</v>
      </c>
      <c r="V83" s="125">
        <v>0.0</v>
      </c>
      <c r="W83" s="125">
        <v>0.0</v>
      </c>
      <c r="X83" s="125">
        <v>0.0</v>
      </c>
      <c r="Y83" s="125">
        <v>0.0</v>
      </c>
      <c r="Z83" s="125">
        <v>0.0</v>
      </c>
      <c r="AA83" s="125">
        <v>0.0</v>
      </c>
      <c r="AB83" s="125">
        <v>0.0</v>
      </c>
    </row>
    <row r="84" ht="15.75" customHeight="1">
      <c r="A84" s="125">
        <v>9.0</v>
      </c>
      <c r="B84" s="125">
        <v>830.0</v>
      </c>
      <c r="H84" s="222">
        <v>0.0</v>
      </c>
      <c r="I84" s="125">
        <v>0.0</v>
      </c>
      <c r="J84" s="125">
        <v>0.0</v>
      </c>
      <c r="K84" s="125">
        <v>0.0</v>
      </c>
      <c r="L84" s="125">
        <v>0.0</v>
      </c>
      <c r="M84" s="125">
        <v>0.0</v>
      </c>
      <c r="N84" s="125">
        <v>1.0</v>
      </c>
      <c r="O84" s="125">
        <v>0.0</v>
      </c>
      <c r="P84" s="125">
        <v>0.0</v>
      </c>
      <c r="Q84" s="125">
        <v>0.0</v>
      </c>
      <c r="R84" s="125">
        <v>0.0</v>
      </c>
      <c r="S84" s="125">
        <v>0.0</v>
      </c>
      <c r="T84" s="125">
        <v>0.0</v>
      </c>
      <c r="U84" s="125">
        <v>0.0</v>
      </c>
      <c r="V84" s="125">
        <v>0.0</v>
      </c>
      <c r="W84" s="125">
        <v>0.0</v>
      </c>
      <c r="X84" s="125">
        <v>0.0</v>
      </c>
      <c r="Y84" s="125">
        <v>0.0</v>
      </c>
      <c r="Z84" s="125">
        <v>0.0</v>
      </c>
      <c r="AA84" s="125">
        <v>0.0</v>
      </c>
      <c r="AB84" s="125">
        <v>0.0</v>
      </c>
    </row>
    <row r="85" ht="15.75" customHeight="1">
      <c r="A85" s="125">
        <v>10.0</v>
      </c>
      <c r="B85" s="125">
        <v>810.0</v>
      </c>
      <c r="C85" s="194"/>
      <c r="D85" s="194"/>
      <c r="E85" s="194"/>
      <c r="F85" s="194"/>
      <c r="G85" s="194"/>
      <c r="H85" s="222">
        <v>35.0</v>
      </c>
      <c r="I85" s="125">
        <v>0.0</v>
      </c>
      <c r="J85" s="125">
        <v>0.0</v>
      </c>
      <c r="K85" s="125">
        <v>0.0</v>
      </c>
      <c r="L85" s="125">
        <v>0.0</v>
      </c>
      <c r="M85" s="125">
        <v>0.0</v>
      </c>
      <c r="N85" s="125">
        <v>0.0</v>
      </c>
      <c r="O85" s="125">
        <v>0.0</v>
      </c>
      <c r="P85" s="125">
        <v>0.0</v>
      </c>
      <c r="Q85" s="125">
        <v>0.0</v>
      </c>
      <c r="R85" s="125">
        <v>0.0</v>
      </c>
      <c r="S85" s="125">
        <v>0.0</v>
      </c>
      <c r="T85" s="125">
        <v>0.0</v>
      </c>
      <c r="U85" s="125">
        <v>0.0</v>
      </c>
      <c r="V85" s="125">
        <v>0.0</v>
      </c>
      <c r="W85" s="125">
        <v>0.0</v>
      </c>
      <c r="X85" s="125">
        <v>0.0</v>
      </c>
      <c r="Y85" s="125">
        <v>0.0</v>
      </c>
      <c r="Z85" s="125">
        <v>0.0</v>
      </c>
      <c r="AA85" s="125">
        <v>0.0</v>
      </c>
      <c r="AB85" s="125">
        <v>0.0</v>
      </c>
    </row>
    <row r="86" ht="15.75" customHeight="1">
      <c r="A86" s="125">
        <v>11.0</v>
      </c>
      <c r="B86" s="125">
        <v>1110.0</v>
      </c>
      <c r="H86" s="222">
        <v>0.0</v>
      </c>
      <c r="I86" s="125">
        <v>0.0</v>
      </c>
      <c r="J86" s="125">
        <v>0.0</v>
      </c>
      <c r="K86" s="125">
        <v>0.0</v>
      </c>
      <c r="L86" s="125">
        <v>0.0</v>
      </c>
      <c r="M86" s="125">
        <v>0.0</v>
      </c>
      <c r="N86" s="125">
        <v>0.0</v>
      </c>
      <c r="O86" s="125">
        <v>0.0</v>
      </c>
      <c r="P86" s="125">
        <v>2.0</v>
      </c>
      <c r="Q86" s="125">
        <v>0.0</v>
      </c>
      <c r="R86" s="125">
        <v>0.0</v>
      </c>
      <c r="S86" s="125">
        <v>0.0</v>
      </c>
      <c r="T86" s="125">
        <v>0.0</v>
      </c>
      <c r="U86" s="125">
        <v>0.0</v>
      </c>
      <c r="V86" s="125">
        <v>0.0</v>
      </c>
      <c r="W86" s="125">
        <v>0.0</v>
      </c>
      <c r="X86" s="125">
        <v>0.0</v>
      </c>
      <c r="Y86" s="125">
        <v>0.0</v>
      </c>
      <c r="Z86" s="125">
        <v>0.0</v>
      </c>
      <c r="AA86" s="125">
        <v>0.0</v>
      </c>
      <c r="AB86" s="125">
        <v>0.0</v>
      </c>
    </row>
    <row r="87" ht="15.75" customHeight="1">
      <c r="A87" s="125">
        <v>12.0</v>
      </c>
      <c r="B87" s="125">
        <v>880.0</v>
      </c>
      <c r="C87" s="194"/>
      <c r="D87" s="194"/>
      <c r="E87" s="194"/>
      <c r="F87" s="194"/>
      <c r="G87" s="194"/>
      <c r="H87" s="222">
        <v>0.0</v>
      </c>
      <c r="I87" s="125">
        <v>0.0</v>
      </c>
      <c r="J87" s="125">
        <v>0.0</v>
      </c>
      <c r="K87" s="125">
        <v>0.0</v>
      </c>
      <c r="L87" s="125">
        <v>0.0</v>
      </c>
      <c r="M87" s="125">
        <v>0.0</v>
      </c>
      <c r="N87" s="125">
        <v>2.0</v>
      </c>
      <c r="O87" s="125">
        <v>0.0</v>
      </c>
      <c r="P87" s="125">
        <v>0.0</v>
      </c>
      <c r="Q87" s="125">
        <v>0.0</v>
      </c>
      <c r="R87" s="125">
        <v>0.0</v>
      </c>
      <c r="S87" s="125">
        <v>0.0</v>
      </c>
      <c r="T87" s="125">
        <v>0.0</v>
      </c>
      <c r="U87" s="125">
        <v>0.0</v>
      </c>
      <c r="V87" s="125">
        <v>0.0</v>
      </c>
      <c r="W87" s="125">
        <v>0.0</v>
      </c>
      <c r="X87" s="125">
        <v>0.0</v>
      </c>
      <c r="Y87" s="125">
        <v>0.0</v>
      </c>
      <c r="Z87" s="125">
        <v>0.0</v>
      </c>
      <c r="AA87" s="125">
        <v>0.0</v>
      </c>
      <c r="AB87" s="125">
        <v>0.0</v>
      </c>
    </row>
    <row r="88" ht="15.75" customHeight="1">
      <c r="A88" s="125">
        <v>13.0</v>
      </c>
      <c r="B88" s="125">
        <v>910.0</v>
      </c>
      <c r="H88" s="222">
        <v>0.0</v>
      </c>
      <c r="I88" s="125">
        <v>0.0</v>
      </c>
      <c r="J88" s="125">
        <v>0.0</v>
      </c>
      <c r="K88" s="125">
        <v>0.0</v>
      </c>
      <c r="L88" s="125">
        <v>0.0</v>
      </c>
      <c r="M88" s="125">
        <v>0.0</v>
      </c>
      <c r="N88" s="125">
        <v>0.0</v>
      </c>
      <c r="O88" s="125">
        <v>2.0</v>
      </c>
      <c r="P88" s="125">
        <v>0.0</v>
      </c>
      <c r="Q88" s="125">
        <v>0.0</v>
      </c>
      <c r="R88" s="125">
        <v>0.0</v>
      </c>
      <c r="S88" s="125">
        <v>0.0</v>
      </c>
      <c r="T88" s="125">
        <v>0.0</v>
      </c>
      <c r="U88" s="125">
        <v>0.0</v>
      </c>
      <c r="V88" s="125">
        <v>0.0</v>
      </c>
      <c r="W88" s="125">
        <v>0.0</v>
      </c>
      <c r="X88" s="125">
        <v>0.0</v>
      </c>
      <c r="Y88" s="125">
        <v>0.0</v>
      </c>
      <c r="Z88" s="125">
        <v>0.0</v>
      </c>
      <c r="AA88" s="125">
        <v>0.0</v>
      </c>
      <c r="AB88" s="125">
        <v>0.0</v>
      </c>
    </row>
    <row r="89" ht="15.75" customHeight="1">
      <c r="A89" s="125">
        <v>14.0</v>
      </c>
      <c r="B89" s="125">
        <v>1110.0</v>
      </c>
      <c r="C89" s="194"/>
      <c r="D89" s="194"/>
      <c r="E89" s="194"/>
      <c r="F89" s="194"/>
      <c r="G89" s="194"/>
      <c r="H89" s="222">
        <v>0.0</v>
      </c>
      <c r="I89" s="125">
        <v>0.0</v>
      </c>
      <c r="J89" s="125">
        <v>0.0</v>
      </c>
      <c r="K89" s="125">
        <v>0.0</v>
      </c>
      <c r="L89" s="125">
        <v>0.0</v>
      </c>
      <c r="M89" s="125">
        <v>0.0</v>
      </c>
      <c r="N89" s="125">
        <v>0.0</v>
      </c>
      <c r="O89" s="125">
        <v>0.0</v>
      </c>
      <c r="P89" s="125">
        <v>2.0</v>
      </c>
      <c r="Q89" s="125">
        <v>0.0</v>
      </c>
      <c r="R89" s="125">
        <v>0.0</v>
      </c>
      <c r="S89" s="125">
        <v>0.0</v>
      </c>
      <c r="T89" s="125">
        <v>0.0</v>
      </c>
      <c r="U89" s="125">
        <v>0.0</v>
      </c>
      <c r="V89" s="125">
        <v>0.0</v>
      </c>
      <c r="W89" s="125">
        <v>0.0</v>
      </c>
      <c r="X89" s="125">
        <v>0.0</v>
      </c>
      <c r="Y89" s="125">
        <v>0.0</v>
      </c>
      <c r="Z89" s="125">
        <v>0.0</v>
      </c>
      <c r="AA89" s="125">
        <v>0.0</v>
      </c>
      <c r="AB89" s="125">
        <v>0.0</v>
      </c>
    </row>
    <row r="90" ht="15.75" customHeight="1">
      <c r="A90" s="125">
        <v>15.0</v>
      </c>
      <c r="B90" s="125">
        <v>840.0</v>
      </c>
      <c r="H90" s="222">
        <v>0.0</v>
      </c>
      <c r="I90" s="125">
        <v>0.0</v>
      </c>
      <c r="J90" s="125">
        <v>0.0</v>
      </c>
      <c r="K90" s="125">
        <v>0.0</v>
      </c>
      <c r="L90" s="125">
        <v>0.0</v>
      </c>
      <c r="M90" s="125">
        <v>0.0</v>
      </c>
      <c r="N90" s="125">
        <v>0.0</v>
      </c>
      <c r="O90" s="125">
        <v>1.0</v>
      </c>
      <c r="P90" s="125">
        <v>0.0</v>
      </c>
      <c r="Q90" s="125">
        <v>0.0</v>
      </c>
      <c r="R90" s="125">
        <v>0.0</v>
      </c>
      <c r="S90" s="125">
        <v>0.0</v>
      </c>
      <c r="T90" s="125">
        <v>0.0</v>
      </c>
      <c r="U90" s="125">
        <v>0.0</v>
      </c>
      <c r="V90" s="125">
        <v>0.0</v>
      </c>
      <c r="W90" s="125">
        <v>0.0</v>
      </c>
      <c r="X90" s="125">
        <v>0.0</v>
      </c>
      <c r="Y90" s="125">
        <v>0.0</v>
      </c>
      <c r="Z90" s="125">
        <v>0.0</v>
      </c>
      <c r="AA90" s="125">
        <v>0.0</v>
      </c>
      <c r="AB90" s="125">
        <v>0.0</v>
      </c>
    </row>
    <row r="91" ht="15.75" customHeight="1"/>
    <row r="92" ht="19.5" customHeight="1">
      <c r="A92" s="115" t="s">
        <v>277</v>
      </c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</row>
    <row r="93" ht="90.0" customHeight="1">
      <c r="A93" s="120" t="s">
        <v>274</v>
      </c>
      <c r="B93" s="120" t="s">
        <v>275</v>
      </c>
      <c r="H93" s="221" t="s">
        <v>82</v>
      </c>
      <c r="I93" s="123" t="s">
        <v>68</v>
      </c>
      <c r="J93" s="123" t="s">
        <v>103</v>
      </c>
      <c r="K93" s="123" t="s">
        <v>69</v>
      </c>
      <c r="L93" s="123" t="s">
        <v>70</v>
      </c>
      <c r="M93" s="123" t="s">
        <v>71</v>
      </c>
      <c r="N93" s="123" t="s">
        <v>72</v>
      </c>
      <c r="O93" s="123" t="s">
        <v>73</v>
      </c>
      <c r="P93" s="123" t="s">
        <v>74</v>
      </c>
      <c r="Q93" s="123" t="s">
        <v>75</v>
      </c>
      <c r="R93" s="123" t="s">
        <v>76</v>
      </c>
      <c r="S93" s="123" t="s">
        <v>77</v>
      </c>
      <c r="T93" s="123" t="s">
        <v>78</v>
      </c>
      <c r="U93" s="123" t="s">
        <v>118</v>
      </c>
      <c r="V93" s="123" t="s">
        <v>104</v>
      </c>
      <c r="W93" s="123" t="s">
        <v>105</v>
      </c>
      <c r="X93" s="123" t="s">
        <v>106</v>
      </c>
      <c r="Y93" s="123" t="s">
        <v>107</v>
      </c>
      <c r="Z93" s="123" t="s">
        <v>108</v>
      </c>
      <c r="AA93" s="123" t="s">
        <v>109</v>
      </c>
      <c r="AB93" s="123" t="s">
        <v>110</v>
      </c>
    </row>
    <row r="94" ht="15.75" customHeight="1">
      <c r="A94" s="125">
        <v>1.0</v>
      </c>
      <c r="B94" s="125">
        <v>940.0</v>
      </c>
      <c r="H94" s="222">
        <v>0.0</v>
      </c>
      <c r="I94" s="125">
        <v>0.0</v>
      </c>
      <c r="J94" s="125">
        <v>0.0</v>
      </c>
      <c r="K94" s="125">
        <v>0.0</v>
      </c>
      <c r="L94" s="125">
        <v>0.0</v>
      </c>
      <c r="M94" s="125">
        <v>0.0</v>
      </c>
      <c r="N94" s="125">
        <v>0.0</v>
      </c>
      <c r="O94" s="125">
        <v>0.0</v>
      </c>
      <c r="P94" s="125">
        <v>0.0</v>
      </c>
      <c r="Q94" s="125">
        <v>0.0</v>
      </c>
      <c r="R94" s="125">
        <v>0.0</v>
      </c>
      <c r="S94" s="125">
        <v>10.0</v>
      </c>
      <c r="T94" s="125">
        <v>0.0</v>
      </c>
      <c r="U94" s="125">
        <v>0.0</v>
      </c>
      <c r="V94" s="125">
        <v>0.0</v>
      </c>
      <c r="W94" s="125">
        <v>0.0</v>
      </c>
      <c r="X94" s="125">
        <v>0.0</v>
      </c>
      <c r="Y94" s="125">
        <v>0.0</v>
      </c>
      <c r="Z94" s="125">
        <v>0.0</v>
      </c>
      <c r="AA94" s="125">
        <v>0.0</v>
      </c>
      <c r="AB94" s="125">
        <v>0.0</v>
      </c>
    </row>
    <row r="95" ht="15.75" customHeight="1">
      <c r="A95" s="125">
        <v>2.0</v>
      </c>
      <c r="B95" s="125">
        <v>950.0</v>
      </c>
      <c r="C95" s="194"/>
      <c r="D95" s="194"/>
      <c r="E95" s="194"/>
      <c r="F95" s="194"/>
      <c r="G95" s="194"/>
      <c r="H95" s="222">
        <v>0.0</v>
      </c>
      <c r="I95" s="125">
        <v>0.0</v>
      </c>
      <c r="J95" s="125">
        <v>0.0</v>
      </c>
      <c r="K95" s="125">
        <v>0.0</v>
      </c>
      <c r="L95" s="125">
        <v>0.0</v>
      </c>
      <c r="M95" s="125">
        <v>0.0</v>
      </c>
      <c r="N95" s="125">
        <v>0.0</v>
      </c>
      <c r="O95" s="125">
        <v>0.0</v>
      </c>
      <c r="P95" s="125">
        <v>0.0</v>
      </c>
      <c r="Q95" s="125">
        <v>0.0</v>
      </c>
      <c r="R95" s="125">
        <v>0.0</v>
      </c>
      <c r="S95" s="125">
        <v>0.0</v>
      </c>
      <c r="T95" s="125">
        <v>10.0</v>
      </c>
      <c r="U95" s="125">
        <v>0.0</v>
      </c>
      <c r="V95" s="125">
        <v>0.0</v>
      </c>
      <c r="W95" s="125">
        <v>0.0</v>
      </c>
      <c r="X95" s="125">
        <v>0.0</v>
      </c>
      <c r="Y95" s="125">
        <v>0.0</v>
      </c>
      <c r="Z95" s="125">
        <v>0.0</v>
      </c>
      <c r="AA95" s="125">
        <v>0.0</v>
      </c>
      <c r="AB95" s="125">
        <v>0.0</v>
      </c>
    </row>
    <row r="96" ht="15.75" customHeight="1">
      <c r="A96" s="125">
        <v>3.0</v>
      </c>
      <c r="B96" s="125">
        <v>840.0</v>
      </c>
      <c r="H96" s="222">
        <v>0.0</v>
      </c>
      <c r="I96" s="125">
        <v>0.0</v>
      </c>
      <c r="J96" s="125">
        <v>0.0</v>
      </c>
      <c r="K96" s="125">
        <v>0.0</v>
      </c>
      <c r="L96" s="125">
        <v>0.0</v>
      </c>
      <c r="M96" s="125">
        <v>0.0</v>
      </c>
      <c r="N96" s="125">
        <v>0.0</v>
      </c>
      <c r="O96" s="125">
        <v>0.0</v>
      </c>
      <c r="P96" s="125">
        <v>0.0</v>
      </c>
      <c r="Q96" s="125">
        <v>15.0</v>
      </c>
      <c r="R96" s="125">
        <v>0.0</v>
      </c>
      <c r="S96" s="125">
        <v>0.0</v>
      </c>
      <c r="T96" s="125">
        <v>0.0</v>
      </c>
      <c r="U96" s="125">
        <v>0.0</v>
      </c>
      <c r="V96" s="125">
        <v>0.0</v>
      </c>
      <c r="W96" s="125">
        <v>0.0</v>
      </c>
      <c r="X96" s="125">
        <v>0.0</v>
      </c>
      <c r="Y96" s="125">
        <v>0.0</v>
      </c>
      <c r="Z96" s="125">
        <v>0.0</v>
      </c>
      <c r="AA96" s="125">
        <v>0.0</v>
      </c>
      <c r="AB96" s="125">
        <v>0.0</v>
      </c>
    </row>
    <row r="97" ht="15.75" customHeight="1">
      <c r="A97" s="125">
        <v>4.0</v>
      </c>
      <c r="B97" s="125">
        <v>940.0</v>
      </c>
      <c r="C97" s="194"/>
      <c r="D97" s="194"/>
      <c r="E97" s="194"/>
      <c r="F97" s="194"/>
      <c r="G97" s="194"/>
      <c r="H97" s="222">
        <v>0.0</v>
      </c>
      <c r="I97" s="125">
        <v>0.0</v>
      </c>
      <c r="J97" s="125">
        <v>0.0</v>
      </c>
      <c r="K97" s="125">
        <v>0.0</v>
      </c>
      <c r="L97" s="125">
        <v>0.0</v>
      </c>
      <c r="M97" s="125">
        <v>0.0</v>
      </c>
      <c r="N97" s="125">
        <v>0.0</v>
      </c>
      <c r="O97" s="125">
        <v>0.0</v>
      </c>
      <c r="P97" s="125">
        <v>0.0</v>
      </c>
      <c r="Q97" s="125">
        <v>0.0</v>
      </c>
      <c r="R97" s="125">
        <v>10.0</v>
      </c>
      <c r="S97" s="125">
        <v>0.0</v>
      </c>
      <c r="T97" s="125">
        <v>0.0</v>
      </c>
      <c r="U97" s="125">
        <v>0.0</v>
      </c>
      <c r="V97" s="125">
        <v>0.0</v>
      </c>
      <c r="W97" s="125">
        <v>0.0</v>
      </c>
      <c r="X97" s="125">
        <v>0.0</v>
      </c>
      <c r="Y97" s="125">
        <v>0.0</v>
      </c>
      <c r="Z97" s="125">
        <v>0.0</v>
      </c>
      <c r="AA97" s="125">
        <v>0.0</v>
      </c>
      <c r="AB97" s="125">
        <v>0.0</v>
      </c>
    </row>
    <row r="98" ht="15.75" customHeight="1">
      <c r="A98" s="125">
        <v>5.0</v>
      </c>
      <c r="B98" s="125">
        <v>900.0</v>
      </c>
      <c r="H98" s="222">
        <v>0.0</v>
      </c>
      <c r="I98" s="125">
        <v>0.0</v>
      </c>
      <c r="J98" s="125">
        <v>0.0</v>
      </c>
      <c r="K98" s="125">
        <v>0.0</v>
      </c>
      <c r="L98" s="125">
        <v>0.0</v>
      </c>
      <c r="M98" s="125">
        <v>0.0</v>
      </c>
      <c r="N98" s="125">
        <v>0.0</v>
      </c>
      <c r="O98" s="125">
        <v>0.0</v>
      </c>
      <c r="P98" s="125">
        <v>0.0</v>
      </c>
      <c r="Q98" s="125">
        <v>30.0</v>
      </c>
      <c r="R98" s="125">
        <v>0.0</v>
      </c>
      <c r="S98" s="125">
        <v>0.0</v>
      </c>
      <c r="T98" s="125">
        <v>0.0</v>
      </c>
      <c r="U98" s="125">
        <v>0.0</v>
      </c>
      <c r="V98" s="125">
        <v>0.0</v>
      </c>
      <c r="W98" s="125">
        <v>0.0</v>
      </c>
      <c r="X98" s="125">
        <v>0.0</v>
      </c>
      <c r="Y98" s="125">
        <v>0.0</v>
      </c>
      <c r="Z98" s="125">
        <v>0.0</v>
      </c>
      <c r="AA98" s="125">
        <v>0.0</v>
      </c>
      <c r="AB98" s="125">
        <v>0.0</v>
      </c>
    </row>
    <row r="99" ht="15.75" customHeight="1">
      <c r="A99" s="125">
        <v>6.0</v>
      </c>
      <c r="B99" s="125">
        <v>810.0</v>
      </c>
      <c r="C99" s="194"/>
      <c r="D99" s="194"/>
      <c r="E99" s="194"/>
      <c r="F99" s="194"/>
      <c r="G99" s="194"/>
      <c r="H99" s="222">
        <v>30.0</v>
      </c>
      <c r="I99" s="125">
        <v>0.0</v>
      </c>
      <c r="J99" s="125">
        <v>0.0</v>
      </c>
      <c r="K99" s="125">
        <v>0.0</v>
      </c>
      <c r="L99" s="125">
        <v>0.0</v>
      </c>
      <c r="M99" s="125">
        <v>0.0</v>
      </c>
      <c r="N99" s="125">
        <v>0.0</v>
      </c>
      <c r="O99" s="125">
        <v>0.0</v>
      </c>
      <c r="P99" s="125">
        <v>0.0</v>
      </c>
      <c r="Q99" s="125">
        <v>0.0</v>
      </c>
      <c r="R99" s="125">
        <v>0.0</v>
      </c>
      <c r="S99" s="125">
        <v>0.0</v>
      </c>
      <c r="T99" s="125">
        <v>0.0</v>
      </c>
      <c r="U99" s="125">
        <v>0.0</v>
      </c>
      <c r="V99" s="125">
        <v>0.0</v>
      </c>
      <c r="W99" s="125">
        <v>0.0</v>
      </c>
      <c r="X99" s="125">
        <v>0.0</v>
      </c>
      <c r="Y99" s="125">
        <v>0.0</v>
      </c>
      <c r="Z99" s="125">
        <v>0.0</v>
      </c>
      <c r="AA99" s="125">
        <v>0.0</v>
      </c>
      <c r="AB99" s="125">
        <v>0.0</v>
      </c>
    </row>
    <row r="100" ht="15.75" customHeight="1">
      <c r="A100" s="125">
        <v>7.0</v>
      </c>
      <c r="B100" s="125">
        <v>990.0</v>
      </c>
      <c r="H100" s="222">
        <v>0.0</v>
      </c>
      <c r="I100" s="125">
        <v>0.0</v>
      </c>
      <c r="J100" s="125">
        <v>0.0</v>
      </c>
      <c r="K100" s="125">
        <v>0.0</v>
      </c>
      <c r="L100" s="125">
        <v>0.0</v>
      </c>
      <c r="M100" s="125">
        <v>0.0</v>
      </c>
      <c r="N100" s="125">
        <v>0.0</v>
      </c>
      <c r="O100" s="125">
        <v>0.0</v>
      </c>
      <c r="P100" s="125">
        <v>0.0</v>
      </c>
      <c r="Q100" s="125">
        <v>0.0</v>
      </c>
      <c r="R100" s="125">
        <v>0.0</v>
      </c>
      <c r="S100" s="125">
        <v>15.0</v>
      </c>
      <c r="T100" s="125">
        <v>0.0</v>
      </c>
      <c r="U100" s="125">
        <v>0.0</v>
      </c>
      <c r="V100" s="125">
        <v>0.0</v>
      </c>
      <c r="W100" s="125">
        <v>0.0</v>
      </c>
      <c r="X100" s="125">
        <v>0.0</v>
      </c>
      <c r="Y100" s="125">
        <v>0.0</v>
      </c>
      <c r="Z100" s="125">
        <v>0.0</v>
      </c>
      <c r="AA100" s="125">
        <v>0.0</v>
      </c>
      <c r="AB100" s="125">
        <v>0.0</v>
      </c>
    </row>
    <row r="101" ht="15.75" customHeight="1">
      <c r="A101" s="125">
        <v>8.0</v>
      </c>
      <c r="B101" s="125">
        <v>980.0</v>
      </c>
      <c r="C101" s="194"/>
      <c r="D101" s="194"/>
      <c r="E101" s="194"/>
      <c r="F101" s="194"/>
      <c r="G101" s="194"/>
      <c r="H101" s="222">
        <v>0.0</v>
      </c>
      <c r="I101" s="125">
        <v>0.0</v>
      </c>
      <c r="J101" s="125">
        <v>0.0</v>
      </c>
      <c r="K101" s="125">
        <v>0.0</v>
      </c>
      <c r="L101" s="125">
        <v>0.0</v>
      </c>
      <c r="M101" s="125">
        <v>0.0</v>
      </c>
      <c r="N101" s="125">
        <v>0.0</v>
      </c>
      <c r="O101" s="125">
        <v>0.0</v>
      </c>
      <c r="P101" s="125">
        <v>0.0</v>
      </c>
      <c r="Q101" s="125">
        <v>0.0</v>
      </c>
      <c r="R101" s="125">
        <v>15.0</v>
      </c>
      <c r="S101" s="125">
        <v>0.0</v>
      </c>
      <c r="T101" s="125">
        <v>0.0</v>
      </c>
      <c r="U101" s="125">
        <v>0.0</v>
      </c>
      <c r="V101" s="125">
        <v>0.0</v>
      </c>
      <c r="W101" s="125">
        <v>0.0</v>
      </c>
      <c r="X101" s="125">
        <v>0.0</v>
      </c>
      <c r="Y101" s="125">
        <v>0.0</v>
      </c>
      <c r="Z101" s="125">
        <v>0.0</v>
      </c>
      <c r="AA101" s="125">
        <v>0.0</v>
      </c>
      <c r="AB101" s="125">
        <v>0.0</v>
      </c>
    </row>
    <row r="102" ht="15.75" customHeight="1">
      <c r="A102" s="125">
        <v>9.0</v>
      </c>
      <c r="B102" s="125">
        <v>900.0</v>
      </c>
      <c r="H102" s="222">
        <v>0.0</v>
      </c>
      <c r="I102" s="125">
        <v>0.0</v>
      </c>
      <c r="J102" s="125">
        <v>0.0</v>
      </c>
      <c r="K102" s="125">
        <v>0.0</v>
      </c>
      <c r="L102" s="125">
        <v>0.0</v>
      </c>
      <c r="M102" s="125">
        <v>0.0</v>
      </c>
      <c r="N102" s="125">
        <v>0.0</v>
      </c>
      <c r="O102" s="125">
        <v>0.0</v>
      </c>
      <c r="P102" s="125">
        <v>0.0</v>
      </c>
      <c r="Q102" s="125">
        <v>30.0</v>
      </c>
      <c r="R102" s="125">
        <v>0.0</v>
      </c>
      <c r="S102" s="125">
        <v>0.0</v>
      </c>
      <c r="T102" s="125">
        <v>0.0</v>
      </c>
      <c r="U102" s="125">
        <v>0.0</v>
      </c>
      <c r="V102" s="125">
        <v>0.0</v>
      </c>
      <c r="W102" s="125">
        <v>0.0</v>
      </c>
      <c r="X102" s="125">
        <v>0.0</v>
      </c>
      <c r="Y102" s="125">
        <v>0.0</v>
      </c>
      <c r="Z102" s="125">
        <v>0.0</v>
      </c>
      <c r="AA102" s="125">
        <v>0.0</v>
      </c>
      <c r="AB102" s="125">
        <v>0.0</v>
      </c>
    </row>
    <row r="103" ht="15.75" customHeight="1">
      <c r="A103" s="125">
        <v>10.0</v>
      </c>
      <c r="B103" s="125">
        <v>950.0</v>
      </c>
      <c r="C103" s="194"/>
      <c r="D103" s="194"/>
      <c r="E103" s="194"/>
      <c r="F103" s="194"/>
      <c r="G103" s="194"/>
      <c r="H103" s="222">
        <v>0.0</v>
      </c>
      <c r="I103" s="125">
        <v>0.0</v>
      </c>
      <c r="J103" s="125">
        <v>0.0</v>
      </c>
      <c r="K103" s="125">
        <v>0.0</v>
      </c>
      <c r="L103" s="125">
        <v>0.0</v>
      </c>
      <c r="M103" s="125">
        <v>0.0</v>
      </c>
      <c r="N103" s="125">
        <v>0.0</v>
      </c>
      <c r="O103" s="125">
        <v>0.0</v>
      </c>
      <c r="P103" s="125">
        <v>0.0</v>
      </c>
      <c r="Q103" s="125">
        <v>0.0</v>
      </c>
      <c r="R103" s="125">
        <v>0.0</v>
      </c>
      <c r="S103" s="125">
        <v>0.0</v>
      </c>
      <c r="T103" s="125">
        <v>10.0</v>
      </c>
      <c r="U103" s="125">
        <v>0.0</v>
      </c>
      <c r="V103" s="125">
        <v>0.0</v>
      </c>
      <c r="W103" s="125">
        <v>0.0</v>
      </c>
      <c r="X103" s="125">
        <v>0.0</v>
      </c>
      <c r="Y103" s="125">
        <v>0.0</v>
      </c>
      <c r="Z103" s="125">
        <v>0.0</v>
      </c>
      <c r="AA103" s="125">
        <v>0.0</v>
      </c>
      <c r="AB103" s="125">
        <v>0.0</v>
      </c>
    </row>
    <row r="104" ht="15.75" customHeight="1">
      <c r="A104" s="125">
        <v>11.0</v>
      </c>
      <c r="B104" s="125">
        <v>990.0</v>
      </c>
      <c r="H104" s="222">
        <v>0.0</v>
      </c>
      <c r="I104" s="125">
        <v>0.0</v>
      </c>
      <c r="J104" s="125">
        <v>0.0</v>
      </c>
      <c r="K104" s="125">
        <v>0.0</v>
      </c>
      <c r="L104" s="125">
        <v>0.0</v>
      </c>
      <c r="M104" s="125">
        <v>0.0</v>
      </c>
      <c r="N104" s="125">
        <v>0.0</v>
      </c>
      <c r="O104" s="125">
        <v>0.0</v>
      </c>
      <c r="P104" s="125">
        <v>0.0</v>
      </c>
      <c r="Q104" s="125">
        <v>0.0</v>
      </c>
      <c r="R104" s="125">
        <v>0.0</v>
      </c>
      <c r="S104" s="125">
        <v>15.0</v>
      </c>
      <c r="T104" s="125">
        <v>0.0</v>
      </c>
      <c r="U104" s="125">
        <v>0.0</v>
      </c>
      <c r="V104" s="125">
        <v>0.0</v>
      </c>
      <c r="W104" s="125">
        <v>0.0</v>
      </c>
      <c r="X104" s="125">
        <v>0.0</v>
      </c>
      <c r="Y104" s="125">
        <v>0.0</v>
      </c>
      <c r="Z104" s="125">
        <v>0.0</v>
      </c>
      <c r="AA104" s="125">
        <v>0.0</v>
      </c>
      <c r="AB104" s="125">
        <v>0.0</v>
      </c>
    </row>
    <row r="105" ht="15.75" customHeight="1">
      <c r="A105" s="125">
        <v>12.0</v>
      </c>
      <c r="B105" s="125">
        <v>830.0</v>
      </c>
      <c r="C105" s="194"/>
      <c r="D105" s="194"/>
      <c r="E105" s="194"/>
      <c r="F105" s="194"/>
      <c r="G105" s="194"/>
      <c r="H105" s="222">
        <v>50.0</v>
      </c>
      <c r="I105" s="125">
        <v>0.0</v>
      </c>
      <c r="J105" s="125">
        <v>0.0</v>
      </c>
      <c r="K105" s="125">
        <v>0.0</v>
      </c>
      <c r="L105" s="125">
        <v>0.0</v>
      </c>
      <c r="M105" s="125">
        <v>0.0</v>
      </c>
      <c r="N105" s="125">
        <v>0.0</v>
      </c>
      <c r="O105" s="125">
        <v>0.0</v>
      </c>
      <c r="P105" s="125">
        <v>0.0</v>
      </c>
      <c r="Q105" s="125">
        <v>0.0</v>
      </c>
      <c r="R105" s="125">
        <v>0.0</v>
      </c>
      <c r="S105" s="125">
        <v>0.0</v>
      </c>
      <c r="T105" s="125">
        <v>0.0</v>
      </c>
      <c r="U105" s="125">
        <v>0.0</v>
      </c>
      <c r="V105" s="125">
        <v>0.0</v>
      </c>
      <c r="W105" s="125">
        <v>0.0</v>
      </c>
      <c r="X105" s="125">
        <v>0.0</v>
      </c>
      <c r="Y105" s="125">
        <v>0.0</v>
      </c>
      <c r="Z105" s="125">
        <v>0.0</v>
      </c>
      <c r="AA105" s="125">
        <v>0.0</v>
      </c>
      <c r="AB105" s="125">
        <v>0.0</v>
      </c>
    </row>
    <row r="106" ht="15.75" customHeight="1">
      <c r="A106" s="125">
        <v>13.0</v>
      </c>
      <c r="B106" s="125">
        <v>940.0</v>
      </c>
      <c r="H106" s="222">
        <v>0.0</v>
      </c>
      <c r="I106" s="125">
        <v>0.0</v>
      </c>
      <c r="J106" s="125">
        <v>0.0</v>
      </c>
      <c r="K106" s="125">
        <v>0.0</v>
      </c>
      <c r="L106" s="125">
        <v>0.0</v>
      </c>
      <c r="M106" s="125">
        <v>0.0</v>
      </c>
      <c r="N106" s="125">
        <v>0.0</v>
      </c>
      <c r="O106" s="125">
        <v>0.0</v>
      </c>
      <c r="P106" s="125">
        <v>0.0</v>
      </c>
      <c r="Q106" s="125">
        <v>0.0</v>
      </c>
      <c r="R106" s="125">
        <v>10.0</v>
      </c>
      <c r="S106" s="125">
        <v>0.0</v>
      </c>
      <c r="T106" s="125">
        <v>0.0</v>
      </c>
      <c r="U106" s="125">
        <v>0.0</v>
      </c>
      <c r="V106" s="125">
        <v>0.0</v>
      </c>
      <c r="W106" s="125">
        <v>0.0</v>
      </c>
      <c r="X106" s="125">
        <v>0.0</v>
      </c>
      <c r="Y106" s="125">
        <v>0.0</v>
      </c>
      <c r="Z106" s="125">
        <v>0.0</v>
      </c>
      <c r="AA106" s="125">
        <v>0.0</v>
      </c>
      <c r="AB106" s="125">
        <v>0.0</v>
      </c>
    </row>
    <row r="107" ht="15.75" customHeight="1">
      <c r="A107" s="125">
        <v>14.0</v>
      </c>
      <c r="B107" s="125">
        <v>1040.0</v>
      </c>
      <c r="C107" s="194"/>
      <c r="D107" s="194"/>
      <c r="E107" s="194"/>
      <c r="F107" s="194"/>
      <c r="G107" s="194"/>
      <c r="H107" s="222">
        <v>0.0</v>
      </c>
      <c r="I107" s="125">
        <v>0.0</v>
      </c>
      <c r="J107" s="125">
        <v>0.0</v>
      </c>
      <c r="K107" s="125">
        <v>0.0</v>
      </c>
      <c r="L107" s="125">
        <v>0.0</v>
      </c>
      <c r="M107" s="125">
        <v>0.0</v>
      </c>
      <c r="N107" s="125">
        <v>0.0</v>
      </c>
      <c r="O107" s="125">
        <v>0.0</v>
      </c>
      <c r="P107" s="125">
        <v>0.0</v>
      </c>
      <c r="Q107" s="125">
        <v>0.0</v>
      </c>
      <c r="R107" s="125">
        <v>0.0</v>
      </c>
      <c r="S107" s="125">
        <v>0.0</v>
      </c>
      <c r="T107" s="125">
        <v>15.0</v>
      </c>
      <c r="U107" s="125">
        <v>0.0</v>
      </c>
      <c r="V107" s="125">
        <v>0.0</v>
      </c>
      <c r="W107" s="125">
        <v>0.0</v>
      </c>
      <c r="X107" s="125">
        <v>0.0</v>
      </c>
      <c r="Y107" s="125">
        <v>0.0</v>
      </c>
      <c r="Z107" s="125">
        <v>0.0</v>
      </c>
      <c r="AA107" s="125">
        <v>0.0</v>
      </c>
      <c r="AB107" s="125">
        <v>0.0</v>
      </c>
    </row>
    <row r="108" ht="15.75" customHeight="1">
      <c r="A108" s="125">
        <v>15.0</v>
      </c>
      <c r="B108" s="125">
        <v>1030.0</v>
      </c>
      <c r="H108" s="222">
        <v>0.0</v>
      </c>
      <c r="I108" s="125">
        <v>0.0</v>
      </c>
      <c r="J108" s="125">
        <v>0.0</v>
      </c>
      <c r="K108" s="125">
        <v>0.0</v>
      </c>
      <c r="L108" s="125">
        <v>0.0</v>
      </c>
      <c r="M108" s="125">
        <v>0.0</v>
      </c>
      <c r="N108" s="125">
        <v>0.0</v>
      </c>
      <c r="O108" s="125">
        <v>0.0</v>
      </c>
      <c r="P108" s="125">
        <v>0.0</v>
      </c>
      <c r="Q108" s="125">
        <v>60.0</v>
      </c>
      <c r="R108" s="125">
        <v>0.0</v>
      </c>
      <c r="S108" s="125">
        <v>0.0</v>
      </c>
      <c r="T108" s="125">
        <v>0.0</v>
      </c>
      <c r="U108" s="125">
        <v>0.0</v>
      </c>
      <c r="V108" s="125">
        <v>0.0</v>
      </c>
      <c r="W108" s="125">
        <v>0.0</v>
      </c>
      <c r="X108" s="125">
        <v>0.0</v>
      </c>
      <c r="Y108" s="125">
        <v>0.0</v>
      </c>
      <c r="Z108" s="125">
        <v>0.0</v>
      </c>
      <c r="AA108" s="125">
        <v>0.0</v>
      </c>
      <c r="AB108" s="125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23" t="s">
        <v>35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5" t="s">
        <v>278</v>
      </c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</row>
    <row r="2" ht="19.5" customHeight="1">
      <c r="A2" s="188" t="s">
        <v>114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224"/>
      <c r="AD2" s="224"/>
      <c r="AE2" s="224"/>
      <c r="AF2" s="224"/>
      <c r="AG2" s="224"/>
      <c r="AH2" s="156" t="s">
        <v>160</v>
      </c>
      <c r="AI2" s="174" t="s">
        <v>184</v>
      </c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</row>
    <row r="3">
      <c r="A3" s="196" t="s">
        <v>190</v>
      </c>
      <c r="B3" s="226">
        <v>3.0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156" t="s">
        <v>162</v>
      </c>
      <c r="AI3" s="174" t="s">
        <v>163</v>
      </c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</row>
    <row r="4">
      <c r="A4" s="196" t="s">
        <v>153</v>
      </c>
      <c r="B4" s="197">
        <v>1.0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176" t="s">
        <v>279</v>
      </c>
      <c r="AW4" s="176" t="s">
        <v>245</v>
      </c>
      <c r="AX4" s="176" t="s">
        <v>280</v>
      </c>
    </row>
    <row r="5">
      <c r="A5" s="196" t="s">
        <v>154</v>
      </c>
      <c r="B5" s="197">
        <v>17.0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161" t="s">
        <v>164</v>
      </c>
      <c r="AI5" s="161" t="s">
        <v>165</v>
      </c>
      <c r="AJ5" s="161" t="s">
        <v>166</v>
      </c>
      <c r="AK5" s="161" t="s">
        <v>167</v>
      </c>
      <c r="AL5" s="161" t="s">
        <v>168</v>
      </c>
      <c r="AM5" s="161" t="s">
        <v>169</v>
      </c>
      <c r="AN5" s="161" t="s">
        <v>170</v>
      </c>
      <c r="AO5" s="161" t="s">
        <v>171</v>
      </c>
      <c r="AP5" s="161" t="s">
        <v>172</v>
      </c>
      <c r="AQ5" s="161" t="s">
        <v>173</v>
      </c>
      <c r="AR5" s="161" t="s">
        <v>174</v>
      </c>
      <c r="AS5" s="224"/>
      <c r="AT5" s="177">
        <v>1.0</v>
      </c>
      <c r="AU5" s="227">
        <f t="shared" ref="AU5:AU34" si="1">SUM($F$25:$F25)</f>
        <v>80</v>
      </c>
      <c r="AW5" s="177">
        <v>1.0</v>
      </c>
      <c r="AX5" s="227">
        <v>155.0</v>
      </c>
    </row>
    <row r="6">
      <c r="A6" s="196" t="s">
        <v>227</v>
      </c>
      <c r="B6" s="197" t="b">
        <f>TRUE()</f>
        <v>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162">
        <f>IF(1&lt;=$B$3,1,"")</f>
        <v>1</v>
      </c>
      <c r="AI6" s="163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164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163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164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163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164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163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164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163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164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24"/>
      <c r="AT6" s="177">
        <v>2.0</v>
      </c>
      <c r="AU6" s="227">
        <f t="shared" si="1"/>
        <v>210</v>
      </c>
      <c r="AW6" s="177">
        <v>2.0</v>
      </c>
      <c r="AX6" s="227">
        <v>395.0</v>
      </c>
    </row>
    <row r="7">
      <c r="A7" s="196" t="s">
        <v>228</v>
      </c>
      <c r="B7" s="197" t="b">
        <f>FALSE()</f>
        <v>0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162">
        <f>IF(2&lt;=$B$3,2,"")</f>
        <v>2</v>
      </c>
      <c r="AI7" s="163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164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163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164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163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164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163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164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163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164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24"/>
      <c r="AT7" s="177">
        <v>3.0</v>
      </c>
      <c r="AU7" s="227">
        <f t="shared" si="1"/>
        <v>365</v>
      </c>
      <c r="AW7" s="177">
        <v>3.0</v>
      </c>
      <c r="AX7" s="227">
        <v>640.0</v>
      </c>
    </row>
    <row r="8">
      <c r="A8" s="196" t="s">
        <v>200</v>
      </c>
      <c r="B8" s="228" t="s">
        <v>229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162">
        <f>IF(3&lt;=$B$3,3,"")</f>
        <v>3</v>
      </c>
      <c r="AI8" s="163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164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163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164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163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164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163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164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163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164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24"/>
      <c r="AT8" s="177">
        <v>4.0</v>
      </c>
      <c r="AU8" s="227">
        <f t="shared" si="1"/>
        <v>445</v>
      </c>
      <c r="AW8" s="177">
        <v>4.0</v>
      </c>
      <c r="AX8" s="227">
        <v>985.0</v>
      </c>
    </row>
    <row r="9">
      <c r="A9" s="196" t="s">
        <v>230</v>
      </c>
      <c r="B9" s="197">
        <v>30.0</v>
      </c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162" t="str">
        <f>IF(4&lt;=$B$3,4,"")</f>
        <v/>
      </c>
      <c r="AI9" s="163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64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63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64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63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64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63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64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63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64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24"/>
      <c r="AT9" s="177">
        <v>5.0</v>
      </c>
      <c r="AU9" s="227">
        <f t="shared" si="1"/>
        <v>575</v>
      </c>
      <c r="AW9" s="177">
        <v>5.0</v>
      </c>
      <c r="AX9" s="227">
        <v>1415.0</v>
      </c>
    </row>
    <row r="10">
      <c r="A10" s="196" t="s">
        <v>231</v>
      </c>
      <c r="B10" s="197">
        <v>10.0</v>
      </c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162" t="str">
        <f>IF(5&lt;=$B$3,5,"")</f>
        <v/>
      </c>
      <c r="AI10" s="163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64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63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64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63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64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63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64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63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64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24"/>
      <c r="AT10" s="177">
        <v>6.0</v>
      </c>
      <c r="AU10" s="227">
        <f t="shared" si="1"/>
        <v>735</v>
      </c>
      <c r="AW10" s="177">
        <v>6.0</v>
      </c>
      <c r="AX10" s="227">
        <v>1845.0</v>
      </c>
    </row>
    <row r="11">
      <c r="A11" s="196" t="s">
        <v>232</v>
      </c>
      <c r="B11" s="197">
        <v>3.0</v>
      </c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162" t="str">
        <f>IF(6&lt;=$B$3,6,"")</f>
        <v/>
      </c>
      <c r="AI11" s="163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64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63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64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63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64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63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64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63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64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24"/>
      <c r="AT11" s="177">
        <v>7.0</v>
      </c>
      <c r="AU11" s="227">
        <f t="shared" si="1"/>
        <v>815</v>
      </c>
      <c r="AW11" s="177">
        <v>7.0</v>
      </c>
      <c r="AX11" s="227">
        <v>2555.0</v>
      </c>
    </row>
    <row r="12">
      <c r="A12" s="196" t="s">
        <v>233</v>
      </c>
      <c r="B12" s="197">
        <v>15.0</v>
      </c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162" t="str">
        <f>IF(7&lt;=$B$3,7,"")</f>
        <v/>
      </c>
      <c r="AI12" s="163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64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63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64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63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64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63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64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63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64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24"/>
      <c r="AT12" s="177">
        <v>8.0</v>
      </c>
      <c r="AU12" s="227">
        <f t="shared" si="1"/>
        <v>950</v>
      </c>
      <c r="AW12" s="177">
        <v>8.0</v>
      </c>
      <c r="AX12" s="227">
        <v>3415.0</v>
      </c>
    </row>
    <row r="13">
      <c r="A13" s="196" t="s">
        <v>234</v>
      </c>
      <c r="B13" s="197" t="s">
        <v>235</v>
      </c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177">
        <v>9.0</v>
      </c>
      <c r="AU13" s="227">
        <f t="shared" si="1"/>
        <v>1115</v>
      </c>
      <c r="AW13" s="177">
        <v>9.0</v>
      </c>
      <c r="AX13" s="227">
        <v>4675.0</v>
      </c>
    </row>
    <row r="14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177">
        <v>10.0</v>
      </c>
      <c r="AU14" s="227">
        <f t="shared" si="1"/>
        <v>1280</v>
      </c>
      <c r="AW14" s="177">
        <v>10.0</v>
      </c>
      <c r="AX14" s="227">
        <v>6735.0</v>
      </c>
    </row>
    <row r="15" ht="19.5" customHeight="1">
      <c r="A15" s="188" t="s">
        <v>236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177">
        <v>11.0</v>
      </c>
      <c r="AU15" s="227">
        <f t="shared" si="1"/>
        <v>1510</v>
      </c>
    </row>
    <row r="16" ht="21.75" customHeight="1">
      <c r="A16" s="165" t="s">
        <v>98</v>
      </c>
      <c r="B16" s="165" t="s">
        <v>237</v>
      </c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177">
        <v>12.0</v>
      </c>
      <c r="AU16" s="227">
        <f t="shared" si="1"/>
        <v>1775</v>
      </c>
      <c r="AW16" s="229" t="s">
        <v>281</v>
      </c>
    </row>
    <row r="17">
      <c r="A17" s="199">
        <v>1.0</v>
      </c>
      <c r="B17" s="199" t="s">
        <v>238</v>
      </c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177">
        <v>13.0</v>
      </c>
      <c r="AU17" s="227">
        <f t="shared" si="1"/>
        <v>1955</v>
      </c>
    </row>
    <row r="18">
      <c r="A18" s="199">
        <v>2.0</v>
      </c>
      <c r="B18" s="199" t="s">
        <v>239</v>
      </c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177">
        <v>14.0</v>
      </c>
      <c r="AU18" s="227">
        <f t="shared" si="1"/>
        <v>2205</v>
      </c>
    </row>
    <row r="19">
      <c r="A19" s="199">
        <v>3.0</v>
      </c>
      <c r="B19" s="199" t="s">
        <v>240</v>
      </c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177">
        <v>15.0</v>
      </c>
      <c r="AU19" s="227">
        <f t="shared" si="1"/>
        <v>2505</v>
      </c>
    </row>
    <row r="20">
      <c r="A20" s="199">
        <v>4.0</v>
      </c>
      <c r="B20" s="199" t="s">
        <v>241</v>
      </c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177">
        <v>16.0</v>
      </c>
      <c r="AU20" s="227">
        <f t="shared" si="1"/>
        <v>2685</v>
      </c>
    </row>
    <row r="21" ht="15.75" customHeight="1">
      <c r="A21" s="199">
        <v>5.0</v>
      </c>
      <c r="B21" s="199" t="s">
        <v>242</v>
      </c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177">
        <v>17.0</v>
      </c>
      <c r="AU21" s="227">
        <f t="shared" si="1"/>
        <v>2945</v>
      </c>
    </row>
    <row r="22" ht="15.75" customHeight="1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177">
        <v>18.0</v>
      </c>
      <c r="AU22" s="227">
        <f t="shared" si="1"/>
        <v>3245</v>
      </c>
    </row>
    <row r="23" ht="19.5" customHeight="1">
      <c r="A23" s="188" t="s">
        <v>243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177">
        <v>19.0</v>
      </c>
      <c r="AU23" s="227">
        <f t="shared" si="1"/>
        <v>3545</v>
      </c>
    </row>
    <row r="24" ht="90.0" customHeight="1">
      <c r="A24" s="165" t="s">
        <v>244</v>
      </c>
      <c r="B24" s="165" t="s">
        <v>245</v>
      </c>
      <c r="C24" s="165" t="s">
        <v>246</v>
      </c>
      <c r="D24" s="165" t="s">
        <v>247</v>
      </c>
      <c r="E24" s="165" t="s">
        <v>248</v>
      </c>
      <c r="F24" s="165" t="s">
        <v>249</v>
      </c>
      <c r="G24" s="166" t="s">
        <v>250</v>
      </c>
      <c r="H24" s="230" t="s">
        <v>82</v>
      </c>
      <c r="I24" s="201" t="s">
        <v>68</v>
      </c>
      <c r="J24" s="201" t="s">
        <v>103</v>
      </c>
      <c r="K24" s="201" t="s">
        <v>69</v>
      </c>
      <c r="L24" s="201" t="s">
        <v>70</v>
      </c>
      <c r="M24" s="201" t="s">
        <v>71</v>
      </c>
      <c r="N24" s="201" t="s">
        <v>72</v>
      </c>
      <c r="O24" s="201" t="s">
        <v>73</v>
      </c>
      <c r="P24" s="201" t="s">
        <v>74</v>
      </c>
      <c r="Q24" s="201" t="s">
        <v>75</v>
      </c>
      <c r="R24" s="201" t="s">
        <v>76</v>
      </c>
      <c r="S24" s="201" t="s">
        <v>77</v>
      </c>
      <c r="T24" s="201" t="s">
        <v>78</v>
      </c>
      <c r="U24" s="201" t="s">
        <v>118</v>
      </c>
      <c r="V24" s="201" t="s">
        <v>104</v>
      </c>
      <c r="W24" s="201" t="s">
        <v>105</v>
      </c>
      <c r="X24" s="201" t="s">
        <v>106</v>
      </c>
      <c r="Y24" s="201" t="s">
        <v>107</v>
      </c>
      <c r="Z24" s="201" t="s">
        <v>108</v>
      </c>
      <c r="AA24" s="201" t="s">
        <v>109</v>
      </c>
      <c r="AB24" s="201" t="s">
        <v>110</v>
      </c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177">
        <v>20.0</v>
      </c>
      <c r="AU24" s="227">
        <f t="shared" si="1"/>
        <v>3920</v>
      </c>
    </row>
    <row r="25" ht="15.75" customHeight="1">
      <c r="A25" s="199">
        <v>1.0</v>
      </c>
      <c r="B25" s="199">
        <v>1.0</v>
      </c>
      <c r="C25" s="231" t="s">
        <v>251</v>
      </c>
      <c r="D25" s="231" t="s">
        <v>252</v>
      </c>
      <c r="E25" s="199">
        <v>0.0</v>
      </c>
      <c r="F25" s="199">
        <v>80.0</v>
      </c>
      <c r="G25" s="232">
        <f t="shared" ref="G25:G54" si="2">A25</f>
        <v>1</v>
      </c>
      <c r="H25" s="233">
        <v>0.0</v>
      </c>
      <c r="I25" s="199">
        <v>0.0</v>
      </c>
      <c r="J25" s="199">
        <v>0.0</v>
      </c>
      <c r="K25" s="199">
        <v>0.0</v>
      </c>
      <c r="L25" s="199">
        <v>0.0</v>
      </c>
      <c r="M25" s="199">
        <v>0.0</v>
      </c>
      <c r="N25" s="199">
        <v>0.0</v>
      </c>
      <c r="O25" s="199">
        <v>0.0</v>
      </c>
      <c r="P25" s="199">
        <v>0.0</v>
      </c>
      <c r="Q25" s="199">
        <v>0.0</v>
      </c>
      <c r="R25" s="199">
        <v>0.0</v>
      </c>
      <c r="S25" s="199">
        <v>0.0</v>
      </c>
      <c r="T25" s="199">
        <v>0.0</v>
      </c>
      <c r="U25" s="199">
        <v>0.0</v>
      </c>
      <c r="V25" s="199">
        <v>0.0</v>
      </c>
      <c r="W25" s="199">
        <v>0.0</v>
      </c>
      <c r="X25" s="199">
        <v>0.0</v>
      </c>
      <c r="Y25" s="199">
        <v>0.0</v>
      </c>
      <c r="Z25" s="199">
        <v>0.0</v>
      </c>
      <c r="AA25" s="199">
        <v>0.0</v>
      </c>
      <c r="AB25" s="199">
        <v>0.0</v>
      </c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177">
        <v>21.0</v>
      </c>
      <c r="AU25" s="227">
        <f t="shared" si="1"/>
        <v>4330</v>
      </c>
    </row>
    <row r="26" ht="15.75" customHeight="1">
      <c r="A26" s="199">
        <v>2.0</v>
      </c>
      <c r="B26" s="199">
        <v>1.0</v>
      </c>
      <c r="C26" s="231" t="s">
        <v>251</v>
      </c>
      <c r="D26" s="231" t="s">
        <v>253</v>
      </c>
      <c r="E26" s="199">
        <v>0.0</v>
      </c>
      <c r="F26" s="199">
        <v>130.0</v>
      </c>
      <c r="G26" s="232">
        <f t="shared" si="2"/>
        <v>2</v>
      </c>
      <c r="H26" s="233">
        <v>0.0</v>
      </c>
      <c r="I26" s="199">
        <v>0.0</v>
      </c>
      <c r="J26" s="199">
        <v>0.0</v>
      </c>
      <c r="K26" s="199">
        <v>0.0</v>
      </c>
      <c r="L26" s="199">
        <v>0.0</v>
      </c>
      <c r="M26" s="199">
        <v>0.0</v>
      </c>
      <c r="N26" s="199">
        <v>0.0</v>
      </c>
      <c r="O26" s="199">
        <v>0.0</v>
      </c>
      <c r="P26" s="199">
        <v>0.0</v>
      </c>
      <c r="Q26" s="199">
        <v>0.0</v>
      </c>
      <c r="R26" s="199">
        <v>0.0</v>
      </c>
      <c r="S26" s="199">
        <v>0.0</v>
      </c>
      <c r="T26" s="199">
        <v>0.0</v>
      </c>
      <c r="U26" s="199">
        <v>0.0</v>
      </c>
      <c r="V26" s="199">
        <v>0.0</v>
      </c>
      <c r="W26" s="199">
        <v>0.0</v>
      </c>
      <c r="X26" s="199">
        <v>0.0</v>
      </c>
      <c r="Y26" s="199">
        <v>0.0</v>
      </c>
      <c r="Z26" s="199">
        <v>0.0</v>
      </c>
      <c r="AA26" s="199">
        <v>0.0</v>
      </c>
      <c r="AB26" s="199">
        <v>0.0</v>
      </c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177">
        <v>22.0</v>
      </c>
      <c r="AU26" s="227">
        <f t="shared" si="1"/>
        <v>4715</v>
      </c>
    </row>
    <row r="27" ht="15.75" customHeight="1">
      <c r="A27" s="199">
        <v>3.0</v>
      </c>
      <c r="B27" s="199">
        <v>1.0</v>
      </c>
      <c r="C27" s="231" t="s">
        <v>251</v>
      </c>
      <c r="D27" s="231" t="s">
        <v>254</v>
      </c>
      <c r="E27" s="199">
        <v>0.0</v>
      </c>
      <c r="F27" s="199">
        <v>155.0</v>
      </c>
      <c r="G27" s="232">
        <f t="shared" si="2"/>
        <v>3</v>
      </c>
      <c r="H27" s="233">
        <v>0.0</v>
      </c>
      <c r="I27" s="199">
        <v>0.0</v>
      </c>
      <c r="J27" s="199">
        <v>0.0</v>
      </c>
      <c r="K27" s="199">
        <v>0.0</v>
      </c>
      <c r="L27" s="199">
        <v>1.0</v>
      </c>
      <c r="M27" s="199">
        <v>0.0</v>
      </c>
      <c r="N27" s="199">
        <v>0.0</v>
      </c>
      <c r="O27" s="199">
        <v>0.0</v>
      </c>
      <c r="P27" s="199">
        <v>0.0</v>
      </c>
      <c r="Q27" s="199">
        <v>0.0</v>
      </c>
      <c r="R27" s="199">
        <v>0.0</v>
      </c>
      <c r="S27" s="199">
        <v>0.0</v>
      </c>
      <c r="T27" s="199">
        <v>0.0</v>
      </c>
      <c r="U27" s="199">
        <v>0.0</v>
      </c>
      <c r="V27" s="199">
        <v>0.0</v>
      </c>
      <c r="W27" s="199">
        <v>0.0</v>
      </c>
      <c r="X27" s="199">
        <v>0.0</v>
      </c>
      <c r="Y27" s="199">
        <v>0.0</v>
      </c>
      <c r="Z27" s="199">
        <v>0.0</v>
      </c>
      <c r="AA27" s="199">
        <v>0.0</v>
      </c>
      <c r="AB27" s="199">
        <v>0.0</v>
      </c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177">
        <v>23.0</v>
      </c>
      <c r="AU27" s="227">
        <f t="shared" si="1"/>
        <v>5190</v>
      </c>
    </row>
    <row r="28" ht="15.75" customHeight="1">
      <c r="A28" s="199">
        <v>4.0</v>
      </c>
      <c r="B28" s="199">
        <v>2.0</v>
      </c>
      <c r="C28" s="231" t="s">
        <v>255</v>
      </c>
      <c r="D28" s="231" t="s">
        <v>256</v>
      </c>
      <c r="E28" s="199">
        <v>2.0</v>
      </c>
      <c r="F28" s="199">
        <v>80.0</v>
      </c>
      <c r="G28" s="232">
        <f t="shared" si="2"/>
        <v>4</v>
      </c>
      <c r="H28" s="233">
        <v>0.0</v>
      </c>
      <c r="I28" s="199">
        <v>0.0</v>
      </c>
      <c r="J28" s="199">
        <v>0.0</v>
      </c>
      <c r="K28" s="199">
        <v>0.0</v>
      </c>
      <c r="L28" s="199">
        <v>0.0</v>
      </c>
      <c r="M28" s="199">
        <v>0.0</v>
      </c>
      <c r="N28" s="199">
        <v>0.0</v>
      </c>
      <c r="O28" s="199">
        <v>0.0</v>
      </c>
      <c r="P28" s="199">
        <v>0.0</v>
      </c>
      <c r="Q28" s="199">
        <v>0.0</v>
      </c>
      <c r="R28" s="199">
        <v>0.0</v>
      </c>
      <c r="S28" s="199">
        <v>0.0</v>
      </c>
      <c r="T28" s="199">
        <v>0.0</v>
      </c>
      <c r="U28" s="199">
        <v>0.0</v>
      </c>
      <c r="V28" s="199">
        <v>0.0</v>
      </c>
      <c r="W28" s="199">
        <v>0.0</v>
      </c>
      <c r="X28" s="199">
        <v>0.0</v>
      </c>
      <c r="Y28" s="199">
        <v>0.0</v>
      </c>
      <c r="Z28" s="199">
        <v>0.0</v>
      </c>
      <c r="AA28" s="199">
        <v>0.0</v>
      </c>
      <c r="AB28" s="199">
        <v>0.0</v>
      </c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177">
        <v>24.0</v>
      </c>
      <c r="AU28" s="227">
        <f t="shared" si="1"/>
        <v>5690</v>
      </c>
    </row>
    <row r="29" ht="15.75" customHeight="1">
      <c r="A29" s="199">
        <v>5.0</v>
      </c>
      <c r="B29" s="199">
        <v>2.0</v>
      </c>
      <c r="C29" s="231" t="s">
        <v>255</v>
      </c>
      <c r="D29" s="231" t="s">
        <v>257</v>
      </c>
      <c r="E29" s="199">
        <v>2.0</v>
      </c>
      <c r="F29" s="199">
        <v>130.0</v>
      </c>
      <c r="G29" s="232">
        <f t="shared" si="2"/>
        <v>5</v>
      </c>
      <c r="H29" s="233">
        <v>0.0</v>
      </c>
      <c r="I29" s="199">
        <v>0.0</v>
      </c>
      <c r="J29" s="199">
        <v>0.0</v>
      </c>
      <c r="K29" s="199">
        <v>0.0</v>
      </c>
      <c r="L29" s="199">
        <v>0.0</v>
      </c>
      <c r="M29" s="199">
        <v>0.0</v>
      </c>
      <c r="N29" s="199">
        <v>0.0</v>
      </c>
      <c r="O29" s="199">
        <v>0.0</v>
      </c>
      <c r="P29" s="199">
        <v>0.0</v>
      </c>
      <c r="Q29" s="199">
        <v>0.0</v>
      </c>
      <c r="R29" s="199">
        <v>0.0</v>
      </c>
      <c r="S29" s="199">
        <v>0.0</v>
      </c>
      <c r="T29" s="199">
        <v>0.0</v>
      </c>
      <c r="U29" s="199">
        <v>0.0</v>
      </c>
      <c r="V29" s="199">
        <v>0.0</v>
      </c>
      <c r="W29" s="199">
        <v>0.0</v>
      </c>
      <c r="X29" s="199">
        <v>0.0</v>
      </c>
      <c r="Y29" s="199">
        <v>0.0</v>
      </c>
      <c r="Z29" s="199">
        <v>0.0</v>
      </c>
      <c r="AA29" s="199">
        <v>0.0</v>
      </c>
      <c r="AB29" s="199">
        <v>0.0</v>
      </c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177">
        <v>25.0</v>
      </c>
      <c r="AU29" s="227">
        <f t="shared" si="1"/>
        <v>6090</v>
      </c>
    </row>
    <row r="30" ht="15.75" customHeight="1">
      <c r="A30" s="199">
        <v>6.0</v>
      </c>
      <c r="B30" s="199">
        <v>2.0</v>
      </c>
      <c r="C30" s="231" t="s">
        <v>255</v>
      </c>
      <c r="D30" s="231" t="s">
        <v>258</v>
      </c>
      <c r="E30" s="199">
        <v>2.0</v>
      </c>
      <c r="F30" s="199">
        <v>160.0</v>
      </c>
      <c r="G30" s="232">
        <f t="shared" si="2"/>
        <v>6</v>
      </c>
      <c r="H30" s="233">
        <v>0.0</v>
      </c>
      <c r="I30" s="199">
        <v>0.0</v>
      </c>
      <c r="J30" s="199">
        <v>0.0</v>
      </c>
      <c r="K30" s="199">
        <v>0.0</v>
      </c>
      <c r="L30" s="199">
        <v>0.0</v>
      </c>
      <c r="M30" s="199">
        <v>0.0</v>
      </c>
      <c r="N30" s="199">
        <v>0.0</v>
      </c>
      <c r="O30" s="199">
        <v>0.0</v>
      </c>
      <c r="P30" s="199">
        <v>0.0</v>
      </c>
      <c r="Q30" s="199">
        <v>30.0</v>
      </c>
      <c r="R30" s="199">
        <v>0.0</v>
      </c>
      <c r="S30" s="199">
        <v>0.0</v>
      </c>
      <c r="T30" s="199">
        <v>0.0</v>
      </c>
      <c r="U30" s="199">
        <v>0.0</v>
      </c>
      <c r="V30" s="199">
        <v>0.0</v>
      </c>
      <c r="W30" s="199">
        <v>0.0</v>
      </c>
      <c r="X30" s="199">
        <v>0.0</v>
      </c>
      <c r="Y30" s="199">
        <v>0.0</v>
      </c>
      <c r="Z30" s="199">
        <v>0.0</v>
      </c>
      <c r="AA30" s="199">
        <v>0.0</v>
      </c>
      <c r="AB30" s="199">
        <v>0.0</v>
      </c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177">
        <v>26.0</v>
      </c>
      <c r="AU30" s="227">
        <f t="shared" si="1"/>
        <v>6570</v>
      </c>
    </row>
    <row r="31" ht="15.75" customHeight="1">
      <c r="A31" s="199">
        <v>7.0</v>
      </c>
      <c r="B31" s="199">
        <v>3.0</v>
      </c>
      <c r="C31" s="231" t="s">
        <v>259</v>
      </c>
      <c r="D31" s="231" t="s">
        <v>252</v>
      </c>
      <c r="E31" s="199">
        <v>4.0</v>
      </c>
      <c r="F31" s="199">
        <v>80.0</v>
      </c>
      <c r="G31" s="232">
        <f t="shared" si="2"/>
        <v>7</v>
      </c>
      <c r="H31" s="233">
        <v>0.0</v>
      </c>
      <c r="I31" s="199">
        <v>0.0</v>
      </c>
      <c r="J31" s="199">
        <v>0.0</v>
      </c>
      <c r="K31" s="199">
        <v>0.0</v>
      </c>
      <c r="L31" s="199">
        <v>0.0</v>
      </c>
      <c r="M31" s="199">
        <v>0.0</v>
      </c>
      <c r="N31" s="199">
        <v>0.0</v>
      </c>
      <c r="O31" s="199">
        <v>0.0</v>
      </c>
      <c r="P31" s="199">
        <v>0.0</v>
      </c>
      <c r="Q31" s="199">
        <v>0.0</v>
      </c>
      <c r="R31" s="199">
        <v>0.0</v>
      </c>
      <c r="S31" s="199">
        <v>0.0</v>
      </c>
      <c r="T31" s="199">
        <v>0.0</v>
      </c>
      <c r="U31" s="199">
        <v>0.0</v>
      </c>
      <c r="V31" s="199">
        <v>0.0</v>
      </c>
      <c r="W31" s="199">
        <v>0.0</v>
      </c>
      <c r="X31" s="199">
        <v>0.0</v>
      </c>
      <c r="Y31" s="199">
        <v>0.0</v>
      </c>
      <c r="Z31" s="199">
        <v>0.0</v>
      </c>
      <c r="AA31" s="199">
        <v>0.0</v>
      </c>
      <c r="AB31" s="199">
        <v>0.0</v>
      </c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177">
        <v>27.0</v>
      </c>
      <c r="AU31" s="227">
        <f t="shared" si="1"/>
        <v>7090</v>
      </c>
    </row>
    <row r="32" ht="15.75" customHeight="1">
      <c r="A32" s="199">
        <v>8.0</v>
      </c>
      <c r="B32" s="199">
        <v>3.0</v>
      </c>
      <c r="C32" s="231" t="s">
        <v>259</v>
      </c>
      <c r="D32" s="231" t="s">
        <v>253</v>
      </c>
      <c r="E32" s="199">
        <v>4.0</v>
      </c>
      <c r="F32" s="199">
        <v>135.0</v>
      </c>
      <c r="G32" s="232">
        <f t="shared" si="2"/>
        <v>8</v>
      </c>
      <c r="H32" s="233">
        <v>0.0</v>
      </c>
      <c r="I32" s="199">
        <v>0.0</v>
      </c>
      <c r="J32" s="199">
        <v>0.0</v>
      </c>
      <c r="K32" s="199">
        <v>0.0</v>
      </c>
      <c r="L32" s="199">
        <v>0.0</v>
      </c>
      <c r="M32" s="199">
        <v>0.0</v>
      </c>
      <c r="N32" s="199">
        <v>0.0</v>
      </c>
      <c r="O32" s="199">
        <v>0.0</v>
      </c>
      <c r="P32" s="199">
        <v>0.0</v>
      </c>
      <c r="Q32" s="199">
        <v>0.0</v>
      </c>
      <c r="R32" s="199">
        <v>0.0</v>
      </c>
      <c r="S32" s="199">
        <v>0.0</v>
      </c>
      <c r="T32" s="199">
        <v>0.0</v>
      </c>
      <c r="U32" s="199">
        <v>0.0</v>
      </c>
      <c r="V32" s="199">
        <v>0.0</v>
      </c>
      <c r="W32" s="199">
        <v>0.0</v>
      </c>
      <c r="X32" s="199">
        <v>0.0</v>
      </c>
      <c r="Y32" s="199">
        <v>0.0</v>
      </c>
      <c r="Z32" s="199">
        <v>0.0</v>
      </c>
      <c r="AA32" s="199">
        <v>0.0</v>
      </c>
      <c r="AB32" s="199">
        <v>0.0</v>
      </c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177">
        <v>28.0</v>
      </c>
      <c r="AU32" s="227">
        <f t="shared" si="1"/>
        <v>7690</v>
      </c>
    </row>
    <row r="33" ht="15.75" customHeight="1">
      <c r="A33" s="199">
        <v>9.0</v>
      </c>
      <c r="B33" s="199">
        <v>3.0</v>
      </c>
      <c r="C33" s="231" t="s">
        <v>259</v>
      </c>
      <c r="D33" s="231" t="s">
        <v>254</v>
      </c>
      <c r="E33" s="199">
        <v>4.0</v>
      </c>
      <c r="F33" s="199">
        <v>165.0</v>
      </c>
      <c r="G33" s="232">
        <f t="shared" si="2"/>
        <v>9</v>
      </c>
      <c r="H33" s="233">
        <v>25.0</v>
      </c>
      <c r="I33" s="199">
        <v>0.0</v>
      </c>
      <c r="J33" s="199">
        <v>0.0</v>
      </c>
      <c r="K33" s="199">
        <v>0.0</v>
      </c>
      <c r="L33" s="199">
        <v>0.0</v>
      </c>
      <c r="M33" s="199">
        <v>0.0</v>
      </c>
      <c r="N33" s="199">
        <v>0.0</v>
      </c>
      <c r="O33" s="199">
        <v>0.0</v>
      </c>
      <c r="P33" s="199">
        <v>0.0</v>
      </c>
      <c r="Q33" s="199">
        <v>0.0</v>
      </c>
      <c r="R33" s="199">
        <v>0.0</v>
      </c>
      <c r="S33" s="199">
        <v>0.0</v>
      </c>
      <c r="T33" s="199">
        <v>0.0</v>
      </c>
      <c r="U33" s="199">
        <v>0.0</v>
      </c>
      <c r="V33" s="199">
        <v>0.0</v>
      </c>
      <c r="W33" s="199">
        <v>0.0</v>
      </c>
      <c r="X33" s="199">
        <v>0.0</v>
      </c>
      <c r="Y33" s="199">
        <v>0.0</v>
      </c>
      <c r="Z33" s="199">
        <v>0.0</v>
      </c>
      <c r="AA33" s="199">
        <v>0.0</v>
      </c>
      <c r="AB33" s="199">
        <v>0.0</v>
      </c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177">
        <v>29.0</v>
      </c>
      <c r="AU33" s="227">
        <f t="shared" si="1"/>
        <v>8290</v>
      </c>
    </row>
    <row r="34" ht="15.75" customHeight="1">
      <c r="A34" s="199">
        <v>10.0</v>
      </c>
      <c r="B34" s="199">
        <v>4.0</v>
      </c>
      <c r="C34" s="231" t="s">
        <v>260</v>
      </c>
      <c r="D34" s="231" t="s">
        <v>252</v>
      </c>
      <c r="E34" s="199">
        <v>6.0</v>
      </c>
      <c r="F34" s="199">
        <v>165.0</v>
      </c>
      <c r="G34" s="232">
        <f t="shared" si="2"/>
        <v>10</v>
      </c>
      <c r="H34" s="233">
        <v>0.0</v>
      </c>
      <c r="I34" s="199">
        <v>0.0</v>
      </c>
      <c r="J34" s="199">
        <v>0.0</v>
      </c>
      <c r="K34" s="199">
        <v>0.0</v>
      </c>
      <c r="L34" s="199">
        <v>0.0</v>
      </c>
      <c r="M34" s="199">
        <v>0.0</v>
      </c>
      <c r="N34" s="199">
        <v>0.0</v>
      </c>
      <c r="O34" s="199">
        <v>0.0</v>
      </c>
      <c r="P34" s="199">
        <v>0.0</v>
      </c>
      <c r="Q34" s="199">
        <v>0.0</v>
      </c>
      <c r="R34" s="199">
        <v>0.0</v>
      </c>
      <c r="S34" s="199">
        <v>0.0</v>
      </c>
      <c r="T34" s="199">
        <v>0.0</v>
      </c>
      <c r="U34" s="199">
        <v>0.0</v>
      </c>
      <c r="V34" s="199">
        <v>0.0</v>
      </c>
      <c r="W34" s="199">
        <v>0.0</v>
      </c>
      <c r="X34" s="199">
        <v>0.0</v>
      </c>
      <c r="Y34" s="199">
        <v>0.0</v>
      </c>
      <c r="Z34" s="199">
        <v>0.0</v>
      </c>
      <c r="AA34" s="199">
        <v>0.0</v>
      </c>
      <c r="AB34" s="199">
        <v>0.0</v>
      </c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177">
        <v>30.0</v>
      </c>
      <c r="AU34" s="227">
        <f t="shared" si="1"/>
        <v>8890</v>
      </c>
    </row>
    <row r="35" ht="15.75" customHeight="1">
      <c r="A35" s="199">
        <v>11.0</v>
      </c>
      <c r="B35" s="199">
        <v>4.0</v>
      </c>
      <c r="C35" s="231" t="s">
        <v>260</v>
      </c>
      <c r="D35" s="231" t="s">
        <v>253</v>
      </c>
      <c r="E35" s="199">
        <v>6.0</v>
      </c>
      <c r="F35" s="199">
        <v>230.0</v>
      </c>
      <c r="G35" s="232">
        <f t="shared" si="2"/>
        <v>11</v>
      </c>
      <c r="H35" s="233">
        <v>0.0</v>
      </c>
      <c r="I35" s="199">
        <v>0.0</v>
      </c>
      <c r="J35" s="199">
        <v>0.0</v>
      </c>
      <c r="K35" s="199">
        <v>0.0</v>
      </c>
      <c r="L35" s="199">
        <v>0.0</v>
      </c>
      <c r="M35" s="199">
        <v>0.0</v>
      </c>
      <c r="N35" s="199">
        <v>0.0</v>
      </c>
      <c r="O35" s="199">
        <v>0.0</v>
      </c>
      <c r="P35" s="199">
        <v>0.0</v>
      </c>
      <c r="Q35" s="199">
        <v>0.0</v>
      </c>
      <c r="R35" s="199">
        <v>0.0</v>
      </c>
      <c r="S35" s="199">
        <v>0.0</v>
      </c>
      <c r="T35" s="199">
        <v>0.0</v>
      </c>
      <c r="U35" s="199">
        <v>0.0</v>
      </c>
      <c r="V35" s="199">
        <v>0.0</v>
      </c>
      <c r="W35" s="199">
        <v>0.0</v>
      </c>
      <c r="X35" s="199">
        <v>0.0</v>
      </c>
      <c r="Y35" s="199">
        <v>0.0</v>
      </c>
      <c r="Z35" s="199">
        <v>0.0</v>
      </c>
      <c r="AA35" s="199">
        <v>0.0</v>
      </c>
      <c r="AB35" s="199">
        <v>0.0</v>
      </c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</row>
    <row r="36" ht="15.75" customHeight="1">
      <c r="A36" s="199">
        <v>12.0</v>
      </c>
      <c r="B36" s="199">
        <v>4.0</v>
      </c>
      <c r="C36" s="231" t="s">
        <v>260</v>
      </c>
      <c r="D36" s="231" t="s">
        <v>254</v>
      </c>
      <c r="E36" s="199">
        <v>6.0</v>
      </c>
      <c r="F36" s="199">
        <v>265.0</v>
      </c>
      <c r="G36" s="232">
        <f t="shared" si="2"/>
        <v>12</v>
      </c>
      <c r="H36" s="233">
        <v>0.0</v>
      </c>
      <c r="I36" s="199">
        <v>0.0</v>
      </c>
      <c r="J36" s="199">
        <v>0.0</v>
      </c>
      <c r="K36" s="199">
        <v>0.0</v>
      </c>
      <c r="L36" s="199">
        <v>0.0</v>
      </c>
      <c r="M36" s="199">
        <v>0.0</v>
      </c>
      <c r="N36" s="199">
        <v>0.0</v>
      </c>
      <c r="O36" s="199">
        <v>0.0</v>
      </c>
      <c r="P36" s="199">
        <v>0.0</v>
      </c>
      <c r="Q36" s="199">
        <v>30.0</v>
      </c>
      <c r="R36" s="199">
        <v>15.0</v>
      </c>
      <c r="S36" s="199">
        <v>0.0</v>
      </c>
      <c r="T36" s="199">
        <v>0.0</v>
      </c>
      <c r="U36" s="199">
        <v>0.0</v>
      </c>
      <c r="V36" s="199">
        <v>0.0</v>
      </c>
      <c r="W36" s="199">
        <v>0.0</v>
      </c>
      <c r="X36" s="199">
        <v>0.0</v>
      </c>
      <c r="Y36" s="199">
        <v>0.0</v>
      </c>
      <c r="Z36" s="199">
        <v>0.0</v>
      </c>
      <c r="AA36" s="199">
        <v>0.0</v>
      </c>
      <c r="AB36" s="199">
        <v>0.0</v>
      </c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180" t="s">
        <v>282</v>
      </c>
      <c r="AU36" s="224"/>
    </row>
    <row r="37" ht="15.75" customHeight="1">
      <c r="A37" s="199">
        <v>13.0</v>
      </c>
      <c r="B37" s="199">
        <v>5.0</v>
      </c>
      <c r="C37" s="231" t="s">
        <v>261</v>
      </c>
      <c r="D37" s="231" t="s">
        <v>256</v>
      </c>
      <c r="E37" s="199">
        <v>8.0</v>
      </c>
      <c r="F37" s="199">
        <v>180.0</v>
      </c>
      <c r="G37" s="232">
        <f t="shared" si="2"/>
        <v>13</v>
      </c>
      <c r="H37" s="233">
        <v>0.0</v>
      </c>
      <c r="I37" s="199">
        <v>0.0</v>
      </c>
      <c r="J37" s="199">
        <v>0.0</v>
      </c>
      <c r="K37" s="199">
        <v>0.0</v>
      </c>
      <c r="L37" s="199">
        <v>0.0</v>
      </c>
      <c r="M37" s="199">
        <v>0.0</v>
      </c>
      <c r="N37" s="199">
        <v>0.0</v>
      </c>
      <c r="O37" s="199">
        <v>0.0</v>
      </c>
      <c r="P37" s="199">
        <v>0.0</v>
      </c>
      <c r="Q37" s="199">
        <v>0.0</v>
      </c>
      <c r="R37" s="199">
        <v>0.0</v>
      </c>
      <c r="S37" s="199">
        <v>0.0</v>
      </c>
      <c r="T37" s="199">
        <v>0.0</v>
      </c>
      <c r="U37" s="199">
        <v>0.0</v>
      </c>
      <c r="V37" s="199">
        <v>0.0</v>
      </c>
      <c r="W37" s="199">
        <v>0.0</v>
      </c>
      <c r="X37" s="199">
        <v>0.0</v>
      </c>
      <c r="Y37" s="199">
        <v>0.0</v>
      </c>
      <c r="Z37" s="199">
        <v>0.0</v>
      </c>
      <c r="AA37" s="199">
        <v>0.0</v>
      </c>
      <c r="AB37" s="199">
        <v>0.0</v>
      </c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</row>
    <row r="38" ht="15.75" customHeight="1">
      <c r="A38" s="199">
        <v>14.0</v>
      </c>
      <c r="B38" s="199">
        <v>5.0</v>
      </c>
      <c r="C38" s="231" t="s">
        <v>261</v>
      </c>
      <c r="D38" s="231" t="s">
        <v>257</v>
      </c>
      <c r="E38" s="199">
        <v>8.0</v>
      </c>
      <c r="F38" s="199">
        <v>250.0</v>
      </c>
      <c r="G38" s="232">
        <f t="shared" si="2"/>
        <v>14</v>
      </c>
      <c r="H38" s="233">
        <v>0.0</v>
      </c>
      <c r="I38" s="199">
        <v>0.0</v>
      </c>
      <c r="J38" s="199">
        <v>0.0</v>
      </c>
      <c r="K38" s="199">
        <v>0.0</v>
      </c>
      <c r="L38" s="199">
        <v>0.0</v>
      </c>
      <c r="M38" s="199">
        <v>0.0</v>
      </c>
      <c r="N38" s="199">
        <v>0.0</v>
      </c>
      <c r="O38" s="199">
        <v>0.0</v>
      </c>
      <c r="P38" s="199">
        <v>0.0</v>
      </c>
      <c r="Q38" s="199">
        <v>0.0</v>
      </c>
      <c r="R38" s="199">
        <v>0.0</v>
      </c>
      <c r="S38" s="199">
        <v>0.0</v>
      </c>
      <c r="T38" s="199">
        <v>0.0</v>
      </c>
      <c r="U38" s="199">
        <v>0.0</v>
      </c>
      <c r="V38" s="199">
        <v>0.0</v>
      </c>
      <c r="W38" s="199">
        <v>0.0</v>
      </c>
      <c r="X38" s="199">
        <v>0.0</v>
      </c>
      <c r="Y38" s="199">
        <v>0.0</v>
      </c>
      <c r="Z38" s="199">
        <v>0.0</v>
      </c>
      <c r="AA38" s="199">
        <v>0.0</v>
      </c>
      <c r="AB38" s="199">
        <v>0.0</v>
      </c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</row>
    <row r="39" ht="15.75" customHeight="1">
      <c r="A39" s="199">
        <v>15.0</v>
      </c>
      <c r="B39" s="199">
        <v>5.0</v>
      </c>
      <c r="C39" s="231" t="s">
        <v>261</v>
      </c>
      <c r="D39" s="231" t="s">
        <v>258</v>
      </c>
      <c r="E39" s="199">
        <v>8.0</v>
      </c>
      <c r="F39" s="199">
        <v>300.0</v>
      </c>
      <c r="G39" s="232">
        <f t="shared" si="2"/>
        <v>15</v>
      </c>
      <c r="H39" s="233">
        <v>0.0</v>
      </c>
      <c r="I39" s="199">
        <v>0.0</v>
      </c>
      <c r="J39" s="199">
        <v>0.0</v>
      </c>
      <c r="K39" s="199">
        <v>1.0</v>
      </c>
      <c r="L39" s="199">
        <v>0.0</v>
      </c>
      <c r="M39" s="199">
        <v>0.0</v>
      </c>
      <c r="N39" s="199">
        <v>0.0</v>
      </c>
      <c r="O39" s="199">
        <v>0.0</v>
      </c>
      <c r="P39" s="199">
        <v>0.0</v>
      </c>
      <c r="Q39" s="199">
        <v>0.0</v>
      </c>
      <c r="R39" s="199">
        <v>0.0</v>
      </c>
      <c r="S39" s="199">
        <v>0.0</v>
      </c>
      <c r="T39" s="199">
        <v>0.0</v>
      </c>
      <c r="U39" s="199">
        <v>0.0</v>
      </c>
      <c r="V39" s="199">
        <v>0.0</v>
      </c>
      <c r="W39" s="199">
        <v>0.0</v>
      </c>
      <c r="X39" s="199">
        <v>0.0</v>
      </c>
      <c r="Y39" s="199">
        <v>0.0</v>
      </c>
      <c r="Z39" s="199">
        <v>0.0</v>
      </c>
      <c r="AA39" s="199">
        <v>0.0</v>
      </c>
      <c r="AB39" s="199">
        <v>0.0</v>
      </c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</row>
    <row r="40" ht="15.75" customHeight="1">
      <c r="A40" s="199">
        <v>16.0</v>
      </c>
      <c r="B40" s="199">
        <v>6.0</v>
      </c>
      <c r="C40" s="231" t="s">
        <v>262</v>
      </c>
      <c r="D40" s="231" t="s">
        <v>256</v>
      </c>
      <c r="E40" s="199">
        <v>10.0</v>
      </c>
      <c r="F40" s="199">
        <v>180.0</v>
      </c>
      <c r="G40" s="232">
        <f t="shared" si="2"/>
        <v>16</v>
      </c>
      <c r="H40" s="233">
        <v>0.0</v>
      </c>
      <c r="I40" s="199">
        <v>0.0</v>
      </c>
      <c r="J40" s="199">
        <v>0.0</v>
      </c>
      <c r="K40" s="199">
        <v>0.0</v>
      </c>
      <c r="L40" s="199">
        <v>0.0</v>
      </c>
      <c r="M40" s="199">
        <v>0.0</v>
      </c>
      <c r="N40" s="199">
        <v>0.0</v>
      </c>
      <c r="O40" s="199">
        <v>0.0</v>
      </c>
      <c r="P40" s="199">
        <v>0.0</v>
      </c>
      <c r="Q40" s="199">
        <v>0.0</v>
      </c>
      <c r="R40" s="199">
        <v>0.0</v>
      </c>
      <c r="S40" s="199">
        <v>0.0</v>
      </c>
      <c r="T40" s="199">
        <v>0.0</v>
      </c>
      <c r="U40" s="199">
        <v>0.0</v>
      </c>
      <c r="V40" s="199">
        <v>0.0</v>
      </c>
      <c r="W40" s="199">
        <v>0.0</v>
      </c>
      <c r="X40" s="199">
        <v>0.0</v>
      </c>
      <c r="Y40" s="199">
        <v>0.0</v>
      </c>
      <c r="Z40" s="199">
        <v>0.0</v>
      </c>
      <c r="AA40" s="199">
        <v>0.0</v>
      </c>
      <c r="AB40" s="199">
        <v>0.0</v>
      </c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</row>
    <row r="41" ht="15.75" customHeight="1">
      <c r="A41" s="199">
        <v>17.0</v>
      </c>
      <c r="B41" s="199">
        <v>6.0</v>
      </c>
      <c r="C41" s="231" t="s">
        <v>262</v>
      </c>
      <c r="D41" s="231" t="s">
        <v>257</v>
      </c>
      <c r="E41" s="199">
        <v>10.0</v>
      </c>
      <c r="F41" s="199">
        <v>260.0</v>
      </c>
      <c r="G41" s="232">
        <f t="shared" si="2"/>
        <v>17</v>
      </c>
      <c r="H41" s="233">
        <v>0.0</v>
      </c>
      <c r="I41" s="199">
        <v>0.0</v>
      </c>
      <c r="J41" s="199">
        <v>0.0</v>
      </c>
      <c r="K41" s="199">
        <v>0.0</v>
      </c>
      <c r="L41" s="199">
        <v>0.0</v>
      </c>
      <c r="M41" s="199">
        <v>0.0</v>
      </c>
      <c r="N41" s="199">
        <v>0.0</v>
      </c>
      <c r="O41" s="199">
        <v>0.0</v>
      </c>
      <c r="P41" s="199">
        <v>0.0</v>
      </c>
      <c r="Q41" s="199">
        <v>0.0</v>
      </c>
      <c r="R41" s="199">
        <v>0.0</v>
      </c>
      <c r="S41" s="199">
        <v>0.0</v>
      </c>
      <c r="T41" s="199">
        <v>0.0</v>
      </c>
      <c r="U41" s="199">
        <v>0.0</v>
      </c>
      <c r="V41" s="199">
        <v>0.0</v>
      </c>
      <c r="W41" s="199">
        <v>0.0</v>
      </c>
      <c r="X41" s="199">
        <v>0.0</v>
      </c>
      <c r="Y41" s="199">
        <v>0.0</v>
      </c>
      <c r="Z41" s="199">
        <v>0.0</v>
      </c>
      <c r="AA41" s="199">
        <v>0.0</v>
      </c>
      <c r="AB41" s="199">
        <v>0.0</v>
      </c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</row>
    <row r="42" ht="15.75" customHeight="1">
      <c r="A42" s="199">
        <v>18.0</v>
      </c>
      <c r="B42" s="199">
        <v>6.0</v>
      </c>
      <c r="C42" s="231" t="s">
        <v>262</v>
      </c>
      <c r="D42" s="231" t="s">
        <v>258</v>
      </c>
      <c r="E42" s="199">
        <v>10.0</v>
      </c>
      <c r="F42" s="199">
        <v>300.0</v>
      </c>
      <c r="G42" s="232">
        <f t="shared" si="2"/>
        <v>18</v>
      </c>
      <c r="H42" s="233">
        <v>0.0</v>
      </c>
      <c r="I42" s="199">
        <v>0.0</v>
      </c>
      <c r="J42" s="199">
        <v>0.0</v>
      </c>
      <c r="K42" s="199">
        <v>0.0</v>
      </c>
      <c r="L42" s="199">
        <v>0.0</v>
      </c>
      <c r="M42" s="199">
        <v>0.0</v>
      </c>
      <c r="N42" s="199">
        <v>0.0</v>
      </c>
      <c r="O42" s="199">
        <v>0.0</v>
      </c>
      <c r="P42" s="199">
        <v>0.0</v>
      </c>
      <c r="Q42" s="199">
        <v>30.0</v>
      </c>
      <c r="R42" s="199">
        <v>0.0</v>
      </c>
      <c r="S42" s="199">
        <v>15.0</v>
      </c>
      <c r="T42" s="199">
        <v>0.0</v>
      </c>
      <c r="U42" s="199">
        <v>0.0</v>
      </c>
      <c r="V42" s="199">
        <v>0.0</v>
      </c>
      <c r="W42" s="199">
        <v>0.0</v>
      </c>
      <c r="X42" s="199">
        <v>0.0</v>
      </c>
      <c r="Y42" s="199">
        <v>0.0</v>
      </c>
      <c r="Z42" s="199">
        <v>0.0</v>
      </c>
      <c r="AA42" s="199">
        <v>0.0</v>
      </c>
      <c r="AB42" s="199">
        <v>0.0</v>
      </c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</row>
    <row r="43" ht="15.75" customHeight="1">
      <c r="A43" s="199">
        <v>19.0</v>
      </c>
      <c r="B43" s="199">
        <v>7.0</v>
      </c>
      <c r="C43" s="231" t="s">
        <v>263</v>
      </c>
      <c r="D43" s="231" t="s">
        <v>264</v>
      </c>
      <c r="E43" s="199">
        <v>13.0</v>
      </c>
      <c r="F43" s="199">
        <v>300.0</v>
      </c>
      <c r="G43" s="232">
        <f t="shared" si="2"/>
        <v>19</v>
      </c>
      <c r="H43" s="233">
        <v>0.0</v>
      </c>
      <c r="I43" s="199">
        <v>0.0</v>
      </c>
      <c r="J43" s="199">
        <v>0.0</v>
      </c>
      <c r="K43" s="199">
        <v>0.0</v>
      </c>
      <c r="L43" s="199">
        <v>0.0</v>
      </c>
      <c r="M43" s="199">
        <v>0.0</v>
      </c>
      <c r="N43" s="199">
        <v>0.0</v>
      </c>
      <c r="O43" s="199">
        <v>0.0</v>
      </c>
      <c r="P43" s="199">
        <v>0.0</v>
      </c>
      <c r="Q43" s="199">
        <v>0.0</v>
      </c>
      <c r="R43" s="199">
        <v>0.0</v>
      </c>
      <c r="S43" s="199">
        <v>0.0</v>
      </c>
      <c r="T43" s="199">
        <v>0.0</v>
      </c>
      <c r="U43" s="199">
        <v>0.0</v>
      </c>
      <c r="V43" s="199">
        <v>0.0</v>
      </c>
      <c r="W43" s="199">
        <v>0.0</v>
      </c>
      <c r="X43" s="199">
        <v>0.0</v>
      </c>
      <c r="Y43" s="199">
        <v>0.0</v>
      </c>
      <c r="Z43" s="199">
        <v>0.0</v>
      </c>
      <c r="AA43" s="199">
        <v>0.0</v>
      </c>
      <c r="AB43" s="199">
        <v>0.0</v>
      </c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</row>
    <row r="44" ht="15.75" customHeight="1">
      <c r="A44" s="199">
        <v>20.0</v>
      </c>
      <c r="B44" s="199">
        <v>7.0</v>
      </c>
      <c r="C44" s="231" t="s">
        <v>263</v>
      </c>
      <c r="D44" s="231" t="s">
        <v>265</v>
      </c>
      <c r="E44" s="199">
        <v>13.0</v>
      </c>
      <c r="F44" s="199">
        <v>375.0</v>
      </c>
      <c r="G44" s="232">
        <f t="shared" si="2"/>
        <v>20</v>
      </c>
      <c r="H44" s="233">
        <v>0.0</v>
      </c>
      <c r="I44" s="199">
        <v>0.0</v>
      </c>
      <c r="J44" s="199">
        <v>0.0</v>
      </c>
      <c r="K44" s="199">
        <v>0.0</v>
      </c>
      <c r="L44" s="199">
        <v>0.0</v>
      </c>
      <c r="M44" s="199">
        <v>0.0</v>
      </c>
      <c r="N44" s="199">
        <v>0.0</v>
      </c>
      <c r="O44" s="199">
        <v>0.0</v>
      </c>
      <c r="P44" s="199">
        <v>0.0</v>
      </c>
      <c r="Q44" s="199">
        <v>0.0</v>
      </c>
      <c r="R44" s="199">
        <v>0.0</v>
      </c>
      <c r="S44" s="199">
        <v>0.0</v>
      </c>
      <c r="T44" s="199">
        <v>0.0</v>
      </c>
      <c r="U44" s="199">
        <v>0.0</v>
      </c>
      <c r="V44" s="199">
        <v>0.0</v>
      </c>
      <c r="W44" s="199">
        <v>0.0</v>
      </c>
      <c r="X44" s="199">
        <v>0.0</v>
      </c>
      <c r="Y44" s="199">
        <v>0.0</v>
      </c>
      <c r="Z44" s="199">
        <v>0.0</v>
      </c>
      <c r="AA44" s="199">
        <v>0.0</v>
      </c>
      <c r="AB44" s="199">
        <v>0.0</v>
      </c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</row>
    <row r="45" ht="15.75" customHeight="1">
      <c r="A45" s="199">
        <v>21.0</v>
      </c>
      <c r="B45" s="199">
        <v>7.0</v>
      </c>
      <c r="C45" s="231" t="s">
        <v>263</v>
      </c>
      <c r="D45" s="231" t="s">
        <v>266</v>
      </c>
      <c r="E45" s="199">
        <v>13.0</v>
      </c>
      <c r="F45" s="199">
        <v>410.0</v>
      </c>
      <c r="G45" s="232">
        <f t="shared" si="2"/>
        <v>21</v>
      </c>
      <c r="H45" s="233">
        <v>25.0</v>
      </c>
      <c r="I45" s="199">
        <v>0.0</v>
      </c>
      <c r="J45" s="199">
        <v>0.0</v>
      </c>
      <c r="K45" s="199">
        <v>0.0</v>
      </c>
      <c r="L45" s="199">
        <v>0.0</v>
      </c>
      <c r="M45" s="199">
        <v>0.0</v>
      </c>
      <c r="N45" s="199">
        <v>0.0</v>
      </c>
      <c r="O45" s="199">
        <v>0.0</v>
      </c>
      <c r="P45" s="199">
        <v>0.0</v>
      </c>
      <c r="Q45" s="199">
        <v>0.0</v>
      </c>
      <c r="R45" s="199">
        <v>0.0</v>
      </c>
      <c r="S45" s="199">
        <v>0.0</v>
      </c>
      <c r="T45" s="199">
        <v>0.0</v>
      </c>
      <c r="U45" s="199">
        <v>0.0</v>
      </c>
      <c r="V45" s="199">
        <v>0.0</v>
      </c>
      <c r="W45" s="199">
        <v>0.0</v>
      </c>
      <c r="X45" s="199">
        <v>0.0</v>
      </c>
      <c r="Y45" s="199">
        <v>0.0</v>
      </c>
      <c r="Z45" s="199">
        <v>0.0</v>
      </c>
      <c r="AA45" s="199">
        <v>0.0</v>
      </c>
      <c r="AB45" s="199">
        <v>0.0</v>
      </c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</row>
    <row r="46" ht="15.75" customHeight="1">
      <c r="A46" s="199">
        <v>22.0</v>
      </c>
      <c r="B46" s="199">
        <v>8.0</v>
      </c>
      <c r="C46" s="231" t="s">
        <v>267</v>
      </c>
      <c r="D46" s="231" t="s">
        <v>264</v>
      </c>
      <c r="E46" s="199">
        <v>16.0</v>
      </c>
      <c r="F46" s="199">
        <v>385.0</v>
      </c>
      <c r="G46" s="232">
        <f t="shared" si="2"/>
        <v>22</v>
      </c>
      <c r="H46" s="233">
        <v>0.0</v>
      </c>
      <c r="I46" s="199">
        <v>0.0</v>
      </c>
      <c r="J46" s="199">
        <v>0.0</v>
      </c>
      <c r="K46" s="199">
        <v>0.0</v>
      </c>
      <c r="L46" s="199">
        <v>0.0</v>
      </c>
      <c r="M46" s="199">
        <v>0.0</v>
      </c>
      <c r="N46" s="199">
        <v>0.0</v>
      </c>
      <c r="O46" s="199">
        <v>0.0</v>
      </c>
      <c r="P46" s="199">
        <v>0.0</v>
      </c>
      <c r="Q46" s="199">
        <v>0.0</v>
      </c>
      <c r="R46" s="199">
        <v>0.0</v>
      </c>
      <c r="S46" s="199">
        <v>0.0</v>
      </c>
      <c r="T46" s="199">
        <v>0.0</v>
      </c>
      <c r="U46" s="199">
        <v>0.0</v>
      </c>
      <c r="V46" s="199">
        <v>0.0</v>
      </c>
      <c r="W46" s="199">
        <v>0.0</v>
      </c>
      <c r="X46" s="199">
        <v>0.0</v>
      </c>
      <c r="Y46" s="199">
        <v>0.0</v>
      </c>
      <c r="Z46" s="199">
        <v>0.0</v>
      </c>
      <c r="AA46" s="199">
        <v>0.0</v>
      </c>
      <c r="AB46" s="199">
        <v>0.0</v>
      </c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</row>
    <row r="47" ht="15.75" customHeight="1">
      <c r="A47" s="199">
        <v>23.0</v>
      </c>
      <c r="B47" s="199">
        <v>8.0</v>
      </c>
      <c r="C47" s="231" t="s">
        <v>267</v>
      </c>
      <c r="D47" s="231" t="s">
        <v>265</v>
      </c>
      <c r="E47" s="199">
        <v>16.0</v>
      </c>
      <c r="F47" s="199">
        <v>475.0</v>
      </c>
      <c r="G47" s="232">
        <f t="shared" si="2"/>
        <v>23</v>
      </c>
      <c r="H47" s="233">
        <v>0.0</v>
      </c>
      <c r="I47" s="199">
        <v>0.0</v>
      </c>
      <c r="J47" s="199">
        <v>0.0</v>
      </c>
      <c r="K47" s="199">
        <v>0.0</v>
      </c>
      <c r="L47" s="199">
        <v>0.0</v>
      </c>
      <c r="M47" s="199">
        <v>0.0</v>
      </c>
      <c r="N47" s="199">
        <v>0.0</v>
      </c>
      <c r="O47" s="199">
        <v>0.0</v>
      </c>
      <c r="P47" s="199">
        <v>0.0</v>
      </c>
      <c r="Q47" s="199">
        <v>0.0</v>
      </c>
      <c r="R47" s="199">
        <v>0.0</v>
      </c>
      <c r="S47" s="199">
        <v>0.0</v>
      </c>
      <c r="T47" s="199">
        <v>0.0</v>
      </c>
      <c r="U47" s="199">
        <v>0.0</v>
      </c>
      <c r="V47" s="199">
        <v>0.0</v>
      </c>
      <c r="W47" s="199">
        <v>0.0</v>
      </c>
      <c r="X47" s="199">
        <v>0.0</v>
      </c>
      <c r="Y47" s="199">
        <v>0.0</v>
      </c>
      <c r="Z47" s="199">
        <v>0.0</v>
      </c>
      <c r="AA47" s="199">
        <v>0.0</v>
      </c>
      <c r="AB47" s="199">
        <v>0.0</v>
      </c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</row>
    <row r="48" ht="15.75" customHeight="1">
      <c r="A48" s="199">
        <v>24.0</v>
      </c>
      <c r="B48" s="199">
        <v>8.0</v>
      </c>
      <c r="C48" s="231" t="s">
        <v>267</v>
      </c>
      <c r="D48" s="231" t="s">
        <v>266</v>
      </c>
      <c r="E48" s="199">
        <v>16.0</v>
      </c>
      <c r="F48" s="199">
        <v>500.0</v>
      </c>
      <c r="G48" s="232">
        <f t="shared" si="2"/>
        <v>24</v>
      </c>
      <c r="H48" s="233">
        <v>0.0</v>
      </c>
      <c r="I48" s="199">
        <v>0.0</v>
      </c>
      <c r="J48" s="199">
        <v>0.0</v>
      </c>
      <c r="K48" s="199">
        <v>0.0</v>
      </c>
      <c r="L48" s="199">
        <v>0.0</v>
      </c>
      <c r="M48" s="199">
        <v>0.0</v>
      </c>
      <c r="N48" s="199">
        <v>0.0</v>
      </c>
      <c r="O48" s="199">
        <v>0.0</v>
      </c>
      <c r="P48" s="199">
        <v>0.0</v>
      </c>
      <c r="Q48" s="199">
        <v>60.0</v>
      </c>
      <c r="R48" s="199">
        <v>0.0</v>
      </c>
      <c r="S48" s="199">
        <v>0.0</v>
      </c>
      <c r="T48" s="199">
        <v>15.0</v>
      </c>
      <c r="U48" s="199">
        <v>0.0</v>
      </c>
      <c r="V48" s="199">
        <v>0.0</v>
      </c>
      <c r="W48" s="199">
        <v>0.0</v>
      </c>
      <c r="X48" s="199">
        <v>0.0</v>
      </c>
      <c r="Y48" s="199">
        <v>0.0</v>
      </c>
      <c r="Z48" s="199">
        <v>0.0</v>
      </c>
      <c r="AA48" s="199">
        <v>0.0</v>
      </c>
      <c r="AB48" s="199">
        <v>0.0</v>
      </c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</row>
    <row r="49" ht="15.75" customHeight="1">
      <c r="A49" s="199">
        <v>25.0</v>
      </c>
      <c r="B49" s="199">
        <v>9.0</v>
      </c>
      <c r="C49" s="231" t="s">
        <v>268</v>
      </c>
      <c r="D49" s="231" t="s">
        <v>264</v>
      </c>
      <c r="E49" s="199">
        <v>20.0</v>
      </c>
      <c r="F49" s="199">
        <v>400.0</v>
      </c>
      <c r="G49" s="232">
        <f t="shared" si="2"/>
        <v>25</v>
      </c>
      <c r="H49" s="233">
        <v>0.0</v>
      </c>
      <c r="I49" s="199">
        <v>0.0</v>
      </c>
      <c r="J49" s="199">
        <v>0.0</v>
      </c>
      <c r="K49" s="199">
        <v>0.0</v>
      </c>
      <c r="L49" s="199">
        <v>0.0</v>
      </c>
      <c r="M49" s="199">
        <v>0.0</v>
      </c>
      <c r="N49" s="199">
        <v>0.0</v>
      </c>
      <c r="O49" s="199">
        <v>0.0</v>
      </c>
      <c r="P49" s="199">
        <v>0.0</v>
      </c>
      <c r="Q49" s="199">
        <v>0.0</v>
      </c>
      <c r="R49" s="199">
        <v>0.0</v>
      </c>
      <c r="S49" s="199">
        <v>0.0</v>
      </c>
      <c r="T49" s="199">
        <v>0.0</v>
      </c>
      <c r="U49" s="199">
        <v>0.0</v>
      </c>
      <c r="V49" s="199">
        <v>0.0</v>
      </c>
      <c r="W49" s="199">
        <v>0.0</v>
      </c>
      <c r="X49" s="199">
        <v>0.0</v>
      </c>
      <c r="Y49" s="199">
        <v>0.0</v>
      </c>
      <c r="Z49" s="199">
        <v>0.0</v>
      </c>
      <c r="AA49" s="199">
        <v>0.0</v>
      </c>
      <c r="AB49" s="199">
        <v>0.0</v>
      </c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</row>
    <row r="50" ht="15.75" customHeight="1">
      <c r="A50" s="199">
        <v>26.0</v>
      </c>
      <c r="B50" s="199">
        <v>9.0</v>
      </c>
      <c r="C50" s="231" t="s">
        <v>268</v>
      </c>
      <c r="D50" s="231" t="s">
        <v>265</v>
      </c>
      <c r="E50" s="199">
        <v>20.0</v>
      </c>
      <c r="F50" s="199">
        <v>480.0</v>
      </c>
      <c r="G50" s="232">
        <f t="shared" si="2"/>
        <v>26</v>
      </c>
      <c r="H50" s="233">
        <v>0.0</v>
      </c>
      <c r="I50" s="199">
        <v>0.0</v>
      </c>
      <c r="J50" s="199">
        <v>0.0</v>
      </c>
      <c r="K50" s="199">
        <v>0.0</v>
      </c>
      <c r="L50" s="199">
        <v>0.0</v>
      </c>
      <c r="M50" s="199">
        <v>0.0</v>
      </c>
      <c r="N50" s="199">
        <v>0.0</v>
      </c>
      <c r="O50" s="199">
        <v>0.0</v>
      </c>
      <c r="P50" s="199">
        <v>0.0</v>
      </c>
      <c r="Q50" s="199">
        <v>0.0</v>
      </c>
      <c r="R50" s="199">
        <v>0.0</v>
      </c>
      <c r="S50" s="199">
        <v>0.0</v>
      </c>
      <c r="T50" s="199">
        <v>0.0</v>
      </c>
      <c r="U50" s="199">
        <v>0.0</v>
      </c>
      <c r="V50" s="199">
        <v>0.0</v>
      </c>
      <c r="W50" s="199">
        <v>0.0</v>
      </c>
      <c r="X50" s="199">
        <v>0.0</v>
      </c>
      <c r="Y50" s="199">
        <v>0.0</v>
      </c>
      <c r="Z50" s="199">
        <v>0.0</v>
      </c>
      <c r="AA50" s="199">
        <v>0.0</v>
      </c>
      <c r="AB50" s="199">
        <v>0.0</v>
      </c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</row>
    <row r="51" ht="15.75" customHeight="1">
      <c r="A51" s="199">
        <v>27.0</v>
      </c>
      <c r="B51" s="199">
        <v>9.0</v>
      </c>
      <c r="C51" s="231" t="s">
        <v>268</v>
      </c>
      <c r="D51" s="231" t="s">
        <v>266</v>
      </c>
      <c r="E51" s="199">
        <v>20.0</v>
      </c>
      <c r="F51" s="199">
        <v>520.0</v>
      </c>
      <c r="G51" s="232">
        <f t="shared" si="2"/>
        <v>27</v>
      </c>
      <c r="H51" s="233">
        <v>0.0</v>
      </c>
      <c r="I51" s="199">
        <v>0.0</v>
      </c>
      <c r="J51" s="199">
        <v>0.0</v>
      </c>
      <c r="K51" s="199">
        <v>0.0</v>
      </c>
      <c r="L51" s="199">
        <v>0.0</v>
      </c>
      <c r="M51" s="199">
        <v>0.0</v>
      </c>
      <c r="N51" s="199">
        <v>0.0</v>
      </c>
      <c r="O51" s="199">
        <v>1.0</v>
      </c>
      <c r="P51" s="199">
        <v>0.0</v>
      </c>
      <c r="Q51" s="199">
        <v>0.0</v>
      </c>
      <c r="R51" s="199">
        <v>0.0</v>
      </c>
      <c r="S51" s="199">
        <v>0.0</v>
      </c>
      <c r="T51" s="199">
        <v>0.0</v>
      </c>
      <c r="U51" s="199">
        <v>0.0</v>
      </c>
      <c r="V51" s="199">
        <v>0.0</v>
      </c>
      <c r="W51" s="199">
        <v>0.0</v>
      </c>
      <c r="X51" s="199">
        <v>0.0</v>
      </c>
      <c r="Y51" s="199">
        <v>0.0</v>
      </c>
      <c r="Z51" s="199">
        <v>0.0</v>
      </c>
      <c r="AA51" s="199">
        <v>0.0</v>
      </c>
      <c r="AB51" s="199">
        <v>0.0</v>
      </c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</row>
    <row r="52" ht="15.75" customHeight="1">
      <c r="A52" s="199">
        <v>28.0</v>
      </c>
      <c r="B52" s="199">
        <v>10.0</v>
      </c>
      <c r="C52" s="231" t="s">
        <v>269</v>
      </c>
      <c r="D52" s="231" t="s">
        <v>270</v>
      </c>
      <c r="E52" s="199">
        <v>25.0</v>
      </c>
      <c r="F52" s="199">
        <v>600.0</v>
      </c>
      <c r="G52" s="232">
        <f t="shared" si="2"/>
        <v>28</v>
      </c>
      <c r="H52" s="233">
        <v>0.0</v>
      </c>
      <c r="I52" s="199">
        <v>0.0</v>
      </c>
      <c r="J52" s="199">
        <v>0.0</v>
      </c>
      <c r="K52" s="199">
        <v>0.0</v>
      </c>
      <c r="L52" s="199">
        <v>0.0</v>
      </c>
      <c r="M52" s="199">
        <v>0.0</v>
      </c>
      <c r="N52" s="199">
        <v>0.0</v>
      </c>
      <c r="O52" s="199">
        <v>0.0</v>
      </c>
      <c r="P52" s="199">
        <v>0.0</v>
      </c>
      <c r="Q52" s="199">
        <v>0.0</v>
      </c>
      <c r="R52" s="199">
        <v>0.0</v>
      </c>
      <c r="S52" s="199">
        <v>0.0</v>
      </c>
      <c r="T52" s="199">
        <v>0.0</v>
      </c>
      <c r="U52" s="199">
        <v>0.0</v>
      </c>
      <c r="V52" s="199">
        <v>0.0</v>
      </c>
      <c r="W52" s="199">
        <v>0.0</v>
      </c>
      <c r="X52" s="199">
        <v>0.0</v>
      </c>
      <c r="Y52" s="199">
        <v>0.0</v>
      </c>
      <c r="Z52" s="199">
        <v>0.0</v>
      </c>
      <c r="AA52" s="199">
        <v>0.0</v>
      </c>
      <c r="AB52" s="199">
        <v>0.0</v>
      </c>
      <c r="AC52" s="224"/>
      <c r="AD52" s="224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</row>
    <row r="53" ht="15.75" customHeight="1">
      <c r="A53" s="199">
        <v>29.0</v>
      </c>
      <c r="B53" s="199">
        <v>10.0</v>
      </c>
      <c r="C53" s="231" t="s">
        <v>269</v>
      </c>
      <c r="D53" s="231" t="s">
        <v>271</v>
      </c>
      <c r="E53" s="199">
        <v>25.0</v>
      </c>
      <c r="F53" s="199">
        <v>600.0</v>
      </c>
      <c r="G53" s="232">
        <f t="shared" si="2"/>
        <v>29</v>
      </c>
      <c r="H53" s="233">
        <v>0.0</v>
      </c>
      <c r="I53" s="199">
        <v>0.0</v>
      </c>
      <c r="J53" s="199">
        <v>0.0</v>
      </c>
      <c r="K53" s="199">
        <v>0.0</v>
      </c>
      <c r="L53" s="199">
        <v>0.0</v>
      </c>
      <c r="M53" s="199">
        <v>0.0</v>
      </c>
      <c r="N53" s="199">
        <v>0.0</v>
      </c>
      <c r="O53" s="199">
        <v>0.0</v>
      </c>
      <c r="P53" s="199">
        <v>0.0</v>
      </c>
      <c r="Q53" s="199">
        <v>0.0</v>
      </c>
      <c r="R53" s="199">
        <v>0.0</v>
      </c>
      <c r="S53" s="199">
        <v>0.0</v>
      </c>
      <c r="T53" s="199">
        <v>0.0</v>
      </c>
      <c r="U53" s="199">
        <v>0.0</v>
      </c>
      <c r="V53" s="199">
        <v>0.0</v>
      </c>
      <c r="W53" s="199">
        <v>0.0</v>
      </c>
      <c r="X53" s="199">
        <v>0.0</v>
      </c>
      <c r="Y53" s="199">
        <v>0.0</v>
      </c>
      <c r="Z53" s="199">
        <v>0.0</v>
      </c>
      <c r="AA53" s="199">
        <v>0.0</v>
      </c>
      <c r="AB53" s="199">
        <v>0.0</v>
      </c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</row>
    <row r="54" ht="15.75" customHeight="1">
      <c r="A54" s="199">
        <v>30.0</v>
      </c>
      <c r="B54" s="199">
        <v>10.0</v>
      </c>
      <c r="C54" s="231" t="s">
        <v>269</v>
      </c>
      <c r="D54" s="231" t="s">
        <v>272</v>
      </c>
      <c r="E54" s="199">
        <v>25.0</v>
      </c>
      <c r="F54" s="199">
        <v>600.0</v>
      </c>
      <c r="G54" s="232">
        <f t="shared" si="2"/>
        <v>30</v>
      </c>
      <c r="H54" s="233">
        <v>50.0</v>
      </c>
      <c r="I54" s="199">
        <v>0.0</v>
      </c>
      <c r="J54" s="199">
        <v>0.0</v>
      </c>
      <c r="K54" s="199">
        <v>0.0</v>
      </c>
      <c r="L54" s="199">
        <v>0.0</v>
      </c>
      <c r="M54" s="199">
        <v>1.0</v>
      </c>
      <c r="N54" s="199">
        <v>0.0</v>
      </c>
      <c r="O54" s="199">
        <v>0.0</v>
      </c>
      <c r="P54" s="199">
        <v>0.0</v>
      </c>
      <c r="Q54" s="199">
        <v>120.0</v>
      </c>
      <c r="R54" s="199">
        <v>0.0</v>
      </c>
      <c r="S54" s="199">
        <v>0.0</v>
      </c>
      <c r="T54" s="199">
        <v>0.0</v>
      </c>
      <c r="U54" s="199">
        <v>0.0</v>
      </c>
      <c r="V54" s="199">
        <v>0.0</v>
      </c>
      <c r="W54" s="199">
        <v>0.0</v>
      </c>
      <c r="X54" s="199">
        <v>0.0</v>
      </c>
      <c r="Y54" s="199">
        <v>0.0</v>
      </c>
      <c r="Z54" s="199">
        <v>0.0</v>
      </c>
      <c r="AA54" s="199">
        <v>0.0</v>
      </c>
      <c r="AB54" s="199">
        <v>0.0</v>
      </c>
      <c r="AC54" s="224"/>
      <c r="AD54" s="224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</row>
    <row r="55" ht="15.7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</row>
    <row r="56" ht="19.5" customHeight="1">
      <c r="A56" s="188" t="s">
        <v>273</v>
      </c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224"/>
      <c r="AD56" s="224"/>
      <c r="AE56" s="224"/>
      <c r="AF56" s="224"/>
      <c r="AG56" s="224"/>
      <c r="AH56" s="224"/>
      <c r="AI56" s="224"/>
      <c r="AJ56" s="224"/>
      <c r="AK56" s="224"/>
      <c r="AL56" s="224"/>
      <c r="AM56" s="224"/>
      <c r="AN56" s="224"/>
      <c r="AO56" s="224"/>
      <c r="AP56" s="224"/>
      <c r="AQ56" s="224"/>
      <c r="AR56" s="224"/>
      <c r="AS56" s="224"/>
      <c r="AT56" s="224"/>
      <c r="AU56" s="224"/>
    </row>
    <row r="57" ht="90.0" customHeight="1">
      <c r="A57" s="165" t="s">
        <v>274</v>
      </c>
      <c r="B57" s="165" t="s">
        <v>275</v>
      </c>
      <c r="C57" s="224"/>
      <c r="D57" s="224"/>
      <c r="E57" s="224"/>
      <c r="F57" s="224"/>
      <c r="G57" s="224"/>
      <c r="H57" s="230" t="s">
        <v>82</v>
      </c>
      <c r="I57" s="201" t="s">
        <v>68</v>
      </c>
      <c r="J57" s="201" t="s">
        <v>103</v>
      </c>
      <c r="K57" s="201" t="s">
        <v>69</v>
      </c>
      <c r="L57" s="201" t="s">
        <v>70</v>
      </c>
      <c r="M57" s="201" t="s">
        <v>71</v>
      </c>
      <c r="N57" s="201" t="s">
        <v>72</v>
      </c>
      <c r="O57" s="201" t="s">
        <v>73</v>
      </c>
      <c r="P57" s="201" t="s">
        <v>74</v>
      </c>
      <c r="Q57" s="201" t="s">
        <v>75</v>
      </c>
      <c r="R57" s="201" t="s">
        <v>76</v>
      </c>
      <c r="S57" s="201" t="s">
        <v>77</v>
      </c>
      <c r="T57" s="201" t="s">
        <v>78</v>
      </c>
      <c r="U57" s="201" t="s">
        <v>118</v>
      </c>
      <c r="V57" s="201" t="s">
        <v>104</v>
      </c>
      <c r="W57" s="201" t="s">
        <v>105</v>
      </c>
      <c r="X57" s="201" t="s">
        <v>106</v>
      </c>
      <c r="Y57" s="201" t="s">
        <v>107</v>
      </c>
      <c r="Z57" s="201" t="s">
        <v>108</v>
      </c>
      <c r="AA57" s="201" t="s">
        <v>109</v>
      </c>
      <c r="AB57" s="201" t="s">
        <v>110</v>
      </c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24"/>
      <c r="AT57" s="224"/>
      <c r="AU57" s="224"/>
    </row>
    <row r="58" ht="15.75" customHeight="1">
      <c r="A58" s="199">
        <v>1.0</v>
      </c>
      <c r="B58" s="199">
        <v>840.0</v>
      </c>
      <c r="C58" s="224"/>
      <c r="D58" s="224"/>
      <c r="E58" s="224"/>
      <c r="F58" s="224"/>
      <c r="G58" s="224"/>
      <c r="H58" s="233">
        <v>0.0</v>
      </c>
      <c r="I58" s="199">
        <v>0.0</v>
      </c>
      <c r="J58" s="199">
        <v>0.0</v>
      </c>
      <c r="K58" s="199">
        <v>0.0</v>
      </c>
      <c r="L58" s="199">
        <v>0.0</v>
      </c>
      <c r="M58" s="199">
        <v>1.0</v>
      </c>
      <c r="N58" s="199">
        <v>0.0</v>
      </c>
      <c r="O58" s="199">
        <v>0.0</v>
      </c>
      <c r="P58" s="199">
        <v>0.0</v>
      </c>
      <c r="Q58" s="199">
        <v>0.0</v>
      </c>
      <c r="R58" s="199">
        <v>0.0</v>
      </c>
      <c r="S58" s="199">
        <v>0.0</v>
      </c>
      <c r="T58" s="199">
        <v>0.0</v>
      </c>
      <c r="U58" s="199">
        <v>0.0</v>
      </c>
      <c r="V58" s="199">
        <v>0.0</v>
      </c>
      <c r="W58" s="199">
        <v>0.0</v>
      </c>
      <c r="X58" s="199">
        <v>0.0</v>
      </c>
      <c r="Y58" s="199">
        <v>0.0</v>
      </c>
      <c r="Z58" s="199">
        <v>0.0</v>
      </c>
      <c r="AA58" s="199">
        <v>0.0</v>
      </c>
      <c r="AB58" s="199">
        <v>0.0</v>
      </c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4"/>
    </row>
    <row r="59" ht="15.75" customHeight="1">
      <c r="A59" s="199">
        <v>2.0</v>
      </c>
      <c r="B59" s="199">
        <v>840.0</v>
      </c>
      <c r="C59" s="234"/>
      <c r="D59" s="234"/>
      <c r="E59" s="234"/>
      <c r="F59" s="234"/>
      <c r="G59" s="234"/>
      <c r="H59" s="233">
        <v>0.0</v>
      </c>
      <c r="I59" s="199">
        <v>0.0</v>
      </c>
      <c r="J59" s="199">
        <v>0.0</v>
      </c>
      <c r="K59" s="199">
        <v>2.0</v>
      </c>
      <c r="L59" s="199">
        <v>0.0</v>
      </c>
      <c r="M59" s="199">
        <v>0.0</v>
      </c>
      <c r="N59" s="199">
        <v>0.0</v>
      </c>
      <c r="O59" s="199">
        <v>0.0</v>
      </c>
      <c r="P59" s="199">
        <v>0.0</v>
      </c>
      <c r="Q59" s="199">
        <v>0.0</v>
      </c>
      <c r="R59" s="199">
        <v>0.0</v>
      </c>
      <c r="S59" s="199">
        <v>0.0</v>
      </c>
      <c r="T59" s="199">
        <v>0.0</v>
      </c>
      <c r="U59" s="199">
        <v>0.0</v>
      </c>
      <c r="V59" s="199">
        <v>0.0</v>
      </c>
      <c r="W59" s="199">
        <v>0.0</v>
      </c>
      <c r="X59" s="199">
        <v>0.0</v>
      </c>
      <c r="Y59" s="199">
        <v>0.0</v>
      </c>
      <c r="Z59" s="199">
        <v>0.0</v>
      </c>
      <c r="AA59" s="199">
        <v>0.0</v>
      </c>
      <c r="AB59" s="199">
        <v>0.0</v>
      </c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  <c r="AM59" s="224"/>
      <c r="AN59" s="224"/>
      <c r="AO59" s="224"/>
      <c r="AP59" s="224"/>
      <c r="AQ59" s="224"/>
      <c r="AR59" s="224"/>
      <c r="AS59" s="224"/>
      <c r="AT59" s="224"/>
      <c r="AU59" s="224"/>
    </row>
    <row r="60" ht="15.75" customHeight="1">
      <c r="A60" s="199">
        <v>3.0</v>
      </c>
      <c r="B60" s="199">
        <v>830.0</v>
      </c>
      <c r="C60" s="224"/>
      <c r="D60" s="224"/>
      <c r="E60" s="224"/>
      <c r="F60" s="224"/>
      <c r="G60" s="224"/>
      <c r="H60" s="233">
        <v>0.0</v>
      </c>
      <c r="I60" s="199">
        <v>0.0</v>
      </c>
      <c r="J60" s="199">
        <v>0.0</v>
      </c>
      <c r="K60" s="199">
        <v>0.0</v>
      </c>
      <c r="L60" s="199">
        <v>1.0</v>
      </c>
      <c r="M60" s="199">
        <v>0.0</v>
      </c>
      <c r="N60" s="199">
        <v>0.0</v>
      </c>
      <c r="O60" s="199">
        <v>0.0</v>
      </c>
      <c r="P60" s="199">
        <v>0.0</v>
      </c>
      <c r="Q60" s="199">
        <v>0.0</v>
      </c>
      <c r="R60" s="199">
        <v>0.0</v>
      </c>
      <c r="S60" s="199">
        <v>0.0</v>
      </c>
      <c r="T60" s="199">
        <v>0.0</v>
      </c>
      <c r="U60" s="199">
        <v>0.0</v>
      </c>
      <c r="V60" s="199">
        <v>0.0</v>
      </c>
      <c r="W60" s="199">
        <v>0.0</v>
      </c>
      <c r="X60" s="199">
        <v>0.0</v>
      </c>
      <c r="Y60" s="199">
        <v>0.0</v>
      </c>
      <c r="Z60" s="199">
        <v>0.0</v>
      </c>
      <c r="AA60" s="199">
        <v>0.0</v>
      </c>
      <c r="AB60" s="199">
        <v>0.0</v>
      </c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</row>
    <row r="61" ht="15.75" customHeight="1">
      <c r="A61" s="199">
        <v>4.0</v>
      </c>
      <c r="B61" s="199">
        <v>800.0</v>
      </c>
      <c r="C61" s="234"/>
      <c r="D61" s="234"/>
      <c r="E61" s="234"/>
      <c r="F61" s="234"/>
      <c r="G61" s="234"/>
      <c r="H61" s="233">
        <v>25.0</v>
      </c>
      <c r="I61" s="199">
        <v>0.0</v>
      </c>
      <c r="J61" s="199">
        <v>0.0</v>
      </c>
      <c r="K61" s="199">
        <v>0.0</v>
      </c>
      <c r="L61" s="199">
        <v>0.0</v>
      </c>
      <c r="M61" s="199">
        <v>0.0</v>
      </c>
      <c r="N61" s="199">
        <v>0.0</v>
      </c>
      <c r="O61" s="199">
        <v>0.0</v>
      </c>
      <c r="P61" s="199">
        <v>0.0</v>
      </c>
      <c r="Q61" s="199">
        <v>0.0</v>
      </c>
      <c r="R61" s="199">
        <v>0.0</v>
      </c>
      <c r="S61" s="199">
        <v>0.0</v>
      </c>
      <c r="T61" s="199">
        <v>0.0</v>
      </c>
      <c r="U61" s="199">
        <v>0.0</v>
      </c>
      <c r="V61" s="199">
        <v>0.0</v>
      </c>
      <c r="W61" s="199">
        <v>0.0</v>
      </c>
      <c r="X61" s="199">
        <v>0.0</v>
      </c>
      <c r="Y61" s="199">
        <v>0.0</v>
      </c>
      <c r="Z61" s="199">
        <v>0.0</v>
      </c>
      <c r="AA61" s="199">
        <v>0.0</v>
      </c>
      <c r="AB61" s="199">
        <v>0.0</v>
      </c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  <c r="AM61" s="224"/>
      <c r="AN61" s="224"/>
      <c r="AO61" s="224"/>
      <c r="AP61" s="224"/>
      <c r="AQ61" s="224"/>
      <c r="AR61" s="224"/>
      <c r="AS61" s="224"/>
      <c r="AT61" s="224"/>
      <c r="AU61" s="224"/>
    </row>
    <row r="62" ht="15.75" customHeight="1">
      <c r="A62" s="199">
        <v>5.0</v>
      </c>
      <c r="B62" s="199">
        <v>810.0</v>
      </c>
      <c r="C62" s="224"/>
      <c r="D62" s="224"/>
      <c r="E62" s="224"/>
      <c r="F62" s="224"/>
      <c r="G62" s="224"/>
      <c r="H62" s="233">
        <v>0.0</v>
      </c>
      <c r="I62" s="199">
        <v>0.0</v>
      </c>
      <c r="J62" s="199">
        <v>0.0</v>
      </c>
      <c r="K62" s="199">
        <v>1.0</v>
      </c>
      <c r="L62" s="199">
        <v>0.0</v>
      </c>
      <c r="M62" s="199">
        <v>0.0</v>
      </c>
      <c r="N62" s="199">
        <v>0.0</v>
      </c>
      <c r="O62" s="199">
        <v>0.0</v>
      </c>
      <c r="P62" s="199">
        <v>0.0</v>
      </c>
      <c r="Q62" s="199">
        <v>0.0</v>
      </c>
      <c r="R62" s="199">
        <v>0.0</v>
      </c>
      <c r="S62" s="199">
        <v>0.0</v>
      </c>
      <c r="T62" s="199">
        <v>0.0</v>
      </c>
      <c r="U62" s="199">
        <v>0.0</v>
      </c>
      <c r="V62" s="199">
        <v>0.0</v>
      </c>
      <c r="W62" s="199">
        <v>0.0</v>
      </c>
      <c r="X62" s="199">
        <v>0.0</v>
      </c>
      <c r="Y62" s="199">
        <v>0.0</v>
      </c>
      <c r="Z62" s="199">
        <v>0.0</v>
      </c>
      <c r="AA62" s="199">
        <v>0.0</v>
      </c>
      <c r="AB62" s="199">
        <v>0.0</v>
      </c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4"/>
      <c r="AQ62" s="224"/>
      <c r="AR62" s="224"/>
      <c r="AS62" s="224"/>
      <c r="AT62" s="224"/>
      <c r="AU62" s="224"/>
    </row>
    <row r="63" ht="15.75" customHeight="1">
      <c r="A63" s="199">
        <v>6.0</v>
      </c>
      <c r="B63" s="199">
        <v>880.0</v>
      </c>
      <c r="C63" s="234"/>
      <c r="D63" s="234"/>
      <c r="E63" s="234"/>
      <c r="F63" s="234"/>
      <c r="G63" s="234"/>
      <c r="H63" s="233">
        <v>0.0</v>
      </c>
      <c r="I63" s="199">
        <v>0.0</v>
      </c>
      <c r="J63" s="199">
        <v>0.0</v>
      </c>
      <c r="K63" s="199">
        <v>0.0</v>
      </c>
      <c r="L63" s="199">
        <v>2.0</v>
      </c>
      <c r="M63" s="199">
        <v>0.0</v>
      </c>
      <c r="N63" s="199">
        <v>0.0</v>
      </c>
      <c r="O63" s="199">
        <v>0.0</v>
      </c>
      <c r="P63" s="199">
        <v>0.0</v>
      </c>
      <c r="Q63" s="199">
        <v>0.0</v>
      </c>
      <c r="R63" s="199">
        <v>0.0</v>
      </c>
      <c r="S63" s="199">
        <v>0.0</v>
      </c>
      <c r="T63" s="199">
        <v>0.0</v>
      </c>
      <c r="U63" s="199">
        <v>0.0</v>
      </c>
      <c r="V63" s="199">
        <v>0.0</v>
      </c>
      <c r="W63" s="199">
        <v>0.0</v>
      </c>
      <c r="X63" s="199">
        <v>0.0</v>
      </c>
      <c r="Y63" s="199">
        <v>0.0</v>
      </c>
      <c r="Z63" s="199">
        <v>0.0</v>
      </c>
      <c r="AA63" s="199">
        <v>0.0</v>
      </c>
      <c r="AB63" s="199">
        <v>0.0</v>
      </c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  <c r="AM63" s="224"/>
      <c r="AN63" s="224"/>
      <c r="AO63" s="224"/>
      <c r="AP63" s="224"/>
      <c r="AQ63" s="224"/>
      <c r="AR63" s="224"/>
      <c r="AS63" s="224"/>
      <c r="AT63" s="224"/>
      <c r="AU63" s="224"/>
    </row>
    <row r="64" ht="15.75" customHeight="1">
      <c r="A64" s="199">
        <v>7.0</v>
      </c>
      <c r="B64" s="199">
        <v>840.0</v>
      </c>
      <c r="C64" s="224"/>
      <c r="D64" s="224"/>
      <c r="E64" s="224"/>
      <c r="F64" s="224"/>
      <c r="G64" s="224"/>
      <c r="H64" s="233">
        <v>0.0</v>
      </c>
      <c r="I64" s="199">
        <v>0.0</v>
      </c>
      <c r="J64" s="199">
        <v>0.0</v>
      </c>
      <c r="K64" s="199">
        <v>0.0</v>
      </c>
      <c r="L64" s="199">
        <v>0.0</v>
      </c>
      <c r="M64" s="199">
        <v>1.0</v>
      </c>
      <c r="N64" s="199">
        <v>0.0</v>
      </c>
      <c r="O64" s="199">
        <v>0.0</v>
      </c>
      <c r="P64" s="199">
        <v>0.0</v>
      </c>
      <c r="Q64" s="199">
        <v>0.0</v>
      </c>
      <c r="R64" s="199">
        <v>0.0</v>
      </c>
      <c r="S64" s="199">
        <v>0.0</v>
      </c>
      <c r="T64" s="199">
        <v>0.0</v>
      </c>
      <c r="U64" s="199">
        <v>0.0</v>
      </c>
      <c r="V64" s="199">
        <v>0.0</v>
      </c>
      <c r="W64" s="199">
        <v>0.0</v>
      </c>
      <c r="X64" s="199">
        <v>0.0</v>
      </c>
      <c r="Y64" s="199">
        <v>0.0</v>
      </c>
      <c r="Z64" s="199">
        <v>0.0</v>
      </c>
      <c r="AA64" s="199">
        <v>0.0</v>
      </c>
      <c r="AB64" s="199">
        <v>0.0</v>
      </c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  <c r="AM64" s="224"/>
      <c r="AN64" s="224"/>
      <c r="AO64" s="224"/>
      <c r="AP64" s="224"/>
      <c r="AQ64" s="224"/>
      <c r="AR64" s="224"/>
      <c r="AS64" s="224"/>
      <c r="AT64" s="224"/>
      <c r="AU64" s="224"/>
    </row>
    <row r="65" ht="15.75" customHeight="1">
      <c r="A65" s="199">
        <v>8.0</v>
      </c>
      <c r="B65" s="199">
        <v>880.0</v>
      </c>
      <c r="C65" s="234"/>
      <c r="D65" s="234"/>
      <c r="E65" s="234"/>
      <c r="F65" s="234"/>
      <c r="G65" s="234"/>
      <c r="H65" s="233">
        <v>0.0</v>
      </c>
      <c r="I65" s="199">
        <v>0.0</v>
      </c>
      <c r="J65" s="199">
        <v>0.0</v>
      </c>
      <c r="K65" s="199">
        <v>3.0</v>
      </c>
      <c r="L65" s="199">
        <v>0.0</v>
      </c>
      <c r="M65" s="199">
        <v>0.0</v>
      </c>
      <c r="N65" s="199">
        <v>0.0</v>
      </c>
      <c r="O65" s="199">
        <v>0.0</v>
      </c>
      <c r="P65" s="199">
        <v>0.0</v>
      </c>
      <c r="Q65" s="199">
        <v>0.0</v>
      </c>
      <c r="R65" s="199">
        <v>0.0</v>
      </c>
      <c r="S65" s="199">
        <v>0.0</v>
      </c>
      <c r="T65" s="199">
        <v>0.0</v>
      </c>
      <c r="U65" s="199">
        <v>0.0</v>
      </c>
      <c r="V65" s="199">
        <v>0.0</v>
      </c>
      <c r="W65" s="199">
        <v>0.0</v>
      </c>
      <c r="X65" s="199">
        <v>0.0</v>
      </c>
      <c r="Y65" s="199">
        <v>0.0</v>
      </c>
      <c r="Z65" s="199">
        <v>0.0</v>
      </c>
      <c r="AA65" s="199">
        <v>0.0</v>
      </c>
      <c r="AB65" s="199">
        <v>0.0</v>
      </c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  <c r="AM65" s="224"/>
      <c r="AN65" s="224"/>
      <c r="AO65" s="224"/>
      <c r="AP65" s="224"/>
      <c r="AQ65" s="224"/>
      <c r="AR65" s="224"/>
      <c r="AS65" s="224"/>
      <c r="AT65" s="224"/>
      <c r="AU65" s="224"/>
    </row>
    <row r="66" ht="15.75" customHeight="1">
      <c r="A66" s="199">
        <v>9.0</v>
      </c>
      <c r="B66" s="199">
        <v>840.0</v>
      </c>
      <c r="C66" s="224"/>
      <c r="D66" s="224"/>
      <c r="E66" s="224"/>
      <c r="F66" s="224"/>
      <c r="G66" s="224"/>
      <c r="H66" s="233">
        <v>0.0</v>
      </c>
      <c r="I66" s="199">
        <v>0.0</v>
      </c>
      <c r="J66" s="199">
        <v>0.0</v>
      </c>
      <c r="K66" s="199">
        <v>0.0</v>
      </c>
      <c r="L66" s="199">
        <v>0.0</v>
      </c>
      <c r="M66" s="199">
        <v>1.0</v>
      </c>
      <c r="N66" s="199">
        <v>0.0</v>
      </c>
      <c r="O66" s="199">
        <v>0.0</v>
      </c>
      <c r="P66" s="199">
        <v>0.0</v>
      </c>
      <c r="Q66" s="199">
        <v>0.0</v>
      </c>
      <c r="R66" s="199">
        <v>0.0</v>
      </c>
      <c r="S66" s="199">
        <v>0.0</v>
      </c>
      <c r="T66" s="199">
        <v>0.0</v>
      </c>
      <c r="U66" s="199">
        <v>0.0</v>
      </c>
      <c r="V66" s="199">
        <v>0.0</v>
      </c>
      <c r="W66" s="199">
        <v>0.0</v>
      </c>
      <c r="X66" s="199">
        <v>0.0</v>
      </c>
      <c r="Y66" s="199">
        <v>0.0</v>
      </c>
      <c r="Z66" s="199">
        <v>0.0</v>
      </c>
      <c r="AA66" s="199">
        <v>0.0</v>
      </c>
      <c r="AB66" s="199">
        <v>0.0</v>
      </c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  <c r="AM66" s="224"/>
      <c r="AN66" s="224"/>
      <c r="AO66" s="224"/>
      <c r="AP66" s="224"/>
      <c r="AQ66" s="224"/>
      <c r="AR66" s="224"/>
      <c r="AS66" s="224"/>
      <c r="AT66" s="224"/>
      <c r="AU66" s="224"/>
    </row>
    <row r="67" ht="15.75" customHeight="1">
      <c r="A67" s="199">
        <v>10.0</v>
      </c>
      <c r="B67" s="199">
        <v>930.0</v>
      </c>
      <c r="C67" s="234"/>
      <c r="D67" s="234"/>
      <c r="E67" s="234"/>
      <c r="F67" s="234"/>
      <c r="G67" s="234"/>
      <c r="H67" s="233">
        <v>0.0</v>
      </c>
      <c r="I67" s="199">
        <v>0.0</v>
      </c>
      <c r="J67" s="199">
        <v>0.0</v>
      </c>
      <c r="K67" s="199">
        <v>0.0</v>
      </c>
      <c r="L67" s="199">
        <v>3.0</v>
      </c>
      <c r="M67" s="199">
        <v>0.0</v>
      </c>
      <c r="N67" s="199">
        <v>0.0</v>
      </c>
      <c r="O67" s="199">
        <v>0.0</v>
      </c>
      <c r="P67" s="199">
        <v>0.0</v>
      </c>
      <c r="Q67" s="199">
        <v>0.0</v>
      </c>
      <c r="R67" s="199">
        <v>0.0</v>
      </c>
      <c r="S67" s="199">
        <v>0.0</v>
      </c>
      <c r="T67" s="199">
        <v>0.0</v>
      </c>
      <c r="U67" s="199">
        <v>0.0</v>
      </c>
      <c r="V67" s="199">
        <v>0.0</v>
      </c>
      <c r="W67" s="199">
        <v>0.0</v>
      </c>
      <c r="X67" s="199">
        <v>0.0</v>
      </c>
      <c r="Y67" s="199">
        <v>0.0</v>
      </c>
      <c r="Z67" s="199">
        <v>0.0</v>
      </c>
      <c r="AA67" s="199">
        <v>0.0</v>
      </c>
      <c r="AB67" s="199">
        <v>0.0</v>
      </c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4"/>
      <c r="AS67" s="224"/>
      <c r="AT67" s="224"/>
      <c r="AU67" s="224"/>
    </row>
    <row r="68" ht="15.75" customHeight="1">
      <c r="A68" s="199">
        <v>11.0</v>
      </c>
      <c r="B68" s="199">
        <v>980.0</v>
      </c>
      <c r="C68" s="224"/>
      <c r="D68" s="224"/>
      <c r="E68" s="224"/>
      <c r="F68" s="224"/>
      <c r="G68" s="224"/>
      <c r="H68" s="233">
        <v>0.0</v>
      </c>
      <c r="I68" s="199">
        <v>0.0</v>
      </c>
      <c r="J68" s="199">
        <v>0.0</v>
      </c>
      <c r="K68" s="199">
        <v>0.0</v>
      </c>
      <c r="L68" s="199">
        <v>0.0</v>
      </c>
      <c r="M68" s="199">
        <v>3.0</v>
      </c>
      <c r="N68" s="199">
        <v>0.0</v>
      </c>
      <c r="O68" s="199">
        <v>0.0</v>
      </c>
      <c r="P68" s="199">
        <v>0.0</v>
      </c>
      <c r="Q68" s="199">
        <v>0.0</v>
      </c>
      <c r="R68" s="199">
        <v>0.0</v>
      </c>
      <c r="S68" s="199">
        <v>0.0</v>
      </c>
      <c r="T68" s="199">
        <v>0.0</v>
      </c>
      <c r="U68" s="199">
        <v>0.0</v>
      </c>
      <c r="V68" s="199">
        <v>0.0</v>
      </c>
      <c r="W68" s="199">
        <v>0.0</v>
      </c>
      <c r="X68" s="199">
        <v>0.0</v>
      </c>
      <c r="Y68" s="199">
        <v>0.0</v>
      </c>
      <c r="Z68" s="199">
        <v>0.0</v>
      </c>
      <c r="AA68" s="199">
        <v>0.0</v>
      </c>
      <c r="AB68" s="199">
        <v>0.0</v>
      </c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24"/>
      <c r="AP68" s="224"/>
      <c r="AQ68" s="224"/>
      <c r="AR68" s="224"/>
      <c r="AS68" s="224"/>
      <c r="AT68" s="224"/>
      <c r="AU68" s="224"/>
    </row>
    <row r="69" ht="15.75" customHeight="1">
      <c r="A69" s="199">
        <v>12.0</v>
      </c>
      <c r="B69" s="199">
        <v>840.0</v>
      </c>
      <c r="C69" s="234"/>
      <c r="D69" s="234"/>
      <c r="E69" s="234"/>
      <c r="F69" s="234"/>
      <c r="G69" s="234"/>
      <c r="H69" s="233">
        <v>0.0</v>
      </c>
      <c r="I69" s="199">
        <v>0.0</v>
      </c>
      <c r="J69" s="199">
        <v>0.0</v>
      </c>
      <c r="K69" s="199">
        <v>2.0</v>
      </c>
      <c r="L69" s="199">
        <v>0.0</v>
      </c>
      <c r="M69" s="199">
        <v>0.0</v>
      </c>
      <c r="N69" s="199">
        <v>0.0</v>
      </c>
      <c r="O69" s="199">
        <v>0.0</v>
      </c>
      <c r="P69" s="199">
        <v>0.0</v>
      </c>
      <c r="Q69" s="199">
        <v>0.0</v>
      </c>
      <c r="R69" s="199">
        <v>0.0</v>
      </c>
      <c r="S69" s="199">
        <v>0.0</v>
      </c>
      <c r="T69" s="199">
        <v>0.0</v>
      </c>
      <c r="U69" s="199">
        <v>0.0</v>
      </c>
      <c r="V69" s="199">
        <v>0.0</v>
      </c>
      <c r="W69" s="199">
        <v>0.0</v>
      </c>
      <c r="X69" s="199">
        <v>0.0</v>
      </c>
      <c r="Y69" s="199">
        <v>0.0</v>
      </c>
      <c r="Z69" s="199">
        <v>0.0</v>
      </c>
      <c r="AA69" s="199">
        <v>0.0</v>
      </c>
      <c r="AB69" s="199">
        <v>0.0</v>
      </c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  <c r="AM69" s="224"/>
      <c r="AN69" s="224"/>
      <c r="AO69" s="224"/>
      <c r="AP69" s="224"/>
      <c r="AQ69" s="224"/>
      <c r="AR69" s="224"/>
      <c r="AS69" s="224"/>
      <c r="AT69" s="224"/>
      <c r="AU69" s="224"/>
    </row>
    <row r="70" ht="15.75" customHeight="1">
      <c r="A70" s="199">
        <v>13.0</v>
      </c>
      <c r="B70" s="199">
        <v>1110.0</v>
      </c>
      <c r="C70" s="224"/>
      <c r="D70" s="224"/>
      <c r="E70" s="224"/>
      <c r="F70" s="224"/>
      <c r="G70" s="224"/>
      <c r="H70" s="233">
        <v>0.0</v>
      </c>
      <c r="I70" s="199">
        <v>0.0</v>
      </c>
      <c r="J70" s="199">
        <v>0.0</v>
      </c>
      <c r="K70" s="199">
        <v>0.0</v>
      </c>
      <c r="L70" s="199">
        <v>0.0</v>
      </c>
      <c r="M70" s="199">
        <v>5.0</v>
      </c>
      <c r="N70" s="199">
        <v>0.0</v>
      </c>
      <c r="O70" s="199">
        <v>0.0</v>
      </c>
      <c r="P70" s="199">
        <v>0.0</v>
      </c>
      <c r="Q70" s="199">
        <v>0.0</v>
      </c>
      <c r="R70" s="199">
        <v>0.0</v>
      </c>
      <c r="S70" s="199">
        <v>0.0</v>
      </c>
      <c r="T70" s="199">
        <v>0.0</v>
      </c>
      <c r="U70" s="199">
        <v>0.0</v>
      </c>
      <c r="V70" s="199">
        <v>0.0</v>
      </c>
      <c r="W70" s="199">
        <v>0.0</v>
      </c>
      <c r="X70" s="199">
        <v>0.0</v>
      </c>
      <c r="Y70" s="199">
        <v>0.0</v>
      </c>
      <c r="Z70" s="199">
        <v>0.0</v>
      </c>
      <c r="AA70" s="199">
        <v>0.0</v>
      </c>
      <c r="AB70" s="199">
        <v>0.0</v>
      </c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</row>
    <row r="71" ht="15.75" customHeight="1">
      <c r="A71" s="199">
        <v>14.0</v>
      </c>
      <c r="B71" s="199">
        <v>830.0</v>
      </c>
      <c r="C71" s="234"/>
      <c r="D71" s="234"/>
      <c r="E71" s="234"/>
      <c r="F71" s="234"/>
      <c r="G71" s="234"/>
      <c r="H71" s="233">
        <v>50.0</v>
      </c>
      <c r="I71" s="199">
        <v>0.0</v>
      </c>
      <c r="J71" s="199">
        <v>0.0</v>
      </c>
      <c r="K71" s="199">
        <v>0.0</v>
      </c>
      <c r="L71" s="199">
        <v>0.0</v>
      </c>
      <c r="M71" s="199">
        <v>0.0</v>
      </c>
      <c r="N71" s="199">
        <v>0.0</v>
      </c>
      <c r="O71" s="199">
        <v>0.0</v>
      </c>
      <c r="P71" s="199">
        <v>0.0</v>
      </c>
      <c r="Q71" s="199">
        <v>0.0</v>
      </c>
      <c r="R71" s="199">
        <v>0.0</v>
      </c>
      <c r="S71" s="199">
        <v>0.0</v>
      </c>
      <c r="T71" s="199">
        <v>0.0</v>
      </c>
      <c r="U71" s="199">
        <v>0.0</v>
      </c>
      <c r="V71" s="199">
        <v>0.0</v>
      </c>
      <c r="W71" s="199">
        <v>0.0</v>
      </c>
      <c r="X71" s="199">
        <v>0.0</v>
      </c>
      <c r="Y71" s="199">
        <v>0.0</v>
      </c>
      <c r="Z71" s="199">
        <v>0.0</v>
      </c>
      <c r="AA71" s="199">
        <v>0.0</v>
      </c>
      <c r="AB71" s="199">
        <v>0.0</v>
      </c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</row>
    <row r="72" ht="15.75" customHeight="1">
      <c r="A72" s="199">
        <v>15.0</v>
      </c>
      <c r="B72" s="199">
        <v>880.0</v>
      </c>
      <c r="C72" s="224"/>
      <c r="D72" s="224"/>
      <c r="E72" s="224"/>
      <c r="F72" s="224"/>
      <c r="G72" s="224"/>
      <c r="H72" s="233">
        <v>0.0</v>
      </c>
      <c r="I72" s="199">
        <v>0.0</v>
      </c>
      <c r="J72" s="199">
        <v>0.0</v>
      </c>
      <c r="K72" s="199">
        <v>0.0</v>
      </c>
      <c r="L72" s="199">
        <v>2.0</v>
      </c>
      <c r="M72" s="199">
        <v>0.0</v>
      </c>
      <c r="N72" s="199">
        <v>0.0</v>
      </c>
      <c r="O72" s="199">
        <v>0.0</v>
      </c>
      <c r="P72" s="199">
        <v>0.0</v>
      </c>
      <c r="Q72" s="199">
        <v>0.0</v>
      </c>
      <c r="R72" s="199">
        <v>0.0</v>
      </c>
      <c r="S72" s="199">
        <v>0.0</v>
      </c>
      <c r="T72" s="199">
        <v>0.0</v>
      </c>
      <c r="U72" s="199">
        <v>0.0</v>
      </c>
      <c r="V72" s="199">
        <v>0.0</v>
      </c>
      <c r="W72" s="199">
        <v>0.0</v>
      </c>
      <c r="X72" s="199">
        <v>0.0</v>
      </c>
      <c r="Y72" s="199">
        <v>0.0</v>
      </c>
      <c r="Z72" s="199">
        <v>0.0</v>
      </c>
      <c r="AA72" s="199">
        <v>0.0</v>
      </c>
      <c r="AB72" s="199">
        <v>0.0</v>
      </c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4"/>
      <c r="AS72" s="224"/>
      <c r="AT72" s="224"/>
      <c r="AU72" s="224"/>
    </row>
    <row r="73" ht="15.7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  <c r="AM73" s="224"/>
      <c r="AN73" s="224"/>
      <c r="AO73" s="224"/>
      <c r="AP73" s="224"/>
      <c r="AQ73" s="224"/>
      <c r="AR73" s="224"/>
      <c r="AS73" s="224"/>
      <c r="AT73" s="224"/>
      <c r="AU73" s="224"/>
    </row>
    <row r="74" ht="19.5" customHeight="1">
      <c r="A74" s="188" t="s">
        <v>276</v>
      </c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4"/>
      <c r="AN74" s="224"/>
      <c r="AO74" s="224"/>
      <c r="AP74" s="224"/>
      <c r="AQ74" s="224"/>
      <c r="AR74" s="224"/>
      <c r="AS74" s="224"/>
      <c r="AT74" s="224"/>
      <c r="AU74" s="224"/>
    </row>
    <row r="75" ht="90.0" customHeight="1">
      <c r="A75" s="165" t="s">
        <v>274</v>
      </c>
      <c r="B75" s="165" t="s">
        <v>275</v>
      </c>
      <c r="C75" s="224"/>
      <c r="D75" s="224"/>
      <c r="E75" s="224"/>
      <c r="F75" s="224"/>
      <c r="G75" s="224"/>
      <c r="H75" s="230" t="s">
        <v>82</v>
      </c>
      <c r="I75" s="201" t="s">
        <v>68</v>
      </c>
      <c r="J75" s="201" t="s">
        <v>103</v>
      </c>
      <c r="K75" s="201" t="s">
        <v>69</v>
      </c>
      <c r="L75" s="201" t="s">
        <v>70</v>
      </c>
      <c r="M75" s="201" t="s">
        <v>71</v>
      </c>
      <c r="N75" s="201" t="s">
        <v>72</v>
      </c>
      <c r="O75" s="201" t="s">
        <v>73</v>
      </c>
      <c r="P75" s="201" t="s">
        <v>74</v>
      </c>
      <c r="Q75" s="201" t="s">
        <v>75</v>
      </c>
      <c r="R75" s="201" t="s">
        <v>76</v>
      </c>
      <c r="S75" s="201" t="s">
        <v>77</v>
      </c>
      <c r="T75" s="201" t="s">
        <v>78</v>
      </c>
      <c r="U75" s="201" t="s">
        <v>118</v>
      </c>
      <c r="V75" s="201" t="s">
        <v>104</v>
      </c>
      <c r="W75" s="201" t="s">
        <v>105</v>
      </c>
      <c r="X75" s="201" t="s">
        <v>106</v>
      </c>
      <c r="Y75" s="201" t="s">
        <v>107</v>
      </c>
      <c r="Z75" s="201" t="s">
        <v>108</v>
      </c>
      <c r="AA75" s="201" t="s">
        <v>109</v>
      </c>
      <c r="AB75" s="201" t="s">
        <v>110</v>
      </c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  <c r="AM75" s="224"/>
      <c r="AN75" s="224"/>
      <c r="AO75" s="224"/>
      <c r="AP75" s="224"/>
      <c r="AQ75" s="224"/>
      <c r="AR75" s="224"/>
      <c r="AS75" s="224"/>
      <c r="AT75" s="224"/>
      <c r="AU75" s="224"/>
    </row>
    <row r="76" ht="15.75" customHeight="1">
      <c r="A76" s="199">
        <v>1.0</v>
      </c>
      <c r="B76" s="199">
        <v>830.0</v>
      </c>
      <c r="C76" s="224"/>
      <c r="D76" s="224"/>
      <c r="E76" s="224"/>
      <c r="F76" s="224"/>
      <c r="G76" s="224"/>
      <c r="H76" s="233">
        <v>0.0</v>
      </c>
      <c r="I76" s="199">
        <v>0.0</v>
      </c>
      <c r="J76" s="199">
        <v>0.0</v>
      </c>
      <c r="K76" s="199">
        <v>0.0</v>
      </c>
      <c r="L76" s="199">
        <v>0.0</v>
      </c>
      <c r="M76" s="199">
        <v>0.0</v>
      </c>
      <c r="N76" s="199">
        <v>1.0</v>
      </c>
      <c r="O76" s="199">
        <v>0.0</v>
      </c>
      <c r="P76" s="199">
        <v>0.0</v>
      </c>
      <c r="Q76" s="199">
        <v>0.0</v>
      </c>
      <c r="R76" s="199">
        <v>0.0</v>
      </c>
      <c r="S76" s="199">
        <v>0.0</v>
      </c>
      <c r="T76" s="199">
        <v>0.0</v>
      </c>
      <c r="U76" s="199">
        <v>0.0</v>
      </c>
      <c r="V76" s="199">
        <v>0.0</v>
      </c>
      <c r="W76" s="199">
        <v>0.0</v>
      </c>
      <c r="X76" s="199">
        <v>0.0</v>
      </c>
      <c r="Y76" s="199">
        <v>0.0</v>
      </c>
      <c r="Z76" s="199">
        <v>0.0</v>
      </c>
      <c r="AA76" s="199">
        <v>0.0</v>
      </c>
      <c r="AB76" s="199">
        <v>0.0</v>
      </c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/>
      <c r="AT76" s="224"/>
      <c r="AU76" s="224"/>
    </row>
    <row r="77" ht="15.75" customHeight="1">
      <c r="A77" s="199">
        <v>2.0</v>
      </c>
      <c r="B77" s="199">
        <v>800.0</v>
      </c>
      <c r="C77" s="234"/>
      <c r="D77" s="234"/>
      <c r="E77" s="234"/>
      <c r="F77" s="234"/>
      <c r="G77" s="234"/>
      <c r="H77" s="233">
        <v>25.0</v>
      </c>
      <c r="I77" s="199">
        <v>0.0</v>
      </c>
      <c r="J77" s="199">
        <v>0.0</v>
      </c>
      <c r="K77" s="199">
        <v>0.0</v>
      </c>
      <c r="L77" s="199">
        <v>0.0</v>
      </c>
      <c r="M77" s="199">
        <v>0.0</v>
      </c>
      <c r="N77" s="199">
        <v>0.0</v>
      </c>
      <c r="O77" s="199">
        <v>0.0</v>
      </c>
      <c r="P77" s="199">
        <v>0.0</v>
      </c>
      <c r="Q77" s="199">
        <v>0.0</v>
      </c>
      <c r="R77" s="199">
        <v>0.0</v>
      </c>
      <c r="S77" s="199">
        <v>0.0</v>
      </c>
      <c r="T77" s="199">
        <v>0.0</v>
      </c>
      <c r="U77" s="199">
        <v>0.0</v>
      </c>
      <c r="V77" s="199">
        <v>0.0</v>
      </c>
      <c r="W77" s="199">
        <v>0.0</v>
      </c>
      <c r="X77" s="199">
        <v>0.0</v>
      </c>
      <c r="Y77" s="199">
        <v>0.0</v>
      </c>
      <c r="Z77" s="199">
        <v>0.0</v>
      </c>
      <c r="AA77" s="199">
        <v>0.0</v>
      </c>
      <c r="AB77" s="199">
        <v>0.0</v>
      </c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  <c r="AM77" s="224"/>
      <c r="AN77" s="224"/>
      <c r="AO77" s="224"/>
      <c r="AP77" s="224"/>
      <c r="AQ77" s="224"/>
      <c r="AR77" s="224"/>
      <c r="AS77" s="224"/>
      <c r="AT77" s="224"/>
      <c r="AU77" s="224"/>
    </row>
    <row r="78" ht="15.75" customHeight="1">
      <c r="A78" s="199">
        <v>3.0</v>
      </c>
      <c r="B78" s="199">
        <v>910.0</v>
      </c>
      <c r="C78" s="224"/>
      <c r="D78" s="224"/>
      <c r="E78" s="224"/>
      <c r="F78" s="224"/>
      <c r="G78" s="224"/>
      <c r="H78" s="233">
        <v>0.0</v>
      </c>
      <c r="I78" s="199">
        <v>0.0</v>
      </c>
      <c r="J78" s="199">
        <v>0.0</v>
      </c>
      <c r="K78" s="199">
        <v>0.0</v>
      </c>
      <c r="L78" s="199">
        <v>0.0</v>
      </c>
      <c r="M78" s="199">
        <v>0.0</v>
      </c>
      <c r="N78" s="199">
        <v>0.0</v>
      </c>
      <c r="O78" s="199">
        <v>2.0</v>
      </c>
      <c r="P78" s="199">
        <v>0.0</v>
      </c>
      <c r="Q78" s="199">
        <v>0.0</v>
      </c>
      <c r="R78" s="199">
        <v>0.0</v>
      </c>
      <c r="S78" s="199">
        <v>0.0</v>
      </c>
      <c r="T78" s="199">
        <v>0.0</v>
      </c>
      <c r="U78" s="199">
        <v>0.0</v>
      </c>
      <c r="V78" s="199">
        <v>0.0</v>
      </c>
      <c r="W78" s="199">
        <v>0.0</v>
      </c>
      <c r="X78" s="199">
        <v>0.0</v>
      </c>
      <c r="Y78" s="199">
        <v>0.0</v>
      </c>
      <c r="Z78" s="199">
        <v>0.0</v>
      </c>
      <c r="AA78" s="199">
        <v>0.0</v>
      </c>
      <c r="AB78" s="199">
        <v>0.0</v>
      </c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  <c r="AM78" s="224"/>
      <c r="AN78" s="224"/>
      <c r="AO78" s="224"/>
      <c r="AP78" s="224"/>
      <c r="AQ78" s="224"/>
      <c r="AR78" s="224"/>
      <c r="AS78" s="224"/>
      <c r="AT78" s="224"/>
      <c r="AU78" s="224"/>
    </row>
    <row r="79" ht="15.75" customHeight="1">
      <c r="A79" s="199">
        <v>4.0</v>
      </c>
      <c r="B79" s="199">
        <v>940.0</v>
      </c>
      <c r="C79" s="234"/>
      <c r="D79" s="234"/>
      <c r="E79" s="234"/>
      <c r="F79" s="234"/>
      <c r="G79" s="234"/>
      <c r="H79" s="233">
        <v>0.0</v>
      </c>
      <c r="I79" s="199">
        <v>0.0</v>
      </c>
      <c r="J79" s="199">
        <v>0.0</v>
      </c>
      <c r="K79" s="199">
        <v>0.0</v>
      </c>
      <c r="L79" s="199">
        <v>0.0</v>
      </c>
      <c r="M79" s="199">
        <v>0.0</v>
      </c>
      <c r="N79" s="199">
        <v>0.0</v>
      </c>
      <c r="O79" s="199">
        <v>0.0</v>
      </c>
      <c r="P79" s="199">
        <v>1.0</v>
      </c>
      <c r="Q79" s="199">
        <v>0.0</v>
      </c>
      <c r="R79" s="199">
        <v>0.0</v>
      </c>
      <c r="S79" s="199">
        <v>0.0</v>
      </c>
      <c r="T79" s="199">
        <v>0.0</v>
      </c>
      <c r="U79" s="199">
        <v>0.0</v>
      </c>
      <c r="V79" s="199">
        <v>0.0</v>
      </c>
      <c r="W79" s="199">
        <v>0.0</v>
      </c>
      <c r="X79" s="199">
        <v>0.0</v>
      </c>
      <c r="Y79" s="199">
        <v>0.0</v>
      </c>
      <c r="Z79" s="199">
        <v>0.0</v>
      </c>
      <c r="AA79" s="199">
        <v>0.0</v>
      </c>
      <c r="AB79" s="199">
        <v>0.0</v>
      </c>
      <c r="AC79" s="224"/>
      <c r="AD79" s="224"/>
      <c r="AE79" s="224"/>
      <c r="AF79" s="224"/>
      <c r="AG79" s="224"/>
      <c r="AH79" s="224"/>
      <c r="AI79" s="224"/>
      <c r="AJ79" s="224"/>
      <c r="AK79" s="224"/>
      <c r="AL79" s="224"/>
      <c r="AM79" s="224"/>
      <c r="AN79" s="224"/>
      <c r="AO79" s="224"/>
      <c r="AP79" s="224"/>
      <c r="AQ79" s="224"/>
      <c r="AR79" s="224"/>
      <c r="AS79" s="224"/>
      <c r="AT79" s="224"/>
      <c r="AU79" s="224"/>
    </row>
    <row r="80" ht="15.75" customHeight="1">
      <c r="A80" s="199">
        <v>5.0</v>
      </c>
      <c r="B80" s="199">
        <v>910.0</v>
      </c>
      <c r="C80" s="224"/>
      <c r="D80" s="224"/>
      <c r="E80" s="224"/>
      <c r="F80" s="224"/>
      <c r="G80" s="224"/>
      <c r="H80" s="233">
        <v>0.0</v>
      </c>
      <c r="I80" s="199">
        <v>0.0</v>
      </c>
      <c r="J80" s="199">
        <v>0.0</v>
      </c>
      <c r="K80" s="199">
        <v>0.0</v>
      </c>
      <c r="L80" s="199">
        <v>0.0</v>
      </c>
      <c r="M80" s="199">
        <v>0.0</v>
      </c>
      <c r="N80" s="199">
        <v>0.0</v>
      </c>
      <c r="O80" s="199">
        <v>2.0</v>
      </c>
      <c r="P80" s="199">
        <v>0.0</v>
      </c>
      <c r="Q80" s="199">
        <v>0.0</v>
      </c>
      <c r="R80" s="199">
        <v>0.0</v>
      </c>
      <c r="S80" s="199">
        <v>0.0</v>
      </c>
      <c r="T80" s="199">
        <v>0.0</v>
      </c>
      <c r="U80" s="199">
        <v>0.0</v>
      </c>
      <c r="V80" s="199">
        <v>0.0</v>
      </c>
      <c r="W80" s="199">
        <v>0.0</v>
      </c>
      <c r="X80" s="199">
        <v>0.0</v>
      </c>
      <c r="Y80" s="199">
        <v>0.0</v>
      </c>
      <c r="Z80" s="199">
        <v>0.0</v>
      </c>
      <c r="AA80" s="199">
        <v>0.0</v>
      </c>
      <c r="AB80" s="199">
        <v>0.0</v>
      </c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  <c r="AM80" s="224"/>
      <c r="AN80" s="224"/>
      <c r="AO80" s="224"/>
      <c r="AP80" s="224"/>
      <c r="AQ80" s="224"/>
      <c r="AR80" s="224"/>
      <c r="AS80" s="224"/>
      <c r="AT80" s="224"/>
      <c r="AU80" s="224"/>
    </row>
    <row r="81" ht="15.75" customHeight="1">
      <c r="A81" s="199">
        <v>6.0</v>
      </c>
      <c r="B81" s="199">
        <v>880.0</v>
      </c>
      <c r="C81" s="234"/>
      <c r="D81" s="234"/>
      <c r="E81" s="234"/>
      <c r="F81" s="234"/>
      <c r="G81" s="234"/>
      <c r="H81" s="233">
        <v>0.0</v>
      </c>
      <c r="I81" s="199">
        <v>0.0</v>
      </c>
      <c r="J81" s="199">
        <v>0.0</v>
      </c>
      <c r="K81" s="199">
        <v>0.0</v>
      </c>
      <c r="L81" s="199">
        <v>0.0</v>
      </c>
      <c r="M81" s="199">
        <v>0.0</v>
      </c>
      <c r="N81" s="199">
        <v>2.0</v>
      </c>
      <c r="O81" s="199">
        <v>0.0</v>
      </c>
      <c r="P81" s="199">
        <v>0.0</v>
      </c>
      <c r="Q81" s="199">
        <v>0.0</v>
      </c>
      <c r="R81" s="199">
        <v>0.0</v>
      </c>
      <c r="S81" s="199">
        <v>0.0</v>
      </c>
      <c r="T81" s="199">
        <v>0.0</v>
      </c>
      <c r="U81" s="199">
        <v>0.0</v>
      </c>
      <c r="V81" s="199">
        <v>0.0</v>
      </c>
      <c r="W81" s="199">
        <v>0.0</v>
      </c>
      <c r="X81" s="199">
        <v>0.0</v>
      </c>
      <c r="Y81" s="199">
        <v>0.0</v>
      </c>
      <c r="Z81" s="199">
        <v>0.0</v>
      </c>
      <c r="AA81" s="199">
        <v>0.0</v>
      </c>
      <c r="AB81" s="199">
        <v>0.0</v>
      </c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  <c r="AM81" s="224"/>
      <c r="AN81" s="224"/>
      <c r="AO81" s="224"/>
      <c r="AP81" s="224"/>
      <c r="AQ81" s="224"/>
      <c r="AR81" s="224"/>
      <c r="AS81" s="224"/>
      <c r="AT81" s="224"/>
      <c r="AU81" s="224"/>
    </row>
    <row r="82" ht="15.75" customHeight="1">
      <c r="A82" s="199">
        <v>7.0</v>
      </c>
      <c r="B82" s="199">
        <v>940.0</v>
      </c>
      <c r="C82" s="224"/>
      <c r="D82" s="224"/>
      <c r="E82" s="224"/>
      <c r="F82" s="224"/>
      <c r="G82" s="224"/>
      <c r="H82" s="233">
        <v>0.0</v>
      </c>
      <c r="I82" s="199">
        <v>0.0</v>
      </c>
      <c r="J82" s="199">
        <v>0.0</v>
      </c>
      <c r="K82" s="199">
        <v>0.0</v>
      </c>
      <c r="L82" s="199">
        <v>0.0</v>
      </c>
      <c r="M82" s="199">
        <v>0.0</v>
      </c>
      <c r="N82" s="199">
        <v>0.0</v>
      </c>
      <c r="O82" s="199">
        <v>0.0</v>
      </c>
      <c r="P82" s="199">
        <v>1.0</v>
      </c>
      <c r="Q82" s="199">
        <v>0.0</v>
      </c>
      <c r="R82" s="199">
        <v>0.0</v>
      </c>
      <c r="S82" s="199">
        <v>0.0</v>
      </c>
      <c r="T82" s="199">
        <v>0.0</v>
      </c>
      <c r="U82" s="199">
        <v>0.0</v>
      </c>
      <c r="V82" s="199">
        <v>0.0</v>
      </c>
      <c r="W82" s="199">
        <v>0.0</v>
      </c>
      <c r="X82" s="199">
        <v>0.0</v>
      </c>
      <c r="Y82" s="199">
        <v>0.0</v>
      </c>
      <c r="Z82" s="199">
        <v>0.0</v>
      </c>
      <c r="AA82" s="199">
        <v>0.0</v>
      </c>
      <c r="AB82" s="199">
        <v>0.0</v>
      </c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  <c r="AM82" s="224"/>
      <c r="AN82" s="224"/>
      <c r="AO82" s="224"/>
      <c r="AP82" s="224"/>
      <c r="AQ82" s="224"/>
      <c r="AR82" s="224"/>
      <c r="AS82" s="224"/>
      <c r="AT82" s="224"/>
      <c r="AU82" s="224"/>
    </row>
    <row r="83" ht="15.75" customHeight="1">
      <c r="A83" s="199">
        <v>8.0</v>
      </c>
      <c r="B83" s="199">
        <v>980.0</v>
      </c>
      <c r="C83" s="234"/>
      <c r="D83" s="234"/>
      <c r="E83" s="234"/>
      <c r="F83" s="234"/>
      <c r="G83" s="234"/>
      <c r="H83" s="233">
        <v>0.0</v>
      </c>
      <c r="I83" s="199">
        <v>0.0</v>
      </c>
      <c r="J83" s="199">
        <v>0.0</v>
      </c>
      <c r="K83" s="199">
        <v>0.0</v>
      </c>
      <c r="L83" s="199">
        <v>0.0</v>
      </c>
      <c r="M83" s="199">
        <v>0.0</v>
      </c>
      <c r="N83" s="199">
        <v>0.0</v>
      </c>
      <c r="O83" s="199">
        <v>3.0</v>
      </c>
      <c r="P83" s="199">
        <v>0.0</v>
      </c>
      <c r="Q83" s="199">
        <v>0.0</v>
      </c>
      <c r="R83" s="199">
        <v>0.0</v>
      </c>
      <c r="S83" s="199">
        <v>0.0</v>
      </c>
      <c r="T83" s="199">
        <v>0.0</v>
      </c>
      <c r="U83" s="199">
        <v>0.0</v>
      </c>
      <c r="V83" s="199">
        <v>0.0</v>
      </c>
      <c r="W83" s="199">
        <v>0.0</v>
      </c>
      <c r="X83" s="199">
        <v>0.0</v>
      </c>
      <c r="Y83" s="199">
        <v>0.0</v>
      </c>
      <c r="Z83" s="199">
        <v>0.0</v>
      </c>
      <c r="AA83" s="199">
        <v>0.0</v>
      </c>
      <c r="AB83" s="199">
        <v>0.0</v>
      </c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  <c r="AM83" s="224"/>
      <c r="AN83" s="224"/>
      <c r="AO83" s="224"/>
      <c r="AP83" s="224"/>
      <c r="AQ83" s="224"/>
      <c r="AR83" s="224"/>
      <c r="AS83" s="224"/>
      <c r="AT83" s="224"/>
      <c r="AU83" s="224"/>
    </row>
    <row r="84" ht="15.75" customHeight="1">
      <c r="A84" s="199">
        <v>9.0</v>
      </c>
      <c r="B84" s="199">
        <v>830.0</v>
      </c>
      <c r="C84" s="224"/>
      <c r="D84" s="224"/>
      <c r="E84" s="224"/>
      <c r="F84" s="224"/>
      <c r="G84" s="224"/>
      <c r="H84" s="233">
        <v>0.0</v>
      </c>
      <c r="I84" s="199">
        <v>0.0</v>
      </c>
      <c r="J84" s="199">
        <v>0.0</v>
      </c>
      <c r="K84" s="199">
        <v>0.0</v>
      </c>
      <c r="L84" s="199">
        <v>0.0</v>
      </c>
      <c r="M84" s="199">
        <v>0.0</v>
      </c>
      <c r="N84" s="199">
        <v>1.0</v>
      </c>
      <c r="O84" s="199">
        <v>0.0</v>
      </c>
      <c r="P84" s="199">
        <v>0.0</v>
      </c>
      <c r="Q84" s="199">
        <v>0.0</v>
      </c>
      <c r="R84" s="199">
        <v>0.0</v>
      </c>
      <c r="S84" s="199">
        <v>0.0</v>
      </c>
      <c r="T84" s="199">
        <v>0.0</v>
      </c>
      <c r="U84" s="199">
        <v>0.0</v>
      </c>
      <c r="V84" s="199">
        <v>0.0</v>
      </c>
      <c r="W84" s="199">
        <v>0.0</v>
      </c>
      <c r="X84" s="199">
        <v>0.0</v>
      </c>
      <c r="Y84" s="199">
        <v>0.0</v>
      </c>
      <c r="Z84" s="199">
        <v>0.0</v>
      </c>
      <c r="AA84" s="199">
        <v>0.0</v>
      </c>
      <c r="AB84" s="199">
        <v>0.0</v>
      </c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  <c r="AN84" s="224"/>
      <c r="AO84" s="224"/>
      <c r="AP84" s="224"/>
      <c r="AQ84" s="224"/>
      <c r="AR84" s="224"/>
      <c r="AS84" s="224"/>
      <c r="AT84" s="224"/>
      <c r="AU84" s="224"/>
    </row>
    <row r="85" ht="15.75" customHeight="1">
      <c r="A85" s="199">
        <v>10.0</v>
      </c>
      <c r="B85" s="199">
        <v>810.0</v>
      </c>
      <c r="C85" s="234"/>
      <c r="D85" s="234"/>
      <c r="E85" s="234"/>
      <c r="F85" s="234"/>
      <c r="G85" s="234"/>
      <c r="H85" s="233">
        <v>35.0</v>
      </c>
      <c r="I85" s="199">
        <v>0.0</v>
      </c>
      <c r="J85" s="199">
        <v>0.0</v>
      </c>
      <c r="K85" s="199">
        <v>0.0</v>
      </c>
      <c r="L85" s="199">
        <v>0.0</v>
      </c>
      <c r="M85" s="199">
        <v>0.0</v>
      </c>
      <c r="N85" s="199">
        <v>0.0</v>
      </c>
      <c r="O85" s="199">
        <v>0.0</v>
      </c>
      <c r="P85" s="199">
        <v>0.0</v>
      </c>
      <c r="Q85" s="199">
        <v>0.0</v>
      </c>
      <c r="R85" s="199">
        <v>0.0</v>
      </c>
      <c r="S85" s="199">
        <v>0.0</v>
      </c>
      <c r="T85" s="199">
        <v>0.0</v>
      </c>
      <c r="U85" s="199">
        <v>0.0</v>
      </c>
      <c r="V85" s="199">
        <v>0.0</v>
      </c>
      <c r="W85" s="199">
        <v>0.0</v>
      </c>
      <c r="X85" s="199">
        <v>0.0</v>
      </c>
      <c r="Y85" s="199">
        <v>0.0</v>
      </c>
      <c r="Z85" s="199">
        <v>0.0</v>
      </c>
      <c r="AA85" s="199">
        <v>0.0</v>
      </c>
      <c r="AB85" s="199">
        <v>0.0</v>
      </c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  <c r="AM85" s="224"/>
      <c r="AN85" s="224"/>
      <c r="AO85" s="224"/>
      <c r="AP85" s="224"/>
      <c r="AQ85" s="224"/>
      <c r="AR85" s="224"/>
      <c r="AS85" s="224"/>
      <c r="AT85" s="224"/>
      <c r="AU85" s="224"/>
    </row>
    <row r="86" ht="15.75" customHeight="1">
      <c r="A86" s="199">
        <v>11.0</v>
      </c>
      <c r="B86" s="199">
        <v>1110.0</v>
      </c>
      <c r="C86" s="224"/>
      <c r="D86" s="224"/>
      <c r="E86" s="224"/>
      <c r="F86" s="224"/>
      <c r="G86" s="224"/>
      <c r="H86" s="233">
        <v>0.0</v>
      </c>
      <c r="I86" s="199">
        <v>0.0</v>
      </c>
      <c r="J86" s="199">
        <v>0.0</v>
      </c>
      <c r="K86" s="199">
        <v>0.0</v>
      </c>
      <c r="L86" s="199">
        <v>0.0</v>
      </c>
      <c r="M86" s="199">
        <v>0.0</v>
      </c>
      <c r="N86" s="199">
        <v>0.0</v>
      </c>
      <c r="O86" s="199">
        <v>0.0</v>
      </c>
      <c r="P86" s="199">
        <v>2.0</v>
      </c>
      <c r="Q86" s="199">
        <v>0.0</v>
      </c>
      <c r="R86" s="199">
        <v>0.0</v>
      </c>
      <c r="S86" s="199">
        <v>0.0</v>
      </c>
      <c r="T86" s="199">
        <v>0.0</v>
      </c>
      <c r="U86" s="199">
        <v>0.0</v>
      </c>
      <c r="V86" s="199">
        <v>0.0</v>
      </c>
      <c r="W86" s="199">
        <v>0.0</v>
      </c>
      <c r="X86" s="199">
        <v>0.0</v>
      </c>
      <c r="Y86" s="199">
        <v>0.0</v>
      </c>
      <c r="Z86" s="199">
        <v>0.0</v>
      </c>
      <c r="AA86" s="199">
        <v>0.0</v>
      </c>
      <c r="AB86" s="199">
        <v>0.0</v>
      </c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  <c r="AM86" s="224"/>
      <c r="AN86" s="224"/>
      <c r="AO86" s="224"/>
      <c r="AP86" s="224"/>
      <c r="AQ86" s="224"/>
      <c r="AR86" s="224"/>
      <c r="AS86" s="224"/>
      <c r="AT86" s="224"/>
      <c r="AU86" s="224"/>
    </row>
    <row r="87" ht="15.75" customHeight="1">
      <c r="A87" s="199">
        <v>12.0</v>
      </c>
      <c r="B87" s="199">
        <v>880.0</v>
      </c>
      <c r="C87" s="234"/>
      <c r="D87" s="234"/>
      <c r="E87" s="234"/>
      <c r="F87" s="234"/>
      <c r="G87" s="234"/>
      <c r="H87" s="233">
        <v>0.0</v>
      </c>
      <c r="I87" s="199">
        <v>0.0</v>
      </c>
      <c r="J87" s="199">
        <v>0.0</v>
      </c>
      <c r="K87" s="199">
        <v>0.0</v>
      </c>
      <c r="L87" s="199">
        <v>0.0</v>
      </c>
      <c r="M87" s="199">
        <v>0.0</v>
      </c>
      <c r="N87" s="199">
        <v>2.0</v>
      </c>
      <c r="O87" s="199">
        <v>0.0</v>
      </c>
      <c r="P87" s="199">
        <v>0.0</v>
      </c>
      <c r="Q87" s="199">
        <v>0.0</v>
      </c>
      <c r="R87" s="199">
        <v>0.0</v>
      </c>
      <c r="S87" s="199">
        <v>0.0</v>
      </c>
      <c r="T87" s="199">
        <v>0.0</v>
      </c>
      <c r="U87" s="199">
        <v>0.0</v>
      </c>
      <c r="V87" s="199">
        <v>0.0</v>
      </c>
      <c r="W87" s="199">
        <v>0.0</v>
      </c>
      <c r="X87" s="199">
        <v>0.0</v>
      </c>
      <c r="Y87" s="199">
        <v>0.0</v>
      </c>
      <c r="Z87" s="199">
        <v>0.0</v>
      </c>
      <c r="AA87" s="199">
        <v>0.0</v>
      </c>
      <c r="AB87" s="199">
        <v>0.0</v>
      </c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</row>
    <row r="88" ht="15.75" customHeight="1">
      <c r="A88" s="199">
        <v>13.0</v>
      </c>
      <c r="B88" s="199">
        <v>910.0</v>
      </c>
      <c r="C88" s="224"/>
      <c r="D88" s="224"/>
      <c r="E88" s="224"/>
      <c r="F88" s="224"/>
      <c r="G88" s="224"/>
      <c r="H88" s="233">
        <v>0.0</v>
      </c>
      <c r="I88" s="199">
        <v>0.0</v>
      </c>
      <c r="J88" s="199">
        <v>0.0</v>
      </c>
      <c r="K88" s="199">
        <v>0.0</v>
      </c>
      <c r="L88" s="199">
        <v>0.0</v>
      </c>
      <c r="M88" s="199">
        <v>0.0</v>
      </c>
      <c r="N88" s="199">
        <v>0.0</v>
      </c>
      <c r="O88" s="199">
        <v>2.0</v>
      </c>
      <c r="P88" s="199">
        <v>0.0</v>
      </c>
      <c r="Q88" s="199">
        <v>0.0</v>
      </c>
      <c r="R88" s="199">
        <v>0.0</v>
      </c>
      <c r="S88" s="199">
        <v>0.0</v>
      </c>
      <c r="T88" s="199">
        <v>0.0</v>
      </c>
      <c r="U88" s="199">
        <v>0.0</v>
      </c>
      <c r="V88" s="199">
        <v>0.0</v>
      </c>
      <c r="W88" s="199">
        <v>0.0</v>
      </c>
      <c r="X88" s="199">
        <v>0.0</v>
      </c>
      <c r="Y88" s="199">
        <v>0.0</v>
      </c>
      <c r="Z88" s="199">
        <v>0.0</v>
      </c>
      <c r="AA88" s="199">
        <v>0.0</v>
      </c>
      <c r="AB88" s="199">
        <v>0.0</v>
      </c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  <c r="AM88" s="224"/>
      <c r="AN88" s="224"/>
      <c r="AO88" s="224"/>
      <c r="AP88" s="224"/>
      <c r="AQ88" s="224"/>
      <c r="AR88" s="224"/>
      <c r="AS88" s="224"/>
      <c r="AT88" s="224"/>
      <c r="AU88" s="224"/>
    </row>
    <row r="89" ht="15.75" customHeight="1">
      <c r="A89" s="199">
        <v>14.0</v>
      </c>
      <c r="B89" s="199">
        <v>1110.0</v>
      </c>
      <c r="C89" s="234"/>
      <c r="D89" s="234"/>
      <c r="E89" s="234"/>
      <c r="F89" s="234"/>
      <c r="G89" s="234"/>
      <c r="H89" s="233">
        <v>0.0</v>
      </c>
      <c r="I89" s="199">
        <v>0.0</v>
      </c>
      <c r="J89" s="199">
        <v>0.0</v>
      </c>
      <c r="K89" s="199">
        <v>0.0</v>
      </c>
      <c r="L89" s="199">
        <v>0.0</v>
      </c>
      <c r="M89" s="199">
        <v>0.0</v>
      </c>
      <c r="N89" s="199">
        <v>0.0</v>
      </c>
      <c r="O89" s="199">
        <v>0.0</v>
      </c>
      <c r="P89" s="199">
        <v>2.0</v>
      </c>
      <c r="Q89" s="199">
        <v>0.0</v>
      </c>
      <c r="R89" s="199">
        <v>0.0</v>
      </c>
      <c r="S89" s="199">
        <v>0.0</v>
      </c>
      <c r="T89" s="199">
        <v>0.0</v>
      </c>
      <c r="U89" s="199">
        <v>0.0</v>
      </c>
      <c r="V89" s="199">
        <v>0.0</v>
      </c>
      <c r="W89" s="199">
        <v>0.0</v>
      </c>
      <c r="X89" s="199">
        <v>0.0</v>
      </c>
      <c r="Y89" s="199">
        <v>0.0</v>
      </c>
      <c r="Z89" s="199">
        <v>0.0</v>
      </c>
      <c r="AA89" s="199">
        <v>0.0</v>
      </c>
      <c r="AB89" s="199">
        <v>0.0</v>
      </c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/>
      <c r="AP89" s="224"/>
      <c r="AQ89" s="224"/>
      <c r="AR89" s="224"/>
      <c r="AS89" s="224"/>
      <c r="AT89" s="224"/>
      <c r="AU89" s="224"/>
    </row>
    <row r="90" ht="15.75" customHeight="1">
      <c r="A90" s="199">
        <v>15.0</v>
      </c>
      <c r="B90" s="199">
        <v>840.0</v>
      </c>
      <c r="C90" s="224"/>
      <c r="D90" s="224"/>
      <c r="E90" s="224"/>
      <c r="F90" s="224"/>
      <c r="G90" s="224"/>
      <c r="H90" s="233">
        <v>0.0</v>
      </c>
      <c r="I90" s="199">
        <v>0.0</v>
      </c>
      <c r="J90" s="199">
        <v>0.0</v>
      </c>
      <c r="K90" s="199">
        <v>0.0</v>
      </c>
      <c r="L90" s="199">
        <v>0.0</v>
      </c>
      <c r="M90" s="199">
        <v>0.0</v>
      </c>
      <c r="N90" s="199">
        <v>0.0</v>
      </c>
      <c r="O90" s="199">
        <v>1.0</v>
      </c>
      <c r="P90" s="199">
        <v>0.0</v>
      </c>
      <c r="Q90" s="199">
        <v>0.0</v>
      </c>
      <c r="R90" s="199">
        <v>0.0</v>
      </c>
      <c r="S90" s="199">
        <v>0.0</v>
      </c>
      <c r="T90" s="199">
        <v>0.0</v>
      </c>
      <c r="U90" s="199">
        <v>0.0</v>
      </c>
      <c r="V90" s="199">
        <v>0.0</v>
      </c>
      <c r="W90" s="199">
        <v>0.0</v>
      </c>
      <c r="X90" s="199">
        <v>0.0</v>
      </c>
      <c r="Y90" s="199">
        <v>0.0</v>
      </c>
      <c r="Z90" s="199">
        <v>0.0</v>
      </c>
      <c r="AA90" s="199">
        <v>0.0</v>
      </c>
      <c r="AB90" s="199">
        <v>0.0</v>
      </c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  <c r="AM90" s="224"/>
      <c r="AN90" s="224"/>
      <c r="AO90" s="224"/>
      <c r="AP90" s="224"/>
      <c r="AQ90" s="224"/>
      <c r="AR90" s="224"/>
      <c r="AS90" s="224"/>
      <c r="AT90" s="224"/>
      <c r="AU90" s="224"/>
    </row>
    <row r="91" ht="15.7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  <c r="AM91" s="224"/>
      <c r="AN91" s="224"/>
      <c r="AO91" s="224"/>
      <c r="AP91" s="224"/>
      <c r="AQ91" s="224"/>
      <c r="AR91" s="224"/>
      <c r="AS91" s="224"/>
      <c r="AT91" s="224"/>
      <c r="AU91" s="224"/>
    </row>
    <row r="92" ht="19.5" customHeight="1">
      <c r="A92" s="188" t="s">
        <v>277</v>
      </c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  <c r="AM92" s="224"/>
      <c r="AN92" s="224"/>
      <c r="AO92" s="224"/>
      <c r="AP92" s="224"/>
      <c r="AQ92" s="224"/>
      <c r="AR92" s="224"/>
      <c r="AS92" s="224"/>
      <c r="AT92" s="224"/>
      <c r="AU92" s="224"/>
    </row>
    <row r="93" ht="90.0" customHeight="1">
      <c r="A93" s="165" t="s">
        <v>274</v>
      </c>
      <c r="B93" s="165" t="s">
        <v>275</v>
      </c>
      <c r="C93" s="224"/>
      <c r="D93" s="224"/>
      <c r="E93" s="224"/>
      <c r="F93" s="224"/>
      <c r="G93" s="224"/>
      <c r="H93" s="230" t="s">
        <v>82</v>
      </c>
      <c r="I93" s="201" t="s">
        <v>68</v>
      </c>
      <c r="J93" s="201" t="s">
        <v>103</v>
      </c>
      <c r="K93" s="201" t="s">
        <v>69</v>
      </c>
      <c r="L93" s="201" t="s">
        <v>70</v>
      </c>
      <c r="M93" s="201" t="s">
        <v>71</v>
      </c>
      <c r="N93" s="201" t="s">
        <v>72</v>
      </c>
      <c r="O93" s="201" t="s">
        <v>73</v>
      </c>
      <c r="P93" s="201" t="s">
        <v>74</v>
      </c>
      <c r="Q93" s="201" t="s">
        <v>75</v>
      </c>
      <c r="R93" s="201" t="s">
        <v>76</v>
      </c>
      <c r="S93" s="201" t="s">
        <v>77</v>
      </c>
      <c r="T93" s="201" t="s">
        <v>78</v>
      </c>
      <c r="U93" s="201" t="s">
        <v>118</v>
      </c>
      <c r="V93" s="201" t="s">
        <v>104</v>
      </c>
      <c r="W93" s="201" t="s">
        <v>105</v>
      </c>
      <c r="X93" s="201" t="s">
        <v>106</v>
      </c>
      <c r="Y93" s="201" t="s">
        <v>107</v>
      </c>
      <c r="Z93" s="201" t="s">
        <v>108</v>
      </c>
      <c r="AA93" s="201" t="s">
        <v>109</v>
      </c>
      <c r="AB93" s="201" t="s">
        <v>110</v>
      </c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24"/>
      <c r="AT93" s="224"/>
      <c r="AU93" s="224"/>
    </row>
    <row r="94" ht="15.75" customHeight="1">
      <c r="A94" s="199">
        <v>1.0</v>
      </c>
      <c r="B94" s="199">
        <v>940.0</v>
      </c>
      <c r="C94" s="224"/>
      <c r="D94" s="224"/>
      <c r="E94" s="224"/>
      <c r="F94" s="224"/>
      <c r="G94" s="224"/>
      <c r="H94" s="233">
        <v>0.0</v>
      </c>
      <c r="I94" s="199">
        <v>0.0</v>
      </c>
      <c r="J94" s="199">
        <v>0.0</v>
      </c>
      <c r="K94" s="199">
        <v>0.0</v>
      </c>
      <c r="L94" s="199">
        <v>0.0</v>
      </c>
      <c r="M94" s="199">
        <v>0.0</v>
      </c>
      <c r="N94" s="199">
        <v>0.0</v>
      </c>
      <c r="O94" s="199">
        <v>0.0</v>
      </c>
      <c r="P94" s="199">
        <v>0.0</v>
      </c>
      <c r="Q94" s="199">
        <v>0.0</v>
      </c>
      <c r="R94" s="199">
        <v>0.0</v>
      </c>
      <c r="S94" s="199">
        <v>10.0</v>
      </c>
      <c r="T94" s="199">
        <v>0.0</v>
      </c>
      <c r="U94" s="199">
        <v>0.0</v>
      </c>
      <c r="V94" s="199">
        <v>0.0</v>
      </c>
      <c r="W94" s="199">
        <v>0.0</v>
      </c>
      <c r="X94" s="199">
        <v>0.0</v>
      </c>
      <c r="Y94" s="199">
        <v>0.0</v>
      </c>
      <c r="Z94" s="199">
        <v>0.0</v>
      </c>
      <c r="AA94" s="199">
        <v>0.0</v>
      </c>
      <c r="AB94" s="199">
        <v>0.0</v>
      </c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AT94" s="224"/>
      <c r="AU94" s="224"/>
    </row>
    <row r="95" ht="15.75" customHeight="1">
      <c r="A95" s="199">
        <v>2.0</v>
      </c>
      <c r="B95" s="199">
        <v>950.0</v>
      </c>
      <c r="C95" s="234"/>
      <c r="D95" s="234"/>
      <c r="E95" s="234"/>
      <c r="F95" s="234"/>
      <c r="G95" s="234"/>
      <c r="H95" s="233">
        <v>0.0</v>
      </c>
      <c r="I95" s="199">
        <v>0.0</v>
      </c>
      <c r="J95" s="199">
        <v>0.0</v>
      </c>
      <c r="K95" s="199">
        <v>0.0</v>
      </c>
      <c r="L95" s="199">
        <v>0.0</v>
      </c>
      <c r="M95" s="199">
        <v>0.0</v>
      </c>
      <c r="N95" s="199">
        <v>0.0</v>
      </c>
      <c r="O95" s="199">
        <v>0.0</v>
      </c>
      <c r="P95" s="199">
        <v>0.0</v>
      </c>
      <c r="Q95" s="199">
        <v>0.0</v>
      </c>
      <c r="R95" s="199">
        <v>0.0</v>
      </c>
      <c r="S95" s="199">
        <v>0.0</v>
      </c>
      <c r="T95" s="199">
        <v>10.0</v>
      </c>
      <c r="U95" s="199">
        <v>0.0</v>
      </c>
      <c r="V95" s="199">
        <v>0.0</v>
      </c>
      <c r="W95" s="199">
        <v>0.0</v>
      </c>
      <c r="X95" s="199">
        <v>0.0</v>
      </c>
      <c r="Y95" s="199">
        <v>0.0</v>
      </c>
      <c r="Z95" s="199">
        <v>0.0</v>
      </c>
      <c r="AA95" s="199">
        <v>0.0</v>
      </c>
      <c r="AB95" s="199">
        <v>0.0</v>
      </c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  <c r="AM95" s="224"/>
      <c r="AN95" s="224"/>
      <c r="AO95" s="224"/>
      <c r="AP95" s="224"/>
      <c r="AQ95" s="224"/>
      <c r="AR95" s="224"/>
      <c r="AS95" s="224"/>
      <c r="AT95" s="224"/>
      <c r="AU95" s="224"/>
    </row>
    <row r="96" ht="15.75" customHeight="1">
      <c r="A96" s="199">
        <v>3.0</v>
      </c>
      <c r="B96" s="199">
        <v>840.0</v>
      </c>
      <c r="C96" s="224"/>
      <c r="D96" s="224"/>
      <c r="E96" s="224"/>
      <c r="F96" s="224"/>
      <c r="G96" s="224"/>
      <c r="H96" s="233">
        <v>0.0</v>
      </c>
      <c r="I96" s="199">
        <v>0.0</v>
      </c>
      <c r="J96" s="199">
        <v>0.0</v>
      </c>
      <c r="K96" s="199">
        <v>0.0</v>
      </c>
      <c r="L96" s="199">
        <v>0.0</v>
      </c>
      <c r="M96" s="199">
        <v>0.0</v>
      </c>
      <c r="N96" s="199">
        <v>0.0</v>
      </c>
      <c r="O96" s="199">
        <v>0.0</v>
      </c>
      <c r="P96" s="199">
        <v>0.0</v>
      </c>
      <c r="Q96" s="199">
        <v>15.0</v>
      </c>
      <c r="R96" s="199">
        <v>0.0</v>
      </c>
      <c r="S96" s="199">
        <v>0.0</v>
      </c>
      <c r="T96" s="199">
        <v>0.0</v>
      </c>
      <c r="U96" s="199">
        <v>0.0</v>
      </c>
      <c r="V96" s="199">
        <v>0.0</v>
      </c>
      <c r="W96" s="199">
        <v>0.0</v>
      </c>
      <c r="X96" s="199">
        <v>0.0</v>
      </c>
      <c r="Y96" s="199">
        <v>0.0</v>
      </c>
      <c r="Z96" s="199">
        <v>0.0</v>
      </c>
      <c r="AA96" s="199">
        <v>0.0</v>
      </c>
      <c r="AB96" s="199">
        <v>0.0</v>
      </c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  <c r="AM96" s="224"/>
      <c r="AN96" s="224"/>
      <c r="AO96" s="224"/>
      <c r="AP96" s="224"/>
      <c r="AQ96" s="224"/>
      <c r="AR96" s="224"/>
      <c r="AS96" s="224"/>
      <c r="AT96" s="224"/>
      <c r="AU96" s="224"/>
    </row>
    <row r="97" ht="15.75" customHeight="1">
      <c r="A97" s="199">
        <v>4.0</v>
      </c>
      <c r="B97" s="199">
        <v>940.0</v>
      </c>
      <c r="C97" s="234"/>
      <c r="D97" s="234"/>
      <c r="E97" s="234"/>
      <c r="F97" s="234"/>
      <c r="G97" s="234"/>
      <c r="H97" s="233">
        <v>0.0</v>
      </c>
      <c r="I97" s="199">
        <v>0.0</v>
      </c>
      <c r="J97" s="199">
        <v>0.0</v>
      </c>
      <c r="K97" s="199">
        <v>0.0</v>
      </c>
      <c r="L97" s="199">
        <v>0.0</v>
      </c>
      <c r="M97" s="199">
        <v>0.0</v>
      </c>
      <c r="N97" s="199">
        <v>0.0</v>
      </c>
      <c r="O97" s="199">
        <v>0.0</v>
      </c>
      <c r="P97" s="199">
        <v>0.0</v>
      </c>
      <c r="Q97" s="199">
        <v>0.0</v>
      </c>
      <c r="R97" s="199">
        <v>10.0</v>
      </c>
      <c r="S97" s="199">
        <v>0.0</v>
      </c>
      <c r="T97" s="199">
        <v>0.0</v>
      </c>
      <c r="U97" s="199">
        <v>0.0</v>
      </c>
      <c r="V97" s="199">
        <v>0.0</v>
      </c>
      <c r="W97" s="199">
        <v>0.0</v>
      </c>
      <c r="X97" s="199">
        <v>0.0</v>
      </c>
      <c r="Y97" s="199">
        <v>0.0</v>
      </c>
      <c r="Z97" s="199">
        <v>0.0</v>
      </c>
      <c r="AA97" s="199">
        <v>0.0</v>
      </c>
      <c r="AB97" s="199">
        <v>0.0</v>
      </c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</row>
    <row r="98" ht="15.75" customHeight="1">
      <c r="A98" s="199">
        <v>5.0</v>
      </c>
      <c r="B98" s="199">
        <v>900.0</v>
      </c>
      <c r="C98" s="224"/>
      <c r="D98" s="224"/>
      <c r="E98" s="224"/>
      <c r="F98" s="224"/>
      <c r="G98" s="224"/>
      <c r="H98" s="233">
        <v>0.0</v>
      </c>
      <c r="I98" s="199">
        <v>0.0</v>
      </c>
      <c r="J98" s="199">
        <v>0.0</v>
      </c>
      <c r="K98" s="199">
        <v>0.0</v>
      </c>
      <c r="L98" s="199">
        <v>0.0</v>
      </c>
      <c r="M98" s="199">
        <v>0.0</v>
      </c>
      <c r="N98" s="199">
        <v>0.0</v>
      </c>
      <c r="O98" s="199">
        <v>0.0</v>
      </c>
      <c r="P98" s="199">
        <v>0.0</v>
      </c>
      <c r="Q98" s="199">
        <v>30.0</v>
      </c>
      <c r="R98" s="199">
        <v>0.0</v>
      </c>
      <c r="S98" s="199">
        <v>0.0</v>
      </c>
      <c r="T98" s="199">
        <v>0.0</v>
      </c>
      <c r="U98" s="199">
        <v>0.0</v>
      </c>
      <c r="V98" s="199">
        <v>0.0</v>
      </c>
      <c r="W98" s="199">
        <v>0.0</v>
      </c>
      <c r="X98" s="199">
        <v>0.0</v>
      </c>
      <c r="Y98" s="199">
        <v>0.0</v>
      </c>
      <c r="Z98" s="199">
        <v>0.0</v>
      </c>
      <c r="AA98" s="199">
        <v>0.0</v>
      </c>
      <c r="AB98" s="199">
        <v>0.0</v>
      </c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</row>
    <row r="99" ht="15.75" customHeight="1">
      <c r="A99" s="199">
        <v>6.0</v>
      </c>
      <c r="B99" s="199">
        <v>810.0</v>
      </c>
      <c r="C99" s="234"/>
      <c r="D99" s="234"/>
      <c r="E99" s="234"/>
      <c r="F99" s="234"/>
      <c r="G99" s="234"/>
      <c r="H99" s="233">
        <v>30.0</v>
      </c>
      <c r="I99" s="199">
        <v>0.0</v>
      </c>
      <c r="J99" s="199">
        <v>0.0</v>
      </c>
      <c r="K99" s="199">
        <v>0.0</v>
      </c>
      <c r="L99" s="199">
        <v>0.0</v>
      </c>
      <c r="M99" s="199">
        <v>0.0</v>
      </c>
      <c r="N99" s="199">
        <v>0.0</v>
      </c>
      <c r="O99" s="199">
        <v>0.0</v>
      </c>
      <c r="P99" s="199">
        <v>0.0</v>
      </c>
      <c r="Q99" s="199">
        <v>0.0</v>
      </c>
      <c r="R99" s="199">
        <v>0.0</v>
      </c>
      <c r="S99" s="199">
        <v>0.0</v>
      </c>
      <c r="T99" s="199">
        <v>0.0</v>
      </c>
      <c r="U99" s="199">
        <v>0.0</v>
      </c>
      <c r="V99" s="199">
        <v>0.0</v>
      </c>
      <c r="W99" s="199">
        <v>0.0</v>
      </c>
      <c r="X99" s="199">
        <v>0.0</v>
      </c>
      <c r="Y99" s="199">
        <v>0.0</v>
      </c>
      <c r="Z99" s="199">
        <v>0.0</v>
      </c>
      <c r="AA99" s="199">
        <v>0.0</v>
      </c>
      <c r="AB99" s="199">
        <v>0.0</v>
      </c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24"/>
      <c r="AT99" s="224"/>
      <c r="AU99" s="224"/>
    </row>
    <row r="100" ht="15.75" customHeight="1">
      <c r="A100" s="199">
        <v>7.0</v>
      </c>
      <c r="B100" s="199">
        <v>990.0</v>
      </c>
      <c r="C100" s="224"/>
      <c r="D100" s="224"/>
      <c r="E100" s="224"/>
      <c r="F100" s="224"/>
      <c r="G100" s="224"/>
      <c r="H100" s="233">
        <v>0.0</v>
      </c>
      <c r="I100" s="199">
        <v>0.0</v>
      </c>
      <c r="J100" s="199">
        <v>0.0</v>
      </c>
      <c r="K100" s="199">
        <v>0.0</v>
      </c>
      <c r="L100" s="199">
        <v>0.0</v>
      </c>
      <c r="M100" s="199">
        <v>0.0</v>
      </c>
      <c r="N100" s="199">
        <v>0.0</v>
      </c>
      <c r="O100" s="199">
        <v>0.0</v>
      </c>
      <c r="P100" s="199">
        <v>0.0</v>
      </c>
      <c r="Q100" s="199">
        <v>0.0</v>
      </c>
      <c r="R100" s="199">
        <v>0.0</v>
      </c>
      <c r="S100" s="199">
        <v>15.0</v>
      </c>
      <c r="T100" s="199">
        <v>0.0</v>
      </c>
      <c r="U100" s="199">
        <v>0.0</v>
      </c>
      <c r="V100" s="199">
        <v>0.0</v>
      </c>
      <c r="W100" s="199">
        <v>0.0</v>
      </c>
      <c r="X100" s="199">
        <v>0.0</v>
      </c>
      <c r="Y100" s="199">
        <v>0.0</v>
      </c>
      <c r="Z100" s="199">
        <v>0.0</v>
      </c>
      <c r="AA100" s="199">
        <v>0.0</v>
      </c>
      <c r="AB100" s="199">
        <v>0.0</v>
      </c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</row>
    <row r="101" ht="15.75" customHeight="1">
      <c r="A101" s="199">
        <v>8.0</v>
      </c>
      <c r="B101" s="199">
        <v>980.0</v>
      </c>
      <c r="C101" s="234"/>
      <c r="D101" s="234"/>
      <c r="E101" s="234"/>
      <c r="F101" s="234"/>
      <c r="G101" s="234"/>
      <c r="H101" s="233">
        <v>0.0</v>
      </c>
      <c r="I101" s="199">
        <v>0.0</v>
      </c>
      <c r="J101" s="199">
        <v>0.0</v>
      </c>
      <c r="K101" s="199">
        <v>0.0</v>
      </c>
      <c r="L101" s="199">
        <v>0.0</v>
      </c>
      <c r="M101" s="199">
        <v>0.0</v>
      </c>
      <c r="N101" s="199">
        <v>0.0</v>
      </c>
      <c r="O101" s="199">
        <v>0.0</v>
      </c>
      <c r="P101" s="199">
        <v>0.0</v>
      </c>
      <c r="Q101" s="199">
        <v>0.0</v>
      </c>
      <c r="R101" s="199">
        <v>15.0</v>
      </c>
      <c r="S101" s="199">
        <v>0.0</v>
      </c>
      <c r="T101" s="199">
        <v>0.0</v>
      </c>
      <c r="U101" s="199">
        <v>0.0</v>
      </c>
      <c r="V101" s="199">
        <v>0.0</v>
      </c>
      <c r="W101" s="199">
        <v>0.0</v>
      </c>
      <c r="X101" s="199">
        <v>0.0</v>
      </c>
      <c r="Y101" s="199">
        <v>0.0</v>
      </c>
      <c r="Z101" s="199">
        <v>0.0</v>
      </c>
      <c r="AA101" s="199">
        <v>0.0</v>
      </c>
      <c r="AB101" s="199">
        <v>0.0</v>
      </c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</row>
    <row r="102" ht="15.75" customHeight="1">
      <c r="A102" s="199">
        <v>9.0</v>
      </c>
      <c r="B102" s="199">
        <v>900.0</v>
      </c>
      <c r="C102" s="224"/>
      <c r="D102" s="224"/>
      <c r="E102" s="224"/>
      <c r="F102" s="224"/>
      <c r="G102" s="224"/>
      <c r="H102" s="233">
        <v>0.0</v>
      </c>
      <c r="I102" s="199">
        <v>0.0</v>
      </c>
      <c r="J102" s="199">
        <v>0.0</v>
      </c>
      <c r="K102" s="199">
        <v>0.0</v>
      </c>
      <c r="L102" s="199">
        <v>0.0</v>
      </c>
      <c r="M102" s="199">
        <v>0.0</v>
      </c>
      <c r="N102" s="199">
        <v>0.0</v>
      </c>
      <c r="O102" s="199">
        <v>0.0</v>
      </c>
      <c r="P102" s="199">
        <v>0.0</v>
      </c>
      <c r="Q102" s="199">
        <v>30.0</v>
      </c>
      <c r="R102" s="199">
        <v>0.0</v>
      </c>
      <c r="S102" s="199">
        <v>0.0</v>
      </c>
      <c r="T102" s="199">
        <v>0.0</v>
      </c>
      <c r="U102" s="199">
        <v>0.0</v>
      </c>
      <c r="V102" s="199">
        <v>0.0</v>
      </c>
      <c r="W102" s="199">
        <v>0.0</v>
      </c>
      <c r="X102" s="199">
        <v>0.0</v>
      </c>
      <c r="Y102" s="199">
        <v>0.0</v>
      </c>
      <c r="Z102" s="199">
        <v>0.0</v>
      </c>
      <c r="AA102" s="199">
        <v>0.0</v>
      </c>
      <c r="AB102" s="199">
        <v>0.0</v>
      </c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  <c r="AM102" s="224"/>
      <c r="AN102" s="224"/>
      <c r="AO102" s="224"/>
      <c r="AP102" s="224"/>
      <c r="AQ102" s="224"/>
      <c r="AR102" s="224"/>
      <c r="AS102" s="224"/>
      <c r="AT102" s="224"/>
      <c r="AU102" s="224"/>
    </row>
    <row r="103" ht="15.75" customHeight="1">
      <c r="A103" s="199">
        <v>10.0</v>
      </c>
      <c r="B103" s="199">
        <v>950.0</v>
      </c>
      <c r="C103" s="234"/>
      <c r="D103" s="234"/>
      <c r="E103" s="234"/>
      <c r="F103" s="234"/>
      <c r="G103" s="234"/>
      <c r="H103" s="233">
        <v>0.0</v>
      </c>
      <c r="I103" s="199">
        <v>0.0</v>
      </c>
      <c r="J103" s="199">
        <v>0.0</v>
      </c>
      <c r="K103" s="199">
        <v>0.0</v>
      </c>
      <c r="L103" s="199">
        <v>0.0</v>
      </c>
      <c r="M103" s="199">
        <v>0.0</v>
      </c>
      <c r="N103" s="199">
        <v>0.0</v>
      </c>
      <c r="O103" s="199">
        <v>0.0</v>
      </c>
      <c r="P103" s="199">
        <v>0.0</v>
      </c>
      <c r="Q103" s="199">
        <v>0.0</v>
      </c>
      <c r="R103" s="199">
        <v>0.0</v>
      </c>
      <c r="S103" s="199">
        <v>0.0</v>
      </c>
      <c r="T103" s="199">
        <v>10.0</v>
      </c>
      <c r="U103" s="199">
        <v>0.0</v>
      </c>
      <c r="V103" s="199">
        <v>0.0</v>
      </c>
      <c r="W103" s="199">
        <v>0.0</v>
      </c>
      <c r="X103" s="199">
        <v>0.0</v>
      </c>
      <c r="Y103" s="199">
        <v>0.0</v>
      </c>
      <c r="Z103" s="199">
        <v>0.0</v>
      </c>
      <c r="AA103" s="199">
        <v>0.0</v>
      </c>
      <c r="AB103" s="199">
        <v>0.0</v>
      </c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</row>
    <row r="104" ht="15.75" customHeight="1">
      <c r="A104" s="199">
        <v>11.0</v>
      </c>
      <c r="B104" s="199">
        <v>990.0</v>
      </c>
      <c r="C104" s="224"/>
      <c r="D104" s="224"/>
      <c r="E104" s="224"/>
      <c r="F104" s="224"/>
      <c r="G104" s="224"/>
      <c r="H104" s="233">
        <v>0.0</v>
      </c>
      <c r="I104" s="199">
        <v>0.0</v>
      </c>
      <c r="J104" s="199">
        <v>0.0</v>
      </c>
      <c r="K104" s="199">
        <v>0.0</v>
      </c>
      <c r="L104" s="199">
        <v>0.0</v>
      </c>
      <c r="M104" s="199">
        <v>0.0</v>
      </c>
      <c r="N104" s="199">
        <v>0.0</v>
      </c>
      <c r="O104" s="199">
        <v>0.0</v>
      </c>
      <c r="P104" s="199">
        <v>0.0</v>
      </c>
      <c r="Q104" s="199">
        <v>0.0</v>
      </c>
      <c r="R104" s="199">
        <v>0.0</v>
      </c>
      <c r="S104" s="199">
        <v>15.0</v>
      </c>
      <c r="T104" s="199">
        <v>0.0</v>
      </c>
      <c r="U104" s="199">
        <v>0.0</v>
      </c>
      <c r="V104" s="199">
        <v>0.0</v>
      </c>
      <c r="W104" s="199">
        <v>0.0</v>
      </c>
      <c r="X104" s="199">
        <v>0.0</v>
      </c>
      <c r="Y104" s="199">
        <v>0.0</v>
      </c>
      <c r="Z104" s="199">
        <v>0.0</v>
      </c>
      <c r="AA104" s="199">
        <v>0.0</v>
      </c>
      <c r="AB104" s="199">
        <v>0.0</v>
      </c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  <c r="AM104" s="224"/>
      <c r="AN104" s="224"/>
      <c r="AO104" s="224"/>
      <c r="AP104" s="224"/>
      <c r="AQ104" s="224"/>
      <c r="AR104" s="224"/>
      <c r="AS104" s="224"/>
      <c r="AT104" s="224"/>
      <c r="AU104" s="224"/>
    </row>
    <row r="105" ht="15.75" customHeight="1">
      <c r="A105" s="199">
        <v>12.0</v>
      </c>
      <c r="B105" s="199">
        <v>830.0</v>
      </c>
      <c r="C105" s="234"/>
      <c r="D105" s="234"/>
      <c r="E105" s="234"/>
      <c r="F105" s="234"/>
      <c r="G105" s="234"/>
      <c r="H105" s="233">
        <v>50.0</v>
      </c>
      <c r="I105" s="199">
        <v>0.0</v>
      </c>
      <c r="J105" s="199">
        <v>0.0</v>
      </c>
      <c r="K105" s="199">
        <v>0.0</v>
      </c>
      <c r="L105" s="199">
        <v>0.0</v>
      </c>
      <c r="M105" s="199">
        <v>0.0</v>
      </c>
      <c r="N105" s="199">
        <v>0.0</v>
      </c>
      <c r="O105" s="199">
        <v>0.0</v>
      </c>
      <c r="P105" s="199">
        <v>0.0</v>
      </c>
      <c r="Q105" s="199">
        <v>0.0</v>
      </c>
      <c r="R105" s="199">
        <v>0.0</v>
      </c>
      <c r="S105" s="199">
        <v>0.0</v>
      </c>
      <c r="T105" s="199">
        <v>0.0</v>
      </c>
      <c r="U105" s="199">
        <v>0.0</v>
      </c>
      <c r="V105" s="199">
        <v>0.0</v>
      </c>
      <c r="W105" s="199">
        <v>0.0</v>
      </c>
      <c r="X105" s="199">
        <v>0.0</v>
      </c>
      <c r="Y105" s="199">
        <v>0.0</v>
      </c>
      <c r="Z105" s="199">
        <v>0.0</v>
      </c>
      <c r="AA105" s="199">
        <v>0.0</v>
      </c>
      <c r="AB105" s="199">
        <v>0.0</v>
      </c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</row>
    <row r="106" ht="15.75" customHeight="1">
      <c r="A106" s="199">
        <v>13.0</v>
      </c>
      <c r="B106" s="199">
        <v>940.0</v>
      </c>
      <c r="C106" s="224"/>
      <c r="D106" s="224"/>
      <c r="E106" s="224"/>
      <c r="F106" s="224"/>
      <c r="G106" s="224"/>
      <c r="H106" s="233">
        <v>0.0</v>
      </c>
      <c r="I106" s="199">
        <v>0.0</v>
      </c>
      <c r="J106" s="199">
        <v>0.0</v>
      </c>
      <c r="K106" s="199">
        <v>0.0</v>
      </c>
      <c r="L106" s="199">
        <v>0.0</v>
      </c>
      <c r="M106" s="199">
        <v>0.0</v>
      </c>
      <c r="N106" s="199">
        <v>0.0</v>
      </c>
      <c r="O106" s="199">
        <v>0.0</v>
      </c>
      <c r="P106" s="199">
        <v>0.0</v>
      </c>
      <c r="Q106" s="199">
        <v>0.0</v>
      </c>
      <c r="R106" s="199">
        <v>10.0</v>
      </c>
      <c r="S106" s="199">
        <v>0.0</v>
      </c>
      <c r="T106" s="199">
        <v>0.0</v>
      </c>
      <c r="U106" s="199">
        <v>0.0</v>
      </c>
      <c r="V106" s="199">
        <v>0.0</v>
      </c>
      <c r="W106" s="199">
        <v>0.0</v>
      </c>
      <c r="X106" s="199">
        <v>0.0</v>
      </c>
      <c r="Y106" s="199">
        <v>0.0</v>
      </c>
      <c r="Z106" s="199">
        <v>0.0</v>
      </c>
      <c r="AA106" s="199">
        <v>0.0</v>
      </c>
      <c r="AB106" s="199">
        <v>0.0</v>
      </c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/>
      <c r="AP106" s="224"/>
      <c r="AQ106" s="224"/>
      <c r="AR106" s="224"/>
      <c r="AS106" s="224"/>
      <c r="AT106" s="224"/>
      <c r="AU106" s="224"/>
    </row>
    <row r="107" ht="15.75" customHeight="1">
      <c r="A107" s="199">
        <v>14.0</v>
      </c>
      <c r="B107" s="199">
        <v>1040.0</v>
      </c>
      <c r="C107" s="234"/>
      <c r="D107" s="234"/>
      <c r="E107" s="234"/>
      <c r="F107" s="234"/>
      <c r="G107" s="234"/>
      <c r="H107" s="233">
        <v>0.0</v>
      </c>
      <c r="I107" s="199">
        <v>0.0</v>
      </c>
      <c r="J107" s="199">
        <v>0.0</v>
      </c>
      <c r="K107" s="199">
        <v>0.0</v>
      </c>
      <c r="L107" s="199">
        <v>0.0</v>
      </c>
      <c r="M107" s="199">
        <v>0.0</v>
      </c>
      <c r="N107" s="199">
        <v>0.0</v>
      </c>
      <c r="O107" s="199">
        <v>0.0</v>
      </c>
      <c r="P107" s="199">
        <v>0.0</v>
      </c>
      <c r="Q107" s="199">
        <v>0.0</v>
      </c>
      <c r="R107" s="199">
        <v>0.0</v>
      </c>
      <c r="S107" s="199">
        <v>0.0</v>
      </c>
      <c r="T107" s="199">
        <v>15.0</v>
      </c>
      <c r="U107" s="199">
        <v>0.0</v>
      </c>
      <c r="V107" s="199">
        <v>0.0</v>
      </c>
      <c r="W107" s="199">
        <v>0.0</v>
      </c>
      <c r="X107" s="199">
        <v>0.0</v>
      </c>
      <c r="Y107" s="199">
        <v>0.0</v>
      </c>
      <c r="Z107" s="199">
        <v>0.0</v>
      </c>
      <c r="AA107" s="199">
        <v>0.0</v>
      </c>
      <c r="AB107" s="199">
        <v>0.0</v>
      </c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</row>
    <row r="108" ht="15.75" customHeight="1">
      <c r="A108" s="199">
        <v>15.0</v>
      </c>
      <c r="B108" s="199">
        <v>1030.0</v>
      </c>
      <c r="C108" s="224"/>
      <c r="D108" s="224"/>
      <c r="E108" s="224"/>
      <c r="F108" s="224"/>
      <c r="G108" s="224"/>
      <c r="H108" s="233">
        <v>0.0</v>
      </c>
      <c r="I108" s="199">
        <v>0.0</v>
      </c>
      <c r="J108" s="199">
        <v>0.0</v>
      </c>
      <c r="K108" s="199">
        <v>0.0</v>
      </c>
      <c r="L108" s="199">
        <v>0.0</v>
      </c>
      <c r="M108" s="199">
        <v>0.0</v>
      </c>
      <c r="N108" s="199">
        <v>0.0</v>
      </c>
      <c r="O108" s="199">
        <v>0.0</v>
      </c>
      <c r="P108" s="199">
        <v>0.0</v>
      </c>
      <c r="Q108" s="199">
        <v>60.0</v>
      </c>
      <c r="R108" s="199">
        <v>0.0</v>
      </c>
      <c r="S108" s="199">
        <v>0.0</v>
      </c>
      <c r="T108" s="199">
        <v>0.0</v>
      </c>
      <c r="U108" s="199">
        <v>0.0</v>
      </c>
      <c r="V108" s="199">
        <v>0.0</v>
      </c>
      <c r="W108" s="199">
        <v>0.0</v>
      </c>
      <c r="X108" s="199">
        <v>0.0</v>
      </c>
      <c r="Y108" s="199">
        <v>0.0</v>
      </c>
      <c r="Z108" s="199">
        <v>0.0</v>
      </c>
      <c r="AA108" s="199">
        <v>0.0</v>
      </c>
      <c r="AB108" s="199">
        <v>0.0</v>
      </c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  <c r="AM108" s="224"/>
      <c r="AN108" s="224"/>
      <c r="AO108" s="224"/>
      <c r="AP108" s="224"/>
      <c r="AQ108" s="224"/>
      <c r="AR108" s="224"/>
      <c r="AS108" s="224"/>
      <c r="AT108" s="224"/>
      <c r="AU108" s="224"/>
    </row>
    <row r="109" ht="15.7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  <c r="AM109" s="224"/>
      <c r="AN109" s="224"/>
      <c r="AO109" s="224"/>
      <c r="AP109" s="224"/>
      <c r="AQ109" s="224"/>
      <c r="AR109" s="224"/>
      <c r="AS109" s="224"/>
      <c r="AT109" s="224"/>
      <c r="AU109" s="224"/>
    </row>
    <row r="110" ht="15.7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  <c r="AM110" s="224"/>
      <c r="AN110" s="224"/>
      <c r="AO110" s="224"/>
      <c r="AP110" s="224"/>
      <c r="AQ110" s="224"/>
      <c r="AR110" s="224"/>
      <c r="AS110" s="224"/>
      <c r="AT110" s="224"/>
      <c r="AU110" s="224"/>
    </row>
    <row r="111" ht="15.7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24"/>
      <c r="AT111" s="224"/>
      <c r="AU111" s="224"/>
    </row>
    <row r="112" ht="15.7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  <c r="AM112" s="224"/>
      <c r="AN112" s="224"/>
      <c r="AO112" s="224"/>
      <c r="AP112" s="224"/>
      <c r="AQ112" s="224"/>
      <c r="AR112" s="224"/>
      <c r="AS112" s="224"/>
      <c r="AT112" s="224"/>
      <c r="AU112" s="224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24"/>
      <c r="AP113" s="224"/>
      <c r="AQ113" s="224"/>
      <c r="AR113" s="224"/>
      <c r="AS113" s="224"/>
      <c r="AT113" s="224"/>
      <c r="AU113" s="224"/>
    </row>
    <row r="114" ht="15.7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  <c r="AM114" s="224"/>
      <c r="AN114" s="224"/>
      <c r="AO114" s="224"/>
      <c r="AP114" s="224"/>
      <c r="AQ114" s="224"/>
      <c r="AR114" s="224"/>
      <c r="AS114" s="224"/>
      <c r="AT114" s="224"/>
      <c r="AU114" s="224"/>
    </row>
    <row r="115" ht="15.7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  <c r="AM115" s="224"/>
      <c r="AN115" s="224"/>
      <c r="AO115" s="224"/>
      <c r="AP115" s="224"/>
      <c r="AQ115" s="224"/>
      <c r="AR115" s="224"/>
      <c r="AS115" s="224"/>
      <c r="AT115" s="224"/>
      <c r="AU115" s="224"/>
    </row>
    <row r="116" ht="15.7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224"/>
    </row>
    <row r="117" ht="15.7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</row>
    <row r="118" ht="15.7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  <c r="AN118" s="224"/>
      <c r="AO118" s="224"/>
      <c r="AP118" s="224"/>
      <c r="AQ118" s="224"/>
      <c r="AR118" s="224"/>
      <c r="AS118" s="224"/>
      <c r="AT118" s="224"/>
      <c r="AU118" s="224"/>
    </row>
    <row r="119" ht="15.7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</row>
    <row r="120" ht="15.7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  <c r="AM120" s="224"/>
      <c r="AN120" s="224"/>
      <c r="AO120" s="224"/>
      <c r="AP120" s="224"/>
      <c r="AQ120" s="224"/>
      <c r="AR120" s="224"/>
      <c r="AS120" s="224"/>
      <c r="AT120" s="224"/>
      <c r="AU120" s="224"/>
    </row>
    <row r="121" ht="15.7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/>
      <c r="AT121" s="224"/>
      <c r="AU121" s="224"/>
    </row>
    <row r="122" ht="15.7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224"/>
      <c r="AT122" s="224"/>
      <c r="AU122" s="224"/>
    </row>
    <row r="123" ht="15.7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24"/>
      <c r="AT123" s="224"/>
      <c r="AU123" s="224"/>
    </row>
    <row r="124" ht="15.7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224"/>
      <c r="AT124" s="224"/>
      <c r="AU124" s="224"/>
    </row>
    <row r="125" ht="15.7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224"/>
      <c r="AT125" s="224"/>
      <c r="AU125" s="224"/>
    </row>
    <row r="126" ht="15.7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224"/>
      <c r="AT127" s="224"/>
      <c r="AU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224"/>
      <c r="AT128" s="224"/>
      <c r="AU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  <c r="AM129" s="224"/>
      <c r="AN129" s="224"/>
      <c r="AO129" s="224"/>
      <c r="AP129" s="224"/>
      <c r="AQ129" s="224"/>
      <c r="AR129" s="224"/>
      <c r="AS129" s="224"/>
      <c r="AT129" s="224"/>
      <c r="AU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  <c r="AM130" s="224"/>
      <c r="AN130" s="224"/>
      <c r="AO130" s="224"/>
      <c r="AP130" s="224"/>
      <c r="AQ130" s="224"/>
      <c r="AR130" s="224"/>
      <c r="AS130" s="224"/>
      <c r="AT130" s="224"/>
      <c r="AU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  <c r="AM131" s="224"/>
      <c r="AN131" s="224"/>
      <c r="AO131" s="224"/>
      <c r="AP131" s="224"/>
      <c r="AQ131" s="224"/>
      <c r="AR131" s="224"/>
      <c r="AS131" s="224"/>
      <c r="AT131" s="224"/>
      <c r="AU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  <c r="AM132" s="224"/>
      <c r="AN132" s="224"/>
      <c r="AO132" s="224"/>
      <c r="AP132" s="224"/>
      <c r="AQ132" s="224"/>
      <c r="AR132" s="224"/>
      <c r="AS132" s="224"/>
      <c r="AT132" s="224"/>
      <c r="AU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  <c r="AM133" s="224"/>
      <c r="AN133" s="224"/>
      <c r="AO133" s="224"/>
      <c r="AP133" s="224"/>
      <c r="AQ133" s="224"/>
      <c r="AR133" s="224"/>
      <c r="AS133" s="224"/>
      <c r="AT133" s="224"/>
      <c r="AU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  <c r="AM134" s="224"/>
      <c r="AN134" s="224"/>
      <c r="AO134" s="224"/>
      <c r="AP134" s="224"/>
      <c r="AQ134" s="224"/>
      <c r="AR134" s="224"/>
      <c r="AS134" s="224"/>
      <c r="AT134" s="224"/>
      <c r="AU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  <c r="AM135" s="224"/>
      <c r="AN135" s="224"/>
      <c r="AO135" s="224"/>
      <c r="AP135" s="224"/>
      <c r="AQ135" s="224"/>
      <c r="AR135" s="224"/>
      <c r="AS135" s="224"/>
      <c r="AT135" s="224"/>
      <c r="AU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  <c r="AM136" s="224"/>
      <c r="AN136" s="224"/>
      <c r="AO136" s="224"/>
      <c r="AP136" s="224"/>
      <c r="AQ136" s="224"/>
      <c r="AR136" s="224"/>
      <c r="AS136" s="224"/>
      <c r="AT136" s="224"/>
      <c r="AU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  <c r="AM137" s="224"/>
      <c r="AN137" s="224"/>
      <c r="AO137" s="224"/>
      <c r="AP137" s="224"/>
      <c r="AQ137" s="224"/>
      <c r="AR137" s="224"/>
      <c r="AS137" s="224"/>
      <c r="AT137" s="224"/>
      <c r="AU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  <c r="AM138" s="224"/>
      <c r="AN138" s="224"/>
      <c r="AO138" s="224"/>
      <c r="AP138" s="224"/>
      <c r="AQ138" s="224"/>
      <c r="AR138" s="224"/>
      <c r="AS138" s="224"/>
      <c r="AT138" s="224"/>
      <c r="AU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  <c r="AM139" s="224"/>
      <c r="AN139" s="224"/>
      <c r="AO139" s="224"/>
      <c r="AP139" s="224"/>
      <c r="AQ139" s="224"/>
      <c r="AR139" s="224"/>
      <c r="AS139" s="224"/>
      <c r="AT139" s="224"/>
      <c r="AU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  <c r="AM140" s="224"/>
      <c r="AN140" s="224"/>
      <c r="AO140" s="224"/>
      <c r="AP140" s="224"/>
      <c r="AQ140" s="224"/>
      <c r="AR140" s="224"/>
      <c r="AS140" s="224"/>
      <c r="AT140" s="224"/>
      <c r="AU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  <c r="AF141" s="224"/>
      <c r="AG141" s="224"/>
      <c r="AH141" s="224"/>
      <c r="AI141" s="224"/>
      <c r="AJ141" s="224"/>
      <c r="AK141" s="224"/>
      <c r="AL141" s="224"/>
      <c r="AM141" s="224"/>
      <c r="AN141" s="224"/>
      <c r="AO141" s="224"/>
      <c r="AP141" s="224"/>
      <c r="AQ141" s="224"/>
      <c r="AR141" s="224"/>
      <c r="AS141" s="224"/>
      <c r="AT141" s="224"/>
      <c r="AU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  <c r="AF142" s="224"/>
      <c r="AG142" s="224"/>
      <c r="AH142" s="224"/>
      <c r="AI142" s="224"/>
      <c r="AJ142" s="224"/>
      <c r="AK142" s="224"/>
      <c r="AL142" s="224"/>
      <c r="AM142" s="224"/>
      <c r="AN142" s="224"/>
      <c r="AO142" s="224"/>
      <c r="AP142" s="224"/>
      <c r="AQ142" s="224"/>
      <c r="AR142" s="224"/>
      <c r="AS142" s="224"/>
      <c r="AT142" s="224"/>
      <c r="AU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  <c r="AM143" s="224"/>
      <c r="AN143" s="224"/>
      <c r="AO143" s="224"/>
      <c r="AP143" s="224"/>
      <c r="AQ143" s="224"/>
      <c r="AR143" s="224"/>
      <c r="AS143" s="224"/>
      <c r="AT143" s="224"/>
      <c r="AU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4"/>
      <c r="AJ144" s="224"/>
      <c r="AK144" s="224"/>
      <c r="AL144" s="224"/>
      <c r="AM144" s="224"/>
      <c r="AN144" s="224"/>
      <c r="AO144" s="224"/>
      <c r="AP144" s="224"/>
      <c r="AQ144" s="224"/>
      <c r="AR144" s="224"/>
      <c r="AS144" s="224"/>
      <c r="AT144" s="224"/>
      <c r="AU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  <c r="AF145" s="224"/>
      <c r="AG145" s="224"/>
      <c r="AH145" s="224"/>
      <c r="AI145" s="224"/>
      <c r="AJ145" s="224"/>
      <c r="AK145" s="224"/>
      <c r="AL145" s="224"/>
      <c r="AM145" s="224"/>
      <c r="AN145" s="224"/>
      <c r="AO145" s="224"/>
      <c r="AP145" s="224"/>
      <c r="AQ145" s="224"/>
      <c r="AR145" s="224"/>
      <c r="AS145" s="224"/>
      <c r="AT145" s="224"/>
      <c r="AU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  <c r="AC146" s="224"/>
      <c r="AD146" s="224"/>
      <c r="AE146" s="224"/>
      <c r="AF146" s="224"/>
      <c r="AG146" s="224"/>
      <c r="AH146" s="224"/>
      <c r="AI146" s="224"/>
      <c r="AJ146" s="224"/>
      <c r="AK146" s="224"/>
      <c r="AL146" s="224"/>
      <c r="AM146" s="224"/>
      <c r="AN146" s="224"/>
      <c r="AO146" s="224"/>
      <c r="AP146" s="224"/>
      <c r="AQ146" s="224"/>
      <c r="AR146" s="224"/>
      <c r="AS146" s="224"/>
      <c r="AT146" s="224"/>
      <c r="AU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  <c r="AK147" s="224"/>
      <c r="AL147" s="224"/>
      <c r="AM147" s="224"/>
      <c r="AN147" s="224"/>
      <c r="AO147" s="224"/>
      <c r="AP147" s="224"/>
      <c r="AQ147" s="224"/>
      <c r="AR147" s="224"/>
      <c r="AS147" s="224"/>
      <c r="AT147" s="224"/>
      <c r="AU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  <c r="AI148" s="224"/>
      <c r="AJ148" s="224"/>
      <c r="AK148" s="224"/>
      <c r="AL148" s="224"/>
      <c r="AM148" s="224"/>
      <c r="AN148" s="224"/>
      <c r="AO148" s="224"/>
      <c r="AP148" s="224"/>
      <c r="AQ148" s="224"/>
      <c r="AR148" s="224"/>
      <c r="AS148" s="224"/>
      <c r="AT148" s="224"/>
      <c r="AU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  <c r="AG149" s="224"/>
      <c r="AH149" s="224"/>
      <c r="AI149" s="224"/>
      <c r="AJ149" s="224"/>
      <c r="AK149" s="224"/>
      <c r="AL149" s="224"/>
      <c r="AM149" s="224"/>
      <c r="AN149" s="224"/>
      <c r="AO149" s="224"/>
      <c r="AP149" s="224"/>
      <c r="AQ149" s="224"/>
      <c r="AR149" s="224"/>
      <c r="AS149" s="224"/>
      <c r="AT149" s="224"/>
      <c r="AU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  <c r="AF150" s="224"/>
      <c r="AG150" s="224"/>
      <c r="AH150" s="224"/>
      <c r="AI150" s="224"/>
      <c r="AJ150" s="224"/>
      <c r="AK150" s="224"/>
      <c r="AL150" s="224"/>
      <c r="AM150" s="224"/>
      <c r="AN150" s="224"/>
      <c r="AO150" s="224"/>
      <c r="AP150" s="224"/>
      <c r="AQ150" s="224"/>
      <c r="AR150" s="224"/>
      <c r="AS150" s="224"/>
      <c r="AT150" s="224"/>
      <c r="AU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4"/>
      <c r="AE152" s="224"/>
      <c r="AF152" s="224"/>
      <c r="AG152" s="224"/>
      <c r="AH152" s="224"/>
      <c r="AI152" s="224"/>
      <c r="AJ152" s="224"/>
      <c r="AK152" s="224"/>
      <c r="AL152" s="224"/>
      <c r="AM152" s="224"/>
      <c r="AN152" s="224"/>
      <c r="AO152" s="224"/>
      <c r="AP152" s="224"/>
      <c r="AQ152" s="224"/>
      <c r="AR152" s="224"/>
      <c r="AS152" s="224"/>
      <c r="AT152" s="224"/>
      <c r="AU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4"/>
      <c r="AG153" s="224"/>
      <c r="AH153" s="224"/>
      <c r="AI153" s="224"/>
      <c r="AJ153" s="224"/>
      <c r="AK153" s="224"/>
      <c r="AL153" s="224"/>
      <c r="AM153" s="224"/>
      <c r="AN153" s="224"/>
      <c r="AO153" s="224"/>
      <c r="AP153" s="224"/>
      <c r="AQ153" s="224"/>
      <c r="AR153" s="224"/>
      <c r="AS153" s="224"/>
      <c r="AT153" s="224"/>
      <c r="AU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  <c r="AK155" s="224"/>
      <c r="AL155" s="224"/>
      <c r="AM155" s="224"/>
      <c r="AN155" s="224"/>
      <c r="AO155" s="224"/>
      <c r="AP155" s="224"/>
      <c r="AQ155" s="224"/>
      <c r="AR155" s="224"/>
      <c r="AS155" s="224"/>
      <c r="AT155" s="224"/>
      <c r="AU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4"/>
      <c r="AE156" s="224"/>
      <c r="AF156" s="224"/>
      <c r="AG156" s="224"/>
      <c r="AH156" s="224"/>
      <c r="AI156" s="224"/>
      <c r="AJ156" s="224"/>
      <c r="AK156" s="224"/>
      <c r="AL156" s="224"/>
      <c r="AM156" s="224"/>
      <c r="AN156" s="224"/>
      <c r="AO156" s="224"/>
      <c r="AP156" s="224"/>
      <c r="AQ156" s="224"/>
      <c r="AR156" s="224"/>
      <c r="AS156" s="224"/>
      <c r="AT156" s="224"/>
      <c r="AU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  <c r="AF157" s="224"/>
      <c r="AG157" s="224"/>
      <c r="AH157" s="224"/>
      <c r="AI157" s="224"/>
      <c r="AJ157" s="224"/>
      <c r="AK157" s="224"/>
      <c r="AL157" s="224"/>
      <c r="AM157" s="224"/>
      <c r="AN157" s="224"/>
      <c r="AO157" s="224"/>
      <c r="AP157" s="224"/>
      <c r="AQ157" s="224"/>
      <c r="AR157" s="224"/>
      <c r="AS157" s="224"/>
      <c r="AT157" s="224"/>
      <c r="AU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  <c r="AC158" s="224"/>
      <c r="AD158" s="224"/>
      <c r="AE158" s="224"/>
      <c r="AF158" s="224"/>
      <c r="AG158" s="224"/>
      <c r="AH158" s="224"/>
      <c r="AI158" s="224"/>
      <c r="AJ158" s="224"/>
      <c r="AK158" s="224"/>
      <c r="AL158" s="224"/>
      <c r="AM158" s="224"/>
      <c r="AN158" s="224"/>
      <c r="AO158" s="224"/>
      <c r="AP158" s="224"/>
      <c r="AQ158" s="224"/>
      <c r="AR158" s="224"/>
      <c r="AS158" s="224"/>
      <c r="AT158" s="224"/>
      <c r="AU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  <c r="AK159" s="224"/>
      <c r="AL159" s="224"/>
      <c r="AM159" s="224"/>
      <c r="AN159" s="224"/>
      <c r="AO159" s="224"/>
      <c r="AP159" s="224"/>
      <c r="AQ159" s="224"/>
      <c r="AR159" s="224"/>
      <c r="AS159" s="224"/>
      <c r="AT159" s="224"/>
      <c r="AU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4"/>
      <c r="AD160" s="224"/>
      <c r="AE160" s="224"/>
      <c r="AF160" s="224"/>
      <c r="AG160" s="224"/>
      <c r="AH160" s="224"/>
      <c r="AI160" s="224"/>
      <c r="AJ160" s="224"/>
      <c r="AK160" s="224"/>
      <c r="AL160" s="224"/>
      <c r="AM160" s="224"/>
      <c r="AN160" s="224"/>
      <c r="AO160" s="224"/>
      <c r="AP160" s="224"/>
      <c r="AQ160" s="224"/>
      <c r="AR160" s="224"/>
      <c r="AS160" s="224"/>
      <c r="AT160" s="224"/>
      <c r="AU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  <c r="AM161" s="224"/>
      <c r="AN161" s="224"/>
      <c r="AO161" s="224"/>
      <c r="AP161" s="224"/>
      <c r="AQ161" s="224"/>
      <c r="AR161" s="224"/>
      <c r="AS161" s="224"/>
      <c r="AT161" s="224"/>
      <c r="AU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4"/>
      <c r="AD162" s="224"/>
      <c r="AE162" s="224"/>
      <c r="AF162" s="224"/>
      <c r="AG162" s="224"/>
      <c r="AH162" s="224"/>
      <c r="AI162" s="224"/>
      <c r="AJ162" s="224"/>
      <c r="AK162" s="224"/>
      <c r="AL162" s="224"/>
      <c r="AM162" s="224"/>
      <c r="AN162" s="224"/>
      <c r="AO162" s="224"/>
      <c r="AP162" s="224"/>
      <c r="AQ162" s="224"/>
      <c r="AR162" s="224"/>
      <c r="AS162" s="224"/>
      <c r="AT162" s="224"/>
      <c r="AU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4"/>
      <c r="AD163" s="224"/>
      <c r="AE163" s="224"/>
      <c r="AF163" s="224"/>
      <c r="AG163" s="224"/>
      <c r="AH163" s="224"/>
      <c r="AI163" s="224"/>
      <c r="AJ163" s="224"/>
      <c r="AK163" s="224"/>
      <c r="AL163" s="224"/>
      <c r="AM163" s="224"/>
      <c r="AN163" s="224"/>
      <c r="AO163" s="224"/>
      <c r="AP163" s="224"/>
      <c r="AQ163" s="224"/>
      <c r="AR163" s="224"/>
      <c r="AS163" s="224"/>
      <c r="AT163" s="224"/>
      <c r="AU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  <c r="AG164" s="224"/>
      <c r="AH164" s="224"/>
      <c r="AI164" s="224"/>
      <c r="AJ164" s="224"/>
      <c r="AK164" s="224"/>
      <c r="AL164" s="224"/>
      <c r="AM164" s="224"/>
      <c r="AN164" s="224"/>
      <c r="AO164" s="224"/>
      <c r="AP164" s="224"/>
      <c r="AQ164" s="224"/>
      <c r="AR164" s="224"/>
      <c r="AS164" s="224"/>
      <c r="AT164" s="224"/>
      <c r="AU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4"/>
      <c r="AD165" s="224"/>
      <c r="AE165" s="224"/>
      <c r="AF165" s="224"/>
      <c r="AG165" s="224"/>
      <c r="AH165" s="224"/>
      <c r="AI165" s="224"/>
      <c r="AJ165" s="224"/>
      <c r="AK165" s="224"/>
      <c r="AL165" s="224"/>
      <c r="AM165" s="224"/>
      <c r="AN165" s="224"/>
      <c r="AO165" s="224"/>
      <c r="AP165" s="224"/>
      <c r="AQ165" s="224"/>
      <c r="AR165" s="224"/>
      <c r="AS165" s="224"/>
      <c r="AT165" s="224"/>
      <c r="AU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  <c r="AK166" s="224"/>
      <c r="AL166" s="224"/>
      <c r="AM166" s="224"/>
      <c r="AN166" s="224"/>
      <c r="AO166" s="224"/>
      <c r="AP166" s="224"/>
      <c r="AQ166" s="224"/>
      <c r="AR166" s="224"/>
      <c r="AS166" s="224"/>
      <c r="AT166" s="224"/>
      <c r="AU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4"/>
      <c r="AD167" s="224"/>
      <c r="AE167" s="224"/>
      <c r="AF167" s="224"/>
      <c r="AG167" s="224"/>
      <c r="AH167" s="224"/>
      <c r="AI167" s="224"/>
      <c r="AJ167" s="224"/>
      <c r="AK167" s="224"/>
      <c r="AL167" s="224"/>
      <c r="AM167" s="224"/>
      <c r="AN167" s="224"/>
      <c r="AO167" s="224"/>
      <c r="AP167" s="224"/>
      <c r="AQ167" s="224"/>
      <c r="AR167" s="224"/>
      <c r="AS167" s="224"/>
      <c r="AT167" s="224"/>
      <c r="AU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  <c r="AC168" s="224"/>
      <c r="AD168" s="224"/>
      <c r="AE168" s="224"/>
      <c r="AF168" s="224"/>
      <c r="AG168" s="224"/>
      <c r="AH168" s="224"/>
      <c r="AI168" s="224"/>
      <c r="AJ168" s="224"/>
      <c r="AK168" s="224"/>
      <c r="AL168" s="224"/>
      <c r="AM168" s="224"/>
      <c r="AN168" s="224"/>
      <c r="AO168" s="224"/>
      <c r="AP168" s="224"/>
      <c r="AQ168" s="224"/>
      <c r="AR168" s="224"/>
      <c r="AS168" s="224"/>
      <c r="AT168" s="224"/>
      <c r="AU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  <c r="AG169" s="224"/>
      <c r="AH169" s="224"/>
      <c r="AI169" s="224"/>
      <c r="AJ169" s="224"/>
      <c r="AK169" s="224"/>
      <c r="AL169" s="224"/>
      <c r="AM169" s="224"/>
      <c r="AN169" s="224"/>
      <c r="AO169" s="224"/>
      <c r="AP169" s="224"/>
      <c r="AQ169" s="224"/>
      <c r="AR169" s="224"/>
      <c r="AS169" s="224"/>
      <c r="AT169" s="224"/>
      <c r="AU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224"/>
      <c r="AF170" s="224"/>
      <c r="AG170" s="224"/>
      <c r="AH170" s="224"/>
      <c r="AI170" s="224"/>
      <c r="AJ170" s="224"/>
      <c r="AK170" s="224"/>
      <c r="AL170" s="224"/>
      <c r="AM170" s="224"/>
      <c r="AN170" s="224"/>
      <c r="AO170" s="224"/>
      <c r="AP170" s="224"/>
      <c r="AQ170" s="224"/>
      <c r="AR170" s="224"/>
      <c r="AS170" s="224"/>
      <c r="AT170" s="224"/>
      <c r="AU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4"/>
      <c r="AL171" s="224"/>
      <c r="AM171" s="224"/>
      <c r="AN171" s="224"/>
      <c r="AO171" s="224"/>
      <c r="AP171" s="224"/>
      <c r="AQ171" s="224"/>
      <c r="AR171" s="224"/>
      <c r="AS171" s="224"/>
      <c r="AT171" s="224"/>
      <c r="AU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224"/>
      <c r="AF172" s="224"/>
      <c r="AG172" s="224"/>
      <c r="AH172" s="224"/>
      <c r="AI172" s="224"/>
      <c r="AJ172" s="224"/>
      <c r="AK172" s="224"/>
      <c r="AL172" s="224"/>
      <c r="AM172" s="224"/>
      <c r="AN172" s="224"/>
      <c r="AO172" s="224"/>
      <c r="AP172" s="224"/>
      <c r="AQ172" s="224"/>
      <c r="AR172" s="224"/>
      <c r="AS172" s="224"/>
      <c r="AT172" s="224"/>
      <c r="AU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  <c r="AF173" s="224"/>
      <c r="AG173" s="224"/>
      <c r="AH173" s="224"/>
      <c r="AI173" s="224"/>
      <c r="AJ173" s="224"/>
      <c r="AK173" s="224"/>
      <c r="AL173" s="224"/>
      <c r="AM173" s="224"/>
      <c r="AN173" s="224"/>
      <c r="AO173" s="224"/>
      <c r="AP173" s="224"/>
      <c r="AQ173" s="224"/>
      <c r="AR173" s="224"/>
      <c r="AS173" s="224"/>
      <c r="AT173" s="224"/>
      <c r="AU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  <c r="AF174" s="224"/>
      <c r="AG174" s="224"/>
      <c r="AH174" s="224"/>
      <c r="AI174" s="224"/>
      <c r="AJ174" s="224"/>
      <c r="AK174" s="224"/>
      <c r="AL174" s="224"/>
      <c r="AM174" s="224"/>
      <c r="AN174" s="224"/>
      <c r="AO174" s="224"/>
      <c r="AP174" s="224"/>
      <c r="AQ174" s="224"/>
      <c r="AR174" s="224"/>
      <c r="AS174" s="224"/>
      <c r="AT174" s="224"/>
      <c r="AU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  <c r="AF175" s="224"/>
      <c r="AG175" s="224"/>
      <c r="AH175" s="224"/>
      <c r="AI175" s="224"/>
      <c r="AJ175" s="224"/>
      <c r="AK175" s="224"/>
      <c r="AL175" s="224"/>
      <c r="AM175" s="224"/>
      <c r="AN175" s="224"/>
      <c r="AO175" s="224"/>
      <c r="AP175" s="224"/>
      <c r="AQ175" s="224"/>
      <c r="AR175" s="224"/>
      <c r="AS175" s="224"/>
      <c r="AT175" s="224"/>
      <c r="AU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  <c r="AC176" s="224"/>
      <c r="AD176" s="224"/>
      <c r="AE176" s="224"/>
      <c r="AF176" s="224"/>
      <c r="AG176" s="224"/>
      <c r="AH176" s="224"/>
      <c r="AI176" s="224"/>
      <c r="AJ176" s="224"/>
      <c r="AK176" s="224"/>
      <c r="AL176" s="224"/>
      <c r="AM176" s="224"/>
      <c r="AN176" s="224"/>
      <c r="AO176" s="224"/>
      <c r="AP176" s="224"/>
      <c r="AQ176" s="224"/>
      <c r="AR176" s="224"/>
      <c r="AS176" s="224"/>
      <c r="AT176" s="224"/>
      <c r="AU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  <c r="AD177" s="224"/>
      <c r="AE177" s="224"/>
      <c r="AF177" s="224"/>
      <c r="AG177" s="224"/>
      <c r="AH177" s="224"/>
      <c r="AI177" s="224"/>
      <c r="AJ177" s="224"/>
      <c r="AK177" s="224"/>
      <c r="AL177" s="224"/>
      <c r="AM177" s="224"/>
      <c r="AN177" s="224"/>
      <c r="AO177" s="224"/>
      <c r="AP177" s="224"/>
      <c r="AQ177" s="224"/>
      <c r="AR177" s="224"/>
      <c r="AS177" s="224"/>
      <c r="AT177" s="224"/>
      <c r="AU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  <c r="AC178" s="224"/>
      <c r="AD178" s="224"/>
      <c r="AE178" s="224"/>
      <c r="AF178" s="224"/>
      <c r="AG178" s="224"/>
      <c r="AH178" s="224"/>
      <c r="AI178" s="224"/>
      <c r="AJ178" s="224"/>
      <c r="AK178" s="224"/>
      <c r="AL178" s="224"/>
      <c r="AM178" s="224"/>
      <c r="AN178" s="224"/>
      <c r="AO178" s="224"/>
      <c r="AP178" s="224"/>
      <c r="AQ178" s="224"/>
      <c r="AR178" s="224"/>
      <c r="AS178" s="224"/>
      <c r="AT178" s="224"/>
      <c r="AU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4"/>
      <c r="AG179" s="224"/>
      <c r="AH179" s="224"/>
      <c r="AI179" s="224"/>
      <c r="AJ179" s="224"/>
      <c r="AK179" s="224"/>
      <c r="AL179" s="224"/>
      <c r="AM179" s="224"/>
      <c r="AN179" s="224"/>
      <c r="AO179" s="224"/>
      <c r="AP179" s="224"/>
      <c r="AQ179" s="224"/>
      <c r="AR179" s="224"/>
      <c r="AS179" s="224"/>
      <c r="AT179" s="224"/>
      <c r="AU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4"/>
      <c r="AG180" s="224"/>
      <c r="AH180" s="224"/>
      <c r="AI180" s="224"/>
      <c r="AJ180" s="224"/>
      <c r="AK180" s="224"/>
      <c r="AL180" s="224"/>
      <c r="AM180" s="224"/>
      <c r="AN180" s="224"/>
      <c r="AO180" s="224"/>
      <c r="AP180" s="224"/>
      <c r="AQ180" s="224"/>
      <c r="AR180" s="224"/>
      <c r="AS180" s="224"/>
      <c r="AT180" s="224"/>
      <c r="AU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  <c r="AC181" s="224"/>
      <c r="AD181" s="224"/>
      <c r="AE181" s="224"/>
      <c r="AF181" s="224"/>
      <c r="AG181" s="224"/>
      <c r="AH181" s="224"/>
      <c r="AI181" s="224"/>
      <c r="AJ181" s="224"/>
      <c r="AK181" s="224"/>
      <c r="AL181" s="224"/>
      <c r="AM181" s="224"/>
      <c r="AN181" s="224"/>
      <c r="AO181" s="224"/>
      <c r="AP181" s="224"/>
      <c r="AQ181" s="224"/>
      <c r="AR181" s="224"/>
      <c r="AS181" s="224"/>
      <c r="AT181" s="224"/>
      <c r="AU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4"/>
      <c r="AD182" s="224"/>
      <c r="AE182" s="224"/>
      <c r="AF182" s="224"/>
      <c r="AG182" s="224"/>
      <c r="AH182" s="224"/>
      <c r="AI182" s="224"/>
      <c r="AJ182" s="224"/>
      <c r="AK182" s="224"/>
      <c r="AL182" s="224"/>
      <c r="AM182" s="224"/>
      <c r="AN182" s="224"/>
      <c r="AO182" s="224"/>
      <c r="AP182" s="224"/>
      <c r="AQ182" s="224"/>
      <c r="AR182" s="224"/>
      <c r="AS182" s="224"/>
      <c r="AT182" s="224"/>
      <c r="AU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  <c r="AC183" s="224"/>
      <c r="AD183" s="224"/>
      <c r="AE183" s="224"/>
      <c r="AF183" s="224"/>
      <c r="AG183" s="224"/>
      <c r="AH183" s="224"/>
      <c r="AI183" s="224"/>
      <c r="AJ183" s="224"/>
      <c r="AK183" s="224"/>
      <c r="AL183" s="224"/>
      <c r="AM183" s="224"/>
      <c r="AN183" s="224"/>
      <c r="AO183" s="224"/>
      <c r="AP183" s="224"/>
      <c r="AQ183" s="224"/>
      <c r="AR183" s="224"/>
      <c r="AS183" s="224"/>
      <c r="AT183" s="224"/>
      <c r="AU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24"/>
      <c r="AL184" s="224"/>
      <c r="AM184" s="224"/>
      <c r="AN184" s="224"/>
      <c r="AO184" s="224"/>
      <c r="AP184" s="224"/>
      <c r="AQ184" s="224"/>
      <c r="AR184" s="224"/>
      <c r="AS184" s="224"/>
      <c r="AT184" s="224"/>
      <c r="AU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  <c r="AF185" s="224"/>
      <c r="AG185" s="224"/>
      <c r="AH185" s="224"/>
      <c r="AI185" s="224"/>
      <c r="AJ185" s="224"/>
      <c r="AK185" s="224"/>
      <c r="AL185" s="224"/>
      <c r="AM185" s="224"/>
      <c r="AN185" s="224"/>
      <c r="AO185" s="224"/>
      <c r="AP185" s="224"/>
      <c r="AQ185" s="224"/>
      <c r="AR185" s="224"/>
      <c r="AS185" s="224"/>
      <c r="AT185" s="224"/>
      <c r="AU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4"/>
      <c r="AD186" s="224"/>
      <c r="AE186" s="224"/>
      <c r="AF186" s="224"/>
      <c r="AG186" s="224"/>
      <c r="AH186" s="224"/>
      <c r="AI186" s="224"/>
      <c r="AJ186" s="224"/>
      <c r="AK186" s="224"/>
      <c r="AL186" s="224"/>
      <c r="AM186" s="224"/>
      <c r="AN186" s="224"/>
      <c r="AO186" s="224"/>
      <c r="AP186" s="224"/>
      <c r="AQ186" s="224"/>
      <c r="AR186" s="224"/>
      <c r="AS186" s="224"/>
      <c r="AT186" s="224"/>
      <c r="AU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4"/>
      <c r="AG188" s="224"/>
      <c r="AH188" s="224"/>
      <c r="AI188" s="224"/>
      <c r="AJ188" s="224"/>
      <c r="AK188" s="224"/>
      <c r="AL188" s="224"/>
      <c r="AM188" s="224"/>
      <c r="AN188" s="224"/>
      <c r="AO188" s="224"/>
      <c r="AP188" s="224"/>
      <c r="AQ188" s="224"/>
      <c r="AR188" s="224"/>
      <c r="AS188" s="224"/>
      <c r="AT188" s="224"/>
      <c r="AU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4"/>
      <c r="AD189" s="224"/>
      <c r="AE189" s="224"/>
      <c r="AF189" s="224"/>
      <c r="AG189" s="224"/>
      <c r="AH189" s="224"/>
      <c r="AI189" s="224"/>
      <c r="AJ189" s="224"/>
      <c r="AK189" s="224"/>
      <c r="AL189" s="224"/>
      <c r="AM189" s="224"/>
      <c r="AN189" s="224"/>
      <c r="AO189" s="224"/>
      <c r="AP189" s="224"/>
      <c r="AQ189" s="224"/>
      <c r="AR189" s="224"/>
      <c r="AS189" s="224"/>
      <c r="AT189" s="224"/>
      <c r="AU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4"/>
      <c r="AJ190" s="224"/>
      <c r="AK190" s="224"/>
      <c r="AL190" s="224"/>
      <c r="AM190" s="224"/>
      <c r="AN190" s="224"/>
      <c r="AO190" s="224"/>
      <c r="AP190" s="224"/>
      <c r="AQ190" s="224"/>
      <c r="AR190" s="224"/>
      <c r="AS190" s="224"/>
      <c r="AT190" s="224"/>
      <c r="AU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224"/>
      <c r="AF191" s="224"/>
      <c r="AG191" s="224"/>
      <c r="AH191" s="224"/>
      <c r="AI191" s="224"/>
      <c r="AJ191" s="224"/>
      <c r="AK191" s="224"/>
      <c r="AL191" s="224"/>
      <c r="AM191" s="224"/>
      <c r="AN191" s="224"/>
      <c r="AO191" s="224"/>
      <c r="AP191" s="224"/>
      <c r="AQ191" s="224"/>
      <c r="AR191" s="224"/>
      <c r="AS191" s="224"/>
      <c r="AT191" s="224"/>
      <c r="AU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  <c r="AK192" s="224"/>
      <c r="AL192" s="224"/>
      <c r="AM192" s="224"/>
      <c r="AN192" s="224"/>
      <c r="AO192" s="224"/>
      <c r="AP192" s="224"/>
      <c r="AQ192" s="224"/>
      <c r="AR192" s="224"/>
      <c r="AS192" s="224"/>
      <c r="AT192" s="224"/>
      <c r="AU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  <c r="AC193" s="224"/>
      <c r="AD193" s="224"/>
      <c r="AE193" s="224"/>
      <c r="AF193" s="224"/>
      <c r="AG193" s="224"/>
      <c r="AH193" s="224"/>
      <c r="AI193" s="224"/>
      <c r="AJ193" s="224"/>
      <c r="AK193" s="224"/>
      <c r="AL193" s="224"/>
      <c r="AM193" s="224"/>
      <c r="AN193" s="224"/>
      <c r="AO193" s="224"/>
      <c r="AP193" s="224"/>
      <c r="AQ193" s="224"/>
      <c r="AR193" s="224"/>
      <c r="AS193" s="224"/>
      <c r="AT193" s="224"/>
      <c r="AU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  <c r="AK194" s="224"/>
      <c r="AL194" s="224"/>
      <c r="AM194" s="224"/>
      <c r="AN194" s="224"/>
      <c r="AO194" s="224"/>
      <c r="AP194" s="224"/>
      <c r="AQ194" s="224"/>
      <c r="AR194" s="224"/>
      <c r="AS194" s="224"/>
      <c r="AT194" s="224"/>
      <c r="AU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  <c r="AC195" s="224"/>
      <c r="AD195" s="224"/>
      <c r="AE195" s="224"/>
      <c r="AF195" s="224"/>
      <c r="AG195" s="224"/>
      <c r="AH195" s="224"/>
      <c r="AI195" s="224"/>
      <c r="AJ195" s="224"/>
      <c r="AK195" s="224"/>
      <c r="AL195" s="224"/>
      <c r="AM195" s="224"/>
      <c r="AN195" s="224"/>
      <c r="AO195" s="224"/>
      <c r="AP195" s="224"/>
      <c r="AQ195" s="224"/>
      <c r="AR195" s="224"/>
      <c r="AS195" s="224"/>
      <c r="AT195" s="224"/>
      <c r="AU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24"/>
      <c r="AL196" s="224"/>
      <c r="AM196" s="224"/>
      <c r="AN196" s="224"/>
      <c r="AO196" s="224"/>
      <c r="AP196" s="224"/>
      <c r="AQ196" s="224"/>
      <c r="AR196" s="224"/>
      <c r="AS196" s="224"/>
      <c r="AT196" s="224"/>
      <c r="AU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  <c r="AC197" s="224"/>
      <c r="AD197" s="224"/>
      <c r="AE197" s="224"/>
      <c r="AF197" s="224"/>
      <c r="AG197" s="224"/>
      <c r="AH197" s="224"/>
      <c r="AI197" s="224"/>
      <c r="AJ197" s="224"/>
      <c r="AK197" s="224"/>
      <c r="AL197" s="224"/>
      <c r="AM197" s="224"/>
      <c r="AN197" s="224"/>
      <c r="AO197" s="224"/>
      <c r="AP197" s="224"/>
      <c r="AQ197" s="224"/>
      <c r="AR197" s="224"/>
      <c r="AS197" s="224"/>
      <c r="AT197" s="224"/>
      <c r="AU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  <c r="AF198" s="224"/>
      <c r="AG198" s="224"/>
      <c r="AH198" s="224"/>
      <c r="AI198" s="224"/>
      <c r="AJ198" s="224"/>
      <c r="AK198" s="224"/>
      <c r="AL198" s="224"/>
      <c r="AM198" s="224"/>
      <c r="AN198" s="224"/>
      <c r="AO198" s="224"/>
      <c r="AP198" s="224"/>
      <c r="AQ198" s="224"/>
      <c r="AR198" s="224"/>
      <c r="AS198" s="224"/>
      <c r="AT198" s="224"/>
      <c r="AU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  <c r="AC199" s="224"/>
      <c r="AD199" s="224"/>
      <c r="AE199" s="224"/>
      <c r="AF199" s="224"/>
      <c r="AG199" s="224"/>
      <c r="AH199" s="224"/>
      <c r="AI199" s="224"/>
      <c r="AJ199" s="224"/>
      <c r="AK199" s="224"/>
      <c r="AL199" s="224"/>
      <c r="AM199" s="224"/>
      <c r="AN199" s="224"/>
      <c r="AO199" s="224"/>
      <c r="AP199" s="224"/>
      <c r="AQ199" s="224"/>
      <c r="AR199" s="224"/>
      <c r="AS199" s="224"/>
      <c r="AT199" s="224"/>
      <c r="AU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  <c r="AK200" s="224"/>
      <c r="AL200" s="224"/>
      <c r="AM200" s="224"/>
      <c r="AN200" s="224"/>
      <c r="AO200" s="224"/>
      <c r="AP200" s="224"/>
      <c r="AQ200" s="224"/>
      <c r="AR200" s="224"/>
      <c r="AS200" s="224"/>
      <c r="AT200" s="224"/>
      <c r="AU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  <c r="AC201" s="224"/>
      <c r="AD201" s="224"/>
      <c r="AE201" s="224"/>
      <c r="AF201" s="224"/>
      <c r="AG201" s="224"/>
      <c r="AH201" s="224"/>
      <c r="AI201" s="224"/>
      <c r="AJ201" s="224"/>
      <c r="AK201" s="224"/>
      <c r="AL201" s="224"/>
      <c r="AM201" s="224"/>
      <c r="AN201" s="224"/>
      <c r="AO201" s="224"/>
      <c r="AP201" s="224"/>
      <c r="AQ201" s="224"/>
      <c r="AR201" s="224"/>
      <c r="AS201" s="224"/>
      <c r="AT201" s="224"/>
      <c r="AU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4"/>
      <c r="AD202" s="224"/>
      <c r="AE202" s="224"/>
      <c r="AF202" s="224"/>
      <c r="AG202" s="224"/>
      <c r="AH202" s="224"/>
      <c r="AI202" s="224"/>
      <c r="AJ202" s="224"/>
      <c r="AK202" s="224"/>
      <c r="AL202" s="224"/>
      <c r="AM202" s="224"/>
      <c r="AN202" s="224"/>
      <c r="AO202" s="224"/>
      <c r="AP202" s="224"/>
      <c r="AQ202" s="224"/>
      <c r="AR202" s="224"/>
      <c r="AS202" s="224"/>
      <c r="AT202" s="224"/>
      <c r="AU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  <c r="AA203" s="224"/>
      <c r="AB203" s="224"/>
      <c r="AC203" s="224"/>
      <c r="AD203" s="224"/>
      <c r="AE203" s="224"/>
      <c r="AF203" s="224"/>
      <c r="AG203" s="224"/>
      <c r="AH203" s="224"/>
      <c r="AI203" s="224"/>
      <c r="AJ203" s="224"/>
      <c r="AK203" s="224"/>
      <c r="AL203" s="224"/>
      <c r="AM203" s="224"/>
      <c r="AN203" s="224"/>
      <c r="AO203" s="224"/>
      <c r="AP203" s="224"/>
      <c r="AQ203" s="224"/>
      <c r="AR203" s="224"/>
      <c r="AS203" s="224"/>
      <c r="AT203" s="224"/>
      <c r="AU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  <c r="AC204" s="224"/>
      <c r="AD204" s="224"/>
      <c r="AE204" s="224"/>
      <c r="AF204" s="224"/>
      <c r="AG204" s="224"/>
      <c r="AH204" s="224"/>
      <c r="AI204" s="224"/>
      <c r="AJ204" s="224"/>
      <c r="AK204" s="224"/>
      <c r="AL204" s="224"/>
      <c r="AM204" s="224"/>
      <c r="AN204" s="224"/>
      <c r="AO204" s="224"/>
      <c r="AP204" s="224"/>
      <c r="AQ204" s="224"/>
      <c r="AR204" s="224"/>
      <c r="AS204" s="224"/>
      <c r="AT204" s="224"/>
      <c r="AU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  <c r="AC205" s="224"/>
      <c r="AD205" s="224"/>
      <c r="AE205" s="224"/>
      <c r="AF205" s="224"/>
      <c r="AG205" s="224"/>
      <c r="AH205" s="224"/>
      <c r="AI205" s="224"/>
      <c r="AJ205" s="224"/>
      <c r="AK205" s="224"/>
      <c r="AL205" s="224"/>
      <c r="AM205" s="224"/>
      <c r="AN205" s="224"/>
      <c r="AO205" s="224"/>
      <c r="AP205" s="224"/>
      <c r="AQ205" s="224"/>
      <c r="AR205" s="224"/>
      <c r="AS205" s="224"/>
      <c r="AT205" s="224"/>
      <c r="AU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  <c r="AC206" s="224"/>
      <c r="AD206" s="224"/>
      <c r="AE206" s="224"/>
      <c r="AF206" s="224"/>
      <c r="AG206" s="224"/>
      <c r="AH206" s="224"/>
      <c r="AI206" s="224"/>
      <c r="AJ206" s="224"/>
      <c r="AK206" s="224"/>
      <c r="AL206" s="224"/>
      <c r="AM206" s="224"/>
      <c r="AN206" s="224"/>
      <c r="AO206" s="224"/>
      <c r="AP206" s="224"/>
      <c r="AQ206" s="224"/>
      <c r="AR206" s="224"/>
      <c r="AS206" s="224"/>
      <c r="AT206" s="224"/>
      <c r="AU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  <c r="AA207" s="224"/>
      <c r="AB207" s="224"/>
      <c r="AC207" s="224"/>
      <c r="AD207" s="224"/>
      <c r="AE207" s="224"/>
      <c r="AF207" s="224"/>
      <c r="AG207" s="224"/>
      <c r="AH207" s="224"/>
      <c r="AI207" s="224"/>
      <c r="AJ207" s="224"/>
      <c r="AK207" s="224"/>
      <c r="AL207" s="224"/>
      <c r="AM207" s="224"/>
      <c r="AN207" s="224"/>
      <c r="AO207" s="224"/>
      <c r="AP207" s="224"/>
      <c r="AQ207" s="224"/>
      <c r="AR207" s="224"/>
      <c r="AS207" s="224"/>
      <c r="AT207" s="224"/>
      <c r="AU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  <c r="AA208" s="224"/>
      <c r="AB208" s="224"/>
      <c r="AC208" s="224"/>
      <c r="AD208" s="224"/>
      <c r="AE208" s="224"/>
      <c r="AF208" s="224"/>
      <c r="AG208" s="224"/>
      <c r="AH208" s="224"/>
      <c r="AI208" s="224"/>
      <c r="AJ208" s="224"/>
      <c r="AK208" s="224"/>
      <c r="AL208" s="224"/>
      <c r="AM208" s="224"/>
      <c r="AN208" s="224"/>
      <c r="AO208" s="224"/>
      <c r="AP208" s="224"/>
      <c r="AQ208" s="224"/>
      <c r="AR208" s="224"/>
      <c r="AS208" s="224"/>
      <c r="AT208" s="224"/>
      <c r="AU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  <c r="AC209" s="224"/>
      <c r="AD209" s="224"/>
      <c r="AE209" s="224"/>
      <c r="AF209" s="224"/>
      <c r="AG209" s="224"/>
      <c r="AH209" s="224"/>
      <c r="AI209" s="224"/>
      <c r="AJ209" s="224"/>
      <c r="AK209" s="224"/>
      <c r="AL209" s="224"/>
      <c r="AM209" s="224"/>
      <c r="AN209" s="224"/>
      <c r="AO209" s="224"/>
      <c r="AP209" s="224"/>
      <c r="AQ209" s="224"/>
      <c r="AR209" s="224"/>
      <c r="AS209" s="224"/>
      <c r="AT209" s="224"/>
      <c r="AU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  <c r="AA210" s="224"/>
      <c r="AB210" s="224"/>
      <c r="AC210" s="224"/>
      <c r="AD210" s="224"/>
      <c r="AE210" s="224"/>
      <c r="AF210" s="224"/>
      <c r="AG210" s="224"/>
      <c r="AH210" s="224"/>
      <c r="AI210" s="224"/>
      <c r="AJ210" s="224"/>
      <c r="AK210" s="224"/>
      <c r="AL210" s="224"/>
      <c r="AM210" s="224"/>
      <c r="AN210" s="224"/>
      <c r="AO210" s="224"/>
      <c r="AP210" s="224"/>
      <c r="AQ210" s="224"/>
      <c r="AR210" s="224"/>
      <c r="AS210" s="224"/>
      <c r="AT210" s="224"/>
      <c r="AU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  <c r="AA211" s="224"/>
      <c r="AB211" s="224"/>
      <c r="AC211" s="224"/>
      <c r="AD211" s="224"/>
      <c r="AE211" s="224"/>
      <c r="AF211" s="224"/>
      <c r="AG211" s="224"/>
      <c r="AH211" s="224"/>
      <c r="AI211" s="224"/>
      <c r="AJ211" s="224"/>
      <c r="AK211" s="224"/>
      <c r="AL211" s="224"/>
      <c r="AM211" s="224"/>
      <c r="AN211" s="224"/>
      <c r="AO211" s="224"/>
      <c r="AP211" s="224"/>
      <c r="AQ211" s="224"/>
      <c r="AR211" s="224"/>
      <c r="AS211" s="224"/>
      <c r="AT211" s="224"/>
      <c r="AU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  <c r="AA212" s="224"/>
      <c r="AB212" s="224"/>
      <c r="AC212" s="224"/>
      <c r="AD212" s="224"/>
      <c r="AE212" s="224"/>
      <c r="AF212" s="224"/>
      <c r="AG212" s="224"/>
      <c r="AH212" s="224"/>
      <c r="AI212" s="224"/>
      <c r="AJ212" s="224"/>
      <c r="AK212" s="224"/>
      <c r="AL212" s="224"/>
      <c r="AM212" s="224"/>
      <c r="AN212" s="224"/>
      <c r="AO212" s="224"/>
      <c r="AP212" s="224"/>
      <c r="AQ212" s="224"/>
      <c r="AR212" s="224"/>
      <c r="AS212" s="224"/>
      <c r="AT212" s="224"/>
      <c r="AU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  <c r="AC213" s="224"/>
      <c r="AD213" s="224"/>
      <c r="AE213" s="224"/>
      <c r="AF213" s="224"/>
      <c r="AG213" s="224"/>
      <c r="AH213" s="224"/>
      <c r="AI213" s="224"/>
      <c r="AJ213" s="224"/>
      <c r="AK213" s="224"/>
      <c r="AL213" s="224"/>
      <c r="AM213" s="224"/>
      <c r="AN213" s="224"/>
      <c r="AO213" s="224"/>
      <c r="AP213" s="224"/>
      <c r="AQ213" s="224"/>
      <c r="AR213" s="224"/>
      <c r="AS213" s="224"/>
      <c r="AT213" s="224"/>
      <c r="AU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224"/>
      <c r="AF214" s="224"/>
      <c r="AG214" s="224"/>
      <c r="AH214" s="224"/>
      <c r="AI214" s="224"/>
      <c r="AJ214" s="224"/>
      <c r="AK214" s="224"/>
      <c r="AL214" s="224"/>
      <c r="AM214" s="224"/>
      <c r="AN214" s="224"/>
      <c r="AO214" s="224"/>
      <c r="AP214" s="224"/>
      <c r="AQ214" s="224"/>
      <c r="AR214" s="224"/>
      <c r="AS214" s="224"/>
      <c r="AT214" s="224"/>
      <c r="AU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224"/>
      <c r="AF215" s="224"/>
      <c r="AG215" s="224"/>
      <c r="AH215" s="224"/>
      <c r="AI215" s="224"/>
      <c r="AJ215" s="224"/>
      <c r="AK215" s="224"/>
      <c r="AL215" s="224"/>
      <c r="AM215" s="224"/>
      <c r="AN215" s="224"/>
      <c r="AO215" s="224"/>
      <c r="AP215" s="224"/>
      <c r="AQ215" s="224"/>
      <c r="AR215" s="224"/>
      <c r="AS215" s="224"/>
      <c r="AT215" s="224"/>
      <c r="AU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  <c r="AC216" s="224"/>
      <c r="AD216" s="224"/>
      <c r="AE216" s="224"/>
      <c r="AF216" s="224"/>
      <c r="AG216" s="224"/>
      <c r="AH216" s="224"/>
      <c r="AI216" s="224"/>
      <c r="AJ216" s="224"/>
      <c r="AK216" s="224"/>
      <c r="AL216" s="224"/>
      <c r="AM216" s="224"/>
      <c r="AN216" s="224"/>
      <c r="AO216" s="224"/>
      <c r="AP216" s="224"/>
      <c r="AQ216" s="224"/>
      <c r="AR216" s="224"/>
      <c r="AS216" s="224"/>
      <c r="AT216" s="224"/>
      <c r="AU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  <c r="AC217" s="224"/>
      <c r="AD217" s="224"/>
      <c r="AE217" s="224"/>
      <c r="AF217" s="224"/>
      <c r="AG217" s="224"/>
      <c r="AH217" s="224"/>
      <c r="AI217" s="224"/>
      <c r="AJ217" s="224"/>
      <c r="AK217" s="224"/>
      <c r="AL217" s="224"/>
      <c r="AM217" s="224"/>
      <c r="AN217" s="224"/>
      <c r="AO217" s="224"/>
      <c r="AP217" s="224"/>
      <c r="AQ217" s="224"/>
      <c r="AR217" s="224"/>
      <c r="AS217" s="224"/>
      <c r="AT217" s="224"/>
      <c r="AU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  <c r="AA218" s="224"/>
      <c r="AB218" s="224"/>
      <c r="AC218" s="224"/>
      <c r="AD218" s="224"/>
      <c r="AE218" s="224"/>
      <c r="AF218" s="224"/>
      <c r="AG218" s="224"/>
      <c r="AH218" s="224"/>
      <c r="AI218" s="224"/>
      <c r="AJ218" s="224"/>
      <c r="AK218" s="224"/>
      <c r="AL218" s="224"/>
      <c r="AM218" s="224"/>
      <c r="AN218" s="224"/>
      <c r="AO218" s="224"/>
      <c r="AP218" s="224"/>
      <c r="AQ218" s="224"/>
      <c r="AR218" s="224"/>
      <c r="AS218" s="224"/>
      <c r="AT218" s="224"/>
      <c r="AU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  <c r="AC219" s="224"/>
      <c r="AD219" s="224"/>
      <c r="AE219" s="224"/>
      <c r="AF219" s="224"/>
      <c r="AG219" s="224"/>
      <c r="AH219" s="224"/>
      <c r="AI219" s="224"/>
      <c r="AJ219" s="224"/>
      <c r="AK219" s="224"/>
      <c r="AL219" s="224"/>
      <c r="AM219" s="224"/>
      <c r="AN219" s="224"/>
      <c r="AO219" s="224"/>
      <c r="AP219" s="224"/>
      <c r="AQ219" s="224"/>
      <c r="AR219" s="224"/>
      <c r="AS219" s="224"/>
      <c r="AT219" s="224"/>
      <c r="AU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  <c r="AA220" s="224"/>
      <c r="AB220" s="224"/>
      <c r="AC220" s="224"/>
      <c r="AD220" s="224"/>
      <c r="AE220" s="224"/>
      <c r="AF220" s="224"/>
      <c r="AG220" s="224"/>
      <c r="AH220" s="224"/>
      <c r="AI220" s="224"/>
      <c r="AJ220" s="224"/>
      <c r="AK220" s="224"/>
      <c r="AL220" s="224"/>
      <c r="AM220" s="224"/>
      <c r="AN220" s="224"/>
      <c r="AO220" s="224"/>
      <c r="AP220" s="224"/>
      <c r="AQ220" s="224"/>
      <c r="AR220" s="224"/>
      <c r="AS220" s="224"/>
      <c r="AT220" s="224"/>
      <c r="AU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  <c r="AC221" s="224"/>
      <c r="AD221" s="224"/>
      <c r="AE221" s="224"/>
      <c r="AF221" s="224"/>
      <c r="AG221" s="224"/>
      <c r="AH221" s="224"/>
      <c r="AI221" s="224"/>
      <c r="AJ221" s="224"/>
      <c r="AK221" s="224"/>
      <c r="AL221" s="224"/>
      <c r="AM221" s="224"/>
      <c r="AN221" s="224"/>
      <c r="AO221" s="224"/>
      <c r="AP221" s="224"/>
      <c r="AQ221" s="224"/>
      <c r="AR221" s="224"/>
      <c r="AS221" s="224"/>
      <c r="AT221" s="224"/>
      <c r="AU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  <c r="AA222" s="224"/>
      <c r="AB222" s="224"/>
      <c r="AC222" s="224"/>
      <c r="AD222" s="224"/>
      <c r="AE222" s="224"/>
      <c r="AF222" s="224"/>
      <c r="AG222" s="224"/>
      <c r="AH222" s="224"/>
      <c r="AI222" s="224"/>
      <c r="AJ222" s="224"/>
      <c r="AK222" s="224"/>
      <c r="AL222" s="224"/>
      <c r="AM222" s="224"/>
      <c r="AN222" s="224"/>
      <c r="AO222" s="224"/>
      <c r="AP222" s="224"/>
      <c r="AQ222" s="224"/>
      <c r="AR222" s="224"/>
      <c r="AS222" s="224"/>
      <c r="AT222" s="224"/>
      <c r="AU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  <c r="AC223" s="224"/>
      <c r="AD223" s="224"/>
      <c r="AE223" s="224"/>
      <c r="AF223" s="224"/>
      <c r="AG223" s="224"/>
      <c r="AH223" s="224"/>
      <c r="AI223" s="224"/>
      <c r="AJ223" s="224"/>
      <c r="AK223" s="224"/>
      <c r="AL223" s="224"/>
      <c r="AM223" s="224"/>
      <c r="AN223" s="224"/>
      <c r="AO223" s="224"/>
      <c r="AP223" s="224"/>
      <c r="AQ223" s="224"/>
      <c r="AR223" s="224"/>
      <c r="AS223" s="224"/>
      <c r="AT223" s="224"/>
      <c r="AU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4"/>
      <c r="AJ224" s="224"/>
      <c r="AK224" s="224"/>
      <c r="AL224" s="224"/>
      <c r="AM224" s="224"/>
      <c r="AN224" s="224"/>
      <c r="AO224" s="224"/>
      <c r="AP224" s="224"/>
      <c r="AQ224" s="224"/>
      <c r="AR224" s="224"/>
      <c r="AS224" s="224"/>
      <c r="AT224" s="224"/>
      <c r="AU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  <c r="AF225" s="224"/>
      <c r="AG225" s="224"/>
      <c r="AH225" s="224"/>
      <c r="AI225" s="224"/>
      <c r="AJ225" s="224"/>
      <c r="AK225" s="224"/>
      <c r="AL225" s="224"/>
      <c r="AM225" s="224"/>
      <c r="AN225" s="224"/>
      <c r="AO225" s="224"/>
      <c r="AP225" s="224"/>
      <c r="AQ225" s="224"/>
      <c r="AR225" s="224"/>
      <c r="AS225" s="224"/>
      <c r="AT225" s="224"/>
      <c r="AU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  <c r="AC226" s="224"/>
      <c r="AD226" s="224"/>
      <c r="AE226" s="224"/>
      <c r="AF226" s="224"/>
      <c r="AG226" s="224"/>
      <c r="AH226" s="224"/>
      <c r="AI226" s="224"/>
      <c r="AJ226" s="224"/>
      <c r="AK226" s="224"/>
      <c r="AL226" s="224"/>
      <c r="AM226" s="224"/>
      <c r="AN226" s="224"/>
      <c r="AO226" s="224"/>
      <c r="AP226" s="224"/>
      <c r="AQ226" s="224"/>
      <c r="AR226" s="224"/>
      <c r="AS226" s="224"/>
      <c r="AT226" s="224"/>
      <c r="AU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  <c r="AC227" s="224"/>
      <c r="AD227" s="224"/>
      <c r="AE227" s="224"/>
      <c r="AF227" s="224"/>
      <c r="AG227" s="224"/>
      <c r="AH227" s="224"/>
      <c r="AI227" s="224"/>
      <c r="AJ227" s="224"/>
      <c r="AK227" s="224"/>
      <c r="AL227" s="224"/>
      <c r="AM227" s="224"/>
      <c r="AN227" s="224"/>
      <c r="AO227" s="224"/>
      <c r="AP227" s="224"/>
      <c r="AQ227" s="224"/>
      <c r="AR227" s="224"/>
      <c r="AS227" s="224"/>
      <c r="AT227" s="224"/>
      <c r="AU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  <c r="AF228" s="224"/>
      <c r="AG228" s="224"/>
      <c r="AH228" s="224"/>
      <c r="AI228" s="224"/>
      <c r="AJ228" s="224"/>
      <c r="AK228" s="224"/>
      <c r="AL228" s="224"/>
      <c r="AM228" s="224"/>
      <c r="AN228" s="224"/>
      <c r="AO228" s="224"/>
      <c r="AP228" s="224"/>
      <c r="AQ228" s="224"/>
      <c r="AR228" s="224"/>
      <c r="AS228" s="224"/>
      <c r="AT228" s="224"/>
      <c r="AU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4"/>
      <c r="AJ229" s="224"/>
      <c r="AK229" s="224"/>
      <c r="AL229" s="224"/>
      <c r="AM229" s="224"/>
      <c r="AN229" s="224"/>
      <c r="AO229" s="224"/>
      <c r="AP229" s="224"/>
      <c r="AQ229" s="224"/>
      <c r="AR229" s="224"/>
      <c r="AS229" s="224"/>
      <c r="AT229" s="224"/>
      <c r="AU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  <c r="AC230" s="224"/>
      <c r="AD230" s="224"/>
      <c r="AE230" s="224"/>
      <c r="AF230" s="224"/>
      <c r="AG230" s="224"/>
      <c r="AH230" s="224"/>
      <c r="AI230" s="224"/>
      <c r="AJ230" s="224"/>
      <c r="AK230" s="224"/>
      <c r="AL230" s="224"/>
      <c r="AM230" s="224"/>
      <c r="AN230" s="224"/>
      <c r="AO230" s="224"/>
      <c r="AP230" s="224"/>
      <c r="AQ230" s="224"/>
      <c r="AR230" s="224"/>
      <c r="AS230" s="224"/>
      <c r="AT230" s="224"/>
      <c r="AU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  <c r="AC231" s="224"/>
      <c r="AD231" s="224"/>
      <c r="AE231" s="224"/>
      <c r="AF231" s="224"/>
      <c r="AG231" s="224"/>
      <c r="AH231" s="224"/>
      <c r="AI231" s="224"/>
      <c r="AJ231" s="224"/>
      <c r="AK231" s="224"/>
      <c r="AL231" s="224"/>
      <c r="AM231" s="224"/>
      <c r="AN231" s="224"/>
      <c r="AO231" s="224"/>
      <c r="AP231" s="224"/>
      <c r="AQ231" s="224"/>
      <c r="AR231" s="224"/>
      <c r="AS231" s="224"/>
      <c r="AT231" s="224"/>
      <c r="AU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  <c r="AC232" s="224"/>
      <c r="AD232" s="224"/>
      <c r="AE232" s="224"/>
      <c r="AF232" s="224"/>
      <c r="AG232" s="224"/>
      <c r="AH232" s="224"/>
      <c r="AI232" s="224"/>
      <c r="AJ232" s="224"/>
      <c r="AK232" s="224"/>
      <c r="AL232" s="224"/>
      <c r="AM232" s="224"/>
      <c r="AN232" s="224"/>
      <c r="AO232" s="224"/>
      <c r="AP232" s="224"/>
      <c r="AQ232" s="224"/>
      <c r="AR232" s="224"/>
      <c r="AS232" s="224"/>
      <c r="AT232" s="224"/>
      <c r="AU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  <c r="AK233" s="224"/>
      <c r="AL233" s="224"/>
      <c r="AM233" s="224"/>
      <c r="AN233" s="224"/>
      <c r="AO233" s="224"/>
      <c r="AP233" s="224"/>
      <c r="AQ233" s="224"/>
      <c r="AR233" s="224"/>
      <c r="AS233" s="224"/>
      <c r="AT233" s="224"/>
      <c r="AU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4"/>
      <c r="AQ234" s="224"/>
      <c r="AR234" s="224"/>
      <c r="AS234" s="224"/>
      <c r="AT234" s="224"/>
      <c r="AU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  <c r="AC235" s="224"/>
      <c r="AD235" s="224"/>
      <c r="AE235" s="224"/>
      <c r="AF235" s="224"/>
      <c r="AG235" s="224"/>
      <c r="AH235" s="224"/>
      <c r="AI235" s="224"/>
      <c r="AJ235" s="224"/>
      <c r="AK235" s="224"/>
      <c r="AL235" s="224"/>
      <c r="AM235" s="224"/>
      <c r="AN235" s="224"/>
      <c r="AO235" s="224"/>
      <c r="AP235" s="224"/>
      <c r="AQ235" s="224"/>
      <c r="AR235" s="224"/>
      <c r="AS235" s="224"/>
      <c r="AT235" s="224"/>
      <c r="AU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  <c r="AC236" s="224"/>
      <c r="AD236" s="224"/>
      <c r="AE236" s="224"/>
      <c r="AF236" s="224"/>
      <c r="AG236" s="224"/>
      <c r="AH236" s="224"/>
      <c r="AI236" s="224"/>
      <c r="AJ236" s="224"/>
      <c r="AK236" s="224"/>
      <c r="AL236" s="224"/>
      <c r="AM236" s="224"/>
      <c r="AN236" s="224"/>
      <c r="AO236" s="224"/>
      <c r="AP236" s="224"/>
      <c r="AQ236" s="224"/>
      <c r="AR236" s="224"/>
      <c r="AS236" s="224"/>
      <c r="AT236" s="224"/>
      <c r="AU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  <c r="AC237" s="224"/>
      <c r="AD237" s="224"/>
      <c r="AE237" s="224"/>
      <c r="AF237" s="224"/>
      <c r="AG237" s="224"/>
      <c r="AH237" s="224"/>
      <c r="AI237" s="224"/>
      <c r="AJ237" s="224"/>
      <c r="AK237" s="224"/>
      <c r="AL237" s="224"/>
      <c r="AM237" s="224"/>
      <c r="AN237" s="224"/>
      <c r="AO237" s="224"/>
      <c r="AP237" s="224"/>
      <c r="AQ237" s="224"/>
      <c r="AR237" s="224"/>
      <c r="AS237" s="224"/>
      <c r="AT237" s="224"/>
      <c r="AU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  <c r="AC238" s="224"/>
      <c r="AD238" s="224"/>
      <c r="AE238" s="224"/>
      <c r="AF238" s="224"/>
      <c r="AG238" s="224"/>
      <c r="AH238" s="224"/>
      <c r="AI238" s="224"/>
      <c r="AJ238" s="224"/>
      <c r="AK238" s="224"/>
      <c r="AL238" s="224"/>
      <c r="AM238" s="224"/>
      <c r="AN238" s="224"/>
      <c r="AO238" s="224"/>
      <c r="AP238" s="224"/>
      <c r="AQ238" s="224"/>
      <c r="AR238" s="224"/>
      <c r="AS238" s="224"/>
      <c r="AT238" s="224"/>
      <c r="AU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  <c r="AC239" s="224"/>
      <c r="AD239" s="224"/>
      <c r="AE239" s="224"/>
      <c r="AF239" s="224"/>
      <c r="AG239" s="224"/>
      <c r="AH239" s="224"/>
      <c r="AI239" s="224"/>
      <c r="AJ239" s="224"/>
      <c r="AK239" s="224"/>
      <c r="AL239" s="224"/>
      <c r="AM239" s="224"/>
      <c r="AN239" s="224"/>
      <c r="AO239" s="224"/>
      <c r="AP239" s="224"/>
      <c r="AQ239" s="224"/>
      <c r="AR239" s="224"/>
      <c r="AS239" s="224"/>
      <c r="AT239" s="224"/>
      <c r="AU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  <c r="AC240" s="224"/>
      <c r="AD240" s="224"/>
      <c r="AE240" s="224"/>
      <c r="AF240" s="224"/>
      <c r="AG240" s="224"/>
      <c r="AH240" s="224"/>
      <c r="AI240" s="224"/>
      <c r="AJ240" s="224"/>
      <c r="AK240" s="224"/>
      <c r="AL240" s="224"/>
      <c r="AM240" s="224"/>
      <c r="AN240" s="224"/>
      <c r="AO240" s="224"/>
      <c r="AP240" s="224"/>
      <c r="AQ240" s="224"/>
      <c r="AR240" s="224"/>
      <c r="AS240" s="224"/>
      <c r="AT240" s="224"/>
      <c r="AU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  <c r="AC241" s="224"/>
      <c r="AD241" s="224"/>
      <c r="AE241" s="224"/>
      <c r="AF241" s="224"/>
      <c r="AG241" s="224"/>
      <c r="AH241" s="224"/>
      <c r="AI241" s="224"/>
      <c r="AJ241" s="224"/>
      <c r="AK241" s="224"/>
      <c r="AL241" s="224"/>
      <c r="AM241" s="224"/>
      <c r="AN241" s="224"/>
      <c r="AO241" s="224"/>
      <c r="AP241" s="224"/>
      <c r="AQ241" s="224"/>
      <c r="AR241" s="224"/>
      <c r="AS241" s="224"/>
      <c r="AT241" s="224"/>
      <c r="AU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  <c r="AF242" s="224"/>
      <c r="AG242" s="224"/>
      <c r="AH242" s="224"/>
      <c r="AI242" s="224"/>
      <c r="AJ242" s="224"/>
      <c r="AK242" s="224"/>
      <c r="AL242" s="224"/>
      <c r="AM242" s="224"/>
      <c r="AN242" s="224"/>
      <c r="AO242" s="224"/>
      <c r="AP242" s="224"/>
      <c r="AQ242" s="224"/>
      <c r="AR242" s="224"/>
      <c r="AS242" s="224"/>
      <c r="AT242" s="224"/>
      <c r="AU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  <c r="AC243" s="224"/>
      <c r="AD243" s="224"/>
      <c r="AE243" s="224"/>
      <c r="AF243" s="224"/>
      <c r="AG243" s="224"/>
      <c r="AH243" s="224"/>
      <c r="AI243" s="224"/>
      <c r="AJ243" s="224"/>
      <c r="AK243" s="224"/>
      <c r="AL243" s="224"/>
      <c r="AM243" s="224"/>
      <c r="AN243" s="224"/>
      <c r="AO243" s="224"/>
      <c r="AP243" s="224"/>
      <c r="AQ243" s="224"/>
      <c r="AR243" s="224"/>
      <c r="AS243" s="224"/>
      <c r="AT243" s="224"/>
      <c r="AU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  <c r="AC244" s="224"/>
      <c r="AD244" s="224"/>
      <c r="AE244" s="224"/>
      <c r="AF244" s="224"/>
      <c r="AG244" s="224"/>
      <c r="AH244" s="224"/>
      <c r="AI244" s="224"/>
      <c r="AJ244" s="224"/>
      <c r="AK244" s="224"/>
      <c r="AL244" s="224"/>
      <c r="AM244" s="224"/>
      <c r="AN244" s="224"/>
      <c r="AO244" s="224"/>
      <c r="AP244" s="224"/>
      <c r="AQ244" s="224"/>
      <c r="AR244" s="224"/>
      <c r="AS244" s="224"/>
      <c r="AT244" s="224"/>
      <c r="AU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  <c r="AC245" s="224"/>
      <c r="AD245" s="224"/>
      <c r="AE245" s="224"/>
      <c r="AF245" s="224"/>
      <c r="AG245" s="224"/>
      <c r="AH245" s="224"/>
      <c r="AI245" s="224"/>
      <c r="AJ245" s="224"/>
      <c r="AK245" s="224"/>
      <c r="AL245" s="224"/>
      <c r="AM245" s="224"/>
      <c r="AN245" s="224"/>
      <c r="AO245" s="224"/>
      <c r="AP245" s="224"/>
      <c r="AQ245" s="224"/>
      <c r="AR245" s="224"/>
      <c r="AS245" s="224"/>
      <c r="AT245" s="224"/>
      <c r="AU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  <c r="AC246" s="224"/>
      <c r="AD246" s="224"/>
      <c r="AE246" s="224"/>
      <c r="AF246" s="224"/>
      <c r="AG246" s="224"/>
      <c r="AH246" s="224"/>
      <c r="AI246" s="224"/>
      <c r="AJ246" s="224"/>
      <c r="AK246" s="224"/>
      <c r="AL246" s="224"/>
      <c r="AM246" s="224"/>
      <c r="AN246" s="224"/>
      <c r="AO246" s="224"/>
      <c r="AP246" s="224"/>
      <c r="AQ246" s="224"/>
      <c r="AR246" s="224"/>
      <c r="AS246" s="224"/>
      <c r="AT246" s="224"/>
      <c r="AU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  <c r="AC247" s="224"/>
      <c r="AD247" s="224"/>
      <c r="AE247" s="224"/>
      <c r="AF247" s="224"/>
      <c r="AG247" s="224"/>
      <c r="AH247" s="224"/>
      <c r="AI247" s="224"/>
      <c r="AJ247" s="224"/>
      <c r="AK247" s="224"/>
      <c r="AL247" s="224"/>
      <c r="AM247" s="224"/>
      <c r="AN247" s="224"/>
      <c r="AO247" s="224"/>
      <c r="AP247" s="224"/>
      <c r="AQ247" s="224"/>
      <c r="AR247" s="224"/>
      <c r="AS247" s="224"/>
      <c r="AT247" s="224"/>
      <c r="AU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  <c r="AF248" s="224"/>
      <c r="AG248" s="224"/>
      <c r="AH248" s="224"/>
      <c r="AI248" s="224"/>
      <c r="AJ248" s="224"/>
      <c r="AK248" s="224"/>
      <c r="AL248" s="224"/>
      <c r="AM248" s="224"/>
      <c r="AN248" s="224"/>
      <c r="AO248" s="224"/>
      <c r="AP248" s="224"/>
      <c r="AQ248" s="224"/>
      <c r="AR248" s="224"/>
      <c r="AS248" s="224"/>
      <c r="AT248" s="224"/>
      <c r="AU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  <c r="AF249" s="224"/>
      <c r="AG249" s="224"/>
      <c r="AH249" s="224"/>
      <c r="AI249" s="224"/>
      <c r="AJ249" s="224"/>
      <c r="AK249" s="224"/>
      <c r="AL249" s="224"/>
      <c r="AM249" s="224"/>
      <c r="AN249" s="224"/>
      <c r="AO249" s="224"/>
      <c r="AP249" s="224"/>
      <c r="AQ249" s="224"/>
      <c r="AR249" s="224"/>
      <c r="AS249" s="224"/>
      <c r="AT249" s="224"/>
      <c r="AU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  <c r="AC250" s="224"/>
      <c r="AD250" s="224"/>
      <c r="AE250" s="224"/>
      <c r="AF250" s="224"/>
      <c r="AG250" s="224"/>
      <c r="AH250" s="224"/>
      <c r="AI250" s="224"/>
      <c r="AJ250" s="224"/>
      <c r="AK250" s="224"/>
      <c r="AL250" s="224"/>
      <c r="AM250" s="224"/>
      <c r="AN250" s="224"/>
      <c r="AO250" s="224"/>
      <c r="AP250" s="224"/>
      <c r="AQ250" s="224"/>
      <c r="AR250" s="224"/>
      <c r="AS250" s="224"/>
      <c r="AT250" s="224"/>
      <c r="AU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4"/>
      <c r="AD251" s="224"/>
      <c r="AE251" s="224"/>
      <c r="AF251" s="224"/>
      <c r="AG251" s="224"/>
      <c r="AH251" s="224"/>
      <c r="AI251" s="224"/>
      <c r="AJ251" s="224"/>
      <c r="AK251" s="224"/>
      <c r="AL251" s="224"/>
      <c r="AM251" s="224"/>
      <c r="AN251" s="224"/>
      <c r="AO251" s="224"/>
      <c r="AP251" s="224"/>
      <c r="AQ251" s="224"/>
      <c r="AR251" s="224"/>
      <c r="AS251" s="224"/>
      <c r="AT251" s="224"/>
      <c r="AU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  <c r="AC252" s="224"/>
      <c r="AD252" s="224"/>
      <c r="AE252" s="224"/>
      <c r="AF252" s="224"/>
      <c r="AG252" s="224"/>
      <c r="AH252" s="224"/>
      <c r="AI252" s="224"/>
      <c r="AJ252" s="224"/>
      <c r="AK252" s="224"/>
      <c r="AL252" s="224"/>
      <c r="AM252" s="224"/>
      <c r="AN252" s="224"/>
      <c r="AO252" s="224"/>
      <c r="AP252" s="224"/>
      <c r="AQ252" s="224"/>
      <c r="AR252" s="224"/>
      <c r="AS252" s="224"/>
      <c r="AT252" s="224"/>
      <c r="AU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  <c r="AC253" s="224"/>
      <c r="AD253" s="224"/>
      <c r="AE253" s="224"/>
      <c r="AF253" s="224"/>
      <c r="AG253" s="224"/>
      <c r="AH253" s="224"/>
      <c r="AI253" s="224"/>
      <c r="AJ253" s="224"/>
      <c r="AK253" s="224"/>
      <c r="AL253" s="224"/>
      <c r="AM253" s="224"/>
      <c r="AN253" s="224"/>
      <c r="AO253" s="224"/>
      <c r="AP253" s="224"/>
      <c r="AQ253" s="224"/>
      <c r="AR253" s="224"/>
      <c r="AS253" s="224"/>
      <c r="AT253" s="224"/>
      <c r="AU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  <c r="AC254" s="224"/>
      <c r="AD254" s="224"/>
      <c r="AE254" s="224"/>
      <c r="AF254" s="224"/>
      <c r="AG254" s="224"/>
      <c r="AH254" s="224"/>
      <c r="AI254" s="224"/>
      <c r="AJ254" s="224"/>
      <c r="AK254" s="224"/>
      <c r="AL254" s="224"/>
      <c r="AM254" s="224"/>
      <c r="AN254" s="224"/>
      <c r="AO254" s="224"/>
      <c r="AP254" s="224"/>
      <c r="AQ254" s="224"/>
      <c r="AR254" s="224"/>
      <c r="AS254" s="224"/>
      <c r="AT254" s="224"/>
      <c r="AU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  <c r="AK255" s="224"/>
      <c r="AL255" s="224"/>
      <c r="AM255" s="224"/>
      <c r="AN255" s="224"/>
      <c r="AO255" s="224"/>
      <c r="AP255" s="224"/>
      <c r="AQ255" s="224"/>
      <c r="AR255" s="224"/>
      <c r="AS255" s="224"/>
      <c r="AT255" s="224"/>
      <c r="AU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  <c r="AF256" s="224"/>
      <c r="AG256" s="224"/>
      <c r="AH256" s="224"/>
      <c r="AI256" s="224"/>
      <c r="AJ256" s="224"/>
      <c r="AK256" s="224"/>
      <c r="AL256" s="224"/>
      <c r="AM256" s="224"/>
      <c r="AN256" s="224"/>
      <c r="AO256" s="224"/>
      <c r="AP256" s="224"/>
      <c r="AQ256" s="224"/>
      <c r="AR256" s="224"/>
      <c r="AS256" s="224"/>
      <c r="AT256" s="224"/>
      <c r="AU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  <c r="AA257" s="224"/>
      <c r="AB257" s="224"/>
      <c r="AC257" s="224"/>
      <c r="AD257" s="224"/>
      <c r="AE257" s="224"/>
      <c r="AF257" s="224"/>
      <c r="AG257" s="224"/>
      <c r="AH257" s="224"/>
      <c r="AI257" s="224"/>
      <c r="AJ257" s="224"/>
      <c r="AK257" s="224"/>
      <c r="AL257" s="224"/>
      <c r="AM257" s="224"/>
      <c r="AN257" s="224"/>
      <c r="AO257" s="224"/>
      <c r="AP257" s="224"/>
      <c r="AQ257" s="224"/>
      <c r="AR257" s="224"/>
      <c r="AS257" s="224"/>
      <c r="AT257" s="224"/>
      <c r="AU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  <c r="AC258" s="224"/>
      <c r="AD258" s="224"/>
      <c r="AE258" s="224"/>
      <c r="AF258" s="224"/>
      <c r="AG258" s="224"/>
      <c r="AH258" s="224"/>
      <c r="AI258" s="224"/>
      <c r="AJ258" s="224"/>
      <c r="AK258" s="224"/>
      <c r="AL258" s="224"/>
      <c r="AM258" s="224"/>
      <c r="AN258" s="224"/>
      <c r="AO258" s="224"/>
      <c r="AP258" s="224"/>
      <c r="AQ258" s="224"/>
      <c r="AR258" s="224"/>
      <c r="AS258" s="224"/>
      <c r="AT258" s="224"/>
      <c r="AU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  <c r="AC259" s="224"/>
      <c r="AD259" s="224"/>
      <c r="AE259" s="224"/>
      <c r="AF259" s="224"/>
      <c r="AG259" s="224"/>
      <c r="AH259" s="224"/>
      <c r="AI259" s="224"/>
      <c r="AJ259" s="224"/>
      <c r="AK259" s="224"/>
      <c r="AL259" s="224"/>
      <c r="AM259" s="224"/>
      <c r="AN259" s="224"/>
      <c r="AO259" s="224"/>
      <c r="AP259" s="224"/>
      <c r="AQ259" s="224"/>
      <c r="AR259" s="224"/>
      <c r="AS259" s="224"/>
      <c r="AT259" s="224"/>
      <c r="AU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  <c r="AC260" s="224"/>
      <c r="AD260" s="224"/>
      <c r="AE260" s="224"/>
      <c r="AF260" s="224"/>
      <c r="AG260" s="224"/>
      <c r="AH260" s="224"/>
      <c r="AI260" s="224"/>
      <c r="AJ260" s="224"/>
      <c r="AK260" s="224"/>
      <c r="AL260" s="224"/>
      <c r="AM260" s="224"/>
      <c r="AN260" s="224"/>
      <c r="AO260" s="224"/>
      <c r="AP260" s="224"/>
      <c r="AQ260" s="224"/>
      <c r="AR260" s="224"/>
      <c r="AS260" s="224"/>
      <c r="AT260" s="224"/>
      <c r="AU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  <c r="AC261" s="224"/>
      <c r="AD261" s="224"/>
      <c r="AE261" s="224"/>
      <c r="AF261" s="224"/>
      <c r="AG261" s="224"/>
      <c r="AH261" s="224"/>
      <c r="AI261" s="224"/>
      <c r="AJ261" s="224"/>
      <c r="AK261" s="224"/>
      <c r="AL261" s="224"/>
      <c r="AM261" s="224"/>
      <c r="AN261" s="224"/>
      <c r="AO261" s="224"/>
      <c r="AP261" s="224"/>
      <c r="AQ261" s="224"/>
      <c r="AR261" s="224"/>
      <c r="AS261" s="224"/>
      <c r="AT261" s="224"/>
      <c r="AU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  <c r="AC262" s="224"/>
      <c r="AD262" s="224"/>
      <c r="AE262" s="224"/>
      <c r="AF262" s="224"/>
      <c r="AG262" s="224"/>
      <c r="AH262" s="224"/>
      <c r="AI262" s="224"/>
      <c r="AJ262" s="224"/>
      <c r="AK262" s="224"/>
      <c r="AL262" s="224"/>
      <c r="AM262" s="224"/>
      <c r="AN262" s="224"/>
      <c r="AO262" s="224"/>
      <c r="AP262" s="224"/>
      <c r="AQ262" s="224"/>
      <c r="AR262" s="224"/>
      <c r="AS262" s="224"/>
      <c r="AT262" s="224"/>
      <c r="AU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  <c r="AC263" s="224"/>
      <c r="AD263" s="224"/>
      <c r="AE263" s="224"/>
      <c r="AF263" s="224"/>
      <c r="AG263" s="224"/>
      <c r="AH263" s="224"/>
      <c r="AI263" s="224"/>
      <c r="AJ263" s="224"/>
      <c r="AK263" s="224"/>
      <c r="AL263" s="224"/>
      <c r="AM263" s="224"/>
      <c r="AN263" s="224"/>
      <c r="AO263" s="224"/>
      <c r="AP263" s="224"/>
      <c r="AQ263" s="224"/>
      <c r="AR263" s="224"/>
      <c r="AS263" s="224"/>
      <c r="AT263" s="224"/>
      <c r="AU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  <c r="AC264" s="224"/>
      <c r="AD264" s="224"/>
      <c r="AE264" s="224"/>
      <c r="AF264" s="224"/>
      <c r="AG264" s="224"/>
      <c r="AH264" s="224"/>
      <c r="AI264" s="224"/>
      <c r="AJ264" s="224"/>
      <c r="AK264" s="224"/>
      <c r="AL264" s="224"/>
      <c r="AM264" s="224"/>
      <c r="AN264" s="224"/>
      <c r="AO264" s="224"/>
      <c r="AP264" s="224"/>
      <c r="AQ264" s="224"/>
      <c r="AR264" s="224"/>
      <c r="AS264" s="224"/>
      <c r="AT264" s="224"/>
      <c r="AU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  <c r="AF265" s="224"/>
      <c r="AG265" s="224"/>
      <c r="AH265" s="224"/>
      <c r="AI265" s="224"/>
      <c r="AJ265" s="224"/>
      <c r="AK265" s="224"/>
      <c r="AL265" s="224"/>
      <c r="AM265" s="224"/>
      <c r="AN265" s="224"/>
      <c r="AO265" s="224"/>
      <c r="AP265" s="224"/>
      <c r="AQ265" s="224"/>
      <c r="AR265" s="224"/>
      <c r="AS265" s="224"/>
      <c r="AT265" s="224"/>
      <c r="AU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  <c r="AF266" s="224"/>
      <c r="AG266" s="224"/>
      <c r="AH266" s="224"/>
      <c r="AI266" s="224"/>
      <c r="AJ266" s="224"/>
      <c r="AK266" s="224"/>
      <c r="AL266" s="224"/>
      <c r="AM266" s="224"/>
      <c r="AN266" s="224"/>
      <c r="AO266" s="224"/>
      <c r="AP266" s="224"/>
      <c r="AQ266" s="224"/>
      <c r="AR266" s="224"/>
      <c r="AS266" s="224"/>
      <c r="AT266" s="224"/>
      <c r="AU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  <c r="AC267" s="224"/>
      <c r="AD267" s="224"/>
      <c r="AE267" s="224"/>
      <c r="AF267" s="224"/>
      <c r="AG267" s="224"/>
      <c r="AH267" s="224"/>
      <c r="AI267" s="224"/>
      <c r="AJ267" s="224"/>
      <c r="AK267" s="224"/>
      <c r="AL267" s="224"/>
      <c r="AM267" s="224"/>
      <c r="AN267" s="224"/>
      <c r="AO267" s="224"/>
      <c r="AP267" s="224"/>
      <c r="AQ267" s="224"/>
      <c r="AR267" s="224"/>
      <c r="AS267" s="224"/>
      <c r="AT267" s="224"/>
      <c r="AU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  <c r="AC268" s="224"/>
      <c r="AD268" s="224"/>
      <c r="AE268" s="224"/>
      <c r="AF268" s="224"/>
      <c r="AG268" s="224"/>
      <c r="AH268" s="224"/>
      <c r="AI268" s="224"/>
      <c r="AJ268" s="224"/>
      <c r="AK268" s="224"/>
      <c r="AL268" s="224"/>
      <c r="AM268" s="224"/>
      <c r="AN268" s="224"/>
      <c r="AO268" s="224"/>
      <c r="AP268" s="224"/>
      <c r="AQ268" s="224"/>
      <c r="AR268" s="224"/>
      <c r="AS268" s="224"/>
      <c r="AT268" s="224"/>
      <c r="AU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  <c r="AC269" s="224"/>
      <c r="AD269" s="224"/>
      <c r="AE269" s="224"/>
      <c r="AF269" s="224"/>
      <c r="AG269" s="224"/>
      <c r="AH269" s="224"/>
      <c r="AI269" s="224"/>
      <c r="AJ269" s="224"/>
      <c r="AK269" s="224"/>
      <c r="AL269" s="224"/>
      <c r="AM269" s="224"/>
      <c r="AN269" s="224"/>
      <c r="AO269" s="224"/>
      <c r="AP269" s="224"/>
      <c r="AQ269" s="224"/>
      <c r="AR269" s="224"/>
      <c r="AS269" s="224"/>
      <c r="AT269" s="224"/>
      <c r="AU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  <c r="AF270" s="224"/>
      <c r="AG270" s="224"/>
      <c r="AH270" s="224"/>
      <c r="AI270" s="224"/>
      <c r="AJ270" s="224"/>
      <c r="AK270" s="224"/>
      <c r="AL270" s="224"/>
      <c r="AM270" s="224"/>
      <c r="AN270" s="224"/>
      <c r="AO270" s="224"/>
      <c r="AP270" s="224"/>
      <c r="AQ270" s="224"/>
      <c r="AR270" s="224"/>
      <c r="AS270" s="224"/>
      <c r="AT270" s="224"/>
      <c r="AU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  <c r="AC271" s="224"/>
      <c r="AD271" s="224"/>
      <c r="AE271" s="224"/>
      <c r="AF271" s="224"/>
      <c r="AG271" s="224"/>
      <c r="AH271" s="224"/>
      <c r="AI271" s="224"/>
      <c r="AJ271" s="224"/>
      <c r="AK271" s="224"/>
      <c r="AL271" s="224"/>
      <c r="AM271" s="224"/>
      <c r="AN271" s="224"/>
      <c r="AO271" s="224"/>
      <c r="AP271" s="224"/>
      <c r="AQ271" s="224"/>
      <c r="AR271" s="224"/>
      <c r="AS271" s="224"/>
      <c r="AT271" s="224"/>
      <c r="AU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4"/>
      <c r="AH272" s="224"/>
      <c r="AI272" s="224"/>
      <c r="AJ272" s="224"/>
      <c r="AK272" s="224"/>
      <c r="AL272" s="224"/>
      <c r="AM272" s="224"/>
      <c r="AN272" s="224"/>
      <c r="AO272" s="224"/>
      <c r="AP272" s="224"/>
      <c r="AQ272" s="224"/>
      <c r="AR272" s="224"/>
      <c r="AS272" s="224"/>
      <c r="AT272" s="224"/>
      <c r="AU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  <c r="AK273" s="224"/>
      <c r="AL273" s="224"/>
      <c r="AM273" s="224"/>
      <c r="AN273" s="224"/>
      <c r="AO273" s="224"/>
      <c r="AP273" s="224"/>
      <c r="AQ273" s="224"/>
      <c r="AR273" s="224"/>
      <c r="AS273" s="224"/>
      <c r="AT273" s="224"/>
      <c r="AU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  <c r="AK274" s="224"/>
      <c r="AL274" s="224"/>
      <c r="AM274" s="224"/>
      <c r="AN274" s="224"/>
      <c r="AO274" s="224"/>
      <c r="AP274" s="224"/>
      <c r="AQ274" s="224"/>
      <c r="AR274" s="224"/>
      <c r="AS274" s="224"/>
      <c r="AT274" s="224"/>
      <c r="AU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  <c r="AF275" s="224"/>
      <c r="AG275" s="224"/>
      <c r="AH275" s="224"/>
      <c r="AI275" s="224"/>
      <c r="AJ275" s="224"/>
      <c r="AK275" s="224"/>
      <c r="AL275" s="224"/>
      <c r="AM275" s="224"/>
      <c r="AN275" s="224"/>
      <c r="AO275" s="224"/>
      <c r="AP275" s="224"/>
      <c r="AQ275" s="224"/>
      <c r="AR275" s="224"/>
      <c r="AS275" s="224"/>
      <c r="AT275" s="224"/>
      <c r="AU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  <c r="AF276" s="224"/>
      <c r="AG276" s="224"/>
      <c r="AH276" s="224"/>
      <c r="AI276" s="224"/>
      <c r="AJ276" s="224"/>
      <c r="AK276" s="224"/>
      <c r="AL276" s="224"/>
      <c r="AM276" s="224"/>
      <c r="AN276" s="224"/>
      <c r="AO276" s="224"/>
      <c r="AP276" s="224"/>
      <c r="AQ276" s="224"/>
      <c r="AR276" s="224"/>
      <c r="AS276" s="224"/>
      <c r="AT276" s="224"/>
      <c r="AU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  <c r="AK277" s="224"/>
      <c r="AL277" s="224"/>
      <c r="AM277" s="224"/>
      <c r="AN277" s="224"/>
      <c r="AO277" s="224"/>
      <c r="AP277" s="224"/>
      <c r="AQ277" s="224"/>
      <c r="AR277" s="224"/>
      <c r="AS277" s="224"/>
      <c r="AT277" s="224"/>
      <c r="AU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  <c r="AK278" s="224"/>
      <c r="AL278" s="224"/>
      <c r="AM278" s="224"/>
      <c r="AN278" s="224"/>
      <c r="AO278" s="224"/>
      <c r="AP278" s="224"/>
      <c r="AQ278" s="224"/>
      <c r="AR278" s="224"/>
      <c r="AS278" s="224"/>
      <c r="AT278" s="224"/>
      <c r="AU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  <c r="AM279" s="224"/>
      <c r="AN279" s="224"/>
      <c r="AO279" s="224"/>
      <c r="AP279" s="224"/>
      <c r="AQ279" s="224"/>
      <c r="AR279" s="224"/>
      <c r="AS279" s="224"/>
      <c r="AT279" s="224"/>
      <c r="AU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24"/>
      <c r="AL280" s="224"/>
      <c r="AM280" s="224"/>
      <c r="AN280" s="224"/>
      <c r="AO280" s="224"/>
      <c r="AP280" s="224"/>
      <c r="AQ280" s="224"/>
      <c r="AR280" s="224"/>
      <c r="AS280" s="224"/>
      <c r="AT280" s="224"/>
      <c r="AU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  <c r="AK281" s="224"/>
      <c r="AL281" s="224"/>
      <c r="AM281" s="224"/>
      <c r="AN281" s="224"/>
      <c r="AO281" s="224"/>
      <c r="AP281" s="224"/>
      <c r="AQ281" s="224"/>
      <c r="AR281" s="224"/>
      <c r="AS281" s="224"/>
      <c r="AT281" s="224"/>
      <c r="AU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  <c r="AK282" s="224"/>
      <c r="AL282" s="224"/>
      <c r="AM282" s="224"/>
      <c r="AN282" s="224"/>
      <c r="AO282" s="224"/>
      <c r="AP282" s="224"/>
      <c r="AQ282" s="224"/>
      <c r="AR282" s="224"/>
      <c r="AS282" s="224"/>
      <c r="AT282" s="224"/>
      <c r="AU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  <c r="AK283" s="224"/>
      <c r="AL283" s="224"/>
      <c r="AM283" s="224"/>
      <c r="AN283" s="224"/>
      <c r="AO283" s="224"/>
      <c r="AP283" s="224"/>
      <c r="AQ283" s="224"/>
      <c r="AR283" s="224"/>
      <c r="AS283" s="224"/>
      <c r="AT283" s="224"/>
      <c r="AU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  <c r="AK284" s="224"/>
      <c r="AL284" s="224"/>
      <c r="AM284" s="224"/>
      <c r="AN284" s="224"/>
      <c r="AO284" s="224"/>
      <c r="AP284" s="224"/>
      <c r="AQ284" s="224"/>
      <c r="AR284" s="224"/>
      <c r="AS284" s="224"/>
      <c r="AT284" s="224"/>
      <c r="AU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  <c r="AM285" s="224"/>
      <c r="AN285" s="224"/>
      <c r="AO285" s="224"/>
      <c r="AP285" s="224"/>
      <c r="AQ285" s="224"/>
      <c r="AR285" s="224"/>
      <c r="AS285" s="224"/>
      <c r="AT285" s="224"/>
      <c r="AU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  <c r="AM286" s="224"/>
      <c r="AN286" s="224"/>
      <c r="AO286" s="224"/>
      <c r="AP286" s="224"/>
      <c r="AQ286" s="224"/>
      <c r="AR286" s="224"/>
      <c r="AS286" s="224"/>
      <c r="AT286" s="224"/>
      <c r="AU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  <c r="AK287" s="224"/>
      <c r="AL287" s="224"/>
      <c r="AM287" s="224"/>
      <c r="AN287" s="224"/>
      <c r="AO287" s="224"/>
      <c r="AP287" s="224"/>
      <c r="AQ287" s="224"/>
      <c r="AR287" s="224"/>
      <c r="AS287" s="224"/>
      <c r="AT287" s="224"/>
      <c r="AU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  <c r="AK288" s="224"/>
      <c r="AL288" s="224"/>
      <c r="AM288" s="224"/>
      <c r="AN288" s="224"/>
      <c r="AO288" s="224"/>
      <c r="AP288" s="224"/>
      <c r="AQ288" s="224"/>
      <c r="AR288" s="224"/>
      <c r="AS288" s="224"/>
      <c r="AT288" s="224"/>
      <c r="AU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  <c r="AM289" s="224"/>
      <c r="AN289" s="224"/>
      <c r="AO289" s="224"/>
      <c r="AP289" s="224"/>
      <c r="AQ289" s="224"/>
      <c r="AR289" s="224"/>
      <c r="AS289" s="224"/>
      <c r="AT289" s="224"/>
      <c r="AU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  <c r="AK290" s="224"/>
      <c r="AL290" s="224"/>
      <c r="AM290" s="224"/>
      <c r="AN290" s="224"/>
      <c r="AO290" s="224"/>
      <c r="AP290" s="224"/>
      <c r="AQ290" s="224"/>
      <c r="AR290" s="224"/>
      <c r="AS290" s="224"/>
      <c r="AT290" s="224"/>
      <c r="AU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4"/>
      <c r="AL291" s="224"/>
      <c r="AM291" s="224"/>
      <c r="AN291" s="224"/>
      <c r="AO291" s="224"/>
      <c r="AP291" s="224"/>
      <c r="AQ291" s="224"/>
      <c r="AR291" s="224"/>
      <c r="AS291" s="224"/>
      <c r="AT291" s="224"/>
      <c r="AU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24"/>
      <c r="AL292" s="224"/>
      <c r="AM292" s="224"/>
      <c r="AN292" s="224"/>
      <c r="AO292" s="224"/>
      <c r="AP292" s="224"/>
      <c r="AQ292" s="224"/>
      <c r="AR292" s="224"/>
      <c r="AS292" s="224"/>
      <c r="AT292" s="224"/>
      <c r="AU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  <c r="AK293" s="224"/>
      <c r="AL293" s="224"/>
      <c r="AM293" s="224"/>
      <c r="AN293" s="224"/>
      <c r="AO293" s="224"/>
      <c r="AP293" s="224"/>
      <c r="AQ293" s="224"/>
      <c r="AR293" s="224"/>
      <c r="AS293" s="224"/>
      <c r="AT293" s="224"/>
      <c r="AU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  <c r="AK294" s="224"/>
      <c r="AL294" s="224"/>
      <c r="AM294" s="224"/>
      <c r="AN294" s="224"/>
      <c r="AO294" s="224"/>
      <c r="AP294" s="224"/>
      <c r="AQ294" s="224"/>
      <c r="AR294" s="224"/>
      <c r="AS294" s="224"/>
      <c r="AT294" s="224"/>
      <c r="AU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  <c r="AK295" s="224"/>
      <c r="AL295" s="224"/>
      <c r="AM295" s="224"/>
      <c r="AN295" s="224"/>
      <c r="AO295" s="224"/>
      <c r="AP295" s="224"/>
      <c r="AQ295" s="224"/>
      <c r="AR295" s="224"/>
      <c r="AS295" s="224"/>
      <c r="AT295" s="224"/>
      <c r="AU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  <c r="AK296" s="224"/>
      <c r="AL296" s="224"/>
      <c r="AM296" s="224"/>
      <c r="AN296" s="224"/>
      <c r="AO296" s="224"/>
      <c r="AP296" s="224"/>
      <c r="AQ296" s="224"/>
      <c r="AR296" s="224"/>
      <c r="AS296" s="224"/>
      <c r="AT296" s="224"/>
      <c r="AU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  <c r="AK297" s="224"/>
      <c r="AL297" s="224"/>
      <c r="AM297" s="224"/>
      <c r="AN297" s="224"/>
      <c r="AO297" s="224"/>
      <c r="AP297" s="224"/>
      <c r="AQ297" s="224"/>
      <c r="AR297" s="224"/>
      <c r="AS297" s="224"/>
      <c r="AT297" s="224"/>
      <c r="AU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  <c r="AM298" s="224"/>
      <c r="AN298" s="224"/>
      <c r="AO298" s="224"/>
      <c r="AP298" s="224"/>
      <c r="AQ298" s="224"/>
      <c r="AR298" s="224"/>
      <c r="AS298" s="224"/>
      <c r="AT298" s="224"/>
      <c r="AU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  <c r="AM299" s="224"/>
      <c r="AN299" s="224"/>
      <c r="AO299" s="224"/>
      <c r="AP299" s="224"/>
      <c r="AQ299" s="224"/>
      <c r="AR299" s="224"/>
      <c r="AS299" s="224"/>
      <c r="AT299" s="224"/>
      <c r="AU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  <c r="AM300" s="224"/>
      <c r="AN300" s="224"/>
      <c r="AO300" s="224"/>
      <c r="AP300" s="224"/>
      <c r="AQ300" s="224"/>
      <c r="AR300" s="224"/>
      <c r="AS300" s="224"/>
      <c r="AT300" s="224"/>
      <c r="AU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  <c r="AM301" s="224"/>
      <c r="AN301" s="224"/>
      <c r="AO301" s="224"/>
      <c r="AP301" s="224"/>
      <c r="AQ301" s="224"/>
      <c r="AR301" s="224"/>
      <c r="AS301" s="224"/>
      <c r="AT301" s="224"/>
      <c r="AU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  <c r="AK302" s="224"/>
      <c r="AL302" s="224"/>
      <c r="AM302" s="224"/>
      <c r="AN302" s="224"/>
      <c r="AO302" s="224"/>
      <c r="AP302" s="224"/>
      <c r="AQ302" s="224"/>
      <c r="AR302" s="224"/>
      <c r="AS302" s="224"/>
      <c r="AT302" s="224"/>
      <c r="AU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  <c r="AM303" s="224"/>
      <c r="AN303" s="224"/>
      <c r="AO303" s="224"/>
      <c r="AP303" s="224"/>
      <c r="AQ303" s="224"/>
      <c r="AR303" s="224"/>
      <c r="AS303" s="224"/>
      <c r="AT303" s="224"/>
      <c r="AU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24"/>
      <c r="AL304" s="224"/>
      <c r="AM304" s="224"/>
      <c r="AN304" s="224"/>
      <c r="AO304" s="224"/>
      <c r="AP304" s="224"/>
      <c r="AQ304" s="224"/>
      <c r="AR304" s="224"/>
      <c r="AS304" s="224"/>
      <c r="AT304" s="224"/>
      <c r="AU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  <c r="AM305" s="224"/>
      <c r="AN305" s="224"/>
      <c r="AO305" s="224"/>
      <c r="AP305" s="224"/>
      <c r="AQ305" s="224"/>
      <c r="AR305" s="224"/>
      <c r="AS305" s="224"/>
      <c r="AT305" s="224"/>
      <c r="AU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  <c r="AK306" s="224"/>
      <c r="AL306" s="224"/>
      <c r="AM306" s="224"/>
      <c r="AN306" s="224"/>
      <c r="AO306" s="224"/>
      <c r="AP306" s="224"/>
      <c r="AQ306" s="224"/>
      <c r="AR306" s="224"/>
      <c r="AS306" s="224"/>
      <c r="AT306" s="224"/>
      <c r="AU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  <c r="AK307" s="224"/>
      <c r="AL307" s="224"/>
      <c r="AM307" s="224"/>
      <c r="AN307" s="224"/>
      <c r="AO307" s="224"/>
      <c r="AP307" s="224"/>
      <c r="AQ307" s="224"/>
      <c r="AR307" s="224"/>
      <c r="AS307" s="224"/>
      <c r="AT307" s="224"/>
      <c r="AU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  <c r="AK308" s="224"/>
      <c r="AL308" s="224"/>
      <c r="AM308" s="224"/>
      <c r="AN308" s="224"/>
      <c r="AO308" s="224"/>
      <c r="AP308" s="224"/>
      <c r="AQ308" s="224"/>
      <c r="AR308" s="224"/>
      <c r="AS308" s="224"/>
      <c r="AT308" s="224"/>
      <c r="AU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  <c r="AK309" s="224"/>
      <c r="AL309" s="224"/>
      <c r="AM309" s="224"/>
      <c r="AN309" s="224"/>
      <c r="AO309" s="224"/>
      <c r="AP309" s="224"/>
      <c r="AQ309" s="224"/>
      <c r="AR309" s="224"/>
      <c r="AS309" s="224"/>
      <c r="AT309" s="224"/>
      <c r="AU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  <c r="AK310" s="224"/>
      <c r="AL310" s="224"/>
      <c r="AM310" s="224"/>
      <c r="AN310" s="224"/>
      <c r="AO310" s="224"/>
      <c r="AP310" s="224"/>
      <c r="AQ310" s="224"/>
      <c r="AR310" s="224"/>
      <c r="AS310" s="224"/>
      <c r="AT310" s="224"/>
      <c r="AU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  <c r="AK311" s="224"/>
      <c r="AL311" s="224"/>
      <c r="AM311" s="224"/>
      <c r="AN311" s="224"/>
      <c r="AO311" s="224"/>
      <c r="AP311" s="224"/>
      <c r="AQ311" s="224"/>
      <c r="AR311" s="224"/>
      <c r="AS311" s="224"/>
      <c r="AT311" s="224"/>
      <c r="AU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  <c r="AK312" s="224"/>
      <c r="AL312" s="224"/>
      <c r="AM312" s="224"/>
      <c r="AN312" s="224"/>
      <c r="AO312" s="224"/>
      <c r="AP312" s="224"/>
      <c r="AQ312" s="224"/>
      <c r="AR312" s="224"/>
      <c r="AS312" s="224"/>
      <c r="AT312" s="224"/>
      <c r="AU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  <c r="AK313" s="224"/>
      <c r="AL313" s="224"/>
      <c r="AM313" s="224"/>
      <c r="AN313" s="224"/>
      <c r="AO313" s="224"/>
      <c r="AP313" s="224"/>
      <c r="AQ313" s="224"/>
      <c r="AR313" s="224"/>
      <c r="AS313" s="224"/>
      <c r="AT313" s="224"/>
      <c r="AU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  <c r="AK314" s="224"/>
      <c r="AL314" s="224"/>
      <c r="AM314" s="224"/>
      <c r="AN314" s="224"/>
      <c r="AO314" s="224"/>
      <c r="AP314" s="224"/>
      <c r="AQ314" s="224"/>
      <c r="AR314" s="224"/>
      <c r="AS314" s="224"/>
      <c r="AT314" s="224"/>
      <c r="AU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4"/>
      <c r="AL315" s="224"/>
      <c r="AM315" s="224"/>
      <c r="AN315" s="224"/>
      <c r="AO315" s="224"/>
      <c r="AP315" s="224"/>
      <c r="AQ315" s="224"/>
      <c r="AR315" s="224"/>
      <c r="AS315" s="224"/>
      <c r="AT315" s="224"/>
      <c r="AU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24"/>
      <c r="AL316" s="224"/>
      <c r="AM316" s="224"/>
      <c r="AN316" s="224"/>
      <c r="AO316" s="224"/>
      <c r="AP316" s="224"/>
      <c r="AQ316" s="224"/>
      <c r="AR316" s="224"/>
      <c r="AS316" s="224"/>
      <c r="AT316" s="224"/>
      <c r="AU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  <c r="AK317" s="224"/>
      <c r="AL317" s="224"/>
      <c r="AM317" s="224"/>
      <c r="AN317" s="224"/>
      <c r="AO317" s="224"/>
      <c r="AP317" s="224"/>
      <c r="AQ317" s="224"/>
      <c r="AR317" s="224"/>
      <c r="AS317" s="224"/>
      <c r="AT317" s="224"/>
      <c r="AU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  <c r="AK318" s="224"/>
      <c r="AL318" s="224"/>
      <c r="AM318" s="224"/>
      <c r="AN318" s="224"/>
      <c r="AO318" s="224"/>
      <c r="AP318" s="224"/>
      <c r="AQ318" s="224"/>
      <c r="AR318" s="224"/>
      <c r="AS318" s="224"/>
      <c r="AT318" s="224"/>
      <c r="AU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  <c r="AK319" s="224"/>
      <c r="AL319" s="224"/>
      <c r="AM319" s="224"/>
      <c r="AN319" s="224"/>
      <c r="AO319" s="224"/>
      <c r="AP319" s="224"/>
      <c r="AQ319" s="224"/>
      <c r="AR319" s="224"/>
      <c r="AS319" s="224"/>
      <c r="AT319" s="224"/>
      <c r="AU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  <c r="AK320" s="224"/>
      <c r="AL320" s="224"/>
      <c r="AM320" s="224"/>
      <c r="AN320" s="224"/>
      <c r="AO320" s="224"/>
      <c r="AP320" s="224"/>
      <c r="AQ320" s="224"/>
      <c r="AR320" s="224"/>
      <c r="AS320" s="224"/>
      <c r="AT320" s="224"/>
      <c r="AU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  <c r="AM321" s="224"/>
      <c r="AN321" s="224"/>
      <c r="AO321" s="224"/>
      <c r="AP321" s="224"/>
      <c r="AQ321" s="224"/>
      <c r="AR321" s="224"/>
      <c r="AS321" s="224"/>
      <c r="AT321" s="224"/>
      <c r="AU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  <c r="AK322" s="224"/>
      <c r="AL322" s="224"/>
      <c r="AM322" s="224"/>
      <c r="AN322" s="224"/>
      <c r="AO322" s="224"/>
      <c r="AP322" s="224"/>
      <c r="AQ322" s="224"/>
      <c r="AR322" s="224"/>
      <c r="AS322" s="224"/>
      <c r="AT322" s="224"/>
      <c r="AU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  <c r="AM323" s="224"/>
      <c r="AN323" s="224"/>
      <c r="AO323" s="224"/>
      <c r="AP323" s="224"/>
      <c r="AQ323" s="224"/>
      <c r="AR323" s="224"/>
      <c r="AS323" s="224"/>
      <c r="AT323" s="224"/>
      <c r="AU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  <c r="AK324" s="224"/>
      <c r="AL324" s="224"/>
      <c r="AM324" s="224"/>
      <c r="AN324" s="224"/>
      <c r="AO324" s="224"/>
      <c r="AP324" s="224"/>
      <c r="AQ324" s="224"/>
      <c r="AR324" s="224"/>
      <c r="AS324" s="224"/>
      <c r="AT324" s="224"/>
      <c r="AU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  <c r="AK325" s="224"/>
      <c r="AL325" s="224"/>
      <c r="AM325" s="224"/>
      <c r="AN325" s="224"/>
      <c r="AO325" s="224"/>
      <c r="AP325" s="224"/>
      <c r="AQ325" s="224"/>
      <c r="AR325" s="224"/>
      <c r="AS325" s="224"/>
      <c r="AT325" s="224"/>
      <c r="AU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  <c r="AK326" s="224"/>
      <c r="AL326" s="224"/>
      <c r="AM326" s="224"/>
      <c r="AN326" s="224"/>
      <c r="AO326" s="224"/>
      <c r="AP326" s="224"/>
      <c r="AQ326" s="224"/>
      <c r="AR326" s="224"/>
      <c r="AS326" s="224"/>
      <c r="AT326" s="224"/>
      <c r="AU326" s="224"/>
    </row>
    <row r="327" ht="15.7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4"/>
      <c r="AL327" s="224"/>
      <c r="AM327" s="224"/>
      <c r="AN327" s="224"/>
      <c r="AO327" s="224"/>
      <c r="AP327" s="224"/>
      <c r="AQ327" s="224"/>
      <c r="AR327" s="224"/>
      <c r="AS327" s="224"/>
      <c r="AT327" s="224"/>
      <c r="AU327" s="224"/>
    </row>
    <row r="328" ht="15.7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24"/>
      <c r="AL328" s="224"/>
      <c r="AM328" s="224"/>
      <c r="AN328" s="224"/>
      <c r="AO328" s="224"/>
      <c r="AP328" s="224"/>
      <c r="AQ328" s="224"/>
      <c r="AR328" s="224"/>
      <c r="AS328" s="224"/>
      <c r="AT328" s="224"/>
      <c r="AU328" s="224"/>
    </row>
    <row r="329" ht="15.7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  <c r="AK329" s="224"/>
      <c r="AL329" s="224"/>
      <c r="AM329" s="224"/>
      <c r="AN329" s="224"/>
      <c r="AO329" s="224"/>
      <c r="AP329" s="224"/>
      <c r="AQ329" s="224"/>
      <c r="AR329" s="224"/>
      <c r="AS329" s="224"/>
      <c r="AT329" s="224"/>
      <c r="AU329" s="224"/>
    </row>
    <row r="330" ht="15.7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  <c r="AK330" s="224"/>
      <c r="AL330" s="224"/>
      <c r="AM330" s="224"/>
      <c r="AN330" s="224"/>
      <c r="AO330" s="224"/>
      <c r="AP330" s="224"/>
      <c r="AQ330" s="224"/>
      <c r="AR330" s="224"/>
      <c r="AS330" s="224"/>
      <c r="AT330" s="224"/>
      <c r="AU330" s="224"/>
    </row>
    <row r="331" ht="15.7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  <c r="AK331" s="224"/>
      <c r="AL331" s="224"/>
      <c r="AM331" s="224"/>
      <c r="AN331" s="224"/>
      <c r="AO331" s="224"/>
      <c r="AP331" s="224"/>
      <c r="AQ331" s="224"/>
      <c r="AR331" s="224"/>
      <c r="AS331" s="224"/>
      <c r="AT331" s="224"/>
      <c r="AU331" s="224"/>
    </row>
    <row r="332" ht="15.7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  <c r="AK332" s="224"/>
      <c r="AL332" s="224"/>
      <c r="AM332" s="224"/>
      <c r="AN332" s="224"/>
      <c r="AO332" s="224"/>
      <c r="AP332" s="224"/>
      <c r="AQ332" s="224"/>
      <c r="AR332" s="224"/>
      <c r="AS332" s="224"/>
      <c r="AT332" s="224"/>
      <c r="AU332" s="224"/>
    </row>
    <row r="333" ht="15.7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  <c r="AK333" s="224"/>
      <c r="AL333" s="224"/>
      <c r="AM333" s="224"/>
      <c r="AN333" s="224"/>
      <c r="AO333" s="224"/>
      <c r="AP333" s="224"/>
      <c r="AQ333" s="224"/>
      <c r="AR333" s="224"/>
      <c r="AS333" s="224"/>
      <c r="AT333" s="224"/>
      <c r="AU333" s="224"/>
    </row>
    <row r="334" ht="15.7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  <c r="AK334" s="224"/>
      <c r="AL334" s="224"/>
      <c r="AM334" s="224"/>
      <c r="AN334" s="224"/>
      <c r="AO334" s="224"/>
      <c r="AP334" s="224"/>
      <c r="AQ334" s="224"/>
      <c r="AR334" s="224"/>
      <c r="AS334" s="224"/>
      <c r="AT334" s="224"/>
      <c r="AU334" s="224"/>
    </row>
    <row r="335" ht="15.7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  <c r="AK335" s="224"/>
      <c r="AL335" s="224"/>
      <c r="AM335" s="224"/>
      <c r="AN335" s="224"/>
      <c r="AO335" s="224"/>
      <c r="AP335" s="224"/>
      <c r="AQ335" s="224"/>
      <c r="AR335" s="224"/>
      <c r="AS335" s="224"/>
      <c r="AT335" s="224"/>
      <c r="AU335" s="224"/>
    </row>
    <row r="336" ht="15.7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  <c r="AK336" s="224"/>
      <c r="AL336" s="224"/>
      <c r="AM336" s="224"/>
      <c r="AN336" s="224"/>
      <c r="AO336" s="224"/>
      <c r="AP336" s="224"/>
      <c r="AQ336" s="224"/>
      <c r="AR336" s="224"/>
      <c r="AS336" s="224"/>
      <c r="AT336" s="224"/>
      <c r="AU336" s="224"/>
    </row>
    <row r="337" ht="15.7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  <c r="AK337" s="224"/>
      <c r="AL337" s="224"/>
      <c r="AM337" s="224"/>
      <c r="AN337" s="224"/>
      <c r="AO337" s="224"/>
      <c r="AP337" s="224"/>
      <c r="AQ337" s="224"/>
      <c r="AR337" s="224"/>
      <c r="AS337" s="224"/>
      <c r="AT337" s="224"/>
      <c r="AU337" s="224"/>
    </row>
    <row r="338" ht="15.7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  <c r="AK338" s="224"/>
      <c r="AL338" s="224"/>
      <c r="AM338" s="224"/>
      <c r="AN338" s="224"/>
      <c r="AO338" s="224"/>
      <c r="AP338" s="224"/>
      <c r="AQ338" s="224"/>
      <c r="AR338" s="224"/>
      <c r="AS338" s="224"/>
      <c r="AT338" s="224"/>
      <c r="AU338" s="224"/>
    </row>
    <row r="339" ht="15.7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4"/>
      <c r="AL339" s="224"/>
      <c r="AM339" s="224"/>
      <c r="AN339" s="224"/>
      <c r="AO339" s="224"/>
      <c r="AP339" s="224"/>
      <c r="AQ339" s="224"/>
      <c r="AR339" s="224"/>
      <c r="AS339" s="224"/>
      <c r="AT339" s="224"/>
      <c r="AU339" s="224"/>
    </row>
    <row r="340" ht="15.7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24"/>
      <c r="AL340" s="224"/>
      <c r="AM340" s="224"/>
      <c r="AN340" s="224"/>
      <c r="AO340" s="224"/>
      <c r="AP340" s="224"/>
      <c r="AQ340" s="224"/>
      <c r="AR340" s="224"/>
      <c r="AS340" s="224"/>
      <c r="AT340" s="224"/>
      <c r="AU340" s="224"/>
    </row>
    <row r="341" ht="15.7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  <c r="AK341" s="224"/>
      <c r="AL341" s="224"/>
      <c r="AM341" s="224"/>
      <c r="AN341" s="224"/>
      <c r="AO341" s="224"/>
      <c r="AP341" s="224"/>
      <c r="AQ341" s="224"/>
      <c r="AR341" s="224"/>
      <c r="AS341" s="224"/>
      <c r="AT341" s="224"/>
      <c r="AU341" s="224"/>
    </row>
    <row r="342" ht="15.7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  <c r="AK342" s="224"/>
      <c r="AL342" s="224"/>
      <c r="AM342" s="224"/>
      <c r="AN342" s="224"/>
      <c r="AO342" s="224"/>
      <c r="AP342" s="224"/>
      <c r="AQ342" s="224"/>
      <c r="AR342" s="224"/>
      <c r="AS342" s="224"/>
      <c r="AT342" s="224"/>
      <c r="AU342" s="224"/>
    </row>
    <row r="343" ht="15.7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  <c r="AK343" s="224"/>
      <c r="AL343" s="224"/>
      <c r="AM343" s="224"/>
      <c r="AN343" s="224"/>
      <c r="AO343" s="224"/>
      <c r="AP343" s="224"/>
      <c r="AQ343" s="224"/>
      <c r="AR343" s="224"/>
      <c r="AS343" s="224"/>
      <c r="AT343" s="224"/>
      <c r="AU343" s="224"/>
    </row>
    <row r="344" ht="15.7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  <c r="AF344" s="224"/>
      <c r="AG344" s="224"/>
      <c r="AH344" s="224"/>
      <c r="AI344" s="224"/>
      <c r="AJ344" s="224"/>
      <c r="AK344" s="224"/>
      <c r="AL344" s="224"/>
      <c r="AM344" s="224"/>
      <c r="AN344" s="224"/>
      <c r="AO344" s="224"/>
      <c r="AP344" s="224"/>
      <c r="AQ344" s="224"/>
      <c r="AR344" s="224"/>
      <c r="AS344" s="224"/>
      <c r="AT344" s="224"/>
      <c r="AU344" s="224"/>
    </row>
    <row r="345" ht="15.7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  <c r="AF345" s="224"/>
      <c r="AG345" s="224"/>
      <c r="AH345" s="224"/>
      <c r="AI345" s="224"/>
      <c r="AJ345" s="224"/>
      <c r="AK345" s="224"/>
      <c r="AL345" s="224"/>
      <c r="AM345" s="224"/>
      <c r="AN345" s="224"/>
      <c r="AO345" s="224"/>
      <c r="AP345" s="224"/>
      <c r="AQ345" s="224"/>
      <c r="AR345" s="224"/>
      <c r="AS345" s="224"/>
      <c r="AT345" s="224"/>
      <c r="AU345" s="224"/>
    </row>
    <row r="346" ht="15.7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  <c r="AC346" s="224"/>
      <c r="AD346" s="224"/>
      <c r="AE346" s="224"/>
      <c r="AF346" s="224"/>
      <c r="AG346" s="224"/>
      <c r="AH346" s="224"/>
      <c r="AI346" s="224"/>
      <c r="AJ346" s="224"/>
      <c r="AK346" s="224"/>
      <c r="AL346" s="224"/>
      <c r="AM346" s="224"/>
      <c r="AN346" s="224"/>
      <c r="AO346" s="224"/>
      <c r="AP346" s="224"/>
      <c r="AQ346" s="224"/>
      <c r="AR346" s="224"/>
      <c r="AS346" s="224"/>
      <c r="AT346" s="224"/>
      <c r="AU346" s="224"/>
    </row>
    <row r="347" ht="15.7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  <c r="AF347" s="224"/>
      <c r="AG347" s="224"/>
      <c r="AH347" s="224"/>
      <c r="AI347" s="224"/>
      <c r="AJ347" s="224"/>
      <c r="AK347" s="224"/>
      <c r="AL347" s="224"/>
      <c r="AM347" s="224"/>
      <c r="AN347" s="224"/>
      <c r="AO347" s="224"/>
      <c r="AP347" s="224"/>
      <c r="AQ347" s="224"/>
      <c r="AR347" s="224"/>
      <c r="AS347" s="224"/>
      <c r="AT347" s="224"/>
      <c r="AU347" s="224"/>
    </row>
    <row r="348" ht="15.7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  <c r="AC348" s="224"/>
      <c r="AD348" s="224"/>
      <c r="AE348" s="224"/>
      <c r="AF348" s="224"/>
      <c r="AG348" s="224"/>
      <c r="AH348" s="224"/>
      <c r="AI348" s="224"/>
      <c r="AJ348" s="224"/>
      <c r="AK348" s="224"/>
      <c r="AL348" s="224"/>
      <c r="AM348" s="224"/>
      <c r="AN348" s="224"/>
      <c r="AO348" s="224"/>
      <c r="AP348" s="224"/>
      <c r="AQ348" s="224"/>
      <c r="AR348" s="224"/>
      <c r="AS348" s="224"/>
      <c r="AT348" s="224"/>
      <c r="AU348" s="224"/>
    </row>
    <row r="349" ht="15.7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  <c r="AC349" s="224"/>
      <c r="AD349" s="224"/>
      <c r="AE349" s="224"/>
      <c r="AF349" s="224"/>
      <c r="AG349" s="224"/>
      <c r="AH349" s="224"/>
      <c r="AI349" s="224"/>
      <c r="AJ349" s="224"/>
      <c r="AK349" s="224"/>
      <c r="AL349" s="224"/>
      <c r="AM349" s="224"/>
      <c r="AN349" s="224"/>
      <c r="AO349" s="224"/>
      <c r="AP349" s="224"/>
      <c r="AQ349" s="224"/>
      <c r="AR349" s="224"/>
      <c r="AS349" s="224"/>
      <c r="AT349" s="224"/>
      <c r="AU349" s="224"/>
    </row>
    <row r="350" ht="15.7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  <c r="AF350" s="224"/>
      <c r="AG350" s="224"/>
      <c r="AH350" s="224"/>
      <c r="AI350" s="224"/>
      <c r="AJ350" s="224"/>
      <c r="AK350" s="224"/>
      <c r="AL350" s="224"/>
      <c r="AM350" s="224"/>
      <c r="AN350" s="224"/>
      <c r="AO350" s="224"/>
      <c r="AP350" s="224"/>
      <c r="AQ350" s="224"/>
      <c r="AR350" s="224"/>
      <c r="AS350" s="224"/>
      <c r="AT350" s="224"/>
      <c r="AU350" s="224"/>
    </row>
    <row r="351" ht="15.7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  <c r="AK351" s="224"/>
      <c r="AL351" s="224"/>
      <c r="AM351" s="224"/>
      <c r="AN351" s="224"/>
      <c r="AO351" s="224"/>
      <c r="AP351" s="224"/>
      <c r="AQ351" s="224"/>
      <c r="AR351" s="224"/>
      <c r="AS351" s="224"/>
      <c r="AT351" s="224"/>
      <c r="AU351" s="224"/>
    </row>
    <row r="352" ht="15.7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  <c r="AF352" s="224"/>
      <c r="AG352" s="224"/>
      <c r="AH352" s="224"/>
      <c r="AI352" s="224"/>
      <c r="AJ352" s="224"/>
      <c r="AK352" s="224"/>
      <c r="AL352" s="224"/>
      <c r="AM352" s="224"/>
      <c r="AN352" s="224"/>
      <c r="AO352" s="224"/>
      <c r="AP352" s="224"/>
      <c r="AQ352" s="224"/>
      <c r="AR352" s="224"/>
      <c r="AS352" s="224"/>
      <c r="AT352" s="224"/>
      <c r="AU352" s="224"/>
    </row>
    <row r="353" ht="15.7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  <c r="AC353" s="224"/>
      <c r="AD353" s="224"/>
      <c r="AE353" s="224"/>
      <c r="AF353" s="224"/>
      <c r="AG353" s="224"/>
      <c r="AH353" s="224"/>
      <c r="AI353" s="224"/>
      <c r="AJ353" s="224"/>
      <c r="AK353" s="224"/>
      <c r="AL353" s="224"/>
      <c r="AM353" s="224"/>
      <c r="AN353" s="224"/>
      <c r="AO353" s="224"/>
      <c r="AP353" s="224"/>
      <c r="AQ353" s="224"/>
      <c r="AR353" s="224"/>
      <c r="AS353" s="224"/>
      <c r="AT353" s="224"/>
      <c r="AU353" s="224"/>
    </row>
    <row r="354" ht="15.7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  <c r="AF354" s="224"/>
      <c r="AG354" s="224"/>
      <c r="AH354" s="224"/>
      <c r="AI354" s="224"/>
      <c r="AJ354" s="224"/>
      <c r="AK354" s="224"/>
      <c r="AL354" s="224"/>
      <c r="AM354" s="224"/>
      <c r="AN354" s="224"/>
      <c r="AO354" s="224"/>
      <c r="AP354" s="224"/>
      <c r="AQ354" s="224"/>
      <c r="AR354" s="224"/>
      <c r="AS354" s="224"/>
      <c r="AT354" s="224"/>
      <c r="AU354" s="224"/>
    </row>
    <row r="355" ht="15.7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  <c r="AC355" s="224"/>
      <c r="AD355" s="224"/>
      <c r="AE355" s="224"/>
      <c r="AF355" s="224"/>
      <c r="AG355" s="224"/>
      <c r="AH355" s="224"/>
      <c r="AI355" s="224"/>
      <c r="AJ355" s="224"/>
      <c r="AK355" s="224"/>
      <c r="AL355" s="224"/>
      <c r="AM355" s="224"/>
      <c r="AN355" s="224"/>
      <c r="AO355" s="224"/>
      <c r="AP355" s="224"/>
      <c r="AQ355" s="224"/>
      <c r="AR355" s="224"/>
      <c r="AS355" s="224"/>
      <c r="AT355" s="224"/>
      <c r="AU355" s="224"/>
    </row>
    <row r="356" ht="15.7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224"/>
      <c r="AH356" s="224"/>
      <c r="AI356" s="224"/>
      <c r="AJ356" s="224"/>
      <c r="AK356" s="224"/>
      <c r="AL356" s="224"/>
      <c r="AM356" s="224"/>
      <c r="AN356" s="224"/>
      <c r="AO356" s="224"/>
      <c r="AP356" s="224"/>
      <c r="AQ356" s="224"/>
      <c r="AR356" s="224"/>
      <c r="AS356" s="224"/>
      <c r="AT356" s="224"/>
      <c r="AU356" s="224"/>
    </row>
    <row r="357" ht="15.7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  <c r="AF357" s="224"/>
      <c r="AG357" s="224"/>
      <c r="AH357" s="224"/>
      <c r="AI357" s="224"/>
      <c r="AJ357" s="224"/>
      <c r="AK357" s="224"/>
      <c r="AL357" s="224"/>
      <c r="AM357" s="224"/>
      <c r="AN357" s="224"/>
      <c r="AO357" s="224"/>
      <c r="AP357" s="224"/>
      <c r="AQ357" s="224"/>
      <c r="AR357" s="224"/>
      <c r="AS357" s="224"/>
      <c r="AT357" s="224"/>
      <c r="AU357" s="224"/>
    </row>
    <row r="358" ht="15.7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  <c r="AC358" s="224"/>
      <c r="AD358" s="224"/>
      <c r="AE358" s="224"/>
      <c r="AF358" s="224"/>
      <c r="AG358" s="224"/>
      <c r="AH358" s="224"/>
      <c r="AI358" s="224"/>
      <c r="AJ358" s="224"/>
      <c r="AK358" s="224"/>
      <c r="AL358" s="224"/>
      <c r="AM358" s="224"/>
      <c r="AN358" s="224"/>
      <c r="AO358" s="224"/>
      <c r="AP358" s="224"/>
      <c r="AQ358" s="224"/>
      <c r="AR358" s="224"/>
      <c r="AS358" s="224"/>
      <c r="AT358" s="224"/>
      <c r="AU358" s="224"/>
    </row>
    <row r="359" ht="15.7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  <c r="AF359" s="224"/>
      <c r="AG359" s="224"/>
      <c r="AH359" s="224"/>
      <c r="AI359" s="224"/>
      <c r="AJ359" s="224"/>
      <c r="AK359" s="224"/>
      <c r="AL359" s="224"/>
      <c r="AM359" s="224"/>
      <c r="AN359" s="224"/>
      <c r="AO359" s="224"/>
      <c r="AP359" s="224"/>
      <c r="AQ359" s="224"/>
      <c r="AR359" s="224"/>
      <c r="AS359" s="224"/>
      <c r="AT359" s="224"/>
      <c r="AU359" s="224"/>
    </row>
    <row r="360" ht="15.7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  <c r="AF360" s="224"/>
      <c r="AG360" s="224"/>
      <c r="AH360" s="224"/>
      <c r="AI360" s="224"/>
      <c r="AJ360" s="224"/>
      <c r="AK360" s="224"/>
      <c r="AL360" s="224"/>
      <c r="AM360" s="224"/>
      <c r="AN360" s="224"/>
      <c r="AO360" s="224"/>
      <c r="AP360" s="224"/>
      <c r="AQ360" s="224"/>
      <c r="AR360" s="224"/>
      <c r="AS360" s="224"/>
      <c r="AT360" s="224"/>
      <c r="AU360" s="224"/>
    </row>
    <row r="361" ht="15.7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  <c r="AF361" s="224"/>
      <c r="AG361" s="224"/>
      <c r="AH361" s="224"/>
      <c r="AI361" s="224"/>
      <c r="AJ361" s="224"/>
      <c r="AK361" s="224"/>
      <c r="AL361" s="224"/>
      <c r="AM361" s="224"/>
      <c r="AN361" s="224"/>
      <c r="AO361" s="224"/>
      <c r="AP361" s="224"/>
      <c r="AQ361" s="224"/>
      <c r="AR361" s="224"/>
      <c r="AS361" s="224"/>
      <c r="AT361" s="224"/>
      <c r="AU361" s="224"/>
    </row>
    <row r="362" ht="15.7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  <c r="AC362" s="224"/>
      <c r="AD362" s="224"/>
      <c r="AE362" s="224"/>
      <c r="AF362" s="224"/>
      <c r="AG362" s="224"/>
      <c r="AH362" s="224"/>
      <c r="AI362" s="224"/>
      <c r="AJ362" s="224"/>
      <c r="AK362" s="224"/>
      <c r="AL362" s="224"/>
      <c r="AM362" s="224"/>
      <c r="AN362" s="224"/>
      <c r="AO362" s="224"/>
      <c r="AP362" s="224"/>
      <c r="AQ362" s="224"/>
      <c r="AR362" s="224"/>
      <c r="AS362" s="224"/>
      <c r="AT362" s="224"/>
      <c r="AU362" s="224"/>
    </row>
    <row r="363" ht="15.7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  <c r="AK363" s="224"/>
      <c r="AL363" s="224"/>
      <c r="AM363" s="224"/>
      <c r="AN363" s="224"/>
      <c r="AO363" s="224"/>
      <c r="AP363" s="224"/>
      <c r="AQ363" s="224"/>
      <c r="AR363" s="224"/>
      <c r="AS363" s="224"/>
      <c r="AT363" s="224"/>
      <c r="AU363" s="224"/>
    </row>
    <row r="364" ht="15.7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  <c r="AC364" s="224"/>
      <c r="AD364" s="224"/>
      <c r="AE364" s="224"/>
      <c r="AF364" s="224"/>
      <c r="AG364" s="224"/>
      <c r="AH364" s="224"/>
      <c r="AI364" s="224"/>
      <c r="AJ364" s="224"/>
      <c r="AK364" s="224"/>
      <c r="AL364" s="224"/>
      <c r="AM364" s="224"/>
      <c r="AN364" s="224"/>
      <c r="AO364" s="224"/>
      <c r="AP364" s="224"/>
      <c r="AQ364" s="224"/>
      <c r="AR364" s="224"/>
      <c r="AS364" s="224"/>
      <c r="AT364" s="224"/>
      <c r="AU364" s="224"/>
    </row>
    <row r="365" ht="15.7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  <c r="AC365" s="224"/>
      <c r="AD365" s="224"/>
      <c r="AE365" s="224"/>
      <c r="AF365" s="224"/>
      <c r="AG365" s="224"/>
      <c r="AH365" s="224"/>
      <c r="AI365" s="224"/>
      <c r="AJ365" s="224"/>
      <c r="AK365" s="224"/>
      <c r="AL365" s="224"/>
      <c r="AM365" s="224"/>
      <c r="AN365" s="224"/>
      <c r="AO365" s="224"/>
      <c r="AP365" s="224"/>
      <c r="AQ365" s="224"/>
      <c r="AR365" s="224"/>
      <c r="AS365" s="224"/>
      <c r="AT365" s="224"/>
      <c r="AU365" s="224"/>
    </row>
    <row r="366" ht="15.7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  <c r="AC366" s="224"/>
      <c r="AD366" s="224"/>
      <c r="AE366" s="224"/>
      <c r="AF366" s="224"/>
      <c r="AG366" s="224"/>
      <c r="AH366" s="224"/>
      <c r="AI366" s="224"/>
      <c r="AJ366" s="224"/>
      <c r="AK366" s="224"/>
      <c r="AL366" s="224"/>
      <c r="AM366" s="224"/>
      <c r="AN366" s="224"/>
      <c r="AO366" s="224"/>
      <c r="AP366" s="224"/>
      <c r="AQ366" s="224"/>
      <c r="AR366" s="224"/>
      <c r="AS366" s="224"/>
      <c r="AT366" s="224"/>
      <c r="AU366" s="224"/>
    </row>
    <row r="367" ht="15.7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  <c r="AF367" s="224"/>
      <c r="AG367" s="224"/>
      <c r="AH367" s="224"/>
      <c r="AI367" s="224"/>
      <c r="AJ367" s="224"/>
      <c r="AK367" s="224"/>
      <c r="AL367" s="224"/>
      <c r="AM367" s="224"/>
      <c r="AN367" s="224"/>
      <c r="AO367" s="224"/>
      <c r="AP367" s="224"/>
      <c r="AQ367" s="224"/>
      <c r="AR367" s="224"/>
      <c r="AS367" s="224"/>
      <c r="AT367" s="224"/>
      <c r="AU367" s="224"/>
    </row>
    <row r="368" ht="15.7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  <c r="AC368" s="224"/>
      <c r="AD368" s="224"/>
      <c r="AE368" s="224"/>
      <c r="AF368" s="224"/>
      <c r="AG368" s="224"/>
      <c r="AH368" s="224"/>
      <c r="AI368" s="224"/>
      <c r="AJ368" s="224"/>
      <c r="AK368" s="224"/>
      <c r="AL368" s="224"/>
      <c r="AM368" s="224"/>
      <c r="AN368" s="224"/>
      <c r="AO368" s="224"/>
      <c r="AP368" s="224"/>
      <c r="AQ368" s="224"/>
      <c r="AR368" s="224"/>
      <c r="AS368" s="224"/>
      <c r="AT368" s="224"/>
      <c r="AU368" s="224"/>
    </row>
    <row r="369" ht="15.7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  <c r="AC369" s="224"/>
      <c r="AD369" s="224"/>
      <c r="AE369" s="224"/>
      <c r="AF369" s="224"/>
      <c r="AG369" s="224"/>
      <c r="AH369" s="224"/>
      <c r="AI369" s="224"/>
      <c r="AJ369" s="224"/>
      <c r="AK369" s="224"/>
      <c r="AL369" s="224"/>
      <c r="AM369" s="224"/>
      <c r="AN369" s="224"/>
      <c r="AO369" s="224"/>
      <c r="AP369" s="224"/>
      <c r="AQ369" s="224"/>
      <c r="AR369" s="224"/>
      <c r="AS369" s="224"/>
      <c r="AT369" s="224"/>
      <c r="AU369" s="224"/>
    </row>
    <row r="370" ht="15.7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  <c r="AF370" s="224"/>
      <c r="AG370" s="224"/>
      <c r="AH370" s="224"/>
      <c r="AI370" s="224"/>
      <c r="AJ370" s="224"/>
      <c r="AK370" s="224"/>
      <c r="AL370" s="224"/>
      <c r="AM370" s="224"/>
      <c r="AN370" s="224"/>
      <c r="AO370" s="224"/>
      <c r="AP370" s="224"/>
      <c r="AQ370" s="224"/>
      <c r="AR370" s="224"/>
      <c r="AS370" s="224"/>
      <c r="AT370" s="224"/>
      <c r="AU370" s="224"/>
    </row>
    <row r="371" ht="15.7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  <c r="AF371" s="224"/>
      <c r="AG371" s="224"/>
      <c r="AH371" s="224"/>
      <c r="AI371" s="224"/>
      <c r="AJ371" s="224"/>
      <c r="AK371" s="224"/>
      <c r="AL371" s="224"/>
      <c r="AM371" s="224"/>
      <c r="AN371" s="224"/>
      <c r="AO371" s="224"/>
      <c r="AP371" s="224"/>
      <c r="AQ371" s="224"/>
      <c r="AR371" s="224"/>
      <c r="AS371" s="224"/>
      <c r="AT371" s="224"/>
      <c r="AU371" s="224"/>
    </row>
    <row r="372" ht="15.7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  <c r="AC372" s="224"/>
      <c r="AD372" s="224"/>
      <c r="AE372" s="224"/>
      <c r="AF372" s="224"/>
      <c r="AG372" s="224"/>
      <c r="AH372" s="224"/>
      <c r="AI372" s="224"/>
      <c r="AJ372" s="224"/>
      <c r="AK372" s="224"/>
      <c r="AL372" s="224"/>
      <c r="AM372" s="224"/>
      <c r="AN372" s="224"/>
      <c r="AO372" s="224"/>
      <c r="AP372" s="224"/>
      <c r="AQ372" s="224"/>
      <c r="AR372" s="224"/>
      <c r="AS372" s="224"/>
      <c r="AT372" s="224"/>
      <c r="AU372" s="224"/>
    </row>
    <row r="373" ht="15.7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  <c r="AC373" s="224"/>
      <c r="AD373" s="224"/>
      <c r="AE373" s="224"/>
      <c r="AF373" s="224"/>
      <c r="AG373" s="224"/>
      <c r="AH373" s="224"/>
      <c r="AI373" s="224"/>
      <c r="AJ373" s="224"/>
      <c r="AK373" s="224"/>
      <c r="AL373" s="224"/>
      <c r="AM373" s="224"/>
      <c r="AN373" s="224"/>
      <c r="AO373" s="224"/>
      <c r="AP373" s="224"/>
      <c r="AQ373" s="224"/>
      <c r="AR373" s="224"/>
      <c r="AS373" s="224"/>
      <c r="AT373" s="224"/>
      <c r="AU373" s="224"/>
    </row>
    <row r="374" ht="15.7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  <c r="AC374" s="224"/>
      <c r="AD374" s="224"/>
      <c r="AE374" s="224"/>
      <c r="AF374" s="224"/>
      <c r="AG374" s="224"/>
      <c r="AH374" s="224"/>
      <c r="AI374" s="224"/>
      <c r="AJ374" s="224"/>
      <c r="AK374" s="224"/>
      <c r="AL374" s="224"/>
      <c r="AM374" s="224"/>
      <c r="AN374" s="224"/>
      <c r="AO374" s="224"/>
      <c r="AP374" s="224"/>
      <c r="AQ374" s="224"/>
      <c r="AR374" s="224"/>
      <c r="AS374" s="224"/>
      <c r="AT374" s="224"/>
      <c r="AU374" s="224"/>
    </row>
    <row r="375" ht="15.7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  <c r="AK375" s="224"/>
      <c r="AL375" s="224"/>
      <c r="AM375" s="224"/>
      <c r="AN375" s="224"/>
      <c r="AO375" s="224"/>
      <c r="AP375" s="224"/>
      <c r="AQ375" s="224"/>
      <c r="AR375" s="224"/>
      <c r="AS375" s="224"/>
      <c r="AT375" s="224"/>
      <c r="AU375" s="224"/>
    </row>
    <row r="376" ht="15.7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24"/>
      <c r="AL376" s="224"/>
      <c r="AM376" s="224"/>
      <c r="AN376" s="224"/>
      <c r="AO376" s="224"/>
      <c r="AP376" s="224"/>
      <c r="AQ376" s="224"/>
      <c r="AR376" s="224"/>
      <c r="AS376" s="224"/>
      <c r="AT376" s="224"/>
      <c r="AU376" s="224"/>
    </row>
    <row r="377" ht="15.7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  <c r="AF377" s="224"/>
      <c r="AG377" s="224"/>
      <c r="AH377" s="224"/>
      <c r="AI377" s="224"/>
      <c r="AJ377" s="224"/>
      <c r="AK377" s="224"/>
      <c r="AL377" s="224"/>
      <c r="AM377" s="224"/>
      <c r="AN377" s="224"/>
      <c r="AO377" s="224"/>
      <c r="AP377" s="224"/>
      <c r="AQ377" s="224"/>
      <c r="AR377" s="224"/>
      <c r="AS377" s="224"/>
      <c r="AT377" s="224"/>
      <c r="AU377" s="224"/>
    </row>
    <row r="378" ht="15.7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  <c r="AC378" s="224"/>
      <c r="AD378" s="224"/>
      <c r="AE378" s="224"/>
      <c r="AF378" s="224"/>
      <c r="AG378" s="224"/>
      <c r="AH378" s="224"/>
      <c r="AI378" s="224"/>
      <c r="AJ378" s="224"/>
      <c r="AK378" s="224"/>
      <c r="AL378" s="224"/>
      <c r="AM378" s="224"/>
      <c r="AN378" s="224"/>
      <c r="AO378" s="224"/>
      <c r="AP378" s="224"/>
      <c r="AQ378" s="224"/>
      <c r="AR378" s="224"/>
      <c r="AS378" s="224"/>
      <c r="AT378" s="224"/>
      <c r="AU378" s="224"/>
    </row>
    <row r="379" ht="15.7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  <c r="AC379" s="224"/>
      <c r="AD379" s="224"/>
      <c r="AE379" s="224"/>
      <c r="AF379" s="224"/>
      <c r="AG379" s="224"/>
      <c r="AH379" s="224"/>
      <c r="AI379" s="224"/>
      <c r="AJ379" s="224"/>
      <c r="AK379" s="224"/>
      <c r="AL379" s="224"/>
      <c r="AM379" s="224"/>
      <c r="AN379" s="224"/>
      <c r="AO379" s="224"/>
      <c r="AP379" s="224"/>
      <c r="AQ379" s="224"/>
      <c r="AR379" s="224"/>
      <c r="AS379" s="224"/>
      <c r="AT379" s="224"/>
      <c r="AU379" s="224"/>
    </row>
    <row r="380" ht="15.7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  <c r="AF380" s="224"/>
      <c r="AG380" s="224"/>
      <c r="AH380" s="224"/>
      <c r="AI380" s="224"/>
      <c r="AJ380" s="224"/>
      <c r="AK380" s="224"/>
      <c r="AL380" s="224"/>
      <c r="AM380" s="224"/>
      <c r="AN380" s="224"/>
      <c r="AO380" s="224"/>
      <c r="AP380" s="224"/>
      <c r="AQ380" s="224"/>
      <c r="AR380" s="224"/>
      <c r="AS380" s="224"/>
      <c r="AT380" s="224"/>
      <c r="AU380" s="224"/>
    </row>
    <row r="381" ht="15.7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  <c r="AF381" s="224"/>
      <c r="AG381" s="224"/>
      <c r="AH381" s="224"/>
      <c r="AI381" s="224"/>
      <c r="AJ381" s="224"/>
      <c r="AK381" s="224"/>
      <c r="AL381" s="224"/>
      <c r="AM381" s="224"/>
      <c r="AN381" s="224"/>
      <c r="AO381" s="224"/>
      <c r="AP381" s="224"/>
      <c r="AQ381" s="224"/>
      <c r="AR381" s="224"/>
      <c r="AS381" s="224"/>
      <c r="AT381" s="224"/>
      <c r="AU381" s="224"/>
    </row>
    <row r="382" ht="15.7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  <c r="AF382" s="224"/>
      <c r="AG382" s="224"/>
      <c r="AH382" s="224"/>
      <c r="AI382" s="224"/>
      <c r="AJ382" s="224"/>
      <c r="AK382" s="224"/>
      <c r="AL382" s="224"/>
      <c r="AM382" s="224"/>
      <c r="AN382" s="224"/>
      <c r="AO382" s="224"/>
      <c r="AP382" s="224"/>
      <c r="AQ382" s="224"/>
      <c r="AR382" s="224"/>
      <c r="AS382" s="224"/>
      <c r="AT382" s="224"/>
      <c r="AU382" s="224"/>
    </row>
    <row r="383" ht="15.7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  <c r="AC383" s="224"/>
      <c r="AD383" s="224"/>
      <c r="AE383" s="224"/>
      <c r="AF383" s="224"/>
      <c r="AG383" s="224"/>
      <c r="AH383" s="224"/>
      <c r="AI383" s="224"/>
      <c r="AJ383" s="224"/>
      <c r="AK383" s="224"/>
      <c r="AL383" s="224"/>
      <c r="AM383" s="224"/>
      <c r="AN383" s="224"/>
      <c r="AO383" s="224"/>
      <c r="AP383" s="224"/>
      <c r="AQ383" s="224"/>
      <c r="AR383" s="224"/>
      <c r="AS383" s="224"/>
      <c r="AT383" s="224"/>
      <c r="AU383" s="224"/>
    </row>
    <row r="384" ht="15.7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  <c r="AF384" s="224"/>
      <c r="AG384" s="224"/>
      <c r="AH384" s="224"/>
      <c r="AI384" s="224"/>
      <c r="AJ384" s="224"/>
      <c r="AK384" s="224"/>
      <c r="AL384" s="224"/>
      <c r="AM384" s="224"/>
      <c r="AN384" s="224"/>
      <c r="AO384" s="224"/>
      <c r="AP384" s="224"/>
      <c r="AQ384" s="224"/>
      <c r="AR384" s="224"/>
      <c r="AS384" s="224"/>
      <c r="AT384" s="224"/>
      <c r="AU384" s="224"/>
    </row>
    <row r="385" ht="15.7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  <c r="AF385" s="224"/>
      <c r="AG385" s="224"/>
      <c r="AH385" s="224"/>
      <c r="AI385" s="224"/>
      <c r="AJ385" s="224"/>
      <c r="AK385" s="224"/>
      <c r="AL385" s="224"/>
      <c r="AM385" s="224"/>
      <c r="AN385" s="224"/>
      <c r="AO385" s="224"/>
      <c r="AP385" s="224"/>
      <c r="AQ385" s="224"/>
      <c r="AR385" s="224"/>
      <c r="AS385" s="224"/>
      <c r="AT385" s="224"/>
      <c r="AU385" s="224"/>
    </row>
    <row r="386" ht="15.7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  <c r="AF386" s="224"/>
      <c r="AG386" s="224"/>
      <c r="AH386" s="224"/>
      <c r="AI386" s="224"/>
      <c r="AJ386" s="224"/>
      <c r="AK386" s="224"/>
      <c r="AL386" s="224"/>
      <c r="AM386" s="224"/>
      <c r="AN386" s="224"/>
      <c r="AO386" s="224"/>
      <c r="AP386" s="224"/>
      <c r="AQ386" s="224"/>
      <c r="AR386" s="224"/>
      <c r="AS386" s="224"/>
      <c r="AT386" s="224"/>
      <c r="AU386" s="224"/>
    </row>
    <row r="387" ht="15.7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  <c r="AK387" s="224"/>
      <c r="AL387" s="224"/>
      <c r="AM387" s="224"/>
      <c r="AN387" s="224"/>
      <c r="AO387" s="224"/>
      <c r="AP387" s="224"/>
      <c r="AQ387" s="224"/>
      <c r="AR387" s="224"/>
      <c r="AS387" s="224"/>
      <c r="AT387" s="224"/>
      <c r="AU387" s="224"/>
    </row>
    <row r="388" ht="15.7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  <c r="AC388" s="224"/>
      <c r="AD388" s="224"/>
      <c r="AE388" s="224"/>
      <c r="AF388" s="224"/>
      <c r="AG388" s="224"/>
      <c r="AH388" s="224"/>
      <c r="AI388" s="224"/>
      <c r="AJ388" s="224"/>
      <c r="AK388" s="224"/>
      <c r="AL388" s="224"/>
      <c r="AM388" s="224"/>
      <c r="AN388" s="224"/>
      <c r="AO388" s="224"/>
      <c r="AP388" s="224"/>
      <c r="AQ388" s="224"/>
      <c r="AR388" s="224"/>
      <c r="AS388" s="224"/>
      <c r="AT388" s="224"/>
      <c r="AU388" s="224"/>
    </row>
    <row r="389" ht="15.7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4"/>
      <c r="AG389" s="224"/>
      <c r="AH389" s="224"/>
      <c r="AI389" s="224"/>
      <c r="AJ389" s="224"/>
      <c r="AK389" s="224"/>
      <c r="AL389" s="224"/>
      <c r="AM389" s="224"/>
      <c r="AN389" s="224"/>
      <c r="AO389" s="224"/>
      <c r="AP389" s="224"/>
      <c r="AQ389" s="224"/>
      <c r="AR389" s="224"/>
      <c r="AS389" s="224"/>
      <c r="AT389" s="224"/>
      <c r="AU389" s="224"/>
    </row>
    <row r="390" ht="15.7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4"/>
      <c r="AG390" s="224"/>
      <c r="AH390" s="224"/>
      <c r="AI390" s="224"/>
      <c r="AJ390" s="224"/>
      <c r="AK390" s="224"/>
      <c r="AL390" s="224"/>
      <c r="AM390" s="224"/>
      <c r="AN390" s="224"/>
      <c r="AO390" s="224"/>
      <c r="AP390" s="224"/>
      <c r="AQ390" s="224"/>
      <c r="AR390" s="224"/>
      <c r="AS390" s="224"/>
      <c r="AT390" s="224"/>
      <c r="AU390" s="224"/>
    </row>
    <row r="391" ht="15.7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4"/>
      <c r="AG391" s="224"/>
      <c r="AH391" s="224"/>
      <c r="AI391" s="224"/>
      <c r="AJ391" s="224"/>
      <c r="AK391" s="224"/>
      <c r="AL391" s="224"/>
      <c r="AM391" s="224"/>
      <c r="AN391" s="224"/>
      <c r="AO391" s="224"/>
      <c r="AP391" s="224"/>
      <c r="AQ391" s="224"/>
      <c r="AR391" s="224"/>
      <c r="AS391" s="224"/>
      <c r="AT391" s="224"/>
      <c r="AU391" s="224"/>
    </row>
    <row r="392" ht="15.7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4"/>
      <c r="AG392" s="224"/>
      <c r="AH392" s="224"/>
      <c r="AI392" s="224"/>
      <c r="AJ392" s="224"/>
      <c r="AK392" s="224"/>
      <c r="AL392" s="224"/>
      <c r="AM392" s="224"/>
      <c r="AN392" s="224"/>
      <c r="AO392" s="224"/>
      <c r="AP392" s="224"/>
      <c r="AQ392" s="224"/>
      <c r="AR392" s="224"/>
      <c r="AS392" s="224"/>
      <c r="AT392" s="224"/>
      <c r="AU392" s="224"/>
    </row>
    <row r="393" ht="15.7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  <c r="AF393" s="224"/>
      <c r="AG393" s="224"/>
      <c r="AH393" s="224"/>
      <c r="AI393" s="224"/>
      <c r="AJ393" s="224"/>
      <c r="AK393" s="224"/>
      <c r="AL393" s="224"/>
      <c r="AM393" s="224"/>
      <c r="AN393" s="224"/>
      <c r="AO393" s="224"/>
      <c r="AP393" s="224"/>
      <c r="AQ393" s="224"/>
      <c r="AR393" s="224"/>
      <c r="AS393" s="224"/>
      <c r="AT393" s="224"/>
      <c r="AU393" s="224"/>
    </row>
    <row r="394" ht="15.7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4"/>
      <c r="AG394" s="224"/>
      <c r="AH394" s="224"/>
      <c r="AI394" s="224"/>
      <c r="AJ394" s="224"/>
      <c r="AK394" s="224"/>
      <c r="AL394" s="224"/>
      <c r="AM394" s="224"/>
      <c r="AN394" s="224"/>
      <c r="AO394" s="224"/>
      <c r="AP394" s="224"/>
      <c r="AQ394" s="224"/>
      <c r="AR394" s="224"/>
      <c r="AS394" s="224"/>
      <c r="AT394" s="224"/>
      <c r="AU394" s="224"/>
    </row>
    <row r="395" ht="15.7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4"/>
      <c r="AG395" s="224"/>
      <c r="AH395" s="224"/>
      <c r="AI395" s="224"/>
      <c r="AJ395" s="224"/>
      <c r="AK395" s="224"/>
      <c r="AL395" s="224"/>
      <c r="AM395" s="224"/>
      <c r="AN395" s="224"/>
      <c r="AO395" s="224"/>
      <c r="AP395" s="224"/>
      <c r="AQ395" s="224"/>
      <c r="AR395" s="224"/>
      <c r="AS395" s="224"/>
      <c r="AT395" s="224"/>
      <c r="AU395" s="224"/>
    </row>
    <row r="396" ht="15.7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4"/>
      <c r="AG396" s="224"/>
      <c r="AH396" s="224"/>
      <c r="AI396" s="224"/>
      <c r="AJ396" s="224"/>
      <c r="AK396" s="224"/>
      <c r="AL396" s="224"/>
      <c r="AM396" s="224"/>
      <c r="AN396" s="224"/>
      <c r="AO396" s="224"/>
      <c r="AP396" s="224"/>
      <c r="AQ396" s="224"/>
      <c r="AR396" s="224"/>
      <c r="AS396" s="224"/>
      <c r="AT396" s="224"/>
      <c r="AU396" s="224"/>
    </row>
    <row r="397" ht="15.7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  <c r="AF397" s="224"/>
      <c r="AG397" s="224"/>
      <c r="AH397" s="224"/>
      <c r="AI397" s="224"/>
      <c r="AJ397" s="224"/>
      <c r="AK397" s="224"/>
      <c r="AL397" s="224"/>
      <c r="AM397" s="224"/>
      <c r="AN397" s="224"/>
      <c r="AO397" s="224"/>
      <c r="AP397" s="224"/>
      <c r="AQ397" s="224"/>
      <c r="AR397" s="224"/>
      <c r="AS397" s="224"/>
      <c r="AT397" s="224"/>
      <c r="AU397" s="224"/>
    </row>
    <row r="398" ht="15.7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  <c r="AF398" s="224"/>
      <c r="AG398" s="224"/>
      <c r="AH398" s="224"/>
      <c r="AI398" s="224"/>
      <c r="AJ398" s="224"/>
      <c r="AK398" s="224"/>
      <c r="AL398" s="224"/>
      <c r="AM398" s="224"/>
      <c r="AN398" s="224"/>
      <c r="AO398" s="224"/>
      <c r="AP398" s="224"/>
      <c r="AQ398" s="224"/>
      <c r="AR398" s="224"/>
      <c r="AS398" s="224"/>
      <c r="AT398" s="224"/>
      <c r="AU398" s="224"/>
    </row>
    <row r="399" ht="15.7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  <c r="AK399" s="224"/>
      <c r="AL399" s="224"/>
      <c r="AM399" s="224"/>
      <c r="AN399" s="224"/>
      <c r="AO399" s="224"/>
      <c r="AP399" s="224"/>
      <c r="AQ399" s="224"/>
      <c r="AR399" s="224"/>
      <c r="AS399" s="224"/>
      <c r="AT399" s="224"/>
      <c r="AU399" s="224"/>
    </row>
    <row r="400" ht="15.7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  <c r="AF400" s="224"/>
      <c r="AG400" s="224"/>
      <c r="AH400" s="224"/>
      <c r="AI400" s="224"/>
      <c r="AJ400" s="224"/>
      <c r="AK400" s="224"/>
      <c r="AL400" s="224"/>
      <c r="AM400" s="224"/>
      <c r="AN400" s="224"/>
      <c r="AO400" s="224"/>
      <c r="AP400" s="224"/>
      <c r="AQ400" s="224"/>
      <c r="AR400" s="224"/>
      <c r="AS400" s="224"/>
      <c r="AT400" s="224"/>
      <c r="AU400" s="224"/>
    </row>
    <row r="401" ht="15.7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  <c r="AF401" s="224"/>
      <c r="AG401" s="224"/>
      <c r="AH401" s="224"/>
      <c r="AI401" s="224"/>
      <c r="AJ401" s="224"/>
      <c r="AK401" s="224"/>
      <c r="AL401" s="224"/>
      <c r="AM401" s="224"/>
      <c r="AN401" s="224"/>
      <c r="AO401" s="224"/>
      <c r="AP401" s="224"/>
      <c r="AQ401" s="224"/>
      <c r="AR401" s="224"/>
      <c r="AS401" s="224"/>
      <c r="AT401" s="224"/>
      <c r="AU401" s="224"/>
    </row>
    <row r="402" ht="15.7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  <c r="AF402" s="224"/>
      <c r="AG402" s="224"/>
      <c r="AH402" s="224"/>
      <c r="AI402" s="224"/>
      <c r="AJ402" s="224"/>
      <c r="AK402" s="224"/>
      <c r="AL402" s="224"/>
      <c r="AM402" s="224"/>
      <c r="AN402" s="224"/>
      <c r="AO402" s="224"/>
      <c r="AP402" s="224"/>
      <c r="AQ402" s="224"/>
      <c r="AR402" s="224"/>
      <c r="AS402" s="224"/>
      <c r="AT402" s="224"/>
      <c r="AU402" s="224"/>
    </row>
    <row r="403" ht="15.7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  <c r="AF403" s="224"/>
      <c r="AG403" s="224"/>
      <c r="AH403" s="224"/>
      <c r="AI403" s="224"/>
      <c r="AJ403" s="224"/>
      <c r="AK403" s="224"/>
      <c r="AL403" s="224"/>
      <c r="AM403" s="224"/>
      <c r="AN403" s="224"/>
      <c r="AO403" s="224"/>
      <c r="AP403" s="224"/>
      <c r="AQ403" s="224"/>
      <c r="AR403" s="224"/>
      <c r="AS403" s="224"/>
      <c r="AT403" s="224"/>
      <c r="AU403" s="224"/>
    </row>
    <row r="404" ht="15.7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  <c r="AF404" s="224"/>
      <c r="AG404" s="224"/>
      <c r="AH404" s="224"/>
      <c r="AI404" s="224"/>
      <c r="AJ404" s="224"/>
      <c r="AK404" s="224"/>
      <c r="AL404" s="224"/>
      <c r="AM404" s="224"/>
      <c r="AN404" s="224"/>
      <c r="AO404" s="224"/>
      <c r="AP404" s="224"/>
      <c r="AQ404" s="224"/>
      <c r="AR404" s="224"/>
      <c r="AS404" s="224"/>
      <c r="AT404" s="224"/>
      <c r="AU404" s="224"/>
    </row>
    <row r="405" ht="15.7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  <c r="AF405" s="224"/>
      <c r="AG405" s="224"/>
      <c r="AH405" s="224"/>
      <c r="AI405" s="224"/>
      <c r="AJ405" s="224"/>
      <c r="AK405" s="224"/>
      <c r="AL405" s="224"/>
      <c r="AM405" s="224"/>
      <c r="AN405" s="224"/>
      <c r="AO405" s="224"/>
      <c r="AP405" s="224"/>
      <c r="AQ405" s="224"/>
      <c r="AR405" s="224"/>
      <c r="AS405" s="224"/>
      <c r="AT405" s="224"/>
      <c r="AU405" s="224"/>
    </row>
    <row r="406" ht="15.7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  <c r="AF406" s="224"/>
      <c r="AG406" s="224"/>
      <c r="AH406" s="224"/>
      <c r="AI406" s="224"/>
      <c r="AJ406" s="224"/>
      <c r="AK406" s="224"/>
      <c r="AL406" s="224"/>
      <c r="AM406" s="224"/>
      <c r="AN406" s="224"/>
      <c r="AO406" s="224"/>
      <c r="AP406" s="224"/>
      <c r="AQ406" s="224"/>
      <c r="AR406" s="224"/>
      <c r="AS406" s="224"/>
      <c r="AT406" s="224"/>
      <c r="AU406" s="224"/>
    </row>
    <row r="407" ht="15.7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  <c r="AF407" s="224"/>
      <c r="AG407" s="224"/>
      <c r="AH407" s="224"/>
      <c r="AI407" s="224"/>
      <c r="AJ407" s="224"/>
      <c r="AK407" s="224"/>
      <c r="AL407" s="224"/>
      <c r="AM407" s="224"/>
      <c r="AN407" s="224"/>
      <c r="AO407" s="224"/>
      <c r="AP407" s="224"/>
      <c r="AQ407" s="224"/>
      <c r="AR407" s="224"/>
      <c r="AS407" s="224"/>
      <c r="AT407" s="224"/>
      <c r="AU407" s="224"/>
    </row>
    <row r="408" ht="15.7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  <c r="AF408" s="224"/>
      <c r="AG408" s="224"/>
      <c r="AH408" s="224"/>
      <c r="AI408" s="224"/>
      <c r="AJ408" s="224"/>
      <c r="AK408" s="224"/>
      <c r="AL408" s="224"/>
      <c r="AM408" s="224"/>
      <c r="AN408" s="224"/>
      <c r="AO408" s="224"/>
      <c r="AP408" s="224"/>
      <c r="AQ408" s="224"/>
      <c r="AR408" s="224"/>
      <c r="AS408" s="224"/>
      <c r="AT408" s="224"/>
      <c r="AU408" s="224"/>
    </row>
    <row r="409" ht="15.7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  <c r="AF409" s="224"/>
      <c r="AG409" s="224"/>
      <c r="AH409" s="224"/>
      <c r="AI409" s="224"/>
      <c r="AJ409" s="224"/>
      <c r="AK409" s="224"/>
      <c r="AL409" s="224"/>
      <c r="AM409" s="224"/>
      <c r="AN409" s="224"/>
      <c r="AO409" s="224"/>
      <c r="AP409" s="224"/>
      <c r="AQ409" s="224"/>
      <c r="AR409" s="224"/>
      <c r="AS409" s="224"/>
      <c r="AT409" s="224"/>
      <c r="AU409" s="224"/>
    </row>
    <row r="410" ht="15.7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  <c r="AF410" s="224"/>
      <c r="AG410" s="224"/>
      <c r="AH410" s="224"/>
      <c r="AI410" s="224"/>
      <c r="AJ410" s="224"/>
      <c r="AK410" s="224"/>
      <c r="AL410" s="224"/>
      <c r="AM410" s="224"/>
      <c r="AN410" s="224"/>
      <c r="AO410" s="224"/>
      <c r="AP410" s="224"/>
      <c r="AQ410" s="224"/>
      <c r="AR410" s="224"/>
      <c r="AS410" s="224"/>
      <c r="AT410" s="224"/>
      <c r="AU410" s="224"/>
    </row>
    <row r="411" ht="15.7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  <c r="AK411" s="224"/>
      <c r="AL411" s="224"/>
      <c r="AM411" s="224"/>
      <c r="AN411" s="224"/>
      <c r="AO411" s="224"/>
      <c r="AP411" s="224"/>
      <c r="AQ411" s="224"/>
      <c r="AR411" s="224"/>
      <c r="AS411" s="224"/>
      <c r="AT411" s="224"/>
      <c r="AU411" s="224"/>
    </row>
    <row r="412" ht="15.7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  <c r="AF412" s="224"/>
      <c r="AG412" s="224"/>
      <c r="AH412" s="224"/>
      <c r="AI412" s="224"/>
      <c r="AJ412" s="224"/>
      <c r="AK412" s="224"/>
      <c r="AL412" s="224"/>
      <c r="AM412" s="224"/>
      <c r="AN412" s="224"/>
      <c r="AO412" s="224"/>
      <c r="AP412" s="224"/>
      <c r="AQ412" s="224"/>
      <c r="AR412" s="224"/>
      <c r="AS412" s="224"/>
      <c r="AT412" s="224"/>
      <c r="AU412" s="224"/>
    </row>
    <row r="413" ht="15.7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  <c r="AF413" s="224"/>
      <c r="AG413" s="224"/>
      <c r="AH413" s="224"/>
      <c r="AI413" s="224"/>
      <c r="AJ413" s="224"/>
      <c r="AK413" s="224"/>
      <c r="AL413" s="224"/>
      <c r="AM413" s="224"/>
      <c r="AN413" s="224"/>
      <c r="AO413" s="224"/>
      <c r="AP413" s="224"/>
      <c r="AQ413" s="224"/>
      <c r="AR413" s="224"/>
      <c r="AS413" s="224"/>
      <c r="AT413" s="224"/>
      <c r="AU413" s="224"/>
    </row>
    <row r="414" ht="15.7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  <c r="AF414" s="224"/>
      <c r="AG414" s="224"/>
      <c r="AH414" s="224"/>
      <c r="AI414" s="224"/>
      <c r="AJ414" s="224"/>
      <c r="AK414" s="224"/>
      <c r="AL414" s="224"/>
      <c r="AM414" s="224"/>
      <c r="AN414" s="224"/>
      <c r="AO414" s="224"/>
      <c r="AP414" s="224"/>
      <c r="AQ414" s="224"/>
      <c r="AR414" s="224"/>
      <c r="AS414" s="224"/>
      <c r="AT414" s="224"/>
      <c r="AU414" s="224"/>
    </row>
    <row r="415" ht="15.7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  <c r="AF415" s="224"/>
      <c r="AG415" s="224"/>
      <c r="AH415" s="224"/>
      <c r="AI415" s="224"/>
      <c r="AJ415" s="224"/>
      <c r="AK415" s="224"/>
      <c r="AL415" s="224"/>
      <c r="AM415" s="224"/>
      <c r="AN415" s="224"/>
      <c r="AO415" s="224"/>
      <c r="AP415" s="224"/>
      <c r="AQ415" s="224"/>
      <c r="AR415" s="224"/>
      <c r="AS415" s="224"/>
      <c r="AT415" s="224"/>
      <c r="AU415" s="224"/>
    </row>
    <row r="416" ht="15.7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  <c r="AF416" s="224"/>
      <c r="AG416" s="224"/>
      <c r="AH416" s="224"/>
      <c r="AI416" s="224"/>
      <c r="AJ416" s="224"/>
      <c r="AK416" s="224"/>
      <c r="AL416" s="224"/>
      <c r="AM416" s="224"/>
      <c r="AN416" s="224"/>
      <c r="AO416" s="224"/>
      <c r="AP416" s="224"/>
      <c r="AQ416" s="224"/>
      <c r="AR416" s="224"/>
      <c r="AS416" s="224"/>
      <c r="AT416" s="224"/>
      <c r="AU416" s="224"/>
    </row>
    <row r="417" ht="15.7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  <c r="AF417" s="224"/>
      <c r="AG417" s="224"/>
      <c r="AH417" s="224"/>
      <c r="AI417" s="224"/>
      <c r="AJ417" s="224"/>
      <c r="AK417" s="224"/>
      <c r="AL417" s="224"/>
      <c r="AM417" s="224"/>
      <c r="AN417" s="224"/>
      <c r="AO417" s="224"/>
      <c r="AP417" s="224"/>
      <c r="AQ417" s="224"/>
      <c r="AR417" s="224"/>
      <c r="AS417" s="224"/>
      <c r="AT417" s="224"/>
      <c r="AU417" s="224"/>
    </row>
    <row r="418" ht="15.7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  <c r="AF418" s="224"/>
      <c r="AG418" s="224"/>
      <c r="AH418" s="224"/>
      <c r="AI418" s="224"/>
      <c r="AJ418" s="224"/>
      <c r="AK418" s="224"/>
      <c r="AL418" s="224"/>
      <c r="AM418" s="224"/>
      <c r="AN418" s="224"/>
      <c r="AO418" s="224"/>
      <c r="AP418" s="224"/>
      <c r="AQ418" s="224"/>
      <c r="AR418" s="224"/>
      <c r="AS418" s="224"/>
      <c r="AT418" s="224"/>
      <c r="AU418" s="224"/>
    </row>
    <row r="419" ht="15.7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  <c r="AF419" s="224"/>
      <c r="AG419" s="224"/>
      <c r="AH419" s="224"/>
      <c r="AI419" s="224"/>
      <c r="AJ419" s="224"/>
      <c r="AK419" s="224"/>
      <c r="AL419" s="224"/>
      <c r="AM419" s="224"/>
      <c r="AN419" s="224"/>
      <c r="AO419" s="224"/>
      <c r="AP419" s="224"/>
      <c r="AQ419" s="224"/>
      <c r="AR419" s="224"/>
      <c r="AS419" s="224"/>
      <c r="AT419" s="224"/>
      <c r="AU419" s="224"/>
    </row>
    <row r="420" ht="15.7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  <c r="AF420" s="224"/>
      <c r="AG420" s="224"/>
      <c r="AH420" s="224"/>
      <c r="AI420" s="224"/>
      <c r="AJ420" s="224"/>
      <c r="AK420" s="224"/>
      <c r="AL420" s="224"/>
      <c r="AM420" s="224"/>
      <c r="AN420" s="224"/>
      <c r="AO420" s="224"/>
      <c r="AP420" s="224"/>
      <c r="AQ420" s="224"/>
      <c r="AR420" s="224"/>
      <c r="AS420" s="224"/>
      <c r="AT420" s="224"/>
      <c r="AU420" s="224"/>
    </row>
    <row r="421" ht="15.7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  <c r="AF421" s="224"/>
      <c r="AG421" s="224"/>
      <c r="AH421" s="224"/>
      <c r="AI421" s="224"/>
      <c r="AJ421" s="224"/>
      <c r="AK421" s="224"/>
      <c r="AL421" s="224"/>
      <c r="AM421" s="224"/>
      <c r="AN421" s="224"/>
      <c r="AO421" s="224"/>
      <c r="AP421" s="224"/>
      <c r="AQ421" s="224"/>
      <c r="AR421" s="224"/>
      <c r="AS421" s="224"/>
      <c r="AT421" s="224"/>
      <c r="AU421" s="224"/>
    </row>
    <row r="422" ht="15.7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  <c r="AF422" s="224"/>
      <c r="AG422" s="224"/>
      <c r="AH422" s="224"/>
      <c r="AI422" s="224"/>
      <c r="AJ422" s="224"/>
      <c r="AK422" s="224"/>
      <c r="AL422" s="224"/>
      <c r="AM422" s="224"/>
      <c r="AN422" s="224"/>
      <c r="AO422" s="224"/>
      <c r="AP422" s="224"/>
      <c r="AQ422" s="224"/>
      <c r="AR422" s="224"/>
      <c r="AS422" s="224"/>
      <c r="AT422" s="224"/>
      <c r="AU422" s="224"/>
    </row>
    <row r="423" ht="15.7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  <c r="AK423" s="224"/>
      <c r="AL423" s="224"/>
      <c r="AM423" s="224"/>
      <c r="AN423" s="224"/>
      <c r="AO423" s="224"/>
      <c r="AP423" s="224"/>
      <c r="AQ423" s="224"/>
      <c r="AR423" s="224"/>
      <c r="AS423" s="224"/>
      <c r="AT423" s="224"/>
      <c r="AU423" s="224"/>
    </row>
    <row r="424" ht="15.7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  <c r="AF424" s="224"/>
      <c r="AG424" s="224"/>
      <c r="AH424" s="224"/>
      <c r="AI424" s="224"/>
      <c r="AJ424" s="224"/>
      <c r="AK424" s="224"/>
      <c r="AL424" s="224"/>
      <c r="AM424" s="224"/>
      <c r="AN424" s="224"/>
      <c r="AO424" s="224"/>
      <c r="AP424" s="224"/>
      <c r="AQ424" s="224"/>
      <c r="AR424" s="224"/>
      <c r="AS424" s="224"/>
      <c r="AT424" s="224"/>
      <c r="AU424" s="224"/>
    </row>
    <row r="425" ht="15.7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  <c r="AF425" s="224"/>
      <c r="AG425" s="224"/>
      <c r="AH425" s="224"/>
      <c r="AI425" s="224"/>
      <c r="AJ425" s="224"/>
      <c r="AK425" s="224"/>
      <c r="AL425" s="224"/>
      <c r="AM425" s="224"/>
      <c r="AN425" s="224"/>
      <c r="AO425" s="224"/>
      <c r="AP425" s="224"/>
      <c r="AQ425" s="224"/>
      <c r="AR425" s="224"/>
      <c r="AS425" s="224"/>
      <c r="AT425" s="224"/>
      <c r="AU425" s="224"/>
    </row>
    <row r="426" ht="15.7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  <c r="AF426" s="224"/>
      <c r="AG426" s="224"/>
      <c r="AH426" s="224"/>
      <c r="AI426" s="224"/>
      <c r="AJ426" s="224"/>
      <c r="AK426" s="224"/>
      <c r="AL426" s="224"/>
      <c r="AM426" s="224"/>
      <c r="AN426" s="224"/>
      <c r="AO426" s="224"/>
      <c r="AP426" s="224"/>
      <c r="AQ426" s="224"/>
      <c r="AR426" s="224"/>
      <c r="AS426" s="224"/>
      <c r="AT426" s="224"/>
      <c r="AU426" s="224"/>
    </row>
    <row r="427" ht="15.7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  <c r="AF427" s="224"/>
      <c r="AG427" s="224"/>
      <c r="AH427" s="224"/>
      <c r="AI427" s="224"/>
      <c r="AJ427" s="224"/>
      <c r="AK427" s="224"/>
      <c r="AL427" s="224"/>
      <c r="AM427" s="224"/>
      <c r="AN427" s="224"/>
      <c r="AO427" s="224"/>
      <c r="AP427" s="224"/>
      <c r="AQ427" s="224"/>
      <c r="AR427" s="224"/>
      <c r="AS427" s="224"/>
      <c r="AT427" s="224"/>
      <c r="AU427" s="224"/>
    </row>
    <row r="428" ht="15.7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  <c r="AF428" s="224"/>
      <c r="AG428" s="224"/>
      <c r="AH428" s="224"/>
      <c r="AI428" s="224"/>
      <c r="AJ428" s="224"/>
      <c r="AK428" s="224"/>
      <c r="AL428" s="224"/>
      <c r="AM428" s="224"/>
      <c r="AN428" s="224"/>
      <c r="AO428" s="224"/>
      <c r="AP428" s="224"/>
      <c r="AQ428" s="224"/>
      <c r="AR428" s="224"/>
      <c r="AS428" s="224"/>
      <c r="AT428" s="224"/>
      <c r="AU428" s="224"/>
    </row>
    <row r="429" ht="15.7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  <c r="AK429" s="224"/>
      <c r="AL429" s="224"/>
      <c r="AM429" s="224"/>
      <c r="AN429" s="224"/>
      <c r="AO429" s="224"/>
      <c r="AP429" s="224"/>
      <c r="AQ429" s="224"/>
      <c r="AR429" s="224"/>
      <c r="AS429" s="224"/>
      <c r="AT429" s="224"/>
      <c r="AU429" s="224"/>
    </row>
    <row r="430" ht="15.7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  <c r="AF430" s="224"/>
      <c r="AG430" s="224"/>
      <c r="AH430" s="224"/>
      <c r="AI430" s="224"/>
      <c r="AJ430" s="224"/>
      <c r="AK430" s="224"/>
      <c r="AL430" s="224"/>
      <c r="AM430" s="224"/>
      <c r="AN430" s="224"/>
      <c r="AO430" s="224"/>
      <c r="AP430" s="224"/>
      <c r="AQ430" s="224"/>
      <c r="AR430" s="224"/>
      <c r="AS430" s="224"/>
      <c r="AT430" s="224"/>
      <c r="AU430" s="224"/>
    </row>
    <row r="431" ht="15.7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  <c r="AF431" s="224"/>
      <c r="AG431" s="224"/>
      <c r="AH431" s="224"/>
      <c r="AI431" s="224"/>
      <c r="AJ431" s="224"/>
      <c r="AK431" s="224"/>
      <c r="AL431" s="224"/>
      <c r="AM431" s="224"/>
      <c r="AN431" s="224"/>
      <c r="AO431" s="224"/>
      <c r="AP431" s="224"/>
      <c r="AQ431" s="224"/>
      <c r="AR431" s="224"/>
      <c r="AS431" s="224"/>
      <c r="AT431" s="224"/>
      <c r="AU431" s="224"/>
    </row>
    <row r="432" ht="15.7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  <c r="AF432" s="224"/>
      <c r="AG432" s="224"/>
      <c r="AH432" s="224"/>
      <c r="AI432" s="224"/>
      <c r="AJ432" s="224"/>
      <c r="AK432" s="224"/>
      <c r="AL432" s="224"/>
      <c r="AM432" s="224"/>
      <c r="AN432" s="224"/>
      <c r="AO432" s="224"/>
      <c r="AP432" s="224"/>
      <c r="AQ432" s="224"/>
      <c r="AR432" s="224"/>
      <c r="AS432" s="224"/>
      <c r="AT432" s="224"/>
      <c r="AU432" s="224"/>
    </row>
    <row r="433" ht="15.7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  <c r="AF433" s="224"/>
      <c r="AG433" s="224"/>
      <c r="AH433" s="224"/>
      <c r="AI433" s="224"/>
      <c r="AJ433" s="224"/>
      <c r="AK433" s="224"/>
      <c r="AL433" s="224"/>
      <c r="AM433" s="224"/>
      <c r="AN433" s="224"/>
      <c r="AO433" s="224"/>
      <c r="AP433" s="224"/>
      <c r="AQ433" s="224"/>
      <c r="AR433" s="224"/>
      <c r="AS433" s="224"/>
      <c r="AT433" s="224"/>
      <c r="AU433" s="224"/>
    </row>
    <row r="434" ht="15.7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  <c r="AF434" s="224"/>
      <c r="AG434" s="224"/>
      <c r="AH434" s="224"/>
      <c r="AI434" s="224"/>
      <c r="AJ434" s="224"/>
      <c r="AK434" s="224"/>
      <c r="AL434" s="224"/>
      <c r="AM434" s="224"/>
      <c r="AN434" s="224"/>
      <c r="AO434" s="224"/>
      <c r="AP434" s="224"/>
      <c r="AQ434" s="224"/>
      <c r="AR434" s="224"/>
      <c r="AS434" s="224"/>
      <c r="AT434" s="224"/>
      <c r="AU434" s="224"/>
    </row>
    <row r="435" ht="15.7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  <c r="AK435" s="224"/>
      <c r="AL435" s="224"/>
      <c r="AM435" s="224"/>
      <c r="AN435" s="224"/>
      <c r="AO435" s="224"/>
      <c r="AP435" s="224"/>
      <c r="AQ435" s="224"/>
      <c r="AR435" s="224"/>
      <c r="AS435" s="224"/>
      <c r="AT435" s="224"/>
      <c r="AU435" s="224"/>
    </row>
    <row r="436" ht="15.7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  <c r="AF436" s="224"/>
      <c r="AG436" s="224"/>
      <c r="AH436" s="224"/>
      <c r="AI436" s="224"/>
      <c r="AJ436" s="224"/>
      <c r="AK436" s="224"/>
      <c r="AL436" s="224"/>
      <c r="AM436" s="224"/>
      <c r="AN436" s="224"/>
      <c r="AO436" s="224"/>
      <c r="AP436" s="224"/>
      <c r="AQ436" s="224"/>
      <c r="AR436" s="224"/>
      <c r="AS436" s="224"/>
      <c r="AT436" s="224"/>
      <c r="AU436" s="224"/>
    </row>
    <row r="437" ht="15.7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  <c r="AF437" s="224"/>
      <c r="AG437" s="224"/>
      <c r="AH437" s="224"/>
      <c r="AI437" s="224"/>
      <c r="AJ437" s="224"/>
      <c r="AK437" s="224"/>
      <c r="AL437" s="224"/>
      <c r="AM437" s="224"/>
      <c r="AN437" s="224"/>
      <c r="AO437" s="224"/>
      <c r="AP437" s="224"/>
      <c r="AQ437" s="224"/>
      <c r="AR437" s="224"/>
      <c r="AS437" s="224"/>
      <c r="AT437" s="224"/>
      <c r="AU437" s="224"/>
    </row>
    <row r="438" ht="15.7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  <c r="AF438" s="224"/>
      <c r="AG438" s="224"/>
      <c r="AH438" s="224"/>
      <c r="AI438" s="224"/>
      <c r="AJ438" s="224"/>
      <c r="AK438" s="224"/>
      <c r="AL438" s="224"/>
      <c r="AM438" s="224"/>
      <c r="AN438" s="224"/>
      <c r="AO438" s="224"/>
      <c r="AP438" s="224"/>
      <c r="AQ438" s="224"/>
      <c r="AR438" s="224"/>
      <c r="AS438" s="224"/>
      <c r="AT438" s="224"/>
      <c r="AU438" s="224"/>
    </row>
    <row r="439" ht="15.7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  <c r="AF439" s="224"/>
      <c r="AG439" s="224"/>
      <c r="AH439" s="224"/>
      <c r="AI439" s="224"/>
      <c r="AJ439" s="224"/>
      <c r="AK439" s="224"/>
      <c r="AL439" s="224"/>
      <c r="AM439" s="224"/>
      <c r="AN439" s="224"/>
      <c r="AO439" s="224"/>
      <c r="AP439" s="224"/>
      <c r="AQ439" s="224"/>
      <c r="AR439" s="224"/>
      <c r="AS439" s="224"/>
      <c r="AT439" s="224"/>
      <c r="AU439" s="224"/>
    </row>
    <row r="440" ht="15.7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  <c r="AF440" s="224"/>
      <c r="AG440" s="224"/>
      <c r="AH440" s="224"/>
      <c r="AI440" s="224"/>
      <c r="AJ440" s="224"/>
      <c r="AK440" s="224"/>
      <c r="AL440" s="224"/>
      <c r="AM440" s="224"/>
      <c r="AN440" s="224"/>
      <c r="AO440" s="224"/>
      <c r="AP440" s="224"/>
      <c r="AQ440" s="224"/>
      <c r="AR440" s="224"/>
      <c r="AS440" s="224"/>
      <c r="AT440" s="224"/>
      <c r="AU440" s="224"/>
    </row>
    <row r="441" ht="15.7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  <c r="AF441" s="224"/>
      <c r="AG441" s="224"/>
      <c r="AH441" s="224"/>
      <c r="AI441" s="224"/>
      <c r="AJ441" s="224"/>
      <c r="AK441" s="224"/>
      <c r="AL441" s="224"/>
      <c r="AM441" s="224"/>
      <c r="AN441" s="224"/>
      <c r="AO441" s="224"/>
      <c r="AP441" s="224"/>
      <c r="AQ441" s="224"/>
      <c r="AR441" s="224"/>
      <c r="AS441" s="224"/>
      <c r="AT441" s="224"/>
      <c r="AU441" s="224"/>
    </row>
    <row r="442" ht="15.7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  <c r="AF442" s="224"/>
      <c r="AG442" s="224"/>
      <c r="AH442" s="224"/>
      <c r="AI442" s="224"/>
      <c r="AJ442" s="224"/>
      <c r="AK442" s="224"/>
      <c r="AL442" s="224"/>
      <c r="AM442" s="224"/>
      <c r="AN442" s="224"/>
      <c r="AO442" s="224"/>
      <c r="AP442" s="224"/>
      <c r="AQ442" s="224"/>
      <c r="AR442" s="224"/>
      <c r="AS442" s="224"/>
      <c r="AT442" s="224"/>
      <c r="AU442" s="224"/>
    </row>
    <row r="443" ht="15.7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  <c r="AF443" s="224"/>
      <c r="AG443" s="224"/>
      <c r="AH443" s="224"/>
      <c r="AI443" s="224"/>
      <c r="AJ443" s="224"/>
      <c r="AK443" s="224"/>
      <c r="AL443" s="224"/>
      <c r="AM443" s="224"/>
      <c r="AN443" s="224"/>
      <c r="AO443" s="224"/>
      <c r="AP443" s="224"/>
      <c r="AQ443" s="224"/>
      <c r="AR443" s="224"/>
      <c r="AS443" s="224"/>
      <c r="AT443" s="224"/>
      <c r="AU443" s="224"/>
    </row>
    <row r="444" ht="15.7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  <c r="AF444" s="224"/>
      <c r="AG444" s="224"/>
      <c r="AH444" s="224"/>
      <c r="AI444" s="224"/>
      <c r="AJ444" s="224"/>
      <c r="AK444" s="224"/>
      <c r="AL444" s="224"/>
      <c r="AM444" s="224"/>
      <c r="AN444" s="224"/>
      <c r="AO444" s="224"/>
      <c r="AP444" s="224"/>
      <c r="AQ444" s="224"/>
      <c r="AR444" s="224"/>
      <c r="AS444" s="224"/>
      <c r="AT444" s="224"/>
      <c r="AU444" s="224"/>
    </row>
    <row r="445" ht="15.7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  <c r="AF445" s="224"/>
      <c r="AG445" s="224"/>
      <c r="AH445" s="224"/>
      <c r="AI445" s="224"/>
      <c r="AJ445" s="224"/>
      <c r="AK445" s="224"/>
      <c r="AL445" s="224"/>
      <c r="AM445" s="224"/>
      <c r="AN445" s="224"/>
      <c r="AO445" s="224"/>
      <c r="AP445" s="224"/>
      <c r="AQ445" s="224"/>
      <c r="AR445" s="224"/>
      <c r="AS445" s="224"/>
      <c r="AT445" s="224"/>
      <c r="AU445" s="224"/>
    </row>
    <row r="446" ht="15.7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  <c r="AF446" s="224"/>
      <c r="AG446" s="224"/>
      <c r="AH446" s="224"/>
      <c r="AI446" s="224"/>
      <c r="AJ446" s="224"/>
      <c r="AK446" s="224"/>
      <c r="AL446" s="224"/>
      <c r="AM446" s="224"/>
      <c r="AN446" s="224"/>
      <c r="AO446" s="224"/>
      <c r="AP446" s="224"/>
      <c r="AQ446" s="224"/>
      <c r="AR446" s="224"/>
      <c r="AS446" s="224"/>
      <c r="AT446" s="224"/>
      <c r="AU446" s="224"/>
    </row>
    <row r="447" ht="15.7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  <c r="AK447" s="224"/>
      <c r="AL447" s="224"/>
      <c r="AM447" s="224"/>
      <c r="AN447" s="224"/>
      <c r="AO447" s="224"/>
      <c r="AP447" s="224"/>
      <c r="AQ447" s="224"/>
      <c r="AR447" s="224"/>
      <c r="AS447" s="224"/>
      <c r="AT447" s="224"/>
      <c r="AU447" s="224"/>
    </row>
    <row r="448" ht="15.7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  <c r="AF448" s="224"/>
      <c r="AG448" s="224"/>
      <c r="AH448" s="224"/>
      <c r="AI448" s="224"/>
      <c r="AJ448" s="224"/>
      <c r="AK448" s="224"/>
      <c r="AL448" s="224"/>
      <c r="AM448" s="224"/>
      <c r="AN448" s="224"/>
      <c r="AO448" s="224"/>
      <c r="AP448" s="224"/>
      <c r="AQ448" s="224"/>
      <c r="AR448" s="224"/>
      <c r="AS448" s="224"/>
      <c r="AT448" s="224"/>
      <c r="AU448" s="224"/>
    </row>
    <row r="449" ht="15.7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  <c r="AF449" s="224"/>
      <c r="AG449" s="224"/>
      <c r="AH449" s="224"/>
      <c r="AI449" s="224"/>
      <c r="AJ449" s="224"/>
      <c r="AK449" s="224"/>
      <c r="AL449" s="224"/>
      <c r="AM449" s="224"/>
      <c r="AN449" s="224"/>
      <c r="AO449" s="224"/>
      <c r="AP449" s="224"/>
      <c r="AQ449" s="224"/>
      <c r="AR449" s="224"/>
      <c r="AS449" s="224"/>
      <c r="AT449" s="224"/>
      <c r="AU449" s="224"/>
    </row>
    <row r="450" ht="15.7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  <c r="AF450" s="224"/>
      <c r="AG450" s="224"/>
      <c r="AH450" s="224"/>
      <c r="AI450" s="224"/>
      <c r="AJ450" s="224"/>
      <c r="AK450" s="224"/>
      <c r="AL450" s="224"/>
      <c r="AM450" s="224"/>
      <c r="AN450" s="224"/>
      <c r="AO450" s="224"/>
      <c r="AP450" s="224"/>
      <c r="AQ450" s="224"/>
      <c r="AR450" s="224"/>
      <c r="AS450" s="224"/>
      <c r="AT450" s="224"/>
      <c r="AU450" s="224"/>
    </row>
    <row r="451" ht="15.7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  <c r="AF451" s="224"/>
      <c r="AG451" s="224"/>
      <c r="AH451" s="224"/>
      <c r="AI451" s="224"/>
      <c r="AJ451" s="224"/>
      <c r="AK451" s="224"/>
      <c r="AL451" s="224"/>
      <c r="AM451" s="224"/>
      <c r="AN451" s="224"/>
      <c r="AO451" s="224"/>
      <c r="AP451" s="224"/>
      <c r="AQ451" s="224"/>
      <c r="AR451" s="224"/>
      <c r="AS451" s="224"/>
      <c r="AT451" s="224"/>
      <c r="AU451" s="224"/>
    </row>
    <row r="452" ht="15.7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  <c r="AF452" s="224"/>
      <c r="AG452" s="224"/>
      <c r="AH452" s="224"/>
      <c r="AI452" s="224"/>
      <c r="AJ452" s="224"/>
      <c r="AK452" s="224"/>
      <c r="AL452" s="224"/>
      <c r="AM452" s="224"/>
      <c r="AN452" s="224"/>
      <c r="AO452" s="224"/>
      <c r="AP452" s="224"/>
      <c r="AQ452" s="224"/>
      <c r="AR452" s="224"/>
      <c r="AS452" s="224"/>
      <c r="AT452" s="224"/>
      <c r="AU452" s="224"/>
    </row>
    <row r="453" ht="15.7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  <c r="AF453" s="224"/>
      <c r="AG453" s="224"/>
      <c r="AH453" s="224"/>
      <c r="AI453" s="224"/>
      <c r="AJ453" s="224"/>
      <c r="AK453" s="224"/>
      <c r="AL453" s="224"/>
      <c r="AM453" s="224"/>
      <c r="AN453" s="224"/>
      <c r="AO453" s="224"/>
      <c r="AP453" s="224"/>
      <c r="AQ453" s="224"/>
      <c r="AR453" s="224"/>
      <c r="AS453" s="224"/>
      <c r="AT453" s="224"/>
      <c r="AU453" s="224"/>
    </row>
    <row r="454" ht="15.7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  <c r="AF454" s="224"/>
      <c r="AG454" s="224"/>
      <c r="AH454" s="224"/>
      <c r="AI454" s="224"/>
      <c r="AJ454" s="224"/>
      <c r="AK454" s="224"/>
      <c r="AL454" s="224"/>
      <c r="AM454" s="224"/>
      <c r="AN454" s="224"/>
      <c r="AO454" s="224"/>
      <c r="AP454" s="224"/>
      <c r="AQ454" s="224"/>
      <c r="AR454" s="224"/>
      <c r="AS454" s="224"/>
      <c r="AT454" s="224"/>
      <c r="AU454" s="224"/>
    </row>
    <row r="455" ht="15.7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  <c r="AF455" s="224"/>
      <c r="AG455" s="224"/>
      <c r="AH455" s="224"/>
      <c r="AI455" s="224"/>
      <c r="AJ455" s="224"/>
      <c r="AK455" s="224"/>
      <c r="AL455" s="224"/>
      <c r="AM455" s="224"/>
      <c r="AN455" s="224"/>
      <c r="AO455" s="224"/>
      <c r="AP455" s="224"/>
      <c r="AQ455" s="224"/>
      <c r="AR455" s="224"/>
      <c r="AS455" s="224"/>
      <c r="AT455" s="224"/>
      <c r="AU455" s="224"/>
    </row>
    <row r="456" ht="15.7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  <c r="AF456" s="224"/>
      <c r="AG456" s="224"/>
      <c r="AH456" s="224"/>
      <c r="AI456" s="224"/>
      <c r="AJ456" s="224"/>
      <c r="AK456" s="224"/>
      <c r="AL456" s="224"/>
      <c r="AM456" s="224"/>
      <c r="AN456" s="224"/>
      <c r="AO456" s="224"/>
      <c r="AP456" s="224"/>
      <c r="AQ456" s="224"/>
      <c r="AR456" s="224"/>
      <c r="AS456" s="224"/>
      <c r="AT456" s="224"/>
      <c r="AU456" s="224"/>
    </row>
    <row r="457" ht="15.7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  <c r="AF457" s="224"/>
      <c r="AG457" s="224"/>
      <c r="AH457" s="224"/>
      <c r="AI457" s="224"/>
      <c r="AJ457" s="224"/>
      <c r="AK457" s="224"/>
      <c r="AL457" s="224"/>
      <c r="AM457" s="224"/>
      <c r="AN457" s="224"/>
      <c r="AO457" s="224"/>
      <c r="AP457" s="224"/>
      <c r="AQ457" s="224"/>
      <c r="AR457" s="224"/>
      <c r="AS457" s="224"/>
      <c r="AT457" s="224"/>
      <c r="AU457" s="224"/>
    </row>
    <row r="458" ht="15.7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  <c r="AF458" s="224"/>
      <c r="AG458" s="224"/>
      <c r="AH458" s="224"/>
      <c r="AI458" s="224"/>
      <c r="AJ458" s="224"/>
      <c r="AK458" s="224"/>
      <c r="AL458" s="224"/>
      <c r="AM458" s="224"/>
      <c r="AN458" s="224"/>
      <c r="AO458" s="224"/>
      <c r="AP458" s="224"/>
      <c r="AQ458" s="224"/>
      <c r="AR458" s="224"/>
      <c r="AS458" s="224"/>
      <c r="AT458" s="224"/>
      <c r="AU458" s="224"/>
    </row>
    <row r="459" ht="15.7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  <c r="AK459" s="224"/>
      <c r="AL459" s="224"/>
      <c r="AM459" s="224"/>
      <c r="AN459" s="224"/>
      <c r="AO459" s="224"/>
      <c r="AP459" s="224"/>
      <c r="AQ459" s="224"/>
      <c r="AR459" s="224"/>
      <c r="AS459" s="224"/>
      <c r="AT459" s="224"/>
      <c r="AU459" s="224"/>
    </row>
    <row r="460" ht="15.7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  <c r="AF460" s="224"/>
      <c r="AG460" s="224"/>
      <c r="AH460" s="224"/>
      <c r="AI460" s="224"/>
      <c r="AJ460" s="224"/>
      <c r="AK460" s="224"/>
      <c r="AL460" s="224"/>
      <c r="AM460" s="224"/>
      <c r="AN460" s="224"/>
      <c r="AO460" s="224"/>
      <c r="AP460" s="224"/>
      <c r="AQ460" s="224"/>
      <c r="AR460" s="224"/>
      <c r="AS460" s="224"/>
      <c r="AT460" s="224"/>
      <c r="AU460" s="224"/>
    </row>
    <row r="461" ht="15.7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  <c r="AF461" s="224"/>
      <c r="AG461" s="224"/>
      <c r="AH461" s="224"/>
      <c r="AI461" s="224"/>
      <c r="AJ461" s="224"/>
      <c r="AK461" s="224"/>
      <c r="AL461" s="224"/>
      <c r="AM461" s="224"/>
      <c r="AN461" s="224"/>
      <c r="AO461" s="224"/>
      <c r="AP461" s="224"/>
      <c r="AQ461" s="224"/>
      <c r="AR461" s="224"/>
      <c r="AS461" s="224"/>
      <c r="AT461" s="224"/>
      <c r="AU461" s="224"/>
    </row>
    <row r="462" ht="15.7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  <c r="AF462" s="224"/>
      <c r="AG462" s="224"/>
      <c r="AH462" s="224"/>
      <c r="AI462" s="224"/>
      <c r="AJ462" s="224"/>
      <c r="AK462" s="224"/>
      <c r="AL462" s="224"/>
      <c r="AM462" s="224"/>
      <c r="AN462" s="224"/>
      <c r="AO462" s="224"/>
      <c r="AP462" s="224"/>
      <c r="AQ462" s="224"/>
      <c r="AR462" s="224"/>
      <c r="AS462" s="224"/>
      <c r="AT462" s="224"/>
      <c r="AU462" s="224"/>
    </row>
    <row r="463" ht="15.7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  <c r="AF463" s="224"/>
      <c r="AG463" s="224"/>
      <c r="AH463" s="224"/>
      <c r="AI463" s="224"/>
      <c r="AJ463" s="224"/>
      <c r="AK463" s="224"/>
      <c r="AL463" s="224"/>
      <c r="AM463" s="224"/>
      <c r="AN463" s="224"/>
      <c r="AO463" s="224"/>
      <c r="AP463" s="224"/>
      <c r="AQ463" s="224"/>
      <c r="AR463" s="224"/>
      <c r="AS463" s="224"/>
      <c r="AT463" s="224"/>
      <c r="AU463" s="224"/>
    </row>
    <row r="464" ht="15.7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  <c r="AF464" s="224"/>
      <c r="AG464" s="224"/>
      <c r="AH464" s="224"/>
      <c r="AI464" s="224"/>
      <c r="AJ464" s="224"/>
      <c r="AK464" s="224"/>
      <c r="AL464" s="224"/>
      <c r="AM464" s="224"/>
      <c r="AN464" s="224"/>
      <c r="AO464" s="224"/>
      <c r="AP464" s="224"/>
      <c r="AQ464" s="224"/>
      <c r="AR464" s="224"/>
      <c r="AS464" s="224"/>
      <c r="AT464" s="224"/>
      <c r="AU464" s="224"/>
    </row>
    <row r="465" ht="15.7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  <c r="AF465" s="224"/>
      <c r="AG465" s="224"/>
      <c r="AH465" s="224"/>
      <c r="AI465" s="224"/>
      <c r="AJ465" s="224"/>
      <c r="AK465" s="224"/>
      <c r="AL465" s="224"/>
      <c r="AM465" s="224"/>
      <c r="AN465" s="224"/>
      <c r="AO465" s="224"/>
      <c r="AP465" s="224"/>
      <c r="AQ465" s="224"/>
      <c r="AR465" s="224"/>
      <c r="AS465" s="224"/>
      <c r="AT465" s="224"/>
      <c r="AU465" s="224"/>
    </row>
    <row r="466" ht="15.7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  <c r="AF466" s="224"/>
      <c r="AG466" s="224"/>
      <c r="AH466" s="224"/>
      <c r="AI466" s="224"/>
      <c r="AJ466" s="224"/>
      <c r="AK466" s="224"/>
      <c r="AL466" s="224"/>
      <c r="AM466" s="224"/>
      <c r="AN466" s="224"/>
      <c r="AO466" s="224"/>
      <c r="AP466" s="224"/>
      <c r="AQ466" s="224"/>
      <c r="AR466" s="224"/>
      <c r="AS466" s="224"/>
      <c r="AT466" s="224"/>
      <c r="AU466" s="224"/>
    </row>
    <row r="467" ht="15.7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  <c r="AF467" s="224"/>
      <c r="AG467" s="224"/>
      <c r="AH467" s="224"/>
      <c r="AI467" s="224"/>
      <c r="AJ467" s="224"/>
      <c r="AK467" s="224"/>
      <c r="AL467" s="224"/>
      <c r="AM467" s="224"/>
      <c r="AN467" s="224"/>
      <c r="AO467" s="224"/>
      <c r="AP467" s="224"/>
      <c r="AQ467" s="224"/>
      <c r="AR467" s="224"/>
      <c r="AS467" s="224"/>
      <c r="AT467" s="224"/>
      <c r="AU467" s="224"/>
    </row>
    <row r="468" ht="15.7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  <c r="AF468" s="224"/>
      <c r="AG468" s="224"/>
      <c r="AH468" s="224"/>
      <c r="AI468" s="224"/>
      <c r="AJ468" s="224"/>
      <c r="AK468" s="224"/>
      <c r="AL468" s="224"/>
      <c r="AM468" s="224"/>
      <c r="AN468" s="224"/>
      <c r="AO468" s="224"/>
      <c r="AP468" s="224"/>
      <c r="AQ468" s="224"/>
      <c r="AR468" s="224"/>
      <c r="AS468" s="224"/>
      <c r="AT468" s="224"/>
      <c r="AU468" s="224"/>
    </row>
    <row r="469" ht="15.7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  <c r="AF469" s="224"/>
      <c r="AG469" s="224"/>
      <c r="AH469" s="224"/>
      <c r="AI469" s="224"/>
      <c r="AJ469" s="224"/>
      <c r="AK469" s="224"/>
      <c r="AL469" s="224"/>
      <c r="AM469" s="224"/>
      <c r="AN469" s="224"/>
      <c r="AO469" s="224"/>
      <c r="AP469" s="224"/>
      <c r="AQ469" s="224"/>
      <c r="AR469" s="224"/>
      <c r="AS469" s="224"/>
      <c r="AT469" s="224"/>
      <c r="AU469" s="224"/>
    </row>
    <row r="470" ht="15.7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  <c r="AF470" s="224"/>
      <c r="AG470" s="224"/>
      <c r="AH470" s="224"/>
      <c r="AI470" s="224"/>
      <c r="AJ470" s="224"/>
      <c r="AK470" s="224"/>
      <c r="AL470" s="224"/>
      <c r="AM470" s="224"/>
      <c r="AN470" s="224"/>
      <c r="AO470" s="224"/>
      <c r="AP470" s="224"/>
      <c r="AQ470" s="224"/>
      <c r="AR470" s="224"/>
      <c r="AS470" s="224"/>
      <c r="AT470" s="224"/>
      <c r="AU470" s="224"/>
    </row>
    <row r="471" ht="15.7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  <c r="AK471" s="224"/>
      <c r="AL471" s="224"/>
      <c r="AM471" s="224"/>
      <c r="AN471" s="224"/>
      <c r="AO471" s="224"/>
      <c r="AP471" s="224"/>
      <c r="AQ471" s="224"/>
      <c r="AR471" s="224"/>
      <c r="AS471" s="224"/>
      <c r="AT471" s="224"/>
      <c r="AU471" s="224"/>
    </row>
    <row r="472" ht="15.7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  <c r="AF472" s="224"/>
      <c r="AG472" s="224"/>
      <c r="AH472" s="224"/>
      <c r="AI472" s="224"/>
      <c r="AJ472" s="224"/>
      <c r="AK472" s="224"/>
      <c r="AL472" s="224"/>
      <c r="AM472" s="224"/>
      <c r="AN472" s="224"/>
      <c r="AO472" s="224"/>
      <c r="AP472" s="224"/>
      <c r="AQ472" s="224"/>
      <c r="AR472" s="224"/>
      <c r="AS472" s="224"/>
      <c r="AT472" s="224"/>
      <c r="AU472" s="224"/>
    </row>
    <row r="473" ht="15.7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  <c r="AF473" s="224"/>
      <c r="AG473" s="224"/>
      <c r="AH473" s="224"/>
      <c r="AI473" s="224"/>
      <c r="AJ473" s="224"/>
      <c r="AK473" s="224"/>
      <c r="AL473" s="224"/>
      <c r="AM473" s="224"/>
      <c r="AN473" s="224"/>
      <c r="AO473" s="224"/>
      <c r="AP473" s="224"/>
      <c r="AQ473" s="224"/>
      <c r="AR473" s="224"/>
      <c r="AS473" s="224"/>
      <c r="AT473" s="224"/>
      <c r="AU473" s="224"/>
    </row>
    <row r="474" ht="15.7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  <c r="AF474" s="224"/>
      <c r="AG474" s="224"/>
      <c r="AH474" s="224"/>
      <c r="AI474" s="224"/>
      <c r="AJ474" s="224"/>
      <c r="AK474" s="224"/>
      <c r="AL474" s="224"/>
      <c r="AM474" s="224"/>
      <c r="AN474" s="224"/>
      <c r="AO474" s="224"/>
      <c r="AP474" s="224"/>
      <c r="AQ474" s="224"/>
      <c r="AR474" s="224"/>
      <c r="AS474" s="224"/>
      <c r="AT474" s="224"/>
      <c r="AU474" s="224"/>
    </row>
    <row r="475" ht="15.7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  <c r="AF475" s="224"/>
      <c r="AG475" s="224"/>
      <c r="AH475" s="224"/>
      <c r="AI475" s="224"/>
      <c r="AJ475" s="224"/>
      <c r="AK475" s="224"/>
      <c r="AL475" s="224"/>
      <c r="AM475" s="224"/>
      <c r="AN475" s="224"/>
      <c r="AO475" s="224"/>
      <c r="AP475" s="224"/>
      <c r="AQ475" s="224"/>
      <c r="AR475" s="224"/>
      <c r="AS475" s="224"/>
      <c r="AT475" s="224"/>
      <c r="AU475" s="224"/>
    </row>
    <row r="476" ht="15.7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  <c r="AF476" s="224"/>
      <c r="AG476" s="224"/>
      <c r="AH476" s="224"/>
      <c r="AI476" s="224"/>
      <c r="AJ476" s="224"/>
      <c r="AK476" s="224"/>
      <c r="AL476" s="224"/>
      <c r="AM476" s="224"/>
      <c r="AN476" s="224"/>
      <c r="AO476" s="224"/>
      <c r="AP476" s="224"/>
      <c r="AQ476" s="224"/>
      <c r="AR476" s="224"/>
      <c r="AS476" s="224"/>
      <c r="AT476" s="224"/>
      <c r="AU476" s="224"/>
    </row>
    <row r="477" ht="15.7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  <c r="AF477" s="224"/>
      <c r="AG477" s="224"/>
      <c r="AH477" s="224"/>
      <c r="AI477" s="224"/>
      <c r="AJ477" s="224"/>
      <c r="AK477" s="224"/>
      <c r="AL477" s="224"/>
      <c r="AM477" s="224"/>
      <c r="AN477" s="224"/>
      <c r="AO477" s="224"/>
      <c r="AP477" s="224"/>
      <c r="AQ477" s="224"/>
      <c r="AR477" s="224"/>
      <c r="AS477" s="224"/>
      <c r="AT477" s="224"/>
      <c r="AU477" s="224"/>
    </row>
    <row r="478" ht="15.7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  <c r="AF478" s="224"/>
      <c r="AG478" s="224"/>
      <c r="AH478" s="224"/>
      <c r="AI478" s="224"/>
      <c r="AJ478" s="224"/>
      <c r="AK478" s="224"/>
      <c r="AL478" s="224"/>
      <c r="AM478" s="224"/>
      <c r="AN478" s="224"/>
      <c r="AO478" s="224"/>
      <c r="AP478" s="224"/>
      <c r="AQ478" s="224"/>
      <c r="AR478" s="224"/>
      <c r="AS478" s="224"/>
      <c r="AT478" s="224"/>
      <c r="AU478" s="224"/>
    </row>
    <row r="479" ht="15.7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  <c r="AF479" s="224"/>
      <c r="AG479" s="224"/>
      <c r="AH479" s="224"/>
      <c r="AI479" s="224"/>
      <c r="AJ479" s="224"/>
      <c r="AK479" s="224"/>
      <c r="AL479" s="224"/>
      <c r="AM479" s="224"/>
      <c r="AN479" s="224"/>
      <c r="AO479" s="224"/>
      <c r="AP479" s="224"/>
      <c r="AQ479" s="224"/>
      <c r="AR479" s="224"/>
      <c r="AS479" s="224"/>
      <c r="AT479" s="224"/>
      <c r="AU479" s="224"/>
    </row>
    <row r="480" ht="15.7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  <c r="AF480" s="224"/>
      <c r="AG480" s="224"/>
      <c r="AH480" s="224"/>
      <c r="AI480" s="224"/>
      <c r="AJ480" s="224"/>
      <c r="AK480" s="224"/>
      <c r="AL480" s="224"/>
      <c r="AM480" s="224"/>
      <c r="AN480" s="224"/>
      <c r="AO480" s="224"/>
      <c r="AP480" s="224"/>
      <c r="AQ480" s="224"/>
      <c r="AR480" s="224"/>
      <c r="AS480" s="224"/>
      <c r="AT480" s="224"/>
      <c r="AU480" s="224"/>
    </row>
    <row r="481" ht="15.7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  <c r="AF481" s="224"/>
      <c r="AG481" s="224"/>
      <c r="AH481" s="224"/>
      <c r="AI481" s="224"/>
      <c r="AJ481" s="224"/>
      <c r="AK481" s="224"/>
      <c r="AL481" s="224"/>
      <c r="AM481" s="224"/>
      <c r="AN481" s="224"/>
      <c r="AO481" s="224"/>
      <c r="AP481" s="224"/>
      <c r="AQ481" s="224"/>
      <c r="AR481" s="224"/>
      <c r="AS481" s="224"/>
      <c r="AT481" s="224"/>
      <c r="AU481" s="224"/>
    </row>
    <row r="482" ht="15.7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  <c r="AK482" s="224"/>
      <c r="AL482" s="224"/>
      <c r="AM482" s="224"/>
      <c r="AN482" s="224"/>
      <c r="AO482" s="224"/>
      <c r="AP482" s="224"/>
      <c r="AQ482" s="224"/>
      <c r="AR482" s="224"/>
      <c r="AS482" s="224"/>
      <c r="AT482" s="224"/>
      <c r="AU482" s="224"/>
    </row>
    <row r="483" ht="15.7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  <c r="AK483" s="224"/>
      <c r="AL483" s="224"/>
      <c r="AM483" s="224"/>
      <c r="AN483" s="224"/>
      <c r="AO483" s="224"/>
      <c r="AP483" s="224"/>
      <c r="AQ483" s="224"/>
      <c r="AR483" s="224"/>
      <c r="AS483" s="224"/>
      <c r="AT483" s="224"/>
      <c r="AU483" s="224"/>
    </row>
    <row r="484" ht="15.7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  <c r="AF484" s="224"/>
      <c r="AG484" s="224"/>
      <c r="AH484" s="224"/>
      <c r="AI484" s="224"/>
      <c r="AJ484" s="224"/>
      <c r="AK484" s="224"/>
      <c r="AL484" s="224"/>
      <c r="AM484" s="224"/>
      <c r="AN484" s="224"/>
      <c r="AO484" s="224"/>
      <c r="AP484" s="224"/>
      <c r="AQ484" s="224"/>
      <c r="AR484" s="224"/>
      <c r="AS484" s="224"/>
      <c r="AT484" s="224"/>
      <c r="AU484" s="224"/>
    </row>
    <row r="485" ht="15.7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  <c r="AF485" s="224"/>
      <c r="AG485" s="224"/>
      <c r="AH485" s="224"/>
      <c r="AI485" s="224"/>
      <c r="AJ485" s="224"/>
      <c r="AK485" s="224"/>
      <c r="AL485" s="224"/>
      <c r="AM485" s="224"/>
      <c r="AN485" s="224"/>
      <c r="AO485" s="224"/>
      <c r="AP485" s="224"/>
      <c r="AQ485" s="224"/>
      <c r="AR485" s="224"/>
      <c r="AS485" s="224"/>
      <c r="AT485" s="224"/>
      <c r="AU485" s="224"/>
    </row>
    <row r="486" ht="15.7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  <c r="AF486" s="224"/>
      <c r="AG486" s="224"/>
      <c r="AH486" s="224"/>
      <c r="AI486" s="224"/>
      <c r="AJ486" s="224"/>
      <c r="AK486" s="224"/>
      <c r="AL486" s="224"/>
      <c r="AM486" s="224"/>
      <c r="AN486" s="224"/>
      <c r="AO486" s="224"/>
      <c r="AP486" s="224"/>
      <c r="AQ486" s="224"/>
      <c r="AR486" s="224"/>
      <c r="AS486" s="224"/>
      <c r="AT486" s="224"/>
      <c r="AU486" s="224"/>
    </row>
    <row r="487" ht="15.7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  <c r="AF487" s="224"/>
      <c r="AG487" s="224"/>
      <c r="AH487" s="224"/>
      <c r="AI487" s="224"/>
      <c r="AJ487" s="224"/>
      <c r="AK487" s="224"/>
      <c r="AL487" s="224"/>
      <c r="AM487" s="224"/>
      <c r="AN487" s="224"/>
      <c r="AO487" s="224"/>
      <c r="AP487" s="224"/>
      <c r="AQ487" s="224"/>
      <c r="AR487" s="224"/>
      <c r="AS487" s="224"/>
      <c r="AT487" s="224"/>
      <c r="AU487" s="224"/>
    </row>
    <row r="488" ht="15.7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  <c r="AF488" s="224"/>
      <c r="AG488" s="224"/>
      <c r="AH488" s="224"/>
      <c r="AI488" s="224"/>
      <c r="AJ488" s="224"/>
      <c r="AK488" s="224"/>
      <c r="AL488" s="224"/>
      <c r="AM488" s="224"/>
      <c r="AN488" s="224"/>
      <c r="AO488" s="224"/>
      <c r="AP488" s="224"/>
      <c r="AQ488" s="224"/>
      <c r="AR488" s="224"/>
      <c r="AS488" s="224"/>
      <c r="AT488" s="224"/>
      <c r="AU488" s="224"/>
    </row>
    <row r="489" ht="15.7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  <c r="AF489" s="224"/>
      <c r="AG489" s="224"/>
      <c r="AH489" s="224"/>
      <c r="AI489" s="224"/>
      <c r="AJ489" s="224"/>
      <c r="AK489" s="224"/>
      <c r="AL489" s="224"/>
      <c r="AM489" s="224"/>
      <c r="AN489" s="224"/>
      <c r="AO489" s="224"/>
      <c r="AP489" s="224"/>
      <c r="AQ489" s="224"/>
      <c r="AR489" s="224"/>
      <c r="AS489" s="224"/>
      <c r="AT489" s="224"/>
      <c r="AU489" s="224"/>
    </row>
    <row r="490" ht="15.7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  <c r="AK490" s="224"/>
      <c r="AL490" s="224"/>
      <c r="AM490" s="224"/>
      <c r="AN490" s="224"/>
      <c r="AO490" s="224"/>
      <c r="AP490" s="224"/>
      <c r="AQ490" s="224"/>
      <c r="AR490" s="224"/>
      <c r="AS490" s="224"/>
      <c r="AT490" s="224"/>
      <c r="AU490" s="224"/>
    </row>
    <row r="491" ht="15.7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  <c r="AF491" s="224"/>
      <c r="AG491" s="224"/>
      <c r="AH491" s="224"/>
      <c r="AI491" s="224"/>
      <c r="AJ491" s="224"/>
      <c r="AK491" s="224"/>
      <c r="AL491" s="224"/>
      <c r="AM491" s="224"/>
      <c r="AN491" s="224"/>
      <c r="AO491" s="224"/>
      <c r="AP491" s="224"/>
      <c r="AQ491" s="224"/>
      <c r="AR491" s="224"/>
      <c r="AS491" s="224"/>
      <c r="AT491" s="224"/>
      <c r="AU491" s="224"/>
    </row>
    <row r="492" ht="15.7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  <c r="AF492" s="224"/>
      <c r="AG492" s="224"/>
      <c r="AH492" s="224"/>
      <c r="AI492" s="224"/>
      <c r="AJ492" s="224"/>
      <c r="AK492" s="224"/>
      <c r="AL492" s="224"/>
      <c r="AM492" s="224"/>
      <c r="AN492" s="224"/>
      <c r="AO492" s="224"/>
      <c r="AP492" s="224"/>
      <c r="AQ492" s="224"/>
      <c r="AR492" s="224"/>
      <c r="AS492" s="224"/>
      <c r="AT492" s="224"/>
      <c r="AU492" s="224"/>
    </row>
    <row r="493" ht="15.7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  <c r="AF493" s="224"/>
      <c r="AG493" s="224"/>
      <c r="AH493" s="224"/>
      <c r="AI493" s="224"/>
      <c r="AJ493" s="224"/>
      <c r="AK493" s="224"/>
      <c r="AL493" s="224"/>
      <c r="AM493" s="224"/>
      <c r="AN493" s="224"/>
      <c r="AO493" s="224"/>
      <c r="AP493" s="224"/>
      <c r="AQ493" s="224"/>
      <c r="AR493" s="224"/>
      <c r="AS493" s="224"/>
      <c r="AT493" s="224"/>
      <c r="AU493" s="224"/>
    </row>
    <row r="494" ht="15.7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  <c r="AF494" s="224"/>
      <c r="AG494" s="224"/>
      <c r="AH494" s="224"/>
      <c r="AI494" s="224"/>
      <c r="AJ494" s="224"/>
      <c r="AK494" s="224"/>
      <c r="AL494" s="224"/>
      <c r="AM494" s="224"/>
      <c r="AN494" s="224"/>
      <c r="AO494" s="224"/>
      <c r="AP494" s="224"/>
      <c r="AQ494" s="224"/>
      <c r="AR494" s="224"/>
      <c r="AS494" s="224"/>
      <c r="AT494" s="224"/>
      <c r="AU494" s="224"/>
    </row>
    <row r="495" ht="15.7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  <c r="AK495" s="224"/>
      <c r="AL495" s="224"/>
      <c r="AM495" s="224"/>
      <c r="AN495" s="224"/>
      <c r="AO495" s="224"/>
      <c r="AP495" s="224"/>
      <c r="AQ495" s="224"/>
      <c r="AR495" s="224"/>
      <c r="AS495" s="224"/>
      <c r="AT495" s="224"/>
      <c r="AU495" s="224"/>
    </row>
    <row r="496" ht="15.7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  <c r="AF496" s="224"/>
      <c r="AG496" s="224"/>
      <c r="AH496" s="224"/>
      <c r="AI496" s="224"/>
      <c r="AJ496" s="224"/>
      <c r="AK496" s="224"/>
      <c r="AL496" s="224"/>
      <c r="AM496" s="224"/>
      <c r="AN496" s="224"/>
      <c r="AO496" s="224"/>
      <c r="AP496" s="224"/>
      <c r="AQ496" s="224"/>
      <c r="AR496" s="224"/>
      <c r="AS496" s="224"/>
      <c r="AT496" s="224"/>
      <c r="AU496" s="224"/>
    </row>
    <row r="497" ht="15.7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  <c r="AF497" s="224"/>
      <c r="AG497" s="224"/>
      <c r="AH497" s="224"/>
      <c r="AI497" s="224"/>
      <c r="AJ497" s="224"/>
      <c r="AK497" s="224"/>
      <c r="AL497" s="224"/>
      <c r="AM497" s="224"/>
      <c r="AN497" s="224"/>
      <c r="AO497" s="224"/>
      <c r="AP497" s="224"/>
      <c r="AQ497" s="224"/>
      <c r="AR497" s="224"/>
      <c r="AS497" s="224"/>
      <c r="AT497" s="224"/>
      <c r="AU497" s="224"/>
    </row>
    <row r="498" ht="15.7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  <c r="AF498" s="224"/>
      <c r="AG498" s="224"/>
      <c r="AH498" s="224"/>
      <c r="AI498" s="224"/>
      <c r="AJ498" s="224"/>
      <c r="AK498" s="224"/>
      <c r="AL498" s="224"/>
      <c r="AM498" s="224"/>
      <c r="AN498" s="224"/>
      <c r="AO498" s="224"/>
      <c r="AP498" s="224"/>
      <c r="AQ498" s="224"/>
      <c r="AR498" s="224"/>
      <c r="AS498" s="224"/>
      <c r="AT498" s="224"/>
      <c r="AU498" s="224"/>
    </row>
    <row r="499" ht="15.7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  <c r="AF499" s="224"/>
      <c r="AG499" s="224"/>
      <c r="AH499" s="224"/>
      <c r="AI499" s="224"/>
      <c r="AJ499" s="224"/>
      <c r="AK499" s="224"/>
      <c r="AL499" s="224"/>
      <c r="AM499" s="224"/>
      <c r="AN499" s="224"/>
      <c r="AO499" s="224"/>
      <c r="AP499" s="224"/>
      <c r="AQ499" s="224"/>
      <c r="AR499" s="224"/>
      <c r="AS499" s="224"/>
      <c r="AT499" s="224"/>
      <c r="AU499" s="224"/>
    </row>
    <row r="500" ht="15.7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  <c r="AF500" s="224"/>
      <c r="AG500" s="224"/>
      <c r="AH500" s="224"/>
      <c r="AI500" s="224"/>
      <c r="AJ500" s="224"/>
      <c r="AK500" s="224"/>
      <c r="AL500" s="224"/>
      <c r="AM500" s="224"/>
      <c r="AN500" s="224"/>
      <c r="AO500" s="224"/>
      <c r="AP500" s="224"/>
      <c r="AQ500" s="224"/>
      <c r="AR500" s="224"/>
      <c r="AS500" s="224"/>
      <c r="AT500" s="224"/>
      <c r="AU500" s="224"/>
    </row>
    <row r="501" ht="15.7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  <c r="AF501" s="224"/>
      <c r="AG501" s="224"/>
      <c r="AH501" s="224"/>
      <c r="AI501" s="224"/>
      <c r="AJ501" s="224"/>
      <c r="AK501" s="224"/>
      <c r="AL501" s="224"/>
      <c r="AM501" s="224"/>
      <c r="AN501" s="224"/>
      <c r="AO501" s="224"/>
      <c r="AP501" s="224"/>
      <c r="AQ501" s="224"/>
      <c r="AR501" s="224"/>
      <c r="AS501" s="224"/>
      <c r="AT501" s="224"/>
      <c r="AU501" s="224"/>
    </row>
    <row r="502" ht="15.7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  <c r="AF502" s="224"/>
      <c r="AG502" s="224"/>
      <c r="AH502" s="224"/>
      <c r="AI502" s="224"/>
      <c r="AJ502" s="224"/>
      <c r="AK502" s="224"/>
      <c r="AL502" s="224"/>
      <c r="AM502" s="224"/>
      <c r="AN502" s="224"/>
      <c r="AO502" s="224"/>
      <c r="AP502" s="224"/>
      <c r="AQ502" s="224"/>
      <c r="AR502" s="224"/>
      <c r="AS502" s="224"/>
      <c r="AT502" s="224"/>
      <c r="AU502" s="224"/>
    </row>
    <row r="503" ht="15.7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  <c r="AF503" s="224"/>
      <c r="AG503" s="224"/>
      <c r="AH503" s="224"/>
      <c r="AI503" s="224"/>
      <c r="AJ503" s="224"/>
      <c r="AK503" s="224"/>
      <c r="AL503" s="224"/>
      <c r="AM503" s="224"/>
      <c r="AN503" s="224"/>
      <c r="AO503" s="224"/>
      <c r="AP503" s="224"/>
      <c r="AQ503" s="224"/>
      <c r="AR503" s="224"/>
      <c r="AS503" s="224"/>
      <c r="AT503" s="224"/>
      <c r="AU503" s="224"/>
    </row>
    <row r="504" ht="15.7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  <c r="AF504" s="224"/>
      <c r="AG504" s="224"/>
      <c r="AH504" s="224"/>
      <c r="AI504" s="224"/>
      <c r="AJ504" s="224"/>
      <c r="AK504" s="224"/>
      <c r="AL504" s="224"/>
      <c r="AM504" s="224"/>
      <c r="AN504" s="224"/>
      <c r="AO504" s="224"/>
      <c r="AP504" s="224"/>
      <c r="AQ504" s="224"/>
      <c r="AR504" s="224"/>
      <c r="AS504" s="224"/>
      <c r="AT504" s="224"/>
      <c r="AU504" s="224"/>
    </row>
    <row r="505" ht="15.7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  <c r="AF505" s="224"/>
      <c r="AG505" s="224"/>
      <c r="AH505" s="224"/>
      <c r="AI505" s="224"/>
      <c r="AJ505" s="224"/>
      <c r="AK505" s="224"/>
      <c r="AL505" s="224"/>
      <c r="AM505" s="224"/>
      <c r="AN505" s="224"/>
      <c r="AO505" s="224"/>
      <c r="AP505" s="224"/>
      <c r="AQ505" s="224"/>
      <c r="AR505" s="224"/>
      <c r="AS505" s="224"/>
      <c r="AT505" s="224"/>
      <c r="AU505" s="224"/>
    </row>
    <row r="506" ht="15.7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  <c r="AF506" s="224"/>
      <c r="AG506" s="224"/>
      <c r="AH506" s="224"/>
      <c r="AI506" s="224"/>
      <c r="AJ506" s="224"/>
      <c r="AK506" s="224"/>
      <c r="AL506" s="224"/>
      <c r="AM506" s="224"/>
      <c r="AN506" s="224"/>
      <c r="AO506" s="224"/>
      <c r="AP506" s="224"/>
      <c r="AQ506" s="224"/>
      <c r="AR506" s="224"/>
      <c r="AS506" s="224"/>
      <c r="AT506" s="224"/>
      <c r="AU506" s="224"/>
    </row>
    <row r="507" ht="15.7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  <c r="AK507" s="224"/>
      <c r="AL507" s="224"/>
      <c r="AM507" s="224"/>
      <c r="AN507" s="224"/>
      <c r="AO507" s="224"/>
      <c r="AP507" s="224"/>
      <c r="AQ507" s="224"/>
      <c r="AR507" s="224"/>
      <c r="AS507" s="224"/>
      <c r="AT507" s="224"/>
      <c r="AU507" s="224"/>
    </row>
    <row r="508" ht="15.7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  <c r="AF508" s="224"/>
      <c r="AG508" s="224"/>
      <c r="AH508" s="224"/>
      <c r="AI508" s="224"/>
      <c r="AJ508" s="224"/>
      <c r="AK508" s="224"/>
      <c r="AL508" s="224"/>
      <c r="AM508" s="224"/>
      <c r="AN508" s="224"/>
      <c r="AO508" s="224"/>
      <c r="AP508" s="224"/>
      <c r="AQ508" s="224"/>
      <c r="AR508" s="224"/>
      <c r="AS508" s="224"/>
      <c r="AT508" s="224"/>
      <c r="AU508" s="224"/>
    </row>
    <row r="509" ht="15.7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  <c r="AF509" s="224"/>
      <c r="AG509" s="224"/>
      <c r="AH509" s="224"/>
      <c r="AI509" s="224"/>
      <c r="AJ509" s="224"/>
      <c r="AK509" s="224"/>
      <c r="AL509" s="224"/>
      <c r="AM509" s="224"/>
      <c r="AN509" s="224"/>
      <c r="AO509" s="224"/>
      <c r="AP509" s="224"/>
      <c r="AQ509" s="224"/>
      <c r="AR509" s="224"/>
      <c r="AS509" s="224"/>
      <c r="AT509" s="224"/>
      <c r="AU509" s="224"/>
    </row>
    <row r="510" ht="15.7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  <c r="AF510" s="224"/>
      <c r="AG510" s="224"/>
      <c r="AH510" s="224"/>
      <c r="AI510" s="224"/>
      <c r="AJ510" s="224"/>
      <c r="AK510" s="224"/>
      <c r="AL510" s="224"/>
      <c r="AM510" s="224"/>
      <c r="AN510" s="224"/>
      <c r="AO510" s="224"/>
      <c r="AP510" s="224"/>
      <c r="AQ510" s="224"/>
      <c r="AR510" s="224"/>
      <c r="AS510" s="224"/>
      <c r="AT510" s="224"/>
      <c r="AU510" s="224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  <c r="AF511" s="224"/>
      <c r="AG511" s="224"/>
      <c r="AH511" s="224"/>
      <c r="AI511" s="224"/>
      <c r="AJ511" s="224"/>
      <c r="AK511" s="224"/>
      <c r="AL511" s="224"/>
      <c r="AM511" s="224"/>
      <c r="AN511" s="224"/>
      <c r="AO511" s="224"/>
      <c r="AP511" s="224"/>
      <c r="AQ511" s="224"/>
      <c r="AR511" s="224"/>
      <c r="AS511" s="224"/>
      <c r="AT511" s="224"/>
      <c r="AU511" s="224"/>
    </row>
    <row r="512" ht="15.7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  <c r="AF512" s="224"/>
      <c r="AG512" s="224"/>
      <c r="AH512" s="224"/>
      <c r="AI512" s="224"/>
      <c r="AJ512" s="224"/>
      <c r="AK512" s="224"/>
      <c r="AL512" s="224"/>
      <c r="AM512" s="224"/>
      <c r="AN512" s="224"/>
      <c r="AO512" s="224"/>
      <c r="AP512" s="224"/>
      <c r="AQ512" s="224"/>
      <c r="AR512" s="224"/>
      <c r="AS512" s="224"/>
      <c r="AT512" s="224"/>
      <c r="AU512" s="224"/>
    </row>
    <row r="513" ht="15.7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  <c r="AF513" s="224"/>
      <c r="AG513" s="224"/>
      <c r="AH513" s="224"/>
      <c r="AI513" s="224"/>
      <c r="AJ513" s="224"/>
      <c r="AK513" s="224"/>
      <c r="AL513" s="224"/>
      <c r="AM513" s="224"/>
      <c r="AN513" s="224"/>
      <c r="AO513" s="224"/>
      <c r="AP513" s="224"/>
      <c r="AQ513" s="224"/>
      <c r="AR513" s="224"/>
      <c r="AS513" s="224"/>
      <c r="AT513" s="224"/>
      <c r="AU513" s="224"/>
    </row>
    <row r="514" ht="15.7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  <c r="AF514" s="224"/>
      <c r="AG514" s="224"/>
      <c r="AH514" s="224"/>
      <c r="AI514" s="224"/>
      <c r="AJ514" s="224"/>
      <c r="AK514" s="224"/>
      <c r="AL514" s="224"/>
      <c r="AM514" s="224"/>
      <c r="AN514" s="224"/>
      <c r="AO514" s="224"/>
      <c r="AP514" s="224"/>
      <c r="AQ514" s="224"/>
      <c r="AR514" s="224"/>
      <c r="AS514" s="224"/>
      <c r="AT514" s="224"/>
      <c r="AU514" s="224"/>
    </row>
    <row r="515" ht="15.7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  <c r="AF515" s="224"/>
      <c r="AG515" s="224"/>
      <c r="AH515" s="224"/>
      <c r="AI515" s="224"/>
      <c r="AJ515" s="224"/>
      <c r="AK515" s="224"/>
      <c r="AL515" s="224"/>
      <c r="AM515" s="224"/>
      <c r="AN515" s="224"/>
      <c r="AO515" s="224"/>
      <c r="AP515" s="224"/>
      <c r="AQ515" s="224"/>
      <c r="AR515" s="224"/>
      <c r="AS515" s="224"/>
      <c r="AT515" s="224"/>
      <c r="AU515" s="224"/>
    </row>
    <row r="516" ht="15.7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  <c r="AF516" s="224"/>
      <c r="AG516" s="224"/>
      <c r="AH516" s="224"/>
      <c r="AI516" s="224"/>
      <c r="AJ516" s="224"/>
      <c r="AK516" s="224"/>
      <c r="AL516" s="224"/>
      <c r="AM516" s="224"/>
      <c r="AN516" s="224"/>
      <c r="AO516" s="224"/>
      <c r="AP516" s="224"/>
      <c r="AQ516" s="224"/>
      <c r="AR516" s="224"/>
      <c r="AS516" s="224"/>
      <c r="AT516" s="224"/>
      <c r="AU516" s="224"/>
    </row>
    <row r="517" ht="15.7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  <c r="AF517" s="224"/>
      <c r="AG517" s="224"/>
      <c r="AH517" s="224"/>
      <c r="AI517" s="224"/>
      <c r="AJ517" s="224"/>
      <c r="AK517" s="224"/>
      <c r="AL517" s="224"/>
      <c r="AM517" s="224"/>
      <c r="AN517" s="224"/>
      <c r="AO517" s="224"/>
      <c r="AP517" s="224"/>
      <c r="AQ517" s="224"/>
      <c r="AR517" s="224"/>
      <c r="AS517" s="224"/>
      <c r="AT517" s="224"/>
      <c r="AU517" s="224"/>
    </row>
    <row r="518" ht="15.7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  <c r="AF518" s="224"/>
      <c r="AG518" s="224"/>
      <c r="AH518" s="224"/>
      <c r="AI518" s="224"/>
      <c r="AJ518" s="224"/>
      <c r="AK518" s="224"/>
      <c r="AL518" s="224"/>
      <c r="AM518" s="224"/>
      <c r="AN518" s="224"/>
      <c r="AO518" s="224"/>
      <c r="AP518" s="224"/>
      <c r="AQ518" s="224"/>
      <c r="AR518" s="224"/>
      <c r="AS518" s="224"/>
      <c r="AT518" s="224"/>
      <c r="AU518" s="224"/>
    </row>
    <row r="519" ht="15.7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  <c r="AK519" s="224"/>
      <c r="AL519" s="224"/>
      <c r="AM519" s="224"/>
      <c r="AN519" s="224"/>
      <c r="AO519" s="224"/>
      <c r="AP519" s="224"/>
      <c r="AQ519" s="224"/>
      <c r="AR519" s="224"/>
      <c r="AS519" s="224"/>
      <c r="AT519" s="224"/>
      <c r="AU519" s="224"/>
    </row>
    <row r="520" ht="15.7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  <c r="AF520" s="224"/>
      <c r="AG520" s="224"/>
      <c r="AH520" s="224"/>
      <c r="AI520" s="224"/>
      <c r="AJ520" s="224"/>
      <c r="AK520" s="224"/>
      <c r="AL520" s="224"/>
      <c r="AM520" s="224"/>
      <c r="AN520" s="224"/>
      <c r="AO520" s="224"/>
      <c r="AP520" s="224"/>
      <c r="AQ520" s="224"/>
      <c r="AR520" s="224"/>
      <c r="AS520" s="224"/>
      <c r="AT520" s="224"/>
      <c r="AU520" s="224"/>
    </row>
    <row r="521" ht="15.7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  <c r="AF521" s="224"/>
      <c r="AG521" s="224"/>
      <c r="AH521" s="224"/>
      <c r="AI521" s="224"/>
      <c r="AJ521" s="224"/>
      <c r="AK521" s="224"/>
      <c r="AL521" s="224"/>
      <c r="AM521" s="224"/>
      <c r="AN521" s="224"/>
      <c r="AO521" s="224"/>
      <c r="AP521" s="224"/>
      <c r="AQ521" s="224"/>
      <c r="AR521" s="224"/>
      <c r="AS521" s="224"/>
      <c r="AT521" s="224"/>
      <c r="AU521" s="224"/>
    </row>
    <row r="522" ht="15.7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  <c r="AF522" s="224"/>
      <c r="AG522" s="224"/>
      <c r="AH522" s="224"/>
      <c r="AI522" s="224"/>
      <c r="AJ522" s="224"/>
      <c r="AK522" s="224"/>
      <c r="AL522" s="224"/>
      <c r="AM522" s="224"/>
      <c r="AN522" s="224"/>
      <c r="AO522" s="224"/>
      <c r="AP522" s="224"/>
      <c r="AQ522" s="224"/>
      <c r="AR522" s="224"/>
      <c r="AS522" s="224"/>
      <c r="AT522" s="224"/>
      <c r="AU522" s="224"/>
    </row>
    <row r="523" ht="15.7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  <c r="AF523" s="224"/>
      <c r="AG523" s="224"/>
      <c r="AH523" s="224"/>
      <c r="AI523" s="224"/>
      <c r="AJ523" s="224"/>
      <c r="AK523" s="224"/>
      <c r="AL523" s="224"/>
      <c r="AM523" s="224"/>
      <c r="AN523" s="224"/>
      <c r="AO523" s="224"/>
      <c r="AP523" s="224"/>
      <c r="AQ523" s="224"/>
      <c r="AR523" s="224"/>
      <c r="AS523" s="224"/>
      <c r="AT523" s="224"/>
      <c r="AU523" s="224"/>
    </row>
    <row r="524" ht="15.7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  <c r="AF524" s="224"/>
      <c r="AG524" s="224"/>
      <c r="AH524" s="224"/>
      <c r="AI524" s="224"/>
      <c r="AJ524" s="224"/>
      <c r="AK524" s="224"/>
      <c r="AL524" s="224"/>
      <c r="AM524" s="224"/>
      <c r="AN524" s="224"/>
      <c r="AO524" s="224"/>
      <c r="AP524" s="224"/>
      <c r="AQ524" s="224"/>
      <c r="AR524" s="224"/>
      <c r="AS524" s="224"/>
      <c r="AT524" s="224"/>
      <c r="AU524" s="224"/>
    </row>
    <row r="525" ht="15.7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  <c r="AF525" s="224"/>
      <c r="AG525" s="224"/>
      <c r="AH525" s="224"/>
      <c r="AI525" s="224"/>
      <c r="AJ525" s="224"/>
      <c r="AK525" s="224"/>
      <c r="AL525" s="224"/>
      <c r="AM525" s="224"/>
      <c r="AN525" s="224"/>
      <c r="AO525" s="224"/>
      <c r="AP525" s="224"/>
      <c r="AQ525" s="224"/>
      <c r="AR525" s="224"/>
      <c r="AS525" s="224"/>
      <c r="AT525" s="224"/>
      <c r="AU525" s="224"/>
    </row>
    <row r="526" ht="15.7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  <c r="AF526" s="224"/>
      <c r="AG526" s="224"/>
      <c r="AH526" s="224"/>
      <c r="AI526" s="224"/>
      <c r="AJ526" s="224"/>
      <c r="AK526" s="224"/>
      <c r="AL526" s="224"/>
      <c r="AM526" s="224"/>
      <c r="AN526" s="224"/>
      <c r="AO526" s="224"/>
      <c r="AP526" s="224"/>
      <c r="AQ526" s="224"/>
      <c r="AR526" s="224"/>
      <c r="AS526" s="224"/>
      <c r="AT526" s="224"/>
      <c r="AU526" s="224"/>
    </row>
    <row r="527" ht="15.7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  <c r="AF527" s="224"/>
      <c r="AG527" s="224"/>
      <c r="AH527" s="224"/>
      <c r="AI527" s="224"/>
      <c r="AJ527" s="224"/>
      <c r="AK527" s="224"/>
      <c r="AL527" s="224"/>
      <c r="AM527" s="224"/>
      <c r="AN527" s="224"/>
      <c r="AO527" s="224"/>
      <c r="AP527" s="224"/>
      <c r="AQ527" s="224"/>
      <c r="AR527" s="224"/>
      <c r="AS527" s="224"/>
      <c r="AT527" s="224"/>
      <c r="AU527" s="224"/>
    </row>
    <row r="528" ht="15.7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  <c r="AF528" s="224"/>
      <c r="AG528" s="224"/>
      <c r="AH528" s="224"/>
      <c r="AI528" s="224"/>
      <c r="AJ528" s="224"/>
      <c r="AK528" s="224"/>
      <c r="AL528" s="224"/>
      <c r="AM528" s="224"/>
      <c r="AN528" s="224"/>
      <c r="AO528" s="224"/>
      <c r="AP528" s="224"/>
      <c r="AQ528" s="224"/>
      <c r="AR528" s="224"/>
      <c r="AS528" s="224"/>
      <c r="AT528" s="224"/>
      <c r="AU528" s="224"/>
    </row>
    <row r="529" ht="15.7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  <c r="AF529" s="224"/>
      <c r="AG529" s="224"/>
      <c r="AH529" s="224"/>
      <c r="AI529" s="224"/>
      <c r="AJ529" s="224"/>
      <c r="AK529" s="224"/>
      <c r="AL529" s="224"/>
      <c r="AM529" s="224"/>
      <c r="AN529" s="224"/>
      <c r="AO529" s="224"/>
      <c r="AP529" s="224"/>
      <c r="AQ529" s="224"/>
      <c r="AR529" s="224"/>
      <c r="AS529" s="224"/>
      <c r="AT529" s="224"/>
      <c r="AU529" s="224"/>
    </row>
    <row r="530" ht="15.7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  <c r="AC530" s="224"/>
      <c r="AD530" s="224"/>
      <c r="AE530" s="224"/>
      <c r="AF530" s="224"/>
      <c r="AG530" s="224"/>
      <c r="AH530" s="224"/>
      <c r="AI530" s="224"/>
      <c r="AJ530" s="224"/>
      <c r="AK530" s="224"/>
      <c r="AL530" s="224"/>
      <c r="AM530" s="224"/>
      <c r="AN530" s="224"/>
      <c r="AO530" s="224"/>
      <c r="AP530" s="224"/>
      <c r="AQ530" s="224"/>
      <c r="AR530" s="224"/>
      <c r="AS530" s="224"/>
      <c r="AT530" s="224"/>
      <c r="AU530" s="224"/>
    </row>
    <row r="531" ht="15.7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  <c r="AK531" s="224"/>
      <c r="AL531" s="224"/>
      <c r="AM531" s="224"/>
      <c r="AN531" s="224"/>
      <c r="AO531" s="224"/>
      <c r="AP531" s="224"/>
      <c r="AQ531" s="224"/>
      <c r="AR531" s="224"/>
      <c r="AS531" s="224"/>
      <c r="AT531" s="224"/>
      <c r="AU531" s="224"/>
    </row>
    <row r="532" ht="15.7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  <c r="AC532" s="224"/>
      <c r="AD532" s="224"/>
      <c r="AE532" s="224"/>
      <c r="AF532" s="224"/>
      <c r="AG532" s="224"/>
      <c r="AH532" s="224"/>
      <c r="AI532" s="224"/>
      <c r="AJ532" s="224"/>
      <c r="AK532" s="224"/>
      <c r="AL532" s="224"/>
      <c r="AM532" s="224"/>
      <c r="AN532" s="224"/>
      <c r="AO532" s="224"/>
      <c r="AP532" s="224"/>
      <c r="AQ532" s="224"/>
      <c r="AR532" s="224"/>
      <c r="AS532" s="224"/>
      <c r="AT532" s="224"/>
      <c r="AU532" s="224"/>
    </row>
    <row r="533" ht="15.7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  <c r="AK533" s="224"/>
      <c r="AL533" s="224"/>
      <c r="AM533" s="224"/>
      <c r="AN533" s="224"/>
      <c r="AO533" s="224"/>
      <c r="AP533" s="224"/>
      <c r="AQ533" s="224"/>
      <c r="AR533" s="224"/>
      <c r="AS533" s="224"/>
      <c r="AT533" s="224"/>
      <c r="AU533" s="224"/>
    </row>
    <row r="534" ht="15.7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  <c r="AF534" s="224"/>
      <c r="AG534" s="224"/>
      <c r="AH534" s="224"/>
      <c r="AI534" s="224"/>
      <c r="AJ534" s="224"/>
      <c r="AK534" s="224"/>
      <c r="AL534" s="224"/>
      <c r="AM534" s="224"/>
      <c r="AN534" s="224"/>
      <c r="AO534" s="224"/>
      <c r="AP534" s="224"/>
      <c r="AQ534" s="224"/>
      <c r="AR534" s="224"/>
      <c r="AS534" s="224"/>
      <c r="AT534" s="224"/>
      <c r="AU534" s="224"/>
    </row>
    <row r="535" ht="15.7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  <c r="AK535" s="224"/>
      <c r="AL535" s="224"/>
      <c r="AM535" s="224"/>
      <c r="AN535" s="224"/>
      <c r="AO535" s="224"/>
      <c r="AP535" s="224"/>
      <c r="AQ535" s="224"/>
      <c r="AR535" s="224"/>
      <c r="AS535" s="224"/>
      <c r="AT535" s="224"/>
      <c r="AU535" s="224"/>
    </row>
    <row r="536" ht="15.7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  <c r="AF536" s="224"/>
      <c r="AG536" s="224"/>
      <c r="AH536" s="224"/>
      <c r="AI536" s="224"/>
      <c r="AJ536" s="224"/>
      <c r="AK536" s="224"/>
      <c r="AL536" s="224"/>
      <c r="AM536" s="224"/>
      <c r="AN536" s="224"/>
      <c r="AO536" s="224"/>
      <c r="AP536" s="224"/>
      <c r="AQ536" s="224"/>
      <c r="AR536" s="224"/>
      <c r="AS536" s="224"/>
      <c r="AT536" s="224"/>
      <c r="AU536" s="224"/>
    </row>
    <row r="537" ht="15.7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  <c r="AC537" s="224"/>
      <c r="AD537" s="224"/>
      <c r="AE537" s="224"/>
      <c r="AF537" s="224"/>
      <c r="AG537" s="224"/>
      <c r="AH537" s="224"/>
      <c r="AI537" s="224"/>
      <c r="AJ537" s="224"/>
      <c r="AK537" s="224"/>
      <c r="AL537" s="224"/>
      <c r="AM537" s="224"/>
      <c r="AN537" s="224"/>
      <c r="AO537" s="224"/>
      <c r="AP537" s="224"/>
      <c r="AQ537" s="224"/>
      <c r="AR537" s="224"/>
      <c r="AS537" s="224"/>
      <c r="AT537" s="224"/>
      <c r="AU537" s="224"/>
    </row>
    <row r="538" ht="15.7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  <c r="AF538" s="224"/>
      <c r="AG538" s="224"/>
      <c r="AH538" s="224"/>
      <c r="AI538" s="224"/>
      <c r="AJ538" s="224"/>
      <c r="AK538" s="224"/>
      <c r="AL538" s="224"/>
      <c r="AM538" s="224"/>
      <c r="AN538" s="224"/>
      <c r="AO538" s="224"/>
      <c r="AP538" s="224"/>
      <c r="AQ538" s="224"/>
      <c r="AR538" s="224"/>
      <c r="AS538" s="224"/>
      <c r="AT538" s="224"/>
      <c r="AU538" s="224"/>
    </row>
    <row r="539" ht="15.7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  <c r="AC539" s="224"/>
      <c r="AD539" s="224"/>
      <c r="AE539" s="224"/>
      <c r="AF539" s="224"/>
      <c r="AG539" s="224"/>
      <c r="AH539" s="224"/>
      <c r="AI539" s="224"/>
      <c r="AJ539" s="224"/>
      <c r="AK539" s="224"/>
      <c r="AL539" s="224"/>
      <c r="AM539" s="224"/>
      <c r="AN539" s="224"/>
      <c r="AO539" s="224"/>
      <c r="AP539" s="224"/>
      <c r="AQ539" s="224"/>
      <c r="AR539" s="224"/>
      <c r="AS539" s="224"/>
      <c r="AT539" s="224"/>
      <c r="AU539" s="224"/>
    </row>
    <row r="540" ht="15.7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  <c r="AC540" s="224"/>
      <c r="AD540" s="224"/>
      <c r="AE540" s="224"/>
      <c r="AF540" s="224"/>
      <c r="AG540" s="224"/>
      <c r="AH540" s="224"/>
      <c r="AI540" s="224"/>
      <c r="AJ540" s="224"/>
      <c r="AK540" s="224"/>
      <c r="AL540" s="224"/>
      <c r="AM540" s="224"/>
      <c r="AN540" s="224"/>
      <c r="AO540" s="224"/>
      <c r="AP540" s="224"/>
      <c r="AQ540" s="224"/>
      <c r="AR540" s="224"/>
      <c r="AS540" s="224"/>
      <c r="AT540" s="224"/>
      <c r="AU540" s="224"/>
    </row>
    <row r="541" ht="15.7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  <c r="AF541" s="224"/>
      <c r="AG541" s="224"/>
      <c r="AH541" s="224"/>
      <c r="AI541" s="224"/>
      <c r="AJ541" s="224"/>
      <c r="AK541" s="224"/>
      <c r="AL541" s="224"/>
      <c r="AM541" s="224"/>
      <c r="AN541" s="224"/>
      <c r="AO541" s="224"/>
      <c r="AP541" s="224"/>
      <c r="AQ541" s="224"/>
      <c r="AR541" s="224"/>
      <c r="AS541" s="224"/>
      <c r="AT541" s="224"/>
      <c r="AU541" s="224"/>
    </row>
    <row r="542" ht="15.7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  <c r="AC542" s="224"/>
      <c r="AD542" s="224"/>
      <c r="AE542" s="224"/>
      <c r="AF542" s="224"/>
      <c r="AG542" s="224"/>
      <c r="AH542" s="224"/>
      <c r="AI542" s="224"/>
      <c r="AJ542" s="224"/>
      <c r="AK542" s="224"/>
      <c r="AL542" s="224"/>
      <c r="AM542" s="224"/>
      <c r="AN542" s="224"/>
      <c r="AO542" s="224"/>
      <c r="AP542" s="224"/>
      <c r="AQ542" s="224"/>
      <c r="AR542" s="224"/>
      <c r="AS542" s="224"/>
      <c r="AT542" s="224"/>
      <c r="AU542" s="224"/>
    </row>
    <row r="543" ht="15.7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  <c r="AK543" s="224"/>
      <c r="AL543" s="224"/>
      <c r="AM543" s="224"/>
      <c r="AN543" s="224"/>
      <c r="AO543" s="224"/>
      <c r="AP543" s="224"/>
      <c r="AQ543" s="224"/>
      <c r="AR543" s="224"/>
      <c r="AS543" s="224"/>
      <c r="AT543" s="224"/>
      <c r="AU543" s="224"/>
    </row>
    <row r="544" ht="15.7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  <c r="AF544" s="224"/>
      <c r="AG544" s="224"/>
      <c r="AH544" s="224"/>
      <c r="AI544" s="224"/>
      <c r="AJ544" s="224"/>
      <c r="AK544" s="224"/>
      <c r="AL544" s="224"/>
      <c r="AM544" s="224"/>
      <c r="AN544" s="224"/>
      <c r="AO544" s="224"/>
      <c r="AP544" s="224"/>
      <c r="AQ544" s="224"/>
      <c r="AR544" s="224"/>
      <c r="AS544" s="224"/>
      <c r="AT544" s="224"/>
      <c r="AU544" s="224"/>
    </row>
    <row r="545" ht="15.7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  <c r="AF545" s="224"/>
      <c r="AG545" s="224"/>
      <c r="AH545" s="224"/>
      <c r="AI545" s="224"/>
      <c r="AJ545" s="224"/>
      <c r="AK545" s="224"/>
      <c r="AL545" s="224"/>
      <c r="AM545" s="224"/>
      <c r="AN545" s="224"/>
      <c r="AO545" s="224"/>
      <c r="AP545" s="224"/>
      <c r="AQ545" s="224"/>
      <c r="AR545" s="224"/>
      <c r="AS545" s="224"/>
      <c r="AT545" s="224"/>
      <c r="AU545" s="224"/>
    </row>
    <row r="546" ht="15.7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  <c r="AC546" s="224"/>
      <c r="AD546" s="224"/>
      <c r="AE546" s="224"/>
      <c r="AF546" s="224"/>
      <c r="AG546" s="224"/>
      <c r="AH546" s="224"/>
      <c r="AI546" s="224"/>
      <c r="AJ546" s="224"/>
      <c r="AK546" s="224"/>
      <c r="AL546" s="224"/>
      <c r="AM546" s="224"/>
      <c r="AN546" s="224"/>
      <c r="AO546" s="224"/>
      <c r="AP546" s="224"/>
      <c r="AQ546" s="224"/>
      <c r="AR546" s="224"/>
      <c r="AS546" s="224"/>
      <c r="AT546" s="224"/>
      <c r="AU546" s="224"/>
    </row>
    <row r="547" ht="15.7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  <c r="AC547" s="224"/>
      <c r="AD547" s="224"/>
      <c r="AE547" s="224"/>
      <c r="AF547" s="224"/>
      <c r="AG547" s="224"/>
      <c r="AH547" s="224"/>
      <c r="AI547" s="224"/>
      <c r="AJ547" s="224"/>
      <c r="AK547" s="224"/>
      <c r="AL547" s="224"/>
      <c r="AM547" s="224"/>
      <c r="AN547" s="224"/>
      <c r="AO547" s="224"/>
      <c r="AP547" s="224"/>
      <c r="AQ547" s="224"/>
      <c r="AR547" s="224"/>
      <c r="AS547" s="224"/>
      <c r="AT547" s="224"/>
      <c r="AU547" s="224"/>
    </row>
    <row r="548" ht="15.7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  <c r="AC548" s="224"/>
      <c r="AD548" s="224"/>
      <c r="AE548" s="224"/>
      <c r="AF548" s="224"/>
      <c r="AG548" s="224"/>
      <c r="AH548" s="224"/>
      <c r="AI548" s="224"/>
      <c r="AJ548" s="224"/>
      <c r="AK548" s="224"/>
      <c r="AL548" s="224"/>
      <c r="AM548" s="224"/>
      <c r="AN548" s="224"/>
      <c r="AO548" s="224"/>
      <c r="AP548" s="224"/>
      <c r="AQ548" s="224"/>
      <c r="AR548" s="224"/>
      <c r="AS548" s="224"/>
      <c r="AT548" s="224"/>
      <c r="AU548" s="224"/>
    </row>
    <row r="549" ht="15.7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  <c r="AC549" s="224"/>
      <c r="AD549" s="224"/>
      <c r="AE549" s="224"/>
      <c r="AF549" s="224"/>
      <c r="AG549" s="224"/>
      <c r="AH549" s="224"/>
      <c r="AI549" s="224"/>
      <c r="AJ549" s="224"/>
      <c r="AK549" s="224"/>
      <c r="AL549" s="224"/>
      <c r="AM549" s="224"/>
      <c r="AN549" s="224"/>
      <c r="AO549" s="224"/>
      <c r="AP549" s="224"/>
      <c r="AQ549" s="224"/>
      <c r="AR549" s="224"/>
      <c r="AS549" s="224"/>
      <c r="AT549" s="224"/>
      <c r="AU549" s="224"/>
    </row>
    <row r="550" ht="15.7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  <c r="AK550" s="224"/>
      <c r="AL550" s="224"/>
      <c r="AM550" s="224"/>
      <c r="AN550" s="224"/>
      <c r="AO550" s="224"/>
      <c r="AP550" s="224"/>
      <c r="AQ550" s="224"/>
      <c r="AR550" s="224"/>
      <c r="AS550" s="224"/>
      <c r="AT550" s="224"/>
      <c r="AU550" s="224"/>
    </row>
    <row r="551" ht="15.7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  <c r="AK551" s="224"/>
      <c r="AL551" s="224"/>
      <c r="AM551" s="224"/>
      <c r="AN551" s="224"/>
      <c r="AO551" s="224"/>
      <c r="AP551" s="224"/>
      <c r="AQ551" s="224"/>
      <c r="AR551" s="224"/>
      <c r="AS551" s="224"/>
      <c r="AT551" s="224"/>
      <c r="AU551" s="224"/>
    </row>
    <row r="552" ht="15.7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  <c r="AC552" s="224"/>
      <c r="AD552" s="224"/>
      <c r="AE552" s="224"/>
      <c r="AF552" s="224"/>
      <c r="AG552" s="224"/>
      <c r="AH552" s="224"/>
      <c r="AI552" s="224"/>
      <c r="AJ552" s="224"/>
      <c r="AK552" s="224"/>
      <c r="AL552" s="224"/>
      <c r="AM552" s="224"/>
      <c r="AN552" s="224"/>
      <c r="AO552" s="224"/>
      <c r="AP552" s="224"/>
      <c r="AQ552" s="224"/>
      <c r="AR552" s="224"/>
      <c r="AS552" s="224"/>
      <c r="AT552" s="224"/>
      <c r="AU552" s="224"/>
    </row>
    <row r="553" ht="15.7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  <c r="AC553" s="224"/>
      <c r="AD553" s="224"/>
      <c r="AE553" s="224"/>
      <c r="AF553" s="224"/>
      <c r="AG553" s="224"/>
      <c r="AH553" s="224"/>
      <c r="AI553" s="224"/>
      <c r="AJ553" s="224"/>
      <c r="AK553" s="224"/>
      <c r="AL553" s="224"/>
      <c r="AM553" s="224"/>
      <c r="AN553" s="224"/>
      <c r="AO553" s="224"/>
      <c r="AP553" s="224"/>
      <c r="AQ553" s="224"/>
      <c r="AR553" s="224"/>
      <c r="AS553" s="224"/>
      <c r="AT553" s="224"/>
      <c r="AU553" s="224"/>
    </row>
    <row r="554" ht="15.7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  <c r="AF554" s="224"/>
      <c r="AG554" s="224"/>
      <c r="AH554" s="224"/>
      <c r="AI554" s="224"/>
      <c r="AJ554" s="224"/>
      <c r="AK554" s="224"/>
      <c r="AL554" s="224"/>
      <c r="AM554" s="224"/>
      <c r="AN554" s="224"/>
      <c r="AO554" s="224"/>
      <c r="AP554" s="224"/>
      <c r="AQ554" s="224"/>
      <c r="AR554" s="224"/>
      <c r="AS554" s="224"/>
      <c r="AT554" s="224"/>
      <c r="AU554" s="224"/>
    </row>
    <row r="555" ht="15.7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  <c r="AK555" s="224"/>
      <c r="AL555" s="224"/>
      <c r="AM555" s="224"/>
      <c r="AN555" s="224"/>
      <c r="AO555" s="224"/>
      <c r="AP555" s="224"/>
      <c r="AQ555" s="224"/>
      <c r="AR555" s="224"/>
      <c r="AS555" s="224"/>
      <c r="AT555" s="224"/>
      <c r="AU555" s="224"/>
    </row>
    <row r="556" ht="15.7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  <c r="AC556" s="224"/>
      <c r="AD556" s="224"/>
      <c r="AE556" s="224"/>
      <c r="AF556" s="224"/>
      <c r="AG556" s="224"/>
      <c r="AH556" s="224"/>
      <c r="AI556" s="224"/>
      <c r="AJ556" s="224"/>
      <c r="AK556" s="224"/>
      <c r="AL556" s="224"/>
      <c r="AM556" s="224"/>
      <c r="AN556" s="224"/>
      <c r="AO556" s="224"/>
      <c r="AP556" s="224"/>
      <c r="AQ556" s="224"/>
      <c r="AR556" s="224"/>
      <c r="AS556" s="224"/>
      <c r="AT556" s="224"/>
      <c r="AU556" s="224"/>
    </row>
    <row r="557" ht="15.7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  <c r="AC557" s="224"/>
      <c r="AD557" s="224"/>
      <c r="AE557" s="224"/>
      <c r="AF557" s="224"/>
      <c r="AG557" s="224"/>
      <c r="AH557" s="224"/>
      <c r="AI557" s="224"/>
      <c r="AJ557" s="224"/>
      <c r="AK557" s="224"/>
      <c r="AL557" s="224"/>
      <c r="AM557" s="224"/>
      <c r="AN557" s="224"/>
      <c r="AO557" s="224"/>
      <c r="AP557" s="224"/>
      <c r="AQ557" s="224"/>
      <c r="AR557" s="224"/>
      <c r="AS557" s="224"/>
      <c r="AT557" s="224"/>
      <c r="AU557" s="224"/>
    </row>
    <row r="558" ht="15.7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  <c r="AC558" s="224"/>
      <c r="AD558" s="224"/>
      <c r="AE558" s="224"/>
      <c r="AF558" s="224"/>
      <c r="AG558" s="224"/>
      <c r="AH558" s="224"/>
      <c r="AI558" s="224"/>
      <c r="AJ558" s="224"/>
      <c r="AK558" s="224"/>
      <c r="AL558" s="224"/>
      <c r="AM558" s="224"/>
      <c r="AN558" s="224"/>
      <c r="AO558" s="224"/>
      <c r="AP558" s="224"/>
      <c r="AQ558" s="224"/>
      <c r="AR558" s="224"/>
      <c r="AS558" s="224"/>
      <c r="AT558" s="224"/>
      <c r="AU558" s="224"/>
    </row>
    <row r="559" ht="15.7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/>
      <c r="AD559" s="224"/>
      <c r="AE559" s="224"/>
      <c r="AF559" s="224"/>
      <c r="AG559" s="224"/>
      <c r="AH559" s="224"/>
      <c r="AI559" s="224"/>
      <c r="AJ559" s="224"/>
      <c r="AK559" s="224"/>
      <c r="AL559" s="224"/>
      <c r="AM559" s="224"/>
      <c r="AN559" s="224"/>
      <c r="AO559" s="224"/>
      <c r="AP559" s="224"/>
      <c r="AQ559" s="224"/>
      <c r="AR559" s="224"/>
      <c r="AS559" s="224"/>
      <c r="AT559" s="224"/>
      <c r="AU559" s="224"/>
    </row>
    <row r="560" ht="15.7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  <c r="AC560" s="224"/>
      <c r="AD560" s="224"/>
      <c r="AE560" s="224"/>
      <c r="AF560" s="224"/>
      <c r="AG560" s="224"/>
      <c r="AH560" s="224"/>
      <c r="AI560" s="224"/>
      <c r="AJ560" s="224"/>
      <c r="AK560" s="224"/>
      <c r="AL560" s="224"/>
      <c r="AM560" s="224"/>
      <c r="AN560" s="224"/>
      <c r="AO560" s="224"/>
      <c r="AP560" s="224"/>
      <c r="AQ560" s="224"/>
      <c r="AR560" s="224"/>
      <c r="AS560" s="224"/>
      <c r="AT560" s="224"/>
      <c r="AU560" s="224"/>
    </row>
    <row r="561" ht="15.7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  <c r="AF561" s="224"/>
      <c r="AG561" s="224"/>
      <c r="AH561" s="224"/>
      <c r="AI561" s="224"/>
      <c r="AJ561" s="224"/>
      <c r="AK561" s="224"/>
      <c r="AL561" s="224"/>
      <c r="AM561" s="224"/>
      <c r="AN561" s="224"/>
      <c r="AO561" s="224"/>
      <c r="AP561" s="224"/>
      <c r="AQ561" s="224"/>
      <c r="AR561" s="224"/>
      <c r="AS561" s="224"/>
      <c r="AT561" s="224"/>
      <c r="AU561" s="224"/>
    </row>
    <row r="562" ht="15.7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  <c r="AK562" s="224"/>
      <c r="AL562" s="224"/>
      <c r="AM562" s="224"/>
      <c r="AN562" s="224"/>
      <c r="AO562" s="224"/>
      <c r="AP562" s="224"/>
      <c r="AQ562" s="224"/>
      <c r="AR562" s="224"/>
      <c r="AS562" s="224"/>
      <c r="AT562" s="224"/>
      <c r="AU562" s="224"/>
    </row>
    <row r="563" ht="15.7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  <c r="AK563" s="224"/>
      <c r="AL563" s="224"/>
      <c r="AM563" s="224"/>
      <c r="AN563" s="224"/>
      <c r="AO563" s="224"/>
      <c r="AP563" s="224"/>
      <c r="AQ563" s="224"/>
      <c r="AR563" s="224"/>
      <c r="AS563" s="224"/>
      <c r="AT563" s="224"/>
      <c r="AU563" s="224"/>
    </row>
    <row r="564" ht="15.7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  <c r="AK564" s="224"/>
      <c r="AL564" s="224"/>
      <c r="AM564" s="224"/>
      <c r="AN564" s="224"/>
      <c r="AO564" s="224"/>
      <c r="AP564" s="224"/>
      <c r="AQ564" s="224"/>
      <c r="AR564" s="224"/>
      <c r="AS564" s="224"/>
      <c r="AT564" s="224"/>
      <c r="AU564" s="224"/>
    </row>
    <row r="565" ht="15.7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  <c r="AK565" s="224"/>
      <c r="AL565" s="224"/>
      <c r="AM565" s="224"/>
      <c r="AN565" s="224"/>
      <c r="AO565" s="224"/>
      <c r="AP565" s="224"/>
      <c r="AQ565" s="224"/>
      <c r="AR565" s="224"/>
      <c r="AS565" s="224"/>
      <c r="AT565" s="224"/>
      <c r="AU565" s="224"/>
    </row>
    <row r="566" ht="15.7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  <c r="AM566" s="224"/>
      <c r="AN566" s="224"/>
      <c r="AO566" s="224"/>
      <c r="AP566" s="224"/>
      <c r="AQ566" s="224"/>
      <c r="AR566" s="224"/>
      <c r="AS566" s="224"/>
      <c r="AT566" s="224"/>
      <c r="AU566" s="224"/>
    </row>
    <row r="567" ht="15.7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4"/>
      <c r="AL567" s="224"/>
      <c r="AM567" s="224"/>
      <c r="AN567" s="224"/>
      <c r="AO567" s="224"/>
      <c r="AP567" s="224"/>
      <c r="AQ567" s="224"/>
      <c r="AR567" s="224"/>
      <c r="AS567" s="224"/>
      <c r="AT567" s="224"/>
      <c r="AU567" s="224"/>
    </row>
    <row r="568" ht="15.7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24"/>
      <c r="AL568" s="224"/>
      <c r="AM568" s="224"/>
      <c r="AN568" s="224"/>
      <c r="AO568" s="224"/>
      <c r="AP568" s="224"/>
      <c r="AQ568" s="224"/>
      <c r="AR568" s="224"/>
      <c r="AS568" s="224"/>
      <c r="AT568" s="224"/>
      <c r="AU568" s="224"/>
    </row>
    <row r="569" ht="15.7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  <c r="AK569" s="224"/>
      <c r="AL569" s="224"/>
      <c r="AM569" s="224"/>
      <c r="AN569" s="224"/>
      <c r="AO569" s="224"/>
      <c r="AP569" s="224"/>
      <c r="AQ569" s="224"/>
      <c r="AR569" s="224"/>
      <c r="AS569" s="224"/>
      <c r="AT569" s="224"/>
      <c r="AU569" s="224"/>
    </row>
    <row r="570" ht="15.7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  <c r="AK570" s="224"/>
      <c r="AL570" s="224"/>
      <c r="AM570" s="224"/>
      <c r="AN570" s="224"/>
      <c r="AO570" s="224"/>
      <c r="AP570" s="224"/>
      <c r="AQ570" s="224"/>
      <c r="AR570" s="224"/>
      <c r="AS570" s="224"/>
      <c r="AT570" s="224"/>
      <c r="AU570" s="224"/>
    </row>
    <row r="571" ht="15.7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  <c r="AF571" s="224"/>
      <c r="AG571" s="224"/>
      <c r="AH571" s="224"/>
      <c r="AI571" s="224"/>
      <c r="AJ571" s="224"/>
      <c r="AK571" s="224"/>
      <c r="AL571" s="224"/>
      <c r="AM571" s="224"/>
      <c r="AN571" s="224"/>
      <c r="AO571" s="224"/>
      <c r="AP571" s="224"/>
      <c r="AQ571" s="224"/>
      <c r="AR571" s="224"/>
      <c r="AS571" s="224"/>
      <c r="AT571" s="224"/>
      <c r="AU571" s="224"/>
    </row>
    <row r="572" ht="15.7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  <c r="AC572" s="224"/>
      <c r="AD572" s="224"/>
      <c r="AE572" s="224"/>
      <c r="AF572" s="224"/>
      <c r="AG572" s="224"/>
      <c r="AH572" s="224"/>
      <c r="AI572" s="224"/>
      <c r="AJ572" s="224"/>
      <c r="AK572" s="224"/>
      <c r="AL572" s="224"/>
      <c r="AM572" s="224"/>
      <c r="AN572" s="224"/>
      <c r="AO572" s="224"/>
      <c r="AP572" s="224"/>
      <c r="AQ572" s="224"/>
      <c r="AR572" s="224"/>
      <c r="AS572" s="224"/>
      <c r="AT572" s="224"/>
      <c r="AU572" s="224"/>
    </row>
    <row r="573" ht="15.7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  <c r="AC573" s="224"/>
      <c r="AD573" s="224"/>
      <c r="AE573" s="224"/>
      <c r="AF573" s="224"/>
      <c r="AG573" s="224"/>
      <c r="AH573" s="224"/>
      <c r="AI573" s="224"/>
      <c r="AJ573" s="224"/>
      <c r="AK573" s="224"/>
      <c r="AL573" s="224"/>
      <c r="AM573" s="224"/>
      <c r="AN573" s="224"/>
      <c r="AO573" s="224"/>
      <c r="AP573" s="224"/>
      <c r="AQ573" s="224"/>
      <c r="AR573" s="224"/>
      <c r="AS573" s="224"/>
      <c r="AT573" s="224"/>
      <c r="AU573" s="224"/>
    </row>
    <row r="574" ht="15.7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  <c r="AC574" s="224"/>
      <c r="AD574" s="224"/>
      <c r="AE574" s="224"/>
      <c r="AF574" s="224"/>
      <c r="AG574" s="224"/>
      <c r="AH574" s="224"/>
      <c r="AI574" s="224"/>
      <c r="AJ574" s="224"/>
      <c r="AK574" s="224"/>
      <c r="AL574" s="224"/>
      <c r="AM574" s="224"/>
      <c r="AN574" s="224"/>
      <c r="AO574" s="224"/>
      <c r="AP574" s="224"/>
      <c r="AQ574" s="224"/>
      <c r="AR574" s="224"/>
      <c r="AS574" s="224"/>
      <c r="AT574" s="224"/>
      <c r="AU574" s="224"/>
    </row>
    <row r="575" ht="15.7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  <c r="AC575" s="224"/>
      <c r="AD575" s="224"/>
      <c r="AE575" s="224"/>
      <c r="AF575" s="224"/>
      <c r="AG575" s="224"/>
      <c r="AH575" s="224"/>
      <c r="AI575" s="224"/>
      <c r="AJ575" s="224"/>
      <c r="AK575" s="224"/>
      <c r="AL575" s="224"/>
      <c r="AM575" s="224"/>
      <c r="AN575" s="224"/>
      <c r="AO575" s="224"/>
      <c r="AP575" s="224"/>
      <c r="AQ575" s="224"/>
      <c r="AR575" s="224"/>
      <c r="AS575" s="224"/>
      <c r="AT575" s="224"/>
      <c r="AU575" s="224"/>
    </row>
    <row r="576" ht="15.7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  <c r="AC576" s="224"/>
      <c r="AD576" s="224"/>
      <c r="AE576" s="224"/>
      <c r="AF576" s="224"/>
      <c r="AG576" s="224"/>
      <c r="AH576" s="224"/>
      <c r="AI576" s="224"/>
      <c r="AJ576" s="224"/>
      <c r="AK576" s="224"/>
      <c r="AL576" s="224"/>
      <c r="AM576" s="224"/>
      <c r="AN576" s="224"/>
      <c r="AO576" s="224"/>
      <c r="AP576" s="224"/>
      <c r="AQ576" s="224"/>
      <c r="AR576" s="224"/>
      <c r="AS576" s="224"/>
      <c r="AT576" s="224"/>
      <c r="AU576" s="224"/>
    </row>
    <row r="577" ht="15.7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  <c r="AF577" s="224"/>
      <c r="AG577" s="224"/>
      <c r="AH577" s="224"/>
      <c r="AI577" s="224"/>
      <c r="AJ577" s="224"/>
      <c r="AK577" s="224"/>
      <c r="AL577" s="224"/>
      <c r="AM577" s="224"/>
      <c r="AN577" s="224"/>
      <c r="AO577" s="224"/>
      <c r="AP577" s="224"/>
      <c r="AQ577" s="224"/>
      <c r="AR577" s="224"/>
      <c r="AS577" s="224"/>
      <c r="AT577" s="224"/>
      <c r="AU577" s="224"/>
    </row>
    <row r="578" ht="15.7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  <c r="AF578" s="224"/>
      <c r="AG578" s="224"/>
      <c r="AH578" s="224"/>
      <c r="AI578" s="224"/>
      <c r="AJ578" s="224"/>
      <c r="AK578" s="224"/>
      <c r="AL578" s="224"/>
      <c r="AM578" s="224"/>
      <c r="AN578" s="224"/>
      <c r="AO578" s="224"/>
      <c r="AP578" s="224"/>
      <c r="AQ578" s="224"/>
      <c r="AR578" s="224"/>
      <c r="AS578" s="224"/>
      <c r="AT578" s="224"/>
      <c r="AU578" s="224"/>
    </row>
    <row r="579" ht="15.7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  <c r="AK579" s="224"/>
      <c r="AL579" s="224"/>
      <c r="AM579" s="224"/>
      <c r="AN579" s="224"/>
      <c r="AO579" s="224"/>
      <c r="AP579" s="224"/>
      <c r="AQ579" s="224"/>
      <c r="AR579" s="224"/>
      <c r="AS579" s="224"/>
      <c r="AT579" s="224"/>
      <c r="AU579" s="224"/>
    </row>
    <row r="580" ht="15.7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  <c r="AF580" s="224"/>
      <c r="AG580" s="224"/>
      <c r="AH580" s="224"/>
      <c r="AI580" s="224"/>
      <c r="AJ580" s="224"/>
      <c r="AK580" s="224"/>
      <c r="AL580" s="224"/>
      <c r="AM580" s="224"/>
      <c r="AN580" s="224"/>
      <c r="AO580" s="224"/>
      <c r="AP580" s="224"/>
      <c r="AQ580" s="224"/>
      <c r="AR580" s="224"/>
      <c r="AS580" s="224"/>
      <c r="AT580" s="224"/>
      <c r="AU580" s="224"/>
    </row>
    <row r="581" ht="15.7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  <c r="AF581" s="224"/>
      <c r="AG581" s="224"/>
      <c r="AH581" s="224"/>
      <c r="AI581" s="224"/>
      <c r="AJ581" s="224"/>
      <c r="AK581" s="224"/>
      <c r="AL581" s="224"/>
      <c r="AM581" s="224"/>
      <c r="AN581" s="224"/>
      <c r="AO581" s="224"/>
      <c r="AP581" s="224"/>
      <c r="AQ581" s="224"/>
      <c r="AR581" s="224"/>
      <c r="AS581" s="224"/>
      <c r="AT581" s="224"/>
      <c r="AU581" s="224"/>
    </row>
    <row r="582" ht="15.7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  <c r="AF582" s="224"/>
      <c r="AG582" s="224"/>
      <c r="AH582" s="224"/>
      <c r="AI582" s="224"/>
      <c r="AJ582" s="224"/>
      <c r="AK582" s="224"/>
      <c r="AL582" s="224"/>
      <c r="AM582" s="224"/>
      <c r="AN582" s="224"/>
      <c r="AO582" s="224"/>
      <c r="AP582" s="224"/>
      <c r="AQ582" s="224"/>
      <c r="AR582" s="224"/>
      <c r="AS582" s="224"/>
      <c r="AT582" s="224"/>
      <c r="AU582" s="224"/>
    </row>
    <row r="583" ht="15.7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  <c r="AF583" s="224"/>
      <c r="AG583" s="224"/>
      <c r="AH583" s="224"/>
      <c r="AI583" s="224"/>
      <c r="AJ583" s="224"/>
      <c r="AK583" s="224"/>
      <c r="AL583" s="224"/>
      <c r="AM583" s="224"/>
      <c r="AN583" s="224"/>
      <c r="AO583" s="224"/>
      <c r="AP583" s="224"/>
      <c r="AQ583" s="224"/>
      <c r="AR583" s="224"/>
      <c r="AS583" s="224"/>
      <c r="AT583" s="224"/>
      <c r="AU583" s="224"/>
    </row>
    <row r="584" ht="15.7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  <c r="AF584" s="224"/>
      <c r="AG584" s="224"/>
      <c r="AH584" s="224"/>
      <c r="AI584" s="224"/>
      <c r="AJ584" s="224"/>
      <c r="AK584" s="224"/>
      <c r="AL584" s="224"/>
      <c r="AM584" s="224"/>
      <c r="AN584" s="224"/>
      <c r="AO584" s="224"/>
      <c r="AP584" s="224"/>
      <c r="AQ584" s="224"/>
      <c r="AR584" s="224"/>
      <c r="AS584" s="224"/>
      <c r="AT584" s="224"/>
      <c r="AU584" s="224"/>
    </row>
    <row r="585" ht="15.7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  <c r="AI585" s="224"/>
      <c r="AJ585" s="224"/>
      <c r="AK585" s="224"/>
      <c r="AL585" s="224"/>
      <c r="AM585" s="224"/>
      <c r="AN585" s="224"/>
      <c r="AO585" s="224"/>
      <c r="AP585" s="224"/>
      <c r="AQ585" s="224"/>
      <c r="AR585" s="224"/>
      <c r="AS585" s="224"/>
      <c r="AT585" s="224"/>
      <c r="AU585" s="224"/>
    </row>
    <row r="586" ht="15.7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  <c r="AF586" s="224"/>
      <c r="AG586" s="224"/>
      <c r="AH586" s="224"/>
      <c r="AI586" s="224"/>
      <c r="AJ586" s="224"/>
      <c r="AK586" s="224"/>
      <c r="AL586" s="224"/>
      <c r="AM586" s="224"/>
      <c r="AN586" s="224"/>
      <c r="AO586" s="224"/>
      <c r="AP586" s="224"/>
      <c r="AQ586" s="224"/>
      <c r="AR586" s="224"/>
      <c r="AS586" s="224"/>
      <c r="AT586" s="224"/>
      <c r="AU586" s="224"/>
    </row>
    <row r="587" ht="15.7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  <c r="AK587" s="224"/>
      <c r="AL587" s="224"/>
      <c r="AM587" s="224"/>
      <c r="AN587" s="224"/>
      <c r="AO587" s="224"/>
      <c r="AP587" s="224"/>
      <c r="AQ587" s="224"/>
      <c r="AR587" s="224"/>
      <c r="AS587" s="224"/>
      <c r="AT587" s="224"/>
      <c r="AU587" s="224"/>
    </row>
    <row r="588" ht="15.7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  <c r="AK588" s="224"/>
      <c r="AL588" s="224"/>
      <c r="AM588" s="224"/>
      <c r="AN588" s="224"/>
      <c r="AO588" s="224"/>
      <c r="AP588" s="224"/>
      <c r="AQ588" s="224"/>
      <c r="AR588" s="224"/>
      <c r="AS588" s="224"/>
      <c r="AT588" s="224"/>
      <c r="AU588" s="224"/>
    </row>
    <row r="589" ht="15.7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  <c r="AF589" s="224"/>
      <c r="AG589" s="224"/>
      <c r="AH589" s="224"/>
      <c r="AI589" s="224"/>
      <c r="AJ589" s="224"/>
      <c r="AK589" s="224"/>
      <c r="AL589" s="224"/>
      <c r="AM589" s="224"/>
      <c r="AN589" s="224"/>
      <c r="AO589" s="224"/>
      <c r="AP589" s="224"/>
      <c r="AQ589" s="224"/>
      <c r="AR589" s="224"/>
      <c r="AS589" s="224"/>
      <c r="AT589" s="224"/>
      <c r="AU589" s="224"/>
    </row>
    <row r="590" ht="15.7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  <c r="AF590" s="224"/>
      <c r="AG590" s="224"/>
      <c r="AH590" s="224"/>
      <c r="AI590" s="224"/>
      <c r="AJ590" s="224"/>
      <c r="AK590" s="224"/>
      <c r="AL590" s="224"/>
      <c r="AM590" s="224"/>
      <c r="AN590" s="224"/>
      <c r="AO590" s="224"/>
      <c r="AP590" s="224"/>
      <c r="AQ590" s="224"/>
      <c r="AR590" s="224"/>
      <c r="AS590" s="224"/>
      <c r="AT590" s="224"/>
      <c r="AU590" s="224"/>
    </row>
    <row r="591" ht="15.7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  <c r="AK591" s="224"/>
      <c r="AL591" s="224"/>
      <c r="AM591" s="224"/>
      <c r="AN591" s="224"/>
      <c r="AO591" s="224"/>
      <c r="AP591" s="224"/>
      <c r="AQ591" s="224"/>
      <c r="AR591" s="224"/>
      <c r="AS591" s="224"/>
      <c r="AT591" s="224"/>
      <c r="AU591" s="224"/>
    </row>
    <row r="592" ht="15.7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  <c r="AF592" s="224"/>
      <c r="AG592" s="224"/>
      <c r="AH592" s="224"/>
      <c r="AI592" s="224"/>
      <c r="AJ592" s="224"/>
      <c r="AK592" s="224"/>
      <c r="AL592" s="224"/>
      <c r="AM592" s="224"/>
      <c r="AN592" s="224"/>
      <c r="AO592" s="224"/>
      <c r="AP592" s="224"/>
      <c r="AQ592" s="224"/>
      <c r="AR592" s="224"/>
      <c r="AS592" s="224"/>
      <c r="AT592" s="224"/>
      <c r="AU592" s="224"/>
    </row>
    <row r="593" ht="15.7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  <c r="AF593" s="224"/>
      <c r="AG593" s="224"/>
      <c r="AH593" s="224"/>
      <c r="AI593" s="224"/>
      <c r="AJ593" s="224"/>
      <c r="AK593" s="224"/>
      <c r="AL593" s="224"/>
      <c r="AM593" s="224"/>
      <c r="AN593" s="224"/>
      <c r="AO593" s="224"/>
      <c r="AP593" s="224"/>
      <c r="AQ593" s="224"/>
      <c r="AR593" s="224"/>
      <c r="AS593" s="224"/>
      <c r="AT593" s="224"/>
      <c r="AU593" s="224"/>
    </row>
    <row r="594" ht="15.7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  <c r="AF594" s="224"/>
      <c r="AG594" s="224"/>
      <c r="AH594" s="224"/>
      <c r="AI594" s="224"/>
      <c r="AJ594" s="224"/>
      <c r="AK594" s="224"/>
      <c r="AL594" s="224"/>
      <c r="AM594" s="224"/>
      <c r="AN594" s="224"/>
      <c r="AO594" s="224"/>
      <c r="AP594" s="224"/>
      <c r="AQ594" s="224"/>
      <c r="AR594" s="224"/>
      <c r="AS594" s="224"/>
      <c r="AT594" s="224"/>
      <c r="AU594" s="224"/>
    </row>
    <row r="595" ht="15.7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  <c r="AF595" s="224"/>
      <c r="AG595" s="224"/>
      <c r="AH595" s="224"/>
      <c r="AI595" s="224"/>
      <c r="AJ595" s="224"/>
      <c r="AK595" s="224"/>
      <c r="AL595" s="224"/>
      <c r="AM595" s="224"/>
      <c r="AN595" s="224"/>
      <c r="AO595" s="224"/>
      <c r="AP595" s="224"/>
      <c r="AQ595" s="224"/>
      <c r="AR595" s="224"/>
      <c r="AS595" s="224"/>
      <c r="AT595" s="224"/>
      <c r="AU595" s="224"/>
    </row>
    <row r="596" ht="15.7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  <c r="AF596" s="224"/>
      <c r="AG596" s="224"/>
      <c r="AH596" s="224"/>
      <c r="AI596" s="224"/>
      <c r="AJ596" s="224"/>
      <c r="AK596" s="224"/>
      <c r="AL596" s="224"/>
      <c r="AM596" s="224"/>
      <c r="AN596" s="224"/>
      <c r="AO596" s="224"/>
      <c r="AP596" s="224"/>
      <c r="AQ596" s="224"/>
      <c r="AR596" s="224"/>
      <c r="AS596" s="224"/>
      <c r="AT596" s="224"/>
      <c r="AU596" s="224"/>
    </row>
    <row r="597" ht="15.7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  <c r="AF597" s="224"/>
      <c r="AG597" s="224"/>
      <c r="AH597" s="224"/>
      <c r="AI597" s="224"/>
      <c r="AJ597" s="224"/>
      <c r="AK597" s="224"/>
      <c r="AL597" s="224"/>
      <c r="AM597" s="224"/>
      <c r="AN597" s="224"/>
      <c r="AO597" s="224"/>
      <c r="AP597" s="224"/>
      <c r="AQ597" s="224"/>
      <c r="AR597" s="224"/>
      <c r="AS597" s="224"/>
      <c r="AT597" s="224"/>
      <c r="AU597" s="224"/>
    </row>
    <row r="598" ht="15.7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  <c r="AF598" s="224"/>
      <c r="AG598" s="224"/>
      <c r="AH598" s="224"/>
      <c r="AI598" s="224"/>
      <c r="AJ598" s="224"/>
      <c r="AK598" s="224"/>
      <c r="AL598" s="224"/>
      <c r="AM598" s="224"/>
      <c r="AN598" s="224"/>
      <c r="AO598" s="224"/>
      <c r="AP598" s="224"/>
      <c r="AQ598" s="224"/>
      <c r="AR598" s="224"/>
      <c r="AS598" s="224"/>
      <c r="AT598" s="224"/>
      <c r="AU598" s="224"/>
    </row>
    <row r="599" ht="15.7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  <c r="AF599" s="224"/>
      <c r="AG599" s="224"/>
      <c r="AH599" s="224"/>
      <c r="AI599" s="224"/>
      <c r="AJ599" s="224"/>
      <c r="AK599" s="224"/>
      <c r="AL599" s="224"/>
      <c r="AM599" s="224"/>
      <c r="AN599" s="224"/>
      <c r="AO599" s="224"/>
      <c r="AP599" s="224"/>
      <c r="AQ599" s="224"/>
      <c r="AR599" s="224"/>
      <c r="AS599" s="224"/>
      <c r="AT599" s="224"/>
      <c r="AU599" s="224"/>
    </row>
    <row r="600" ht="15.7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  <c r="AF600" s="224"/>
      <c r="AG600" s="224"/>
      <c r="AH600" s="224"/>
      <c r="AI600" s="224"/>
      <c r="AJ600" s="224"/>
      <c r="AK600" s="224"/>
      <c r="AL600" s="224"/>
      <c r="AM600" s="224"/>
      <c r="AN600" s="224"/>
      <c r="AO600" s="224"/>
      <c r="AP600" s="224"/>
      <c r="AQ600" s="224"/>
      <c r="AR600" s="224"/>
      <c r="AS600" s="224"/>
      <c r="AT600" s="224"/>
      <c r="AU600" s="224"/>
    </row>
    <row r="601" ht="15.7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  <c r="AF601" s="224"/>
      <c r="AG601" s="224"/>
      <c r="AH601" s="224"/>
      <c r="AI601" s="224"/>
      <c r="AJ601" s="224"/>
      <c r="AK601" s="224"/>
      <c r="AL601" s="224"/>
      <c r="AM601" s="224"/>
      <c r="AN601" s="224"/>
      <c r="AO601" s="224"/>
      <c r="AP601" s="224"/>
      <c r="AQ601" s="224"/>
      <c r="AR601" s="224"/>
      <c r="AS601" s="224"/>
      <c r="AT601" s="224"/>
      <c r="AU601" s="224"/>
    </row>
    <row r="602" ht="15.7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  <c r="AF602" s="224"/>
      <c r="AG602" s="224"/>
      <c r="AH602" s="224"/>
      <c r="AI602" s="224"/>
      <c r="AJ602" s="224"/>
      <c r="AK602" s="224"/>
      <c r="AL602" s="224"/>
      <c r="AM602" s="224"/>
      <c r="AN602" s="224"/>
      <c r="AO602" s="224"/>
      <c r="AP602" s="224"/>
      <c r="AQ602" s="224"/>
      <c r="AR602" s="224"/>
      <c r="AS602" s="224"/>
      <c r="AT602" s="224"/>
      <c r="AU602" s="224"/>
    </row>
    <row r="603" ht="15.7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  <c r="AK603" s="224"/>
      <c r="AL603" s="224"/>
      <c r="AM603" s="224"/>
      <c r="AN603" s="224"/>
      <c r="AO603" s="224"/>
      <c r="AP603" s="224"/>
      <c r="AQ603" s="224"/>
      <c r="AR603" s="224"/>
      <c r="AS603" s="224"/>
      <c r="AT603" s="224"/>
      <c r="AU603" s="224"/>
    </row>
    <row r="604" ht="15.7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  <c r="AF604" s="224"/>
      <c r="AG604" s="224"/>
      <c r="AH604" s="224"/>
      <c r="AI604" s="224"/>
      <c r="AJ604" s="224"/>
      <c r="AK604" s="224"/>
      <c r="AL604" s="224"/>
      <c r="AM604" s="224"/>
      <c r="AN604" s="224"/>
      <c r="AO604" s="224"/>
      <c r="AP604" s="224"/>
      <c r="AQ604" s="224"/>
      <c r="AR604" s="224"/>
      <c r="AS604" s="224"/>
      <c r="AT604" s="224"/>
      <c r="AU604" s="224"/>
    </row>
    <row r="605" ht="15.7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  <c r="AF605" s="224"/>
      <c r="AG605" s="224"/>
      <c r="AH605" s="224"/>
      <c r="AI605" s="224"/>
      <c r="AJ605" s="224"/>
      <c r="AK605" s="224"/>
      <c r="AL605" s="224"/>
      <c r="AM605" s="224"/>
      <c r="AN605" s="224"/>
      <c r="AO605" s="224"/>
      <c r="AP605" s="224"/>
      <c r="AQ605" s="224"/>
      <c r="AR605" s="224"/>
      <c r="AS605" s="224"/>
      <c r="AT605" s="224"/>
      <c r="AU605" s="224"/>
    </row>
    <row r="606" ht="15.7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  <c r="AF606" s="224"/>
      <c r="AG606" s="224"/>
      <c r="AH606" s="224"/>
      <c r="AI606" s="224"/>
      <c r="AJ606" s="224"/>
      <c r="AK606" s="224"/>
      <c r="AL606" s="224"/>
      <c r="AM606" s="224"/>
      <c r="AN606" s="224"/>
      <c r="AO606" s="224"/>
      <c r="AP606" s="224"/>
      <c r="AQ606" s="224"/>
      <c r="AR606" s="224"/>
      <c r="AS606" s="224"/>
      <c r="AT606" s="224"/>
      <c r="AU606" s="224"/>
    </row>
    <row r="607" ht="15.7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  <c r="AF607" s="224"/>
      <c r="AG607" s="224"/>
      <c r="AH607" s="224"/>
      <c r="AI607" s="224"/>
      <c r="AJ607" s="224"/>
      <c r="AK607" s="224"/>
      <c r="AL607" s="224"/>
      <c r="AM607" s="224"/>
      <c r="AN607" s="224"/>
      <c r="AO607" s="224"/>
      <c r="AP607" s="224"/>
      <c r="AQ607" s="224"/>
      <c r="AR607" s="224"/>
      <c r="AS607" s="224"/>
      <c r="AT607" s="224"/>
      <c r="AU607" s="224"/>
    </row>
    <row r="608" ht="15.7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  <c r="AF608" s="224"/>
      <c r="AG608" s="224"/>
      <c r="AH608" s="224"/>
      <c r="AI608" s="224"/>
      <c r="AJ608" s="224"/>
      <c r="AK608" s="224"/>
      <c r="AL608" s="224"/>
      <c r="AM608" s="224"/>
      <c r="AN608" s="224"/>
      <c r="AO608" s="224"/>
      <c r="AP608" s="224"/>
      <c r="AQ608" s="224"/>
      <c r="AR608" s="224"/>
      <c r="AS608" s="224"/>
      <c r="AT608" s="224"/>
      <c r="AU608" s="224"/>
    </row>
    <row r="609" ht="15.7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  <c r="AF609" s="224"/>
      <c r="AG609" s="224"/>
      <c r="AH609" s="224"/>
      <c r="AI609" s="224"/>
      <c r="AJ609" s="224"/>
      <c r="AK609" s="224"/>
      <c r="AL609" s="224"/>
      <c r="AM609" s="224"/>
      <c r="AN609" s="224"/>
      <c r="AO609" s="224"/>
      <c r="AP609" s="224"/>
      <c r="AQ609" s="224"/>
      <c r="AR609" s="224"/>
      <c r="AS609" s="224"/>
      <c r="AT609" s="224"/>
      <c r="AU609" s="224"/>
    </row>
    <row r="610" ht="15.7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  <c r="AF610" s="224"/>
      <c r="AG610" s="224"/>
      <c r="AH610" s="224"/>
      <c r="AI610" s="224"/>
      <c r="AJ610" s="224"/>
      <c r="AK610" s="224"/>
      <c r="AL610" s="224"/>
      <c r="AM610" s="224"/>
      <c r="AN610" s="224"/>
      <c r="AO610" s="224"/>
      <c r="AP610" s="224"/>
      <c r="AQ610" s="224"/>
      <c r="AR610" s="224"/>
      <c r="AS610" s="224"/>
      <c r="AT610" s="224"/>
      <c r="AU610" s="224"/>
    </row>
    <row r="611" ht="15.7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  <c r="AF611" s="224"/>
      <c r="AG611" s="224"/>
      <c r="AH611" s="224"/>
      <c r="AI611" s="224"/>
      <c r="AJ611" s="224"/>
      <c r="AK611" s="224"/>
      <c r="AL611" s="224"/>
      <c r="AM611" s="224"/>
      <c r="AN611" s="224"/>
      <c r="AO611" s="224"/>
      <c r="AP611" s="224"/>
      <c r="AQ611" s="224"/>
      <c r="AR611" s="224"/>
      <c r="AS611" s="224"/>
      <c r="AT611" s="224"/>
      <c r="AU611" s="224"/>
    </row>
    <row r="612" ht="15.7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  <c r="AF612" s="224"/>
      <c r="AG612" s="224"/>
      <c r="AH612" s="224"/>
      <c r="AI612" s="224"/>
      <c r="AJ612" s="224"/>
      <c r="AK612" s="224"/>
      <c r="AL612" s="224"/>
      <c r="AM612" s="224"/>
      <c r="AN612" s="224"/>
      <c r="AO612" s="224"/>
      <c r="AP612" s="224"/>
      <c r="AQ612" s="224"/>
      <c r="AR612" s="224"/>
      <c r="AS612" s="224"/>
      <c r="AT612" s="224"/>
      <c r="AU612" s="224"/>
    </row>
    <row r="613" ht="15.7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  <c r="AF613" s="224"/>
      <c r="AG613" s="224"/>
      <c r="AH613" s="224"/>
      <c r="AI613" s="224"/>
      <c r="AJ613" s="224"/>
      <c r="AK613" s="224"/>
      <c r="AL613" s="224"/>
      <c r="AM613" s="224"/>
      <c r="AN613" s="224"/>
      <c r="AO613" s="224"/>
      <c r="AP613" s="224"/>
      <c r="AQ613" s="224"/>
      <c r="AR613" s="224"/>
      <c r="AS613" s="224"/>
      <c r="AT613" s="224"/>
      <c r="AU613" s="224"/>
    </row>
    <row r="614" ht="15.7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  <c r="AF614" s="224"/>
      <c r="AG614" s="224"/>
      <c r="AH614" s="224"/>
      <c r="AI614" s="224"/>
      <c r="AJ614" s="224"/>
      <c r="AK614" s="224"/>
      <c r="AL614" s="224"/>
      <c r="AM614" s="224"/>
      <c r="AN614" s="224"/>
      <c r="AO614" s="224"/>
      <c r="AP614" s="224"/>
      <c r="AQ614" s="224"/>
      <c r="AR614" s="224"/>
      <c r="AS614" s="224"/>
      <c r="AT614" s="224"/>
      <c r="AU614" s="224"/>
    </row>
    <row r="615" ht="15.7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  <c r="AK615" s="224"/>
      <c r="AL615" s="224"/>
      <c r="AM615" s="224"/>
      <c r="AN615" s="224"/>
      <c r="AO615" s="224"/>
      <c r="AP615" s="224"/>
      <c r="AQ615" s="224"/>
      <c r="AR615" s="224"/>
      <c r="AS615" s="224"/>
      <c r="AT615" s="224"/>
      <c r="AU615" s="224"/>
    </row>
    <row r="616" ht="15.7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  <c r="AF616" s="224"/>
      <c r="AG616" s="224"/>
      <c r="AH616" s="224"/>
      <c r="AI616" s="224"/>
      <c r="AJ616" s="224"/>
      <c r="AK616" s="224"/>
      <c r="AL616" s="224"/>
      <c r="AM616" s="224"/>
      <c r="AN616" s="224"/>
      <c r="AO616" s="224"/>
      <c r="AP616" s="224"/>
      <c r="AQ616" s="224"/>
      <c r="AR616" s="224"/>
      <c r="AS616" s="224"/>
      <c r="AT616" s="224"/>
      <c r="AU616" s="224"/>
    </row>
    <row r="617" ht="15.7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  <c r="AF617" s="224"/>
      <c r="AG617" s="224"/>
      <c r="AH617" s="224"/>
      <c r="AI617" s="224"/>
      <c r="AJ617" s="224"/>
      <c r="AK617" s="224"/>
      <c r="AL617" s="224"/>
      <c r="AM617" s="224"/>
      <c r="AN617" s="224"/>
      <c r="AO617" s="224"/>
      <c r="AP617" s="224"/>
      <c r="AQ617" s="224"/>
      <c r="AR617" s="224"/>
      <c r="AS617" s="224"/>
      <c r="AT617" s="224"/>
      <c r="AU617" s="224"/>
    </row>
    <row r="618" ht="15.7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  <c r="AF618" s="224"/>
      <c r="AG618" s="224"/>
      <c r="AH618" s="224"/>
      <c r="AI618" s="224"/>
      <c r="AJ618" s="224"/>
      <c r="AK618" s="224"/>
      <c r="AL618" s="224"/>
      <c r="AM618" s="224"/>
      <c r="AN618" s="224"/>
      <c r="AO618" s="224"/>
      <c r="AP618" s="224"/>
      <c r="AQ618" s="224"/>
      <c r="AR618" s="224"/>
      <c r="AS618" s="224"/>
      <c r="AT618" s="224"/>
      <c r="AU618" s="224"/>
    </row>
    <row r="619" ht="15.7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  <c r="AF619" s="224"/>
      <c r="AG619" s="224"/>
      <c r="AH619" s="224"/>
      <c r="AI619" s="224"/>
      <c r="AJ619" s="224"/>
      <c r="AK619" s="224"/>
      <c r="AL619" s="224"/>
      <c r="AM619" s="224"/>
      <c r="AN619" s="224"/>
      <c r="AO619" s="224"/>
      <c r="AP619" s="224"/>
      <c r="AQ619" s="224"/>
      <c r="AR619" s="224"/>
      <c r="AS619" s="224"/>
      <c r="AT619" s="224"/>
      <c r="AU619" s="224"/>
    </row>
    <row r="620" ht="15.7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  <c r="AF620" s="224"/>
      <c r="AG620" s="224"/>
      <c r="AH620" s="224"/>
      <c r="AI620" s="224"/>
      <c r="AJ620" s="224"/>
      <c r="AK620" s="224"/>
      <c r="AL620" s="224"/>
      <c r="AM620" s="224"/>
      <c r="AN620" s="224"/>
      <c r="AO620" s="224"/>
      <c r="AP620" s="224"/>
      <c r="AQ620" s="224"/>
      <c r="AR620" s="224"/>
      <c r="AS620" s="224"/>
      <c r="AT620" s="224"/>
      <c r="AU620" s="224"/>
    </row>
    <row r="621" ht="15.7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  <c r="AF621" s="224"/>
      <c r="AG621" s="224"/>
      <c r="AH621" s="224"/>
      <c r="AI621" s="224"/>
      <c r="AJ621" s="224"/>
      <c r="AK621" s="224"/>
      <c r="AL621" s="224"/>
      <c r="AM621" s="224"/>
      <c r="AN621" s="224"/>
      <c r="AO621" s="224"/>
      <c r="AP621" s="224"/>
      <c r="AQ621" s="224"/>
      <c r="AR621" s="224"/>
      <c r="AS621" s="224"/>
      <c r="AT621" s="224"/>
      <c r="AU621" s="224"/>
    </row>
    <row r="622" ht="15.7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  <c r="AF622" s="224"/>
      <c r="AG622" s="224"/>
      <c r="AH622" s="224"/>
      <c r="AI622" s="224"/>
      <c r="AJ622" s="224"/>
      <c r="AK622" s="224"/>
      <c r="AL622" s="224"/>
      <c r="AM622" s="224"/>
      <c r="AN622" s="224"/>
      <c r="AO622" s="224"/>
      <c r="AP622" s="224"/>
      <c r="AQ622" s="224"/>
      <c r="AR622" s="224"/>
      <c r="AS622" s="224"/>
      <c r="AT622" s="224"/>
      <c r="AU622" s="224"/>
    </row>
    <row r="623" ht="15.7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  <c r="AF623" s="224"/>
      <c r="AG623" s="224"/>
      <c r="AH623" s="224"/>
      <c r="AI623" s="224"/>
      <c r="AJ623" s="224"/>
      <c r="AK623" s="224"/>
      <c r="AL623" s="224"/>
      <c r="AM623" s="224"/>
      <c r="AN623" s="224"/>
      <c r="AO623" s="224"/>
      <c r="AP623" s="224"/>
      <c r="AQ623" s="224"/>
      <c r="AR623" s="224"/>
      <c r="AS623" s="224"/>
      <c r="AT623" s="224"/>
      <c r="AU623" s="224"/>
    </row>
    <row r="624" ht="15.7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  <c r="AF624" s="224"/>
      <c r="AG624" s="224"/>
      <c r="AH624" s="224"/>
      <c r="AI624" s="224"/>
      <c r="AJ624" s="224"/>
      <c r="AK624" s="224"/>
      <c r="AL624" s="224"/>
      <c r="AM624" s="224"/>
      <c r="AN624" s="224"/>
      <c r="AO624" s="224"/>
      <c r="AP624" s="224"/>
      <c r="AQ624" s="224"/>
      <c r="AR624" s="224"/>
      <c r="AS624" s="224"/>
      <c r="AT624" s="224"/>
      <c r="AU624" s="224"/>
    </row>
    <row r="625" ht="15.7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  <c r="AF625" s="224"/>
      <c r="AG625" s="224"/>
      <c r="AH625" s="224"/>
      <c r="AI625" s="224"/>
      <c r="AJ625" s="224"/>
      <c r="AK625" s="224"/>
      <c r="AL625" s="224"/>
      <c r="AM625" s="224"/>
      <c r="AN625" s="224"/>
      <c r="AO625" s="224"/>
      <c r="AP625" s="224"/>
      <c r="AQ625" s="224"/>
      <c r="AR625" s="224"/>
      <c r="AS625" s="224"/>
      <c r="AT625" s="224"/>
      <c r="AU625" s="224"/>
    </row>
    <row r="626" ht="15.7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  <c r="AF626" s="224"/>
      <c r="AG626" s="224"/>
      <c r="AH626" s="224"/>
      <c r="AI626" s="224"/>
      <c r="AJ626" s="224"/>
      <c r="AK626" s="224"/>
      <c r="AL626" s="224"/>
      <c r="AM626" s="224"/>
      <c r="AN626" s="224"/>
      <c r="AO626" s="224"/>
      <c r="AP626" s="224"/>
      <c r="AQ626" s="224"/>
      <c r="AR626" s="224"/>
      <c r="AS626" s="224"/>
      <c r="AT626" s="224"/>
      <c r="AU626" s="224"/>
    </row>
    <row r="627" ht="15.7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  <c r="AK627" s="224"/>
      <c r="AL627" s="224"/>
      <c r="AM627" s="224"/>
      <c r="AN627" s="224"/>
      <c r="AO627" s="224"/>
      <c r="AP627" s="224"/>
      <c r="AQ627" s="224"/>
      <c r="AR627" s="224"/>
      <c r="AS627" s="224"/>
      <c r="AT627" s="224"/>
      <c r="AU627" s="224"/>
    </row>
    <row r="628" ht="15.7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  <c r="AF628" s="224"/>
      <c r="AG628" s="224"/>
      <c r="AH628" s="224"/>
      <c r="AI628" s="224"/>
      <c r="AJ628" s="224"/>
      <c r="AK628" s="224"/>
      <c r="AL628" s="224"/>
      <c r="AM628" s="224"/>
      <c r="AN628" s="224"/>
      <c r="AO628" s="224"/>
      <c r="AP628" s="224"/>
      <c r="AQ628" s="224"/>
      <c r="AR628" s="224"/>
      <c r="AS628" s="224"/>
      <c r="AT628" s="224"/>
      <c r="AU628" s="224"/>
    </row>
    <row r="629" ht="15.7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  <c r="AF629" s="224"/>
      <c r="AG629" s="224"/>
      <c r="AH629" s="224"/>
      <c r="AI629" s="224"/>
      <c r="AJ629" s="224"/>
      <c r="AK629" s="224"/>
      <c r="AL629" s="224"/>
      <c r="AM629" s="224"/>
      <c r="AN629" s="224"/>
      <c r="AO629" s="224"/>
      <c r="AP629" s="224"/>
      <c r="AQ629" s="224"/>
      <c r="AR629" s="224"/>
      <c r="AS629" s="224"/>
      <c r="AT629" s="224"/>
      <c r="AU629" s="224"/>
    </row>
    <row r="630" ht="15.7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  <c r="AF630" s="224"/>
      <c r="AG630" s="224"/>
      <c r="AH630" s="224"/>
      <c r="AI630" s="224"/>
      <c r="AJ630" s="224"/>
      <c r="AK630" s="224"/>
      <c r="AL630" s="224"/>
      <c r="AM630" s="224"/>
      <c r="AN630" s="224"/>
      <c r="AO630" s="224"/>
      <c r="AP630" s="224"/>
      <c r="AQ630" s="224"/>
      <c r="AR630" s="224"/>
      <c r="AS630" s="224"/>
      <c r="AT630" s="224"/>
      <c r="AU630" s="224"/>
    </row>
    <row r="631" ht="15.7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  <c r="AF631" s="224"/>
      <c r="AG631" s="224"/>
      <c r="AH631" s="224"/>
      <c r="AI631" s="224"/>
      <c r="AJ631" s="224"/>
      <c r="AK631" s="224"/>
      <c r="AL631" s="224"/>
      <c r="AM631" s="224"/>
      <c r="AN631" s="224"/>
      <c r="AO631" s="224"/>
      <c r="AP631" s="224"/>
      <c r="AQ631" s="224"/>
      <c r="AR631" s="224"/>
      <c r="AS631" s="224"/>
      <c r="AT631" s="224"/>
      <c r="AU631" s="224"/>
    </row>
    <row r="632" ht="15.7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  <c r="AF632" s="224"/>
      <c r="AG632" s="224"/>
      <c r="AH632" s="224"/>
      <c r="AI632" s="224"/>
      <c r="AJ632" s="224"/>
      <c r="AK632" s="224"/>
      <c r="AL632" s="224"/>
      <c r="AM632" s="224"/>
      <c r="AN632" s="224"/>
      <c r="AO632" s="224"/>
      <c r="AP632" s="224"/>
      <c r="AQ632" s="224"/>
      <c r="AR632" s="224"/>
      <c r="AS632" s="224"/>
      <c r="AT632" s="224"/>
      <c r="AU632" s="224"/>
    </row>
    <row r="633" ht="15.7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  <c r="AF633" s="224"/>
      <c r="AG633" s="224"/>
      <c r="AH633" s="224"/>
      <c r="AI633" s="224"/>
      <c r="AJ633" s="224"/>
      <c r="AK633" s="224"/>
      <c r="AL633" s="224"/>
      <c r="AM633" s="224"/>
      <c r="AN633" s="224"/>
      <c r="AO633" s="224"/>
      <c r="AP633" s="224"/>
      <c r="AQ633" s="224"/>
      <c r="AR633" s="224"/>
      <c r="AS633" s="224"/>
      <c r="AT633" s="224"/>
      <c r="AU633" s="224"/>
    </row>
    <row r="634" ht="15.7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  <c r="AF634" s="224"/>
      <c r="AG634" s="224"/>
      <c r="AH634" s="224"/>
      <c r="AI634" s="224"/>
      <c r="AJ634" s="224"/>
      <c r="AK634" s="224"/>
      <c r="AL634" s="224"/>
      <c r="AM634" s="224"/>
      <c r="AN634" s="224"/>
      <c r="AO634" s="224"/>
      <c r="AP634" s="224"/>
      <c r="AQ634" s="224"/>
      <c r="AR634" s="224"/>
      <c r="AS634" s="224"/>
      <c r="AT634" s="224"/>
      <c r="AU634" s="224"/>
    </row>
    <row r="635" ht="15.7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  <c r="AF635" s="224"/>
      <c r="AG635" s="224"/>
      <c r="AH635" s="224"/>
      <c r="AI635" s="224"/>
      <c r="AJ635" s="224"/>
      <c r="AK635" s="224"/>
      <c r="AL635" s="224"/>
      <c r="AM635" s="224"/>
      <c r="AN635" s="224"/>
      <c r="AO635" s="224"/>
      <c r="AP635" s="224"/>
      <c r="AQ635" s="224"/>
      <c r="AR635" s="224"/>
      <c r="AS635" s="224"/>
      <c r="AT635" s="224"/>
      <c r="AU635" s="224"/>
    </row>
    <row r="636" ht="15.7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  <c r="AF636" s="224"/>
      <c r="AG636" s="224"/>
      <c r="AH636" s="224"/>
      <c r="AI636" s="224"/>
      <c r="AJ636" s="224"/>
      <c r="AK636" s="224"/>
      <c r="AL636" s="224"/>
      <c r="AM636" s="224"/>
      <c r="AN636" s="224"/>
      <c r="AO636" s="224"/>
      <c r="AP636" s="224"/>
      <c r="AQ636" s="224"/>
      <c r="AR636" s="224"/>
      <c r="AS636" s="224"/>
      <c r="AT636" s="224"/>
      <c r="AU636" s="224"/>
    </row>
    <row r="637" ht="15.7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  <c r="AF637" s="224"/>
      <c r="AG637" s="224"/>
      <c r="AH637" s="224"/>
      <c r="AI637" s="224"/>
      <c r="AJ637" s="224"/>
      <c r="AK637" s="224"/>
      <c r="AL637" s="224"/>
      <c r="AM637" s="224"/>
      <c r="AN637" s="224"/>
      <c r="AO637" s="224"/>
      <c r="AP637" s="224"/>
      <c r="AQ637" s="224"/>
      <c r="AR637" s="224"/>
      <c r="AS637" s="224"/>
      <c r="AT637" s="224"/>
      <c r="AU637" s="224"/>
    </row>
    <row r="638" ht="15.7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  <c r="AF638" s="224"/>
      <c r="AG638" s="224"/>
      <c r="AH638" s="224"/>
      <c r="AI638" s="224"/>
      <c r="AJ638" s="224"/>
      <c r="AK638" s="224"/>
      <c r="AL638" s="224"/>
      <c r="AM638" s="224"/>
      <c r="AN638" s="224"/>
      <c r="AO638" s="224"/>
      <c r="AP638" s="224"/>
      <c r="AQ638" s="224"/>
      <c r="AR638" s="224"/>
      <c r="AS638" s="224"/>
      <c r="AT638" s="224"/>
      <c r="AU638" s="224"/>
    </row>
    <row r="639" ht="15.7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  <c r="AK639" s="224"/>
      <c r="AL639" s="224"/>
      <c r="AM639" s="224"/>
      <c r="AN639" s="224"/>
      <c r="AO639" s="224"/>
      <c r="AP639" s="224"/>
      <c r="AQ639" s="224"/>
      <c r="AR639" s="224"/>
      <c r="AS639" s="224"/>
      <c r="AT639" s="224"/>
      <c r="AU639" s="224"/>
    </row>
    <row r="640" ht="15.7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  <c r="AF640" s="224"/>
      <c r="AG640" s="224"/>
      <c r="AH640" s="224"/>
      <c r="AI640" s="224"/>
      <c r="AJ640" s="224"/>
      <c r="AK640" s="224"/>
      <c r="AL640" s="224"/>
      <c r="AM640" s="224"/>
      <c r="AN640" s="224"/>
      <c r="AO640" s="224"/>
      <c r="AP640" s="224"/>
      <c r="AQ640" s="224"/>
      <c r="AR640" s="224"/>
      <c r="AS640" s="224"/>
      <c r="AT640" s="224"/>
      <c r="AU640" s="224"/>
    </row>
    <row r="641" ht="15.7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  <c r="AK641" s="224"/>
      <c r="AL641" s="224"/>
      <c r="AM641" s="224"/>
      <c r="AN641" s="224"/>
      <c r="AO641" s="224"/>
      <c r="AP641" s="224"/>
      <c r="AQ641" s="224"/>
      <c r="AR641" s="224"/>
      <c r="AS641" s="224"/>
      <c r="AT641" s="224"/>
      <c r="AU641" s="224"/>
    </row>
    <row r="642" ht="15.7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  <c r="AF642" s="224"/>
      <c r="AG642" s="224"/>
      <c r="AH642" s="224"/>
      <c r="AI642" s="224"/>
      <c r="AJ642" s="224"/>
      <c r="AK642" s="224"/>
      <c r="AL642" s="224"/>
      <c r="AM642" s="224"/>
      <c r="AN642" s="224"/>
      <c r="AO642" s="224"/>
      <c r="AP642" s="224"/>
      <c r="AQ642" s="224"/>
      <c r="AR642" s="224"/>
      <c r="AS642" s="224"/>
      <c r="AT642" s="224"/>
      <c r="AU642" s="224"/>
    </row>
    <row r="643" ht="15.7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  <c r="AF643" s="224"/>
      <c r="AG643" s="224"/>
      <c r="AH643" s="224"/>
      <c r="AI643" s="224"/>
      <c r="AJ643" s="224"/>
      <c r="AK643" s="224"/>
      <c r="AL643" s="224"/>
      <c r="AM643" s="224"/>
      <c r="AN643" s="224"/>
      <c r="AO643" s="224"/>
      <c r="AP643" s="224"/>
      <c r="AQ643" s="224"/>
      <c r="AR643" s="224"/>
      <c r="AS643" s="224"/>
      <c r="AT643" s="224"/>
      <c r="AU643" s="224"/>
    </row>
    <row r="644" ht="15.7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  <c r="AF644" s="224"/>
      <c r="AG644" s="224"/>
      <c r="AH644" s="224"/>
      <c r="AI644" s="224"/>
      <c r="AJ644" s="224"/>
      <c r="AK644" s="224"/>
      <c r="AL644" s="224"/>
      <c r="AM644" s="224"/>
      <c r="AN644" s="224"/>
      <c r="AO644" s="224"/>
      <c r="AP644" s="224"/>
      <c r="AQ644" s="224"/>
      <c r="AR644" s="224"/>
      <c r="AS644" s="224"/>
      <c r="AT644" s="224"/>
      <c r="AU644" s="224"/>
    </row>
    <row r="645" ht="15.7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  <c r="AF645" s="224"/>
      <c r="AG645" s="224"/>
      <c r="AH645" s="224"/>
      <c r="AI645" s="224"/>
      <c r="AJ645" s="224"/>
      <c r="AK645" s="224"/>
      <c r="AL645" s="224"/>
      <c r="AM645" s="224"/>
      <c r="AN645" s="224"/>
      <c r="AO645" s="224"/>
      <c r="AP645" s="224"/>
      <c r="AQ645" s="224"/>
      <c r="AR645" s="224"/>
      <c r="AS645" s="224"/>
      <c r="AT645" s="224"/>
      <c r="AU645" s="224"/>
    </row>
    <row r="646" ht="15.7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  <c r="AF646" s="224"/>
      <c r="AG646" s="224"/>
      <c r="AH646" s="224"/>
      <c r="AI646" s="224"/>
      <c r="AJ646" s="224"/>
      <c r="AK646" s="224"/>
      <c r="AL646" s="224"/>
      <c r="AM646" s="224"/>
      <c r="AN646" s="224"/>
      <c r="AO646" s="224"/>
      <c r="AP646" s="224"/>
      <c r="AQ646" s="224"/>
      <c r="AR646" s="224"/>
      <c r="AS646" s="224"/>
      <c r="AT646" s="224"/>
      <c r="AU646" s="224"/>
    </row>
    <row r="647" ht="15.7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  <c r="AF647" s="224"/>
      <c r="AG647" s="224"/>
      <c r="AH647" s="224"/>
      <c r="AI647" s="224"/>
      <c r="AJ647" s="224"/>
      <c r="AK647" s="224"/>
      <c r="AL647" s="224"/>
      <c r="AM647" s="224"/>
      <c r="AN647" s="224"/>
      <c r="AO647" s="224"/>
      <c r="AP647" s="224"/>
      <c r="AQ647" s="224"/>
      <c r="AR647" s="224"/>
      <c r="AS647" s="224"/>
      <c r="AT647" s="224"/>
      <c r="AU647" s="224"/>
    </row>
    <row r="648" ht="15.7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  <c r="AF648" s="224"/>
      <c r="AG648" s="224"/>
      <c r="AH648" s="224"/>
      <c r="AI648" s="224"/>
      <c r="AJ648" s="224"/>
      <c r="AK648" s="224"/>
      <c r="AL648" s="224"/>
      <c r="AM648" s="224"/>
      <c r="AN648" s="224"/>
      <c r="AO648" s="224"/>
      <c r="AP648" s="224"/>
      <c r="AQ648" s="224"/>
      <c r="AR648" s="224"/>
      <c r="AS648" s="224"/>
      <c r="AT648" s="224"/>
      <c r="AU648" s="224"/>
    </row>
    <row r="649" ht="15.7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  <c r="AF649" s="224"/>
      <c r="AG649" s="224"/>
      <c r="AH649" s="224"/>
      <c r="AI649" s="224"/>
      <c r="AJ649" s="224"/>
      <c r="AK649" s="224"/>
      <c r="AL649" s="224"/>
      <c r="AM649" s="224"/>
      <c r="AN649" s="224"/>
      <c r="AO649" s="224"/>
      <c r="AP649" s="224"/>
      <c r="AQ649" s="224"/>
      <c r="AR649" s="224"/>
      <c r="AS649" s="224"/>
      <c r="AT649" s="224"/>
      <c r="AU649" s="224"/>
    </row>
    <row r="650" ht="15.7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  <c r="AF650" s="224"/>
      <c r="AG650" s="224"/>
      <c r="AH650" s="224"/>
      <c r="AI650" s="224"/>
      <c r="AJ650" s="224"/>
      <c r="AK650" s="224"/>
      <c r="AL650" s="224"/>
      <c r="AM650" s="224"/>
      <c r="AN650" s="224"/>
      <c r="AO650" s="224"/>
      <c r="AP650" s="224"/>
      <c r="AQ650" s="224"/>
      <c r="AR650" s="224"/>
      <c r="AS650" s="224"/>
      <c r="AT650" s="224"/>
      <c r="AU650" s="224"/>
    </row>
    <row r="651" ht="15.7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  <c r="AK651" s="224"/>
      <c r="AL651" s="224"/>
      <c r="AM651" s="224"/>
      <c r="AN651" s="224"/>
      <c r="AO651" s="224"/>
      <c r="AP651" s="224"/>
      <c r="AQ651" s="224"/>
      <c r="AR651" s="224"/>
      <c r="AS651" s="224"/>
      <c r="AT651" s="224"/>
      <c r="AU651" s="224"/>
    </row>
    <row r="652" ht="15.7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  <c r="AF652" s="224"/>
      <c r="AG652" s="224"/>
      <c r="AH652" s="224"/>
      <c r="AI652" s="224"/>
      <c r="AJ652" s="224"/>
      <c r="AK652" s="224"/>
      <c r="AL652" s="224"/>
      <c r="AM652" s="224"/>
      <c r="AN652" s="224"/>
      <c r="AO652" s="224"/>
      <c r="AP652" s="224"/>
      <c r="AQ652" s="224"/>
      <c r="AR652" s="224"/>
      <c r="AS652" s="224"/>
      <c r="AT652" s="224"/>
      <c r="AU652" s="224"/>
    </row>
    <row r="653" ht="15.7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  <c r="AF653" s="224"/>
      <c r="AG653" s="224"/>
      <c r="AH653" s="224"/>
      <c r="AI653" s="224"/>
      <c r="AJ653" s="224"/>
      <c r="AK653" s="224"/>
      <c r="AL653" s="224"/>
      <c r="AM653" s="224"/>
      <c r="AN653" s="224"/>
      <c r="AO653" s="224"/>
      <c r="AP653" s="224"/>
      <c r="AQ653" s="224"/>
      <c r="AR653" s="224"/>
      <c r="AS653" s="224"/>
      <c r="AT653" s="224"/>
      <c r="AU653" s="224"/>
    </row>
    <row r="654" ht="15.7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  <c r="AF654" s="224"/>
      <c r="AG654" s="224"/>
      <c r="AH654" s="224"/>
      <c r="AI654" s="224"/>
      <c r="AJ654" s="224"/>
      <c r="AK654" s="224"/>
      <c r="AL654" s="224"/>
      <c r="AM654" s="224"/>
      <c r="AN654" s="224"/>
      <c r="AO654" s="224"/>
      <c r="AP654" s="224"/>
      <c r="AQ654" s="224"/>
      <c r="AR654" s="224"/>
      <c r="AS654" s="224"/>
      <c r="AT654" s="224"/>
      <c r="AU654" s="224"/>
    </row>
    <row r="655" ht="15.7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  <c r="AF655" s="224"/>
      <c r="AG655" s="224"/>
      <c r="AH655" s="224"/>
      <c r="AI655" s="224"/>
      <c r="AJ655" s="224"/>
      <c r="AK655" s="224"/>
      <c r="AL655" s="224"/>
      <c r="AM655" s="224"/>
      <c r="AN655" s="224"/>
      <c r="AO655" s="224"/>
      <c r="AP655" s="224"/>
      <c r="AQ655" s="224"/>
      <c r="AR655" s="224"/>
      <c r="AS655" s="224"/>
      <c r="AT655" s="224"/>
      <c r="AU655" s="224"/>
    </row>
    <row r="656" ht="15.7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  <c r="AF656" s="224"/>
      <c r="AG656" s="224"/>
      <c r="AH656" s="224"/>
      <c r="AI656" s="224"/>
      <c r="AJ656" s="224"/>
      <c r="AK656" s="224"/>
      <c r="AL656" s="224"/>
      <c r="AM656" s="224"/>
      <c r="AN656" s="224"/>
      <c r="AO656" s="224"/>
      <c r="AP656" s="224"/>
      <c r="AQ656" s="224"/>
      <c r="AR656" s="224"/>
      <c r="AS656" s="224"/>
      <c r="AT656" s="224"/>
      <c r="AU656" s="224"/>
    </row>
    <row r="657" ht="15.7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  <c r="AF657" s="224"/>
      <c r="AG657" s="224"/>
      <c r="AH657" s="224"/>
      <c r="AI657" s="224"/>
      <c r="AJ657" s="224"/>
      <c r="AK657" s="224"/>
      <c r="AL657" s="224"/>
      <c r="AM657" s="224"/>
      <c r="AN657" s="224"/>
      <c r="AO657" s="224"/>
      <c r="AP657" s="224"/>
      <c r="AQ657" s="224"/>
      <c r="AR657" s="224"/>
      <c r="AS657" s="224"/>
      <c r="AT657" s="224"/>
      <c r="AU657" s="224"/>
    </row>
    <row r="658" ht="15.7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  <c r="AF658" s="224"/>
      <c r="AG658" s="224"/>
      <c r="AH658" s="224"/>
      <c r="AI658" s="224"/>
      <c r="AJ658" s="224"/>
      <c r="AK658" s="224"/>
      <c r="AL658" s="224"/>
      <c r="AM658" s="224"/>
      <c r="AN658" s="224"/>
      <c r="AO658" s="224"/>
      <c r="AP658" s="224"/>
      <c r="AQ658" s="224"/>
      <c r="AR658" s="224"/>
      <c r="AS658" s="224"/>
      <c r="AT658" s="224"/>
      <c r="AU658" s="224"/>
    </row>
    <row r="659" ht="15.7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  <c r="AF659" s="224"/>
      <c r="AG659" s="224"/>
      <c r="AH659" s="224"/>
      <c r="AI659" s="224"/>
      <c r="AJ659" s="224"/>
      <c r="AK659" s="224"/>
      <c r="AL659" s="224"/>
      <c r="AM659" s="224"/>
      <c r="AN659" s="224"/>
      <c r="AO659" s="224"/>
      <c r="AP659" s="224"/>
      <c r="AQ659" s="224"/>
      <c r="AR659" s="224"/>
      <c r="AS659" s="224"/>
      <c r="AT659" s="224"/>
      <c r="AU659" s="224"/>
    </row>
    <row r="660" ht="15.7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  <c r="AF660" s="224"/>
      <c r="AG660" s="224"/>
      <c r="AH660" s="224"/>
      <c r="AI660" s="224"/>
      <c r="AJ660" s="224"/>
      <c r="AK660" s="224"/>
      <c r="AL660" s="224"/>
      <c r="AM660" s="224"/>
      <c r="AN660" s="224"/>
      <c r="AO660" s="224"/>
      <c r="AP660" s="224"/>
      <c r="AQ660" s="224"/>
      <c r="AR660" s="224"/>
      <c r="AS660" s="224"/>
      <c r="AT660" s="224"/>
      <c r="AU660" s="224"/>
    </row>
    <row r="661" ht="15.7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  <c r="AF661" s="224"/>
      <c r="AG661" s="224"/>
      <c r="AH661" s="224"/>
      <c r="AI661" s="224"/>
      <c r="AJ661" s="224"/>
      <c r="AK661" s="224"/>
      <c r="AL661" s="224"/>
      <c r="AM661" s="224"/>
      <c r="AN661" s="224"/>
      <c r="AO661" s="224"/>
      <c r="AP661" s="224"/>
      <c r="AQ661" s="224"/>
      <c r="AR661" s="224"/>
      <c r="AS661" s="224"/>
      <c r="AT661" s="224"/>
      <c r="AU661" s="224"/>
    </row>
    <row r="662" ht="15.7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  <c r="AF662" s="224"/>
      <c r="AG662" s="224"/>
      <c r="AH662" s="224"/>
      <c r="AI662" s="224"/>
      <c r="AJ662" s="224"/>
      <c r="AK662" s="224"/>
      <c r="AL662" s="224"/>
      <c r="AM662" s="224"/>
      <c r="AN662" s="224"/>
      <c r="AO662" s="224"/>
      <c r="AP662" s="224"/>
      <c r="AQ662" s="224"/>
      <c r="AR662" s="224"/>
      <c r="AS662" s="224"/>
      <c r="AT662" s="224"/>
      <c r="AU662" s="224"/>
    </row>
    <row r="663" ht="15.7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  <c r="AK663" s="224"/>
      <c r="AL663" s="224"/>
      <c r="AM663" s="224"/>
      <c r="AN663" s="224"/>
      <c r="AO663" s="224"/>
      <c r="AP663" s="224"/>
      <c r="AQ663" s="224"/>
      <c r="AR663" s="224"/>
      <c r="AS663" s="224"/>
      <c r="AT663" s="224"/>
      <c r="AU663" s="224"/>
    </row>
    <row r="664" ht="15.7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  <c r="AF664" s="224"/>
      <c r="AG664" s="224"/>
      <c r="AH664" s="224"/>
      <c r="AI664" s="224"/>
      <c r="AJ664" s="224"/>
      <c r="AK664" s="224"/>
      <c r="AL664" s="224"/>
      <c r="AM664" s="224"/>
      <c r="AN664" s="224"/>
      <c r="AO664" s="224"/>
      <c r="AP664" s="224"/>
      <c r="AQ664" s="224"/>
      <c r="AR664" s="224"/>
      <c r="AS664" s="224"/>
      <c r="AT664" s="224"/>
      <c r="AU664" s="224"/>
    </row>
    <row r="665" ht="15.7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  <c r="AF665" s="224"/>
      <c r="AG665" s="224"/>
      <c r="AH665" s="224"/>
      <c r="AI665" s="224"/>
      <c r="AJ665" s="224"/>
      <c r="AK665" s="224"/>
      <c r="AL665" s="224"/>
      <c r="AM665" s="224"/>
      <c r="AN665" s="224"/>
      <c r="AO665" s="224"/>
      <c r="AP665" s="224"/>
      <c r="AQ665" s="224"/>
      <c r="AR665" s="224"/>
      <c r="AS665" s="224"/>
      <c r="AT665" s="224"/>
      <c r="AU665" s="224"/>
    </row>
    <row r="666" ht="15.7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  <c r="AF666" s="224"/>
      <c r="AG666" s="224"/>
      <c r="AH666" s="224"/>
      <c r="AI666" s="224"/>
      <c r="AJ666" s="224"/>
      <c r="AK666" s="224"/>
      <c r="AL666" s="224"/>
      <c r="AM666" s="224"/>
      <c r="AN666" s="224"/>
      <c r="AO666" s="224"/>
      <c r="AP666" s="224"/>
      <c r="AQ666" s="224"/>
      <c r="AR666" s="224"/>
      <c r="AS666" s="224"/>
      <c r="AT666" s="224"/>
      <c r="AU666" s="224"/>
    </row>
    <row r="667" ht="15.7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  <c r="AF667" s="224"/>
      <c r="AG667" s="224"/>
      <c r="AH667" s="224"/>
      <c r="AI667" s="224"/>
      <c r="AJ667" s="224"/>
      <c r="AK667" s="224"/>
      <c r="AL667" s="224"/>
      <c r="AM667" s="224"/>
      <c r="AN667" s="224"/>
      <c r="AO667" s="224"/>
      <c r="AP667" s="224"/>
      <c r="AQ667" s="224"/>
      <c r="AR667" s="224"/>
      <c r="AS667" s="224"/>
      <c r="AT667" s="224"/>
      <c r="AU667" s="224"/>
    </row>
    <row r="668" ht="15.7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  <c r="AF668" s="224"/>
      <c r="AG668" s="224"/>
      <c r="AH668" s="224"/>
      <c r="AI668" s="224"/>
      <c r="AJ668" s="224"/>
      <c r="AK668" s="224"/>
      <c r="AL668" s="224"/>
      <c r="AM668" s="224"/>
      <c r="AN668" s="224"/>
      <c r="AO668" s="224"/>
      <c r="AP668" s="224"/>
      <c r="AQ668" s="224"/>
      <c r="AR668" s="224"/>
      <c r="AS668" s="224"/>
      <c r="AT668" s="224"/>
      <c r="AU668" s="224"/>
    </row>
    <row r="669" ht="15.7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  <c r="AF669" s="224"/>
      <c r="AG669" s="224"/>
      <c r="AH669" s="224"/>
      <c r="AI669" s="224"/>
      <c r="AJ669" s="224"/>
      <c r="AK669" s="224"/>
      <c r="AL669" s="224"/>
      <c r="AM669" s="224"/>
      <c r="AN669" s="224"/>
      <c r="AO669" s="224"/>
      <c r="AP669" s="224"/>
      <c r="AQ669" s="224"/>
      <c r="AR669" s="224"/>
      <c r="AS669" s="224"/>
      <c r="AT669" s="224"/>
      <c r="AU669" s="224"/>
    </row>
    <row r="670" ht="15.7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  <c r="AF670" s="224"/>
      <c r="AG670" s="224"/>
      <c r="AH670" s="224"/>
      <c r="AI670" s="224"/>
      <c r="AJ670" s="224"/>
      <c r="AK670" s="224"/>
      <c r="AL670" s="224"/>
      <c r="AM670" s="224"/>
      <c r="AN670" s="224"/>
      <c r="AO670" s="224"/>
      <c r="AP670" s="224"/>
      <c r="AQ670" s="224"/>
      <c r="AR670" s="224"/>
      <c r="AS670" s="224"/>
      <c r="AT670" s="224"/>
      <c r="AU670" s="224"/>
    </row>
    <row r="671" ht="15.7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  <c r="AF671" s="224"/>
      <c r="AG671" s="224"/>
      <c r="AH671" s="224"/>
      <c r="AI671" s="224"/>
      <c r="AJ671" s="224"/>
      <c r="AK671" s="224"/>
      <c r="AL671" s="224"/>
      <c r="AM671" s="224"/>
      <c r="AN671" s="224"/>
      <c r="AO671" s="224"/>
      <c r="AP671" s="224"/>
      <c r="AQ671" s="224"/>
      <c r="AR671" s="224"/>
      <c r="AS671" s="224"/>
      <c r="AT671" s="224"/>
      <c r="AU671" s="224"/>
    </row>
    <row r="672" ht="15.7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  <c r="AF672" s="224"/>
      <c r="AG672" s="224"/>
      <c r="AH672" s="224"/>
      <c r="AI672" s="224"/>
      <c r="AJ672" s="224"/>
      <c r="AK672" s="224"/>
      <c r="AL672" s="224"/>
      <c r="AM672" s="224"/>
      <c r="AN672" s="224"/>
      <c r="AO672" s="224"/>
      <c r="AP672" s="224"/>
      <c r="AQ672" s="224"/>
      <c r="AR672" s="224"/>
      <c r="AS672" s="224"/>
      <c r="AT672" s="224"/>
      <c r="AU672" s="224"/>
    </row>
    <row r="673" ht="15.7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  <c r="AF673" s="224"/>
      <c r="AG673" s="224"/>
      <c r="AH673" s="224"/>
      <c r="AI673" s="224"/>
      <c r="AJ673" s="224"/>
      <c r="AK673" s="224"/>
      <c r="AL673" s="224"/>
      <c r="AM673" s="224"/>
      <c r="AN673" s="224"/>
      <c r="AO673" s="224"/>
      <c r="AP673" s="224"/>
      <c r="AQ673" s="224"/>
      <c r="AR673" s="224"/>
      <c r="AS673" s="224"/>
      <c r="AT673" s="224"/>
      <c r="AU673" s="224"/>
    </row>
    <row r="674" ht="15.7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  <c r="AF674" s="224"/>
      <c r="AG674" s="224"/>
      <c r="AH674" s="224"/>
      <c r="AI674" s="224"/>
      <c r="AJ674" s="224"/>
      <c r="AK674" s="224"/>
      <c r="AL674" s="224"/>
      <c r="AM674" s="224"/>
      <c r="AN674" s="224"/>
      <c r="AO674" s="224"/>
      <c r="AP674" s="224"/>
      <c r="AQ674" s="224"/>
      <c r="AR674" s="224"/>
      <c r="AS674" s="224"/>
      <c r="AT674" s="224"/>
      <c r="AU674" s="224"/>
    </row>
    <row r="675" ht="15.7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  <c r="AK675" s="224"/>
      <c r="AL675" s="224"/>
      <c r="AM675" s="224"/>
      <c r="AN675" s="224"/>
      <c r="AO675" s="224"/>
      <c r="AP675" s="224"/>
      <c r="AQ675" s="224"/>
      <c r="AR675" s="224"/>
      <c r="AS675" s="224"/>
      <c r="AT675" s="224"/>
      <c r="AU675" s="224"/>
    </row>
    <row r="676" ht="15.7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  <c r="AF676" s="224"/>
      <c r="AG676" s="224"/>
      <c r="AH676" s="224"/>
      <c r="AI676" s="224"/>
      <c r="AJ676" s="224"/>
      <c r="AK676" s="224"/>
      <c r="AL676" s="224"/>
      <c r="AM676" s="224"/>
      <c r="AN676" s="224"/>
      <c r="AO676" s="224"/>
      <c r="AP676" s="224"/>
      <c r="AQ676" s="224"/>
      <c r="AR676" s="224"/>
      <c r="AS676" s="224"/>
      <c r="AT676" s="224"/>
      <c r="AU676" s="224"/>
    </row>
    <row r="677" ht="15.7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  <c r="AF677" s="224"/>
      <c r="AG677" s="224"/>
      <c r="AH677" s="224"/>
      <c r="AI677" s="224"/>
      <c r="AJ677" s="224"/>
      <c r="AK677" s="224"/>
      <c r="AL677" s="224"/>
      <c r="AM677" s="224"/>
      <c r="AN677" s="224"/>
      <c r="AO677" s="224"/>
      <c r="AP677" s="224"/>
      <c r="AQ677" s="224"/>
      <c r="AR677" s="224"/>
      <c r="AS677" s="224"/>
      <c r="AT677" s="224"/>
      <c r="AU677" s="224"/>
    </row>
    <row r="678" ht="15.7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  <c r="AF678" s="224"/>
      <c r="AG678" s="224"/>
      <c r="AH678" s="224"/>
      <c r="AI678" s="224"/>
      <c r="AJ678" s="224"/>
      <c r="AK678" s="224"/>
      <c r="AL678" s="224"/>
      <c r="AM678" s="224"/>
      <c r="AN678" s="224"/>
      <c r="AO678" s="224"/>
      <c r="AP678" s="224"/>
      <c r="AQ678" s="224"/>
      <c r="AR678" s="224"/>
      <c r="AS678" s="224"/>
      <c r="AT678" s="224"/>
      <c r="AU678" s="224"/>
    </row>
    <row r="679" ht="15.7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  <c r="AF679" s="224"/>
      <c r="AG679" s="224"/>
      <c r="AH679" s="224"/>
      <c r="AI679" s="224"/>
      <c r="AJ679" s="224"/>
      <c r="AK679" s="224"/>
      <c r="AL679" s="224"/>
      <c r="AM679" s="224"/>
      <c r="AN679" s="224"/>
      <c r="AO679" s="224"/>
      <c r="AP679" s="224"/>
      <c r="AQ679" s="224"/>
      <c r="AR679" s="224"/>
      <c r="AS679" s="224"/>
      <c r="AT679" s="224"/>
      <c r="AU679" s="224"/>
    </row>
    <row r="680" ht="15.7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  <c r="AF680" s="224"/>
      <c r="AG680" s="224"/>
      <c r="AH680" s="224"/>
      <c r="AI680" s="224"/>
      <c r="AJ680" s="224"/>
      <c r="AK680" s="224"/>
      <c r="AL680" s="224"/>
      <c r="AM680" s="224"/>
      <c r="AN680" s="224"/>
      <c r="AO680" s="224"/>
      <c r="AP680" s="224"/>
      <c r="AQ680" s="224"/>
      <c r="AR680" s="224"/>
      <c r="AS680" s="224"/>
      <c r="AT680" s="224"/>
      <c r="AU680" s="224"/>
    </row>
    <row r="681" ht="15.7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  <c r="AF681" s="224"/>
      <c r="AG681" s="224"/>
      <c r="AH681" s="224"/>
      <c r="AI681" s="224"/>
      <c r="AJ681" s="224"/>
      <c r="AK681" s="224"/>
      <c r="AL681" s="224"/>
      <c r="AM681" s="224"/>
      <c r="AN681" s="224"/>
      <c r="AO681" s="224"/>
      <c r="AP681" s="224"/>
      <c r="AQ681" s="224"/>
      <c r="AR681" s="224"/>
      <c r="AS681" s="224"/>
      <c r="AT681" s="224"/>
      <c r="AU681" s="224"/>
    </row>
    <row r="682" ht="15.7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  <c r="AF682" s="224"/>
      <c r="AG682" s="224"/>
      <c r="AH682" s="224"/>
      <c r="AI682" s="224"/>
      <c r="AJ682" s="224"/>
      <c r="AK682" s="224"/>
      <c r="AL682" s="224"/>
      <c r="AM682" s="224"/>
      <c r="AN682" s="224"/>
      <c r="AO682" s="224"/>
      <c r="AP682" s="224"/>
      <c r="AQ682" s="224"/>
      <c r="AR682" s="224"/>
      <c r="AS682" s="224"/>
      <c r="AT682" s="224"/>
      <c r="AU682" s="224"/>
    </row>
    <row r="683" ht="15.7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  <c r="AF683" s="224"/>
      <c r="AG683" s="224"/>
      <c r="AH683" s="224"/>
      <c r="AI683" s="224"/>
      <c r="AJ683" s="224"/>
      <c r="AK683" s="224"/>
      <c r="AL683" s="224"/>
      <c r="AM683" s="224"/>
      <c r="AN683" s="224"/>
      <c r="AO683" s="224"/>
      <c r="AP683" s="224"/>
      <c r="AQ683" s="224"/>
      <c r="AR683" s="224"/>
      <c r="AS683" s="224"/>
      <c r="AT683" s="224"/>
      <c r="AU683" s="224"/>
    </row>
    <row r="684" ht="15.7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  <c r="AF684" s="224"/>
      <c r="AG684" s="224"/>
      <c r="AH684" s="224"/>
      <c r="AI684" s="224"/>
      <c r="AJ684" s="224"/>
      <c r="AK684" s="224"/>
      <c r="AL684" s="224"/>
      <c r="AM684" s="224"/>
      <c r="AN684" s="224"/>
      <c r="AO684" s="224"/>
      <c r="AP684" s="224"/>
      <c r="AQ684" s="224"/>
      <c r="AR684" s="224"/>
      <c r="AS684" s="224"/>
      <c r="AT684" s="224"/>
      <c r="AU684" s="224"/>
    </row>
    <row r="685" ht="15.7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  <c r="AF685" s="224"/>
      <c r="AG685" s="224"/>
      <c r="AH685" s="224"/>
      <c r="AI685" s="224"/>
      <c r="AJ685" s="224"/>
      <c r="AK685" s="224"/>
      <c r="AL685" s="224"/>
      <c r="AM685" s="224"/>
      <c r="AN685" s="224"/>
      <c r="AO685" s="224"/>
      <c r="AP685" s="224"/>
      <c r="AQ685" s="224"/>
      <c r="AR685" s="224"/>
      <c r="AS685" s="224"/>
      <c r="AT685" s="224"/>
      <c r="AU685" s="224"/>
    </row>
    <row r="686" ht="15.7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  <c r="AF686" s="224"/>
      <c r="AG686" s="224"/>
      <c r="AH686" s="224"/>
      <c r="AI686" s="224"/>
      <c r="AJ686" s="224"/>
      <c r="AK686" s="224"/>
      <c r="AL686" s="224"/>
      <c r="AM686" s="224"/>
      <c r="AN686" s="224"/>
      <c r="AO686" s="224"/>
      <c r="AP686" s="224"/>
      <c r="AQ686" s="224"/>
      <c r="AR686" s="224"/>
      <c r="AS686" s="224"/>
      <c r="AT686" s="224"/>
      <c r="AU686" s="224"/>
    </row>
    <row r="687" ht="15.7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  <c r="AK687" s="224"/>
      <c r="AL687" s="224"/>
      <c r="AM687" s="224"/>
      <c r="AN687" s="224"/>
      <c r="AO687" s="224"/>
      <c r="AP687" s="224"/>
      <c r="AQ687" s="224"/>
      <c r="AR687" s="224"/>
      <c r="AS687" s="224"/>
      <c r="AT687" s="224"/>
      <c r="AU687" s="224"/>
    </row>
    <row r="688" ht="15.7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  <c r="AF688" s="224"/>
      <c r="AG688" s="224"/>
      <c r="AH688" s="224"/>
      <c r="AI688" s="224"/>
      <c r="AJ688" s="224"/>
      <c r="AK688" s="224"/>
      <c r="AL688" s="224"/>
      <c r="AM688" s="224"/>
      <c r="AN688" s="224"/>
      <c r="AO688" s="224"/>
      <c r="AP688" s="224"/>
      <c r="AQ688" s="224"/>
      <c r="AR688" s="224"/>
      <c r="AS688" s="224"/>
      <c r="AT688" s="224"/>
      <c r="AU688" s="224"/>
    </row>
    <row r="689" ht="15.7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  <c r="AF689" s="224"/>
      <c r="AG689" s="224"/>
      <c r="AH689" s="224"/>
      <c r="AI689" s="224"/>
      <c r="AJ689" s="224"/>
      <c r="AK689" s="224"/>
      <c r="AL689" s="224"/>
      <c r="AM689" s="224"/>
      <c r="AN689" s="224"/>
      <c r="AO689" s="224"/>
      <c r="AP689" s="224"/>
      <c r="AQ689" s="224"/>
      <c r="AR689" s="224"/>
      <c r="AS689" s="224"/>
      <c r="AT689" s="224"/>
      <c r="AU689" s="224"/>
    </row>
    <row r="690" ht="15.7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  <c r="AF690" s="224"/>
      <c r="AG690" s="224"/>
      <c r="AH690" s="224"/>
      <c r="AI690" s="224"/>
      <c r="AJ690" s="224"/>
      <c r="AK690" s="224"/>
      <c r="AL690" s="224"/>
      <c r="AM690" s="224"/>
      <c r="AN690" s="224"/>
      <c r="AO690" s="224"/>
      <c r="AP690" s="224"/>
      <c r="AQ690" s="224"/>
      <c r="AR690" s="224"/>
      <c r="AS690" s="224"/>
      <c r="AT690" s="224"/>
      <c r="AU690" s="224"/>
    </row>
    <row r="691" ht="15.7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  <c r="AF691" s="224"/>
      <c r="AG691" s="224"/>
      <c r="AH691" s="224"/>
      <c r="AI691" s="224"/>
      <c r="AJ691" s="224"/>
      <c r="AK691" s="224"/>
      <c r="AL691" s="224"/>
      <c r="AM691" s="224"/>
      <c r="AN691" s="224"/>
      <c r="AO691" s="224"/>
      <c r="AP691" s="224"/>
      <c r="AQ691" s="224"/>
      <c r="AR691" s="224"/>
      <c r="AS691" s="224"/>
      <c r="AT691" s="224"/>
      <c r="AU691" s="224"/>
    </row>
    <row r="692" ht="15.7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  <c r="AF692" s="224"/>
      <c r="AG692" s="224"/>
      <c r="AH692" s="224"/>
      <c r="AI692" s="224"/>
      <c r="AJ692" s="224"/>
      <c r="AK692" s="224"/>
      <c r="AL692" s="224"/>
      <c r="AM692" s="224"/>
      <c r="AN692" s="224"/>
      <c r="AO692" s="224"/>
      <c r="AP692" s="224"/>
      <c r="AQ692" s="224"/>
      <c r="AR692" s="224"/>
      <c r="AS692" s="224"/>
      <c r="AT692" s="224"/>
      <c r="AU692" s="224"/>
    </row>
    <row r="693" ht="15.7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  <c r="AF693" s="224"/>
      <c r="AG693" s="224"/>
      <c r="AH693" s="224"/>
      <c r="AI693" s="224"/>
      <c r="AJ693" s="224"/>
      <c r="AK693" s="224"/>
      <c r="AL693" s="224"/>
      <c r="AM693" s="224"/>
      <c r="AN693" s="224"/>
      <c r="AO693" s="224"/>
      <c r="AP693" s="224"/>
      <c r="AQ693" s="224"/>
      <c r="AR693" s="224"/>
      <c r="AS693" s="224"/>
      <c r="AT693" s="224"/>
      <c r="AU693" s="224"/>
    </row>
    <row r="694" ht="15.7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  <c r="AK694" s="224"/>
      <c r="AL694" s="224"/>
      <c r="AM694" s="224"/>
      <c r="AN694" s="224"/>
      <c r="AO694" s="224"/>
      <c r="AP694" s="224"/>
      <c r="AQ694" s="224"/>
      <c r="AR694" s="224"/>
      <c r="AS694" s="224"/>
      <c r="AT694" s="224"/>
      <c r="AU694" s="224"/>
    </row>
    <row r="695" ht="15.7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  <c r="AF695" s="224"/>
      <c r="AG695" s="224"/>
      <c r="AH695" s="224"/>
      <c r="AI695" s="224"/>
      <c r="AJ695" s="224"/>
      <c r="AK695" s="224"/>
      <c r="AL695" s="224"/>
      <c r="AM695" s="224"/>
      <c r="AN695" s="224"/>
      <c r="AO695" s="224"/>
      <c r="AP695" s="224"/>
      <c r="AQ695" s="224"/>
      <c r="AR695" s="224"/>
      <c r="AS695" s="224"/>
      <c r="AT695" s="224"/>
      <c r="AU695" s="224"/>
    </row>
    <row r="696" ht="15.7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  <c r="AF696" s="224"/>
      <c r="AG696" s="224"/>
      <c r="AH696" s="224"/>
      <c r="AI696" s="224"/>
      <c r="AJ696" s="224"/>
      <c r="AK696" s="224"/>
      <c r="AL696" s="224"/>
      <c r="AM696" s="224"/>
      <c r="AN696" s="224"/>
      <c r="AO696" s="224"/>
      <c r="AP696" s="224"/>
      <c r="AQ696" s="224"/>
      <c r="AR696" s="224"/>
      <c r="AS696" s="224"/>
      <c r="AT696" s="224"/>
      <c r="AU696" s="224"/>
    </row>
    <row r="697" ht="15.7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  <c r="AF697" s="224"/>
      <c r="AG697" s="224"/>
      <c r="AH697" s="224"/>
      <c r="AI697" s="224"/>
      <c r="AJ697" s="224"/>
      <c r="AK697" s="224"/>
      <c r="AL697" s="224"/>
      <c r="AM697" s="224"/>
      <c r="AN697" s="224"/>
      <c r="AO697" s="224"/>
      <c r="AP697" s="224"/>
      <c r="AQ697" s="224"/>
      <c r="AR697" s="224"/>
      <c r="AS697" s="224"/>
      <c r="AT697" s="224"/>
      <c r="AU697" s="224"/>
    </row>
    <row r="698" ht="15.7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  <c r="AF698" s="224"/>
      <c r="AG698" s="224"/>
      <c r="AH698" s="224"/>
      <c r="AI698" s="224"/>
      <c r="AJ698" s="224"/>
      <c r="AK698" s="224"/>
      <c r="AL698" s="224"/>
      <c r="AM698" s="224"/>
      <c r="AN698" s="224"/>
      <c r="AO698" s="224"/>
      <c r="AP698" s="224"/>
      <c r="AQ698" s="224"/>
      <c r="AR698" s="224"/>
      <c r="AS698" s="224"/>
      <c r="AT698" s="224"/>
      <c r="AU698" s="224"/>
    </row>
    <row r="699" ht="15.7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  <c r="AK699" s="224"/>
      <c r="AL699" s="224"/>
      <c r="AM699" s="224"/>
      <c r="AN699" s="224"/>
      <c r="AO699" s="224"/>
      <c r="AP699" s="224"/>
      <c r="AQ699" s="224"/>
      <c r="AR699" s="224"/>
      <c r="AS699" s="224"/>
      <c r="AT699" s="224"/>
      <c r="AU699" s="224"/>
    </row>
    <row r="700" ht="15.7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  <c r="AF700" s="224"/>
      <c r="AG700" s="224"/>
      <c r="AH700" s="224"/>
      <c r="AI700" s="224"/>
      <c r="AJ700" s="224"/>
      <c r="AK700" s="224"/>
      <c r="AL700" s="224"/>
      <c r="AM700" s="224"/>
      <c r="AN700" s="224"/>
      <c r="AO700" s="224"/>
      <c r="AP700" s="224"/>
      <c r="AQ700" s="224"/>
      <c r="AR700" s="224"/>
      <c r="AS700" s="224"/>
      <c r="AT700" s="224"/>
      <c r="AU700" s="224"/>
    </row>
    <row r="701" ht="15.7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  <c r="AF701" s="224"/>
      <c r="AG701" s="224"/>
      <c r="AH701" s="224"/>
      <c r="AI701" s="224"/>
      <c r="AJ701" s="224"/>
      <c r="AK701" s="224"/>
      <c r="AL701" s="224"/>
      <c r="AM701" s="224"/>
      <c r="AN701" s="224"/>
      <c r="AO701" s="224"/>
      <c r="AP701" s="224"/>
      <c r="AQ701" s="224"/>
      <c r="AR701" s="224"/>
      <c r="AS701" s="224"/>
      <c r="AT701" s="224"/>
      <c r="AU701" s="224"/>
    </row>
    <row r="702" ht="15.7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  <c r="AF702" s="224"/>
      <c r="AG702" s="224"/>
      <c r="AH702" s="224"/>
      <c r="AI702" s="224"/>
      <c r="AJ702" s="224"/>
      <c r="AK702" s="224"/>
      <c r="AL702" s="224"/>
      <c r="AM702" s="224"/>
      <c r="AN702" s="224"/>
      <c r="AO702" s="224"/>
      <c r="AP702" s="224"/>
      <c r="AQ702" s="224"/>
      <c r="AR702" s="224"/>
      <c r="AS702" s="224"/>
      <c r="AT702" s="224"/>
      <c r="AU702" s="224"/>
    </row>
    <row r="703" ht="15.7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  <c r="AF703" s="224"/>
      <c r="AG703" s="224"/>
      <c r="AH703" s="224"/>
      <c r="AI703" s="224"/>
      <c r="AJ703" s="224"/>
      <c r="AK703" s="224"/>
      <c r="AL703" s="224"/>
      <c r="AM703" s="224"/>
      <c r="AN703" s="224"/>
      <c r="AO703" s="224"/>
      <c r="AP703" s="224"/>
      <c r="AQ703" s="224"/>
      <c r="AR703" s="224"/>
      <c r="AS703" s="224"/>
      <c r="AT703" s="224"/>
      <c r="AU703" s="224"/>
    </row>
    <row r="704" ht="15.7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  <c r="AF704" s="224"/>
      <c r="AG704" s="224"/>
      <c r="AH704" s="224"/>
      <c r="AI704" s="224"/>
      <c r="AJ704" s="224"/>
      <c r="AK704" s="224"/>
      <c r="AL704" s="224"/>
      <c r="AM704" s="224"/>
      <c r="AN704" s="224"/>
      <c r="AO704" s="224"/>
      <c r="AP704" s="224"/>
      <c r="AQ704" s="224"/>
      <c r="AR704" s="224"/>
      <c r="AS704" s="224"/>
      <c r="AT704" s="224"/>
      <c r="AU704" s="224"/>
    </row>
    <row r="705" ht="15.7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  <c r="AF705" s="224"/>
      <c r="AG705" s="224"/>
      <c r="AH705" s="224"/>
      <c r="AI705" s="224"/>
      <c r="AJ705" s="224"/>
      <c r="AK705" s="224"/>
      <c r="AL705" s="224"/>
      <c r="AM705" s="224"/>
      <c r="AN705" s="224"/>
      <c r="AO705" s="224"/>
      <c r="AP705" s="224"/>
      <c r="AQ705" s="224"/>
      <c r="AR705" s="224"/>
      <c r="AS705" s="224"/>
      <c r="AT705" s="224"/>
      <c r="AU705" s="224"/>
    </row>
    <row r="706" ht="15.7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  <c r="AF706" s="224"/>
      <c r="AG706" s="224"/>
      <c r="AH706" s="224"/>
      <c r="AI706" s="224"/>
      <c r="AJ706" s="224"/>
      <c r="AK706" s="224"/>
      <c r="AL706" s="224"/>
      <c r="AM706" s="224"/>
      <c r="AN706" s="224"/>
      <c r="AO706" s="224"/>
      <c r="AP706" s="224"/>
      <c r="AQ706" s="224"/>
      <c r="AR706" s="224"/>
      <c r="AS706" s="224"/>
      <c r="AT706" s="224"/>
      <c r="AU706" s="224"/>
    </row>
    <row r="707" ht="15.7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  <c r="AF707" s="224"/>
      <c r="AG707" s="224"/>
      <c r="AH707" s="224"/>
      <c r="AI707" s="224"/>
      <c r="AJ707" s="224"/>
      <c r="AK707" s="224"/>
      <c r="AL707" s="224"/>
      <c r="AM707" s="224"/>
      <c r="AN707" s="224"/>
      <c r="AO707" s="224"/>
      <c r="AP707" s="224"/>
      <c r="AQ707" s="224"/>
      <c r="AR707" s="224"/>
      <c r="AS707" s="224"/>
      <c r="AT707" s="224"/>
      <c r="AU707" s="224"/>
    </row>
    <row r="708" ht="15.7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  <c r="AF708" s="224"/>
      <c r="AG708" s="224"/>
      <c r="AH708" s="224"/>
      <c r="AI708" s="224"/>
      <c r="AJ708" s="224"/>
      <c r="AK708" s="224"/>
      <c r="AL708" s="224"/>
      <c r="AM708" s="224"/>
      <c r="AN708" s="224"/>
      <c r="AO708" s="224"/>
      <c r="AP708" s="224"/>
      <c r="AQ708" s="224"/>
      <c r="AR708" s="224"/>
      <c r="AS708" s="224"/>
      <c r="AT708" s="224"/>
      <c r="AU708" s="224"/>
    </row>
    <row r="709" ht="15.7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  <c r="AF709" s="224"/>
      <c r="AG709" s="224"/>
      <c r="AH709" s="224"/>
      <c r="AI709" s="224"/>
      <c r="AJ709" s="224"/>
      <c r="AK709" s="224"/>
      <c r="AL709" s="224"/>
      <c r="AM709" s="224"/>
      <c r="AN709" s="224"/>
      <c r="AO709" s="224"/>
      <c r="AP709" s="224"/>
      <c r="AQ709" s="224"/>
      <c r="AR709" s="224"/>
      <c r="AS709" s="224"/>
      <c r="AT709" s="224"/>
      <c r="AU709" s="224"/>
    </row>
    <row r="710" ht="15.7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  <c r="AC710" s="224"/>
      <c r="AD710" s="224"/>
      <c r="AE710" s="224"/>
      <c r="AF710" s="224"/>
      <c r="AG710" s="224"/>
      <c r="AH710" s="224"/>
      <c r="AI710" s="224"/>
      <c r="AJ710" s="224"/>
      <c r="AK710" s="224"/>
      <c r="AL710" s="224"/>
      <c r="AM710" s="224"/>
      <c r="AN710" s="224"/>
      <c r="AO710" s="224"/>
      <c r="AP710" s="224"/>
      <c r="AQ710" s="224"/>
      <c r="AR710" s="224"/>
      <c r="AS710" s="224"/>
      <c r="AT710" s="224"/>
      <c r="AU710" s="224"/>
    </row>
    <row r="711" ht="15.7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  <c r="AK711" s="224"/>
      <c r="AL711" s="224"/>
      <c r="AM711" s="224"/>
      <c r="AN711" s="224"/>
      <c r="AO711" s="224"/>
      <c r="AP711" s="224"/>
      <c r="AQ711" s="224"/>
      <c r="AR711" s="224"/>
      <c r="AS711" s="224"/>
      <c r="AT711" s="224"/>
      <c r="AU711" s="224"/>
    </row>
    <row r="712" ht="15.7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  <c r="AC712" s="224"/>
      <c r="AD712" s="224"/>
      <c r="AE712" s="224"/>
      <c r="AF712" s="224"/>
      <c r="AG712" s="224"/>
      <c r="AH712" s="224"/>
      <c r="AI712" s="224"/>
      <c r="AJ712" s="224"/>
      <c r="AK712" s="224"/>
      <c r="AL712" s="224"/>
      <c r="AM712" s="224"/>
      <c r="AN712" s="224"/>
      <c r="AO712" s="224"/>
      <c r="AP712" s="224"/>
      <c r="AQ712" s="224"/>
      <c r="AR712" s="224"/>
      <c r="AS712" s="224"/>
      <c r="AT712" s="224"/>
      <c r="AU712" s="224"/>
    </row>
    <row r="713" ht="15.7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  <c r="AC713" s="224"/>
      <c r="AD713" s="224"/>
      <c r="AE713" s="224"/>
      <c r="AF713" s="224"/>
      <c r="AG713" s="224"/>
      <c r="AH713" s="224"/>
      <c r="AI713" s="224"/>
      <c r="AJ713" s="224"/>
      <c r="AK713" s="224"/>
      <c r="AL713" s="224"/>
      <c r="AM713" s="224"/>
      <c r="AN713" s="224"/>
      <c r="AO713" s="224"/>
      <c r="AP713" s="224"/>
      <c r="AQ713" s="224"/>
      <c r="AR713" s="224"/>
      <c r="AS713" s="224"/>
      <c r="AT713" s="224"/>
      <c r="AU713" s="224"/>
    </row>
    <row r="714" ht="15.7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  <c r="AF714" s="224"/>
      <c r="AG714" s="224"/>
      <c r="AH714" s="224"/>
      <c r="AI714" s="224"/>
      <c r="AJ714" s="224"/>
      <c r="AK714" s="224"/>
      <c r="AL714" s="224"/>
      <c r="AM714" s="224"/>
      <c r="AN714" s="224"/>
      <c r="AO714" s="224"/>
      <c r="AP714" s="224"/>
      <c r="AQ714" s="224"/>
      <c r="AR714" s="224"/>
      <c r="AS714" s="224"/>
      <c r="AT714" s="224"/>
      <c r="AU714" s="224"/>
    </row>
    <row r="715" ht="15.7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  <c r="AC715" s="224"/>
      <c r="AD715" s="224"/>
      <c r="AE715" s="224"/>
      <c r="AF715" s="224"/>
      <c r="AG715" s="224"/>
      <c r="AH715" s="224"/>
      <c r="AI715" s="224"/>
      <c r="AJ715" s="224"/>
      <c r="AK715" s="224"/>
      <c r="AL715" s="224"/>
      <c r="AM715" s="224"/>
      <c r="AN715" s="224"/>
      <c r="AO715" s="224"/>
      <c r="AP715" s="224"/>
      <c r="AQ715" s="224"/>
      <c r="AR715" s="224"/>
      <c r="AS715" s="224"/>
      <c r="AT715" s="224"/>
      <c r="AU715" s="224"/>
    </row>
    <row r="716" ht="15.7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  <c r="AF716" s="224"/>
      <c r="AG716" s="224"/>
      <c r="AH716" s="224"/>
      <c r="AI716" s="224"/>
      <c r="AJ716" s="224"/>
      <c r="AK716" s="224"/>
      <c r="AL716" s="224"/>
      <c r="AM716" s="224"/>
      <c r="AN716" s="224"/>
      <c r="AO716" s="224"/>
      <c r="AP716" s="224"/>
      <c r="AQ716" s="224"/>
      <c r="AR716" s="224"/>
      <c r="AS716" s="224"/>
      <c r="AT716" s="224"/>
      <c r="AU716" s="224"/>
    </row>
    <row r="717" ht="15.7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  <c r="AC717" s="224"/>
      <c r="AD717" s="224"/>
      <c r="AE717" s="224"/>
      <c r="AF717" s="224"/>
      <c r="AG717" s="224"/>
      <c r="AH717" s="224"/>
      <c r="AI717" s="224"/>
      <c r="AJ717" s="224"/>
      <c r="AK717" s="224"/>
      <c r="AL717" s="224"/>
      <c r="AM717" s="224"/>
      <c r="AN717" s="224"/>
      <c r="AO717" s="224"/>
      <c r="AP717" s="224"/>
      <c r="AQ717" s="224"/>
      <c r="AR717" s="224"/>
      <c r="AS717" s="224"/>
      <c r="AT717" s="224"/>
      <c r="AU717" s="224"/>
    </row>
    <row r="718" ht="15.7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  <c r="AF718" s="224"/>
      <c r="AG718" s="224"/>
      <c r="AH718" s="224"/>
      <c r="AI718" s="224"/>
      <c r="AJ718" s="224"/>
      <c r="AK718" s="224"/>
      <c r="AL718" s="224"/>
      <c r="AM718" s="224"/>
      <c r="AN718" s="224"/>
      <c r="AO718" s="224"/>
      <c r="AP718" s="224"/>
      <c r="AQ718" s="224"/>
      <c r="AR718" s="224"/>
      <c r="AS718" s="224"/>
      <c r="AT718" s="224"/>
      <c r="AU718" s="224"/>
    </row>
    <row r="719" ht="15.7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  <c r="AC719" s="224"/>
      <c r="AD719" s="224"/>
      <c r="AE719" s="224"/>
      <c r="AF719" s="224"/>
      <c r="AG719" s="224"/>
      <c r="AH719" s="224"/>
      <c r="AI719" s="224"/>
      <c r="AJ719" s="224"/>
      <c r="AK719" s="224"/>
      <c r="AL719" s="224"/>
      <c r="AM719" s="224"/>
      <c r="AN719" s="224"/>
      <c r="AO719" s="224"/>
      <c r="AP719" s="224"/>
      <c r="AQ719" s="224"/>
      <c r="AR719" s="224"/>
      <c r="AS719" s="224"/>
      <c r="AT719" s="224"/>
      <c r="AU719" s="224"/>
    </row>
    <row r="720" ht="15.7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  <c r="AC720" s="224"/>
      <c r="AD720" s="224"/>
      <c r="AE720" s="224"/>
      <c r="AF720" s="224"/>
      <c r="AG720" s="224"/>
      <c r="AH720" s="224"/>
      <c r="AI720" s="224"/>
      <c r="AJ720" s="224"/>
      <c r="AK720" s="224"/>
      <c r="AL720" s="224"/>
      <c r="AM720" s="224"/>
      <c r="AN720" s="224"/>
      <c r="AO720" s="224"/>
      <c r="AP720" s="224"/>
      <c r="AQ720" s="224"/>
      <c r="AR720" s="224"/>
      <c r="AS720" s="224"/>
      <c r="AT720" s="224"/>
      <c r="AU720" s="224"/>
    </row>
    <row r="721" ht="15.7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  <c r="AF721" s="224"/>
      <c r="AG721" s="224"/>
      <c r="AH721" s="224"/>
      <c r="AI721" s="224"/>
      <c r="AJ721" s="224"/>
      <c r="AK721" s="224"/>
      <c r="AL721" s="224"/>
      <c r="AM721" s="224"/>
      <c r="AN721" s="224"/>
      <c r="AO721" s="224"/>
      <c r="AP721" s="224"/>
      <c r="AQ721" s="224"/>
      <c r="AR721" s="224"/>
      <c r="AS721" s="224"/>
      <c r="AT721" s="224"/>
      <c r="AU721" s="224"/>
    </row>
    <row r="722" ht="15.7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  <c r="AC722" s="224"/>
      <c r="AD722" s="224"/>
      <c r="AE722" s="224"/>
      <c r="AF722" s="224"/>
      <c r="AG722" s="224"/>
      <c r="AH722" s="224"/>
      <c r="AI722" s="224"/>
      <c r="AJ722" s="224"/>
      <c r="AK722" s="224"/>
      <c r="AL722" s="224"/>
      <c r="AM722" s="224"/>
      <c r="AN722" s="224"/>
      <c r="AO722" s="224"/>
      <c r="AP722" s="224"/>
      <c r="AQ722" s="224"/>
      <c r="AR722" s="224"/>
      <c r="AS722" s="224"/>
      <c r="AT722" s="224"/>
      <c r="AU722" s="224"/>
    </row>
    <row r="723" ht="15.7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  <c r="AF723" s="224"/>
      <c r="AG723" s="224"/>
      <c r="AH723" s="224"/>
      <c r="AI723" s="224"/>
      <c r="AJ723" s="224"/>
      <c r="AK723" s="224"/>
      <c r="AL723" s="224"/>
      <c r="AM723" s="224"/>
      <c r="AN723" s="224"/>
      <c r="AO723" s="224"/>
      <c r="AP723" s="224"/>
      <c r="AQ723" s="224"/>
      <c r="AR723" s="224"/>
      <c r="AS723" s="224"/>
      <c r="AT723" s="224"/>
      <c r="AU723" s="224"/>
    </row>
    <row r="724" ht="15.7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  <c r="AF724" s="224"/>
      <c r="AG724" s="224"/>
      <c r="AH724" s="224"/>
      <c r="AI724" s="224"/>
      <c r="AJ724" s="224"/>
      <c r="AK724" s="224"/>
      <c r="AL724" s="224"/>
      <c r="AM724" s="224"/>
      <c r="AN724" s="224"/>
      <c r="AO724" s="224"/>
      <c r="AP724" s="224"/>
      <c r="AQ724" s="224"/>
      <c r="AR724" s="224"/>
      <c r="AS724" s="224"/>
      <c r="AT724" s="224"/>
      <c r="AU724" s="224"/>
    </row>
    <row r="725" ht="15.7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  <c r="AF725" s="224"/>
      <c r="AG725" s="224"/>
      <c r="AH725" s="224"/>
      <c r="AI725" s="224"/>
      <c r="AJ725" s="224"/>
      <c r="AK725" s="224"/>
      <c r="AL725" s="224"/>
      <c r="AM725" s="224"/>
      <c r="AN725" s="224"/>
      <c r="AO725" s="224"/>
      <c r="AP725" s="224"/>
      <c r="AQ725" s="224"/>
      <c r="AR725" s="224"/>
      <c r="AS725" s="224"/>
      <c r="AT725" s="224"/>
      <c r="AU725" s="224"/>
    </row>
    <row r="726" ht="15.7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  <c r="AC726" s="224"/>
      <c r="AD726" s="224"/>
      <c r="AE726" s="224"/>
      <c r="AF726" s="224"/>
      <c r="AG726" s="224"/>
      <c r="AH726" s="224"/>
      <c r="AI726" s="224"/>
      <c r="AJ726" s="224"/>
      <c r="AK726" s="224"/>
      <c r="AL726" s="224"/>
      <c r="AM726" s="224"/>
      <c r="AN726" s="224"/>
      <c r="AO726" s="224"/>
      <c r="AP726" s="224"/>
      <c r="AQ726" s="224"/>
      <c r="AR726" s="224"/>
      <c r="AS726" s="224"/>
      <c r="AT726" s="224"/>
      <c r="AU726" s="224"/>
    </row>
    <row r="727" ht="15.7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  <c r="AC727" s="224"/>
      <c r="AD727" s="224"/>
      <c r="AE727" s="224"/>
      <c r="AF727" s="224"/>
      <c r="AG727" s="224"/>
      <c r="AH727" s="224"/>
      <c r="AI727" s="224"/>
      <c r="AJ727" s="224"/>
      <c r="AK727" s="224"/>
      <c r="AL727" s="224"/>
      <c r="AM727" s="224"/>
      <c r="AN727" s="224"/>
      <c r="AO727" s="224"/>
      <c r="AP727" s="224"/>
      <c r="AQ727" s="224"/>
      <c r="AR727" s="224"/>
      <c r="AS727" s="224"/>
      <c r="AT727" s="224"/>
      <c r="AU727" s="224"/>
    </row>
    <row r="728" ht="15.7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  <c r="AC728" s="224"/>
      <c r="AD728" s="224"/>
      <c r="AE728" s="224"/>
      <c r="AF728" s="224"/>
      <c r="AG728" s="224"/>
      <c r="AH728" s="224"/>
      <c r="AI728" s="224"/>
      <c r="AJ728" s="224"/>
      <c r="AK728" s="224"/>
      <c r="AL728" s="224"/>
      <c r="AM728" s="224"/>
      <c r="AN728" s="224"/>
      <c r="AO728" s="224"/>
      <c r="AP728" s="224"/>
      <c r="AQ728" s="224"/>
      <c r="AR728" s="224"/>
      <c r="AS728" s="224"/>
      <c r="AT728" s="224"/>
      <c r="AU728" s="224"/>
    </row>
    <row r="729" ht="15.7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  <c r="AC729" s="224"/>
      <c r="AD729" s="224"/>
      <c r="AE729" s="224"/>
      <c r="AF729" s="224"/>
      <c r="AG729" s="224"/>
      <c r="AH729" s="224"/>
      <c r="AI729" s="224"/>
      <c r="AJ729" s="224"/>
      <c r="AK729" s="224"/>
      <c r="AL729" s="224"/>
      <c r="AM729" s="224"/>
      <c r="AN729" s="224"/>
      <c r="AO729" s="224"/>
      <c r="AP729" s="224"/>
      <c r="AQ729" s="224"/>
      <c r="AR729" s="224"/>
      <c r="AS729" s="224"/>
      <c r="AT729" s="224"/>
      <c r="AU729" s="224"/>
    </row>
    <row r="730" ht="15.7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  <c r="AC730" s="224"/>
      <c r="AD730" s="224"/>
      <c r="AE730" s="224"/>
      <c r="AF730" s="224"/>
      <c r="AG730" s="224"/>
      <c r="AH730" s="224"/>
      <c r="AI730" s="224"/>
      <c r="AJ730" s="224"/>
      <c r="AK730" s="224"/>
      <c r="AL730" s="224"/>
      <c r="AM730" s="224"/>
      <c r="AN730" s="224"/>
      <c r="AO730" s="224"/>
      <c r="AP730" s="224"/>
      <c r="AQ730" s="224"/>
      <c r="AR730" s="224"/>
      <c r="AS730" s="224"/>
      <c r="AT730" s="224"/>
      <c r="AU730" s="224"/>
    </row>
    <row r="731" ht="15.7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  <c r="AF731" s="224"/>
      <c r="AG731" s="224"/>
      <c r="AH731" s="224"/>
      <c r="AI731" s="224"/>
      <c r="AJ731" s="224"/>
      <c r="AK731" s="224"/>
      <c r="AL731" s="224"/>
      <c r="AM731" s="224"/>
      <c r="AN731" s="224"/>
      <c r="AO731" s="224"/>
      <c r="AP731" s="224"/>
      <c r="AQ731" s="224"/>
      <c r="AR731" s="224"/>
      <c r="AS731" s="224"/>
      <c r="AT731" s="224"/>
      <c r="AU731" s="224"/>
    </row>
    <row r="732" ht="15.7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  <c r="AC732" s="224"/>
      <c r="AD732" s="224"/>
      <c r="AE732" s="224"/>
      <c r="AF732" s="224"/>
      <c r="AG732" s="224"/>
      <c r="AH732" s="224"/>
      <c r="AI732" s="224"/>
      <c r="AJ732" s="224"/>
      <c r="AK732" s="224"/>
      <c r="AL732" s="224"/>
      <c r="AM732" s="224"/>
      <c r="AN732" s="224"/>
      <c r="AO732" s="224"/>
      <c r="AP732" s="224"/>
      <c r="AQ732" s="224"/>
      <c r="AR732" s="224"/>
      <c r="AS732" s="224"/>
      <c r="AT732" s="224"/>
      <c r="AU732" s="224"/>
    </row>
    <row r="733" ht="15.7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  <c r="AC733" s="224"/>
      <c r="AD733" s="224"/>
      <c r="AE733" s="224"/>
      <c r="AF733" s="224"/>
      <c r="AG733" s="224"/>
      <c r="AH733" s="224"/>
      <c r="AI733" s="224"/>
      <c r="AJ733" s="224"/>
      <c r="AK733" s="224"/>
      <c r="AL733" s="224"/>
      <c r="AM733" s="224"/>
      <c r="AN733" s="224"/>
      <c r="AO733" s="224"/>
      <c r="AP733" s="224"/>
      <c r="AQ733" s="224"/>
      <c r="AR733" s="224"/>
      <c r="AS733" s="224"/>
      <c r="AT733" s="224"/>
      <c r="AU733" s="224"/>
    </row>
    <row r="734" ht="15.7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  <c r="AF734" s="224"/>
      <c r="AG734" s="224"/>
      <c r="AH734" s="224"/>
      <c r="AI734" s="224"/>
      <c r="AJ734" s="224"/>
      <c r="AK734" s="224"/>
      <c r="AL734" s="224"/>
      <c r="AM734" s="224"/>
      <c r="AN734" s="224"/>
      <c r="AO734" s="224"/>
      <c r="AP734" s="224"/>
      <c r="AQ734" s="224"/>
      <c r="AR734" s="224"/>
      <c r="AS734" s="224"/>
      <c r="AT734" s="224"/>
      <c r="AU734" s="224"/>
    </row>
    <row r="735" ht="15.7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  <c r="AF735" s="224"/>
      <c r="AG735" s="224"/>
      <c r="AH735" s="224"/>
      <c r="AI735" s="224"/>
      <c r="AJ735" s="224"/>
      <c r="AK735" s="224"/>
      <c r="AL735" s="224"/>
      <c r="AM735" s="224"/>
      <c r="AN735" s="224"/>
      <c r="AO735" s="224"/>
      <c r="AP735" s="224"/>
      <c r="AQ735" s="224"/>
      <c r="AR735" s="224"/>
      <c r="AS735" s="224"/>
      <c r="AT735" s="224"/>
      <c r="AU735" s="224"/>
    </row>
    <row r="736" ht="15.7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  <c r="AC736" s="224"/>
      <c r="AD736" s="224"/>
      <c r="AE736" s="224"/>
      <c r="AF736" s="224"/>
      <c r="AG736" s="224"/>
      <c r="AH736" s="224"/>
      <c r="AI736" s="224"/>
      <c r="AJ736" s="224"/>
      <c r="AK736" s="224"/>
      <c r="AL736" s="224"/>
      <c r="AM736" s="224"/>
      <c r="AN736" s="224"/>
      <c r="AO736" s="224"/>
      <c r="AP736" s="224"/>
      <c r="AQ736" s="224"/>
      <c r="AR736" s="224"/>
      <c r="AS736" s="224"/>
      <c r="AT736" s="224"/>
      <c r="AU736" s="224"/>
    </row>
    <row r="737" ht="15.7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  <c r="AC737" s="224"/>
      <c r="AD737" s="224"/>
      <c r="AE737" s="224"/>
      <c r="AF737" s="224"/>
      <c r="AG737" s="224"/>
      <c r="AH737" s="224"/>
      <c r="AI737" s="224"/>
      <c r="AJ737" s="224"/>
      <c r="AK737" s="224"/>
      <c r="AL737" s="224"/>
      <c r="AM737" s="224"/>
      <c r="AN737" s="224"/>
      <c r="AO737" s="224"/>
      <c r="AP737" s="224"/>
      <c r="AQ737" s="224"/>
      <c r="AR737" s="224"/>
      <c r="AS737" s="224"/>
      <c r="AT737" s="224"/>
      <c r="AU737" s="224"/>
    </row>
    <row r="738" ht="15.7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  <c r="AC738" s="224"/>
      <c r="AD738" s="224"/>
      <c r="AE738" s="224"/>
      <c r="AF738" s="224"/>
      <c r="AG738" s="224"/>
      <c r="AH738" s="224"/>
      <c r="AI738" s="224"/>
      <c r="AJ738" s="224"/>
      <c r="AK738" s="224"/>
      <c r="AL738" s="224"/>
      <c r="AM738" s="224"/>
      <c r="AN738" s="224"/>
      <c r="AO738" s="224"/>
      <c r="AP738" s="224"/>
      <c r="AQ738" s="224"/>
      <c r="AR738" s="224"/>
      <c r="AS738" s="224"/>
      <c r="AT738" s="224"/>
      <c r="AU738" s="224"/>
    </row>
    <row r="739" ht="15.7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  <c r="AC739" s="224"/>
      <c r="AD739" s="224"/>
      <c r="AE739" s="224"/>
      <c r="AF739" s="224"/>
      <c r="AG739" s="224"/>
      <c r="AH739" s="224"/>
      <c r="AI739" s="224"/>
      <c r="AJ739" s="224"/>
      <c r="AK739" s="224"/>
      <c r="AL739" s="224"/>
      <c r="AM739" s="224"/>
      <c r="AN739" s="224"/>
      <c r="AO739" s="224"/>
      <c r="AP739" s="224"/>
      <c r="AQ739" s="224"/>
      <c r="AR739" s="224"/>
      <c r="AS739" s="224"/>
      <c r="AT739" s="224"/>
      <c r="AU739" s="224"/>
    </row>
    <row r="740" ht="15.7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  <c r="AC740" s="224"/>
      <c r="AD740" s="224"/>
      <c r="AE740" s="224"/>
      <c r="AF740" s="224"/>
      <c r="AG740" s="224"/>
      <c r="AH740" s="224"/>
      <c r="AI740" s="224"/>
      <c r="AJ740" s="224"/>
      <c r="AK740" s="224"/>
      <c r="AL740" s="224"/>
      <c r="AM740" s="224"/>
      <c r="AN740" s="224"/>
      <c r="AO740" s="224"/>
      <c r="AP740" s="224"/>
      <c r="AQ740" s="224"/>
      <c r="AR740" s="224"/>
      <c r="AS740" s="224"/>
      <c r="AT740" s="224"/>
      <c r="AU740" s="224"/>
    </row>
    <row r="741" ht="15.7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  <c r="AF741" s="224"/>
      <c r="AG741" s="224"/>
      <c r="AH741" s="224"/>
      <c r="AI741" s="224"/>
      <c r="AJ741" s="224"/>
      <c r="AK741" s="224"/>
      <c r="AL741" s="224"/>
      <c r="AM741" s="224"/>
      <c r="AN741" s="224"/>
      <c r="AO741" s="224"/>
      <c r="AP741" s="224"/>
      <c r="AQ741" s="224"/>
      <c r="AR741" s="224"/>
      <c r="AS741" s="224"/>
      <c r="AT741" s="224"/>
      <c r="AU741" s="224"/>
    </row>
    <row r="742" ht="15.7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  <c r="AC742" s="224"/>
      <c r="AD742" s="224"/>
      <c r="AE742" s="224"/>
      <c r="AF742" s="224"/>
      <c r="AG742" s="224"/>
      <c r="AH742" s="224"/>
      <c r="AI742" s="224"/>
      <c r="AJ742" s="224"/>
      <c r="AK742" s="224"/>
      <c r="AL742" s="224"/>
      <c r="AM742" s="224"/>
      <c r="AN742" s="224"/>
      <c r="AO742" s="224"/>
      <c r="AP742" s="224"/>
      <c r="AQ742" s="224"/>
      <c r="AR742" s="224"/>
      <c r="AS742" s="224"/>
      <c r="AT742" s="224"/>
      <c r="AU742" s="224"/>
    </row>
    <row r="743" ht="15.7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  <c r="AC743" s="224"/>
      <c r="AD743" s="224"/>
      <c r="AE743" s="224"/>
      <c r="AF743" s="224"/>
      <c r="AG743" s="224"/>
      <c r="AH743" s="224"/>
      <c r="AI743" s="224"/>
      <c r="AJ743" s="224"/>
      <c r="AK743" s="224"/>
      <c r="AL743" s="224"/>
      <c r="AM743" s="224"/>
      <c r="AN743" s="224"/>
      <c r="AO743" s="224"/>
      <c r="AP743" s="224"/>
      <c r="AQ743" s="224"/>
      <c r="AR743" s="224"/>
      <c r="AS743" s="224"/>
      <c r="AT743" s="224"/>
      <c r="AU743" s="224"/>
    </row>
    <row r="744" ht="15.7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  <c r="AF744" s="224"/>
      <c r="AG744" s="224"/>
      <c r="AH744" s="224"/>
      <c r="AI744" s="224"/>
      <c r="AJ744" s="224"/>
      <c r="AK744" s="224"/>
      <c r="AL744" s="224"/>
      <c r="AM744" s="224"/>
      <c r="AN744" s="224"/>
      <c r="AO744" s="224"/>
      <c r="AP744" s="224"/>
      <c r="AQ744" s="224"/>
      <c r="AR744" s="224"/>
      <c r="AS744" s="224"/>
      <c r="AT744" s="224"/>
      <c r="AU744" s="224"/>
    </row>
    <row r="745" ht="15.7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  <c r="AF745" s="224"/>
      <c r="AG745" s="224"/>
      <c r="AH745" s="224"/>
      <c r="AI745" s="224"/>
      <c r="AJ745" s="224"/>
      <c r="AK745" s="224"/>
      <c r="AL745" s="224"/>
      <c r="AM745" s="224"/>
      <c r="AN745" s="224"/>
      <c r="AO745" s="224"/>
      <c r="AP745" s="224"/>
      <c r="AQ745" s="224"/>
      <c r="AR745" s="224"/>
      <c r="AS745" s="224"/>
      <c r="AT745" s="224"/>
      <c r="AU745" s="224"/>
    </row>
    <row r="746" ht="15.7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  <c r="AF746" s="224"/>
      <c r="AG746" s="224"/>
      <c r="AH746" s="224"/>
      <c r="AI746" s="224"/>
      <c r="AJ746" s="224"/>
      <c r="AK746" s="224"/>
      <c r="AL746" s="224"/>
      <c r="AM746" s="224"/>
      <c r="AN746" s="224"/>
      <c r="AO746" s="224"/>
      <c r="AP746" s="224"/>
      <c r="AQ746" s="224"/>
      <c r="AR746" s="224"/>
      <c r="AS746" s="224"/>
      <c r="AT746" s="224"/>
      <c r="AU746" s="224"/>
    </row>
    <row r="747" ht="15.7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  <c r="AK747" s="224"/>
      <c r="AL747" s="224"/>
      <c r="AM747" s="224"/>
      <c r="AN747" s="224"/>
      <c r="AO747" s="224"/>
      <c r="AP747" s="224"/>
      <c r="AQ747" s="224"/>
      <c r="AR747" s="224"/>
      <c r="AS747" s="224"/>
      <c r="AT747" s="224"/>
      <c r="AU747" s="224"/>
    </row>
    <row r="748" ht="15.7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  <c r="AF748" s="224"/>
      <c r="AG748" s="224"/>
      <c r="AH748" s="224"/>
      <c r="AI748" s="224"/>
      <c r="AJ748" s="224"/>
      <c r="AK748" s="224"/>
      <c r="AL748" s="224"/>
      <c r="AM748" s="224"/>
      <c r="AN748" s="224"/>
      <c r="AO748" s="224"/>
      <c r="AP748" s="224"/>
      <c r="AQ748" s="224"/>
      <c r="AR748" s="224"/>
      <c r="AS748" s="224"/>
      <c r="AT748" s="224"/>
      <c r="AU748" s="224"/>
    </row>
    <row r="749" ht="15.7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  <c r="AF749" s="224"/>
      <c r="AG749" s="224"/>
      <c r="AH749" s="224"/>
      <c r="AI749" s="224"/>
      <c r="AJ749" s="224"/>
      <c r="AK749" s="224"/>
      <c r="AL749" s="224"/>
      <c r="AM749" s="224"/>
      <c r="AN749" s="224"/>
      <c r="AO749" s="224"/>
      <c r="AP749" s="224"/>
      <c r="AQ749" s="224"/>
      <c r="AR749" s="224"/>
      <c r="AS749" s="224"/>
      <c r="AT749" s="224"/>
      <c r="AU749" s="224"/>
    </row>
    <row r="750" ht="15.7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  <c r="AF750" s="224"/>
      <c r="AG750" s="224"/>
      <c r="AH750" s="224"/>
      <c r="AI750" s="224"/>
      <c r="AJ750" s="224"/>
      <c r="AK750" s="224"/>
      <c r="AL750" s="224"/>
      <c r="AM750" s="224"/>
      <c r="AN750" s="224"/>
      <c r="AO750" s="224"/>
      <c r="AP750" s="224"/>
      <c r="AQ750" s="224"/>
      <c r="AR750" s="224"/>
      <c r="AS750" s="224"/>
      <c r="AT750" s="224"/>
      <c r="AU750" s="224"/>
    </row>
    <row r="751" ht="15.7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  <c r="AF751" s="224"/>
      <c r="AG751" s="224"/>
      <c r="AH751" s="224"/>
      <c r="AI751" s="224"/>
      <c r="AJ751" s="224"/>
      <c r="AK751" s="224"/>
      <c r="AL751" s="224"/>
      <c r="AM751" s="224"/>
      <c r="AN751" s="224"/>
      <c r="AO751" s="224"/>
      <c r="AP751" s="224"/>
      <c r="AQ751" s="224"/>
      <c r="AR751" s="224"/>
      <c r="AS751" s="224"/>
      <c r="AT751" s="224"/>
      <c r="AU751" s="224"/>
    </row>
    <row r="752" ht="15.7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  <c r="AC752" s="224"/>
      <c r="AD752" s="224"/>
      <c r="AE752" s="224"/>
      <c r="AF752" s="224"/>
      <c r="AG752" s="224"/>
      <c r="AH752" s="224"/>
      <c r="AI752" s="224"/>
      <c r="AJ752" s="224"/>
      <c r="AK752" s="224"/>
      <c r="AL752" s="224"/>
      <c r="AM752" s="224"/>
      <c r="AN752" s="224"/>
      <c r="AO752" s="224"/>
      <c r="AP752" s="224"/>
      <c r="AQ752" s="224"/>
      <c r="AR752" s="224"/>
      <c r="AS752" s="224"/>
      <c r="AT752" s="224"/>
      <c r="AU752" s="224"/>
    </row>
    <row r="753" ht="15.7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  <c r="AC753" s="224"/>
      <c r="AD753" s="224"/>
      <c r="AE753" s="224"/>
      <c r="AF753" s="224"/>
      <c r="AG753" s="224"/>
      <c r="AH753" s="224"/>
      <c r="AI753" s="224"/>
      <c r="AJ753" s="224"/>
      <c r="AK753" s="224"/>
      <c r="AL753" s="224"/>
      <c r="AM753" s="224"/>
      <c r="AN753" s="224"/>
      <c r="AO753" s="224"/>
      <c r="AP753" s="224"/>
      <c r="AQ753" s="224"/>
      <c r="AR753" s="224"/>
      <c r="AS753" s="224"/>
      <c r="AT753" s="224"/>
      <c r="AU753" s="224"/>
    </row>
    <row r="754" ht="15.7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  <c r="AC754" s="224"/>
      <c r="AD754" s="224"/>
      <c r="AE754" s="224"/>
      <c r="AF754" s="224"/>
      <c r="AG754" s="224"/>
      <c r="AH754" s="224"/>
      <c r="AI754" s="224"/>
      <c r="AJ754" s="224"/>
      <c r="AK754" s="224"/>
      <c r="AL754" s="224"/>
      <c r="AM754" s="224"/>
      <c r="AN754" s="224"/>
      <c r="AO754" s="224"/>
      <c r="AP754" s="224"/>
      <c r="AQ754" s="224"/>
      <c r="AR754" s="224"/>
      <c r="AS754" s="224"/>
      <c r="AT754" s="224"/>
      <c r="AU754" s="224"/>
    </row>
    <row r="755" ht="15.7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  <c r="AC755" s="224"/>
      <c r="AD755" s="224"/>
      <c r="AE755" s="224"/>
      <c r="AF755" s="224"/>
      <c r="AG755" s="224"/>
      <c r="AH755" s="224"/>
      <c r="AI755" s="224"/>
      <c r="AJ755" s="224"/>
      <c r="AK755" s="224"/>
      <c r="AL755" s="224"/>
      <c r="AM755" s="224"/>
      <c r="AN755" s="224"/>
      <c r="AO755" s="224"/>
      <c r="AP755" s="224"/>
      <c r="AQ755" s="224"/>
      <c r="AR755" s="224"/>
      <c r="AS755" s="224"/>
      <c r="AT755" s="224"/>
      <c r="AU755" s="224"/>
    </row>
    <row r="756" ht="15.7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  <c r="AC756" s="224"/>
      <c r="AD756" s="224"/>
      <c r="AE756" s="224"/>
      <c r="AF756" s="224"/>
      <c r="AG756" s="224"/>
      <c r="AH756" s="224"/>
      <c r="AI756" s="224"/>
      <c r="AJ756" s="224"/>
      <c r="AK756" s="224"/>
      <c r="AL756" s="224"/>
      <c r="AM756" s="224"/>
      <c r="AN756" s="224"/>
      <c r="AO756" s="224"/>
      <c r="AP756" s="224"/>
      <c r="AQ756" s="224"/>
      <c r="AR756" s="224"/>
      <c r="AS756" s="224"/>
      <c r="AT756" s="224"/>
      <c r="AU756" s="224"/>
    </row>
    <row r="757" ht="15.7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  <c r="AF757" s="224"/>
      <c r="AG757" s="224"/>
      <c r="AH757" s="224"/>
      <c r="AI757" s="224"/>
      <c r="AJ757" s="224"/>
      <c r="AK757" s="224"/>
      <c r="AL757" s="224"/>
      <c r="AM757" s="224"/>
      <c r="AN757" s="224"/>
      <c r="AO757" s="224"/>
      <c r="AP757" s="224"/>
      <c r="AQ757" s="224"/>
      <c r="AR757" s="224"/>
      <c r="AS757" s="224"/>
      <c r="AT757" s="224"/>
      <c r="AU757" s="224"/>
    </row>
    <row r="758" ht="15.7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  <c r="AF758" s="224"/>
      <c r="AG758" s="224"/>
      <c r="AH758" s="224"/>
      <c r="AI758" s="224"/>
      <c r="AJ758" s="224"/>
      <c r="AK758" s="224"/>
      <c r="AL758" s="224"/>
      <c r="AM758" s="224"/>
      <c r="AN758" s="224"/>
      <c r="AO758" s="224"/>
      <c r="AP758" s="224"/>
      <c r="AQ758" s="224"/>
      <c r="AR758" s="224"/>
      <c r="AS758" s="224"/>
      <c r="AT758" s="224"/>
      <c r="AU758" s="224"/>
    </row>
    <row r="759" ht="15.7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  <c r="AF759" s="224"/>
      <c r="AG759" s="224"/>
      <c r="AH759" s="224"/>
      <c r="AI759" s="224"/>
      <c r="AJ759" s="224"/>
      <c r="AK759" s="224"/>
      <c r="AL759" s="224"/>
      <c r="AM759" s="224"/>
      <c r="AN759" s="224"/>
      <c r="AO759" s="224"/>
      <c r="AP759" s="224"/>
      <c r="AQ759" s="224"/>
      <c r="AR759" s="224"/>
      <c r="AS759" s="224"/>
      <c r="AT759" s="224"/>
      <c r="AU759" s="224"/>
    </row>
    <row r="760" ht="15.7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  <c r="AF760" s="224"/>
      <c r="AG760" s="224"/>
      <c r="AH760" s="224"/>
      <c r="AI760" s="224"/>
      <c r="AJ760" s="224"/>
      <c r="AK760" s="224"/>
      <c r="AL760" s="224"/>
      <c r="AM760" s="224"/>
      <c r="AN760" s="224"/>
      <c r="AO760" s="224"/>
      <c r="AP760" s="224"/>
      <c r="AQ760" s="224"/>
      <c r="AR760" s="224"/>
      <c r="AS760" s="224"/>
      <c r="AT760" s="224"/>
      <c r="AU760" s="224"/>
    </row>
    <row r="761" ht="15.7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  <c r="AF761" s="224"/>
      <c r="AG761" s="224"/>
      <c r="AH761" s="224"/>
      <c r="AI761" s="224"/>
      <c r="AJ761" s="224"/>
      <c r="AK761" s="224"/>
      <c r="AL761" s="224"/>
      <c r="AM761" s="224"/>
      <c r="AN761" s="224"/>
      <c r="AO761" s="224"/>
      <c r="AP761" s="224"/>
      <c r="AQ761" s="224"/>
      <c r="AR761" s="224"/>
      <c r="AS761" s="224"/>
      <c r="AT761" s="224"/>
      <c r="AU761" s="224"/>
    </row>
    <row r="762" ht="15.7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  <c r="AF762" s="224"/>
      <c r="AG762" s="224"/>
      <c r="AH762" s="224"/>
      <c r="AI762" s="224"/>
      <c r="AJ762" s="224"/>
      <c r="AK762" s="224"/>
      <c r="AL762" s="224"/>
      <c r="AM762" s="224"/>
      <c r="AN762" s="224"/>
      <c r="AO762" s="224"/>
      <c r="AP762" s="224"/>
      <c r="AQ762" s="224"/>
      <c r="AR762" s="224"/>
      <c r="AS762" s="224"/>
      <c r="AT762" s="224"/>
      <c r="AU762" s="224"/>
    </row>
    <row r="763" ht="15.7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  <c r="AF763" s="224"/>
      <c r="AG763" s="224"/>
      <c r="AH763" s="224"/>
      <c r="AI763" s="224"/>
      <c r="AJ763" s="224"/>
      <c r="AK763" s="224"/>
      <c r="AL763" s="224"/>
      <c r="AM763" s="224"/>
      <c r="AN763" s="224"/>
      <c r="AO763" s="224"/>
      <c r="AP763" s="224"/>
      <c r="AQ763" s="224"/>
      <c r="AR763" s="224"/>
      <c r="AS763" s="224"/>
      <c r="AT763" s="224"/>
      <c r="AU763" s="224"/>
    </row>
    <row r="764" ht="15.7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  <c r="AF764" s="224"/>
      <c r="AG764" s="224"/>
      <c r="AH764" s="224"/>
      <c r="AI764" s="224"/>
      <c r="AJ764" s="224"/>
      <c r="AK764" s="224"/>
      <c r="AL764" s="224"/>
      <c r="AM764" s="224"/>
      <c r="AN764" s="224"/>
      <c r="AO764" s="224"/>
      <c r="AP764" s="224"/>
      <c r="AQ764" s="224"/>
      <c r="AR764" s="224"/>
      <c r="AS764" s="224"/>
      <c r="AT764" s="224"/>
      <c r="AU764" s="224"/>
    </row>
    <row r="765" ht="15.7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  <c r="AF765" s="224"/>
      <c r="AG765" s="224"/>
      <c r="AH765" s="224"/>
      <c r="AI765" s="224"/>
      <c r="AJ765" s="224"/>
      <c r="AK765" s="224"/>
      <c r="AL765" s="224"/>
      <c r="AM765" s="224"/>
      <c r="AN765" s="224"/>
      <c r="AO765" s="224"/>
      <c r="AP765" s="224"/>
      <c r="AQ765" s="224"/>
      <c r="AR765" s="224"/>
      <c r="AS765" s="224"/>
      <c r="AT765" s="224"/>
      <c r="AU765" s="224"/>
    </row>
    <row r="766" ht="15.7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  <c r="AF766" s="224"/>
      <c r="AG766" s="224"/>
      <c r="AH766" s="224"/>
      <c r="AI766" s="224"/>
      <c r="AJ766" s="224"/>
      <c r="AK766" s="224"/>
      <c r="AL766" s="224"/>
      <c r="AM766" s="224"/>
      <c r="AN766" s="224"/>
      <c r="AO766" s="224"/>
      <c r="AP766" s="224"/>
      <c r="AQ766" s="224"/>
      <c r="AR766" s="224"/>
      <c r="AS766" s="224"/>
      <c r="AT766" s="224"/>
      <c r="AU766" s="224"/>
    </row>
    <row r="767" ht="15.7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  <c r="AF767" s="224"/>
      <c r="AG767" s="224"/>
      <c r="AH767" s="224"/>
      <c r="AI767" s="224"/>
      <c r="AJ767" s="224"/>
      <c r="AK767" s="224"/>
      <c r="AL767" s="224"/>
      <c r="AM767" s="224"/>
      <c r="AN767" s="224"/>
      <c r="AO767" s="224"/>
      <c r="AP767" s="224"/>
      <c r="AQ767" s="224"/>
      <c r="AR767" s="224"/>
      <c r="AS767" s="224"/>
      <c r="AT767" s="224"/>
      <c r="AU767" s="224"/>
    </row>
    <row r="768" ht="15.7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  <c r="AF768" s="224"/>
      <c r="AG768" s="224"/>
      <c r="AH768" s="224"/>
      <c r="AI768" s="224"/>
      <c r="AJ768" s="224"/>
      <c r="AK768" s="224"/>
      <c r="AL768" s="224"/>
      <c r="AM768" s="224"/>
      <c r="AN768" s="224"/>
      <c r="AO768" s="224"/>
      <c r="AP768" s="224"/>
      <c r="AQ768" s="224"/>
      <c r="AR768" s="224"/>
      <c r="AS768" s="224"/>
      <c r="AT768" s="224"/>
      <c r="AU768" s="224"/>
    </row>
    <row r="769" ht="15.7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  <c r="AF769" s="224"/>
      <c r="AG769" s="224"/>
      <c r="AH769" s="224"/>
      <c r="AI769" s="224"/>
      <c r="AJ769" s="224"/>
      <c r="AK769" s="224"/>
      <c r="AL769" s="224"/>
      <c r="AM769" s="224"/>
      <c r="AN769" s="224"/>
      <c r="AO769" s="224"/>
      <c r="AP769" s="224"/>
      <c r="AQ769" s="224"/>
      <c r="AR769" s="224"/>
      <c r="AS769" s="224"/>
      <c r="AT769" s="224"/>
      <c r="AU769" s="224"/>
    </row>
    <row r="770" ht="15.7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  <c r="AF770" s="224"/>
      <c r="AG770" s="224"/>
      <c r="AH770" s="224"/>
      <c r="AI770" s="224"/>
      <c r="AJ770" s="224"/>
      <c r="AK770" s="224"/>
      <c r="AL770" s="224"/>
      <c r="AM770" s="224"/>
      <c r="AN770" s="224"/>
      <c r="AO770" s="224"/>
      <c r="AP770" s="224"/>
      <c r="AQ770" s="224"/>
      <c r="AR770" s="224"/>
      <c r="AS770" s="224"/>
      <c r="AT770" s="224"/>
      <c r="AU770" s="224"/>
    </row>
    <row r="771" ht="15.7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  <c r="AF771" s="224"/>
      <c r="AG771" s="224"/>
      <c r="AH771" s="224"/>
      <c r="AI771" s="224"/>
      <c r="AJ771" s="224"/>
      <c r="AK771" s="224"/>
      <c r="AL771" s="224"/>
      <c r="AM771" s="224"/>
      <c r="AN771" s="224"/>
      <c r="AO771" s="224"/>
      <c r="AP771" s="224"/>
      <c r="AQ771" s="224"/>
      <c r="AR771" s="224"/>
      <c r="AS771" s="224"/>
      <c r="AT771" s="224"/>
      <c r="AU771" s="224"/>
    </row>
    <row r="772" ht="15.7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  <c r="AF772" s="224"/>
      <c r="AG772" s="224"/>
      <c r="AH772" s="224"/>
      <c r="AI772" s="224"/>
      <c r="AJ772" s="224"/>
      <c r="AK772" s="224"/>
      <c r="AL772" s="224"/>
      <c r="AM772" s="224"/>
      <c r="AN772" s="224"/>
      <c r="AO772" s="224"/>
      <c r="AP772" s="224"/>
      <c r="AQ772" s="224"/>
      <c r="AR772" s="224"/>
      <c r="AS772" s="224"/>
      <c r="AT772" s="224"/>
      <c r="AU772" s="224"/>
    </row>
    <row r="773" ht="15.7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  <c r="AF773" s="224"/>
      <c r="AG773" s="224"/>
      <c r="AH773" s="224"/>
      <c r="AI773" s="224"/>
      <c r="AJ773" s="224"/>
      <c r="AK773" s="224"/>
      <c r="AL773" s="224"/>
      <c r="AM773" s="224"/>
      <c r="AN773" s="224"/>
      <c r="AO773" s="224"/>
      <c r="AP773" s="224"/>
      <c r="AQ773" s="224"/>
      <c r="AR773" s="224"/>
      <c r="AS773" s="224"/>
      <c r="AT773" s="224"/>
      <c r="AU773" s="224"/>
    </row>
    <row r="774" ht="15.7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  <c r="AF774" s="224"/>
      <c r="AG774" s="224"/>
      <c r="AH774" s="224"/>
      <c r="AI774" s="224"/>
      <c r="AJ774" s="224"/>
      <c r="AK774" s="224"/>
      <c r="AL774" s="224"/>
      <c r="AM774" s="224"/>
      <c r="AN774" s="224"/>
      <c r="AO774" s="224"/>
      <c r="AP774" s="224"/>
      <c r="AQ774" s="224"/>
      <c r="AR774" s="224"/>
      <c r="AS774" s="224"/>
      <c r="AT774" s="224"/>
      <c r="AU774" s="224"/>
    </row>
    <row r="775" ht="15.7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  <c r="AF775" s="224"/>
      <c r="AG775" s="224"/>
      <c r="AH775" s="224"/>
      <c r="AI775" s="224"/>
      <c r="AJ775" s="224"/>
      <c r="AK775" s="224"/>
      <c r="AL775" s="224"/>
      <c r="AM775" s="224"/>
      <c r="AN775" s="224"/>
      <c r="AO775" s="224"/>
      <c r="AP775" s="224"/>
      <c r="AQ775" s="224"/>
      <c r="AR775" s="224"/>
      <c r="AS775" s="224"/>
      <c r="AT775" s="224"/>
      <c r="AU775" s="224"/>
    </row>
    <row r="776" ht="15.7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  <c r="AF776" s="224"/>
      <c r="AG776" s="224"/>
      <c r="AH776" s="224"/>
      <c r="AI776" s="224"/>
      <c r="AJ776" s="224"/>
      <c r="AK776" s="224"/>
      <c r="AL776" s="224"/>
      <c r="AM776" s="224"/>
      <c r="AN776" s="224"/>
      <c r="AO776" s="224"/>
      <c r="AP776" s="224"/>
      <c r="AQ776" s="224"/>
      <c r="AR776" s="224"/>
      <c r="AS776" s="224"/>
      <c r="AT776" s="224"/>
      <c r="AU776" s="224"/>
    </row>
    <row r="777" ht="15.7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  <c r="AF777" s="224"/>
      <c r="AG777" s="224"/>
      <c r="AH777" s="224"/>
      <c r="AI777" s="224"/>
      <c r="AJ777" s="224"/>
      <c r="AK777" s="224"/>
      <c r="AL777" s="224"/>
      <c r="AM777" s="224"/>
      <c r="AN777" s="224"/>
      <c r="AO777" s="224"/>
      <c r="AP777" s="224"/>
      <c r="AQ777" s="224"/>
      <c r="AR777" s="224"/>
      <c r="AS777" s="224"/>
      <c r="AT777" s="224"/>
      <c r="AU777" s="224"/>
    </row>
    <row r="778" ht="15.7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  <c r="AF778" s="224"/>
      <c r="AG778" s="224"/>
      <c r="AH778" s="224"/>
      <c r="AI778" s="224"/>
      <c r="AJ778" s="224"/>
      <c r="AK778" s="224"/>
      <c r="AL778" s="224"/>
      <c r="AM778" s="224"/>
      <c r="AN778" s="224"/>
      <c r="AO778" s="224"/>
      <c r="AP778" s="224"/>
      <c r="AQ778" s="224"/>
      <c r="AR778" s="224"/>
      <c r="AS778" s="224"/>
      <c r="AT778" s="224"/>
      <c r="AU778" s="224"/>
    </row>
    <row r="779" ht="15.7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  <c r="AF779" s="224"/>
      <c r="AG779" s="224"/>
      <c r="AH779" s="224"/>
      <c r="AI779" s="224"/>
      <c r="AJ779" s="224"/>
      <c r="AK779" s="224"/>
      <c r="AL779" s="224"/>
      <c r="AM779" s="224"/>
      <c r="AN779" s="224"/>
      <c r="AO779" s="224"/>
      <c r="AP779" s="224"/>
      <c r="AQ779" s="224"/>
      <c r="AR779" s="224"/>
      <c r="AS779" s="224"/>
      <c r="AT779" s="224"/>
      <c r="AU779" s="224"/>
    </row>
    <row r="780" ht="15.7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  <c r="AF780" s="224"/>
      <c r="AG780" s="224"/>
      <c r="AH780" s="224"/>
      <c r="AI780" s="224"/>
      <c r="AJ780" s="224"/>
      <c r="AK780" s="224"/>
      <c r="AL780" s="224"/>
      <c r="AM780" s="224"/>
      <c r="AN780" s="224"/>
      <c r="AO780" s="224"/>
      <c r="AP780" s="224"/>
      <c r="AQ780" s="224"/>
      <c r="AR780" s="224"/>
      <c r="AS780" s="224"/>
      <c r="AT780" s="224"/>
      <c r="AU780" s="224"/>
    </row>
    <row r="781" ht="15.7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  <c r="AF781" s="224"/>
      <c r="AG781" s="224"/>
      <c r="AH781" s="224"/>
      <c r="AI781" s="224"/>
      <c r="AJ781" s="224"/>
      <c r="AK781" s="224"/>
      <c r="AL781" s="224"/>
      <c r="AM781" s="224"/>
      <c r="AN781" s="224"/>
      <c r="AO781" s="224"/>
      <c r="AP781" s="224"/>
      <c r="AQ781" s="224"/>
      <c r="AR781" s="224"/>
      <c r="AS781" s="224"/>
      <c r="AT781" s="224"/>
      <c r="AU781" s="224"/>
    </row>
    <row r="782" ht="15.7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  <c r="AF782" s="224"/>
      <c r="AG782" s="224"/>
      <c r="AH782" s="224"/>
      <c r="AI782" s="224"/>
      <c r="AJ782" s="224"/>
      <c r="AK782" s="224"/>
      <c r="AL782" s="224"/>
      <c r="AM782" s="224"/>
      <c r="AN782" s="224"/>
      <c r="AO782" s="224"/>
      <c r="AP782" s="224"/>
      <c r="AQ782" s="224"/>
      <c r="AR782" s="224"/>
      <c r="AS782" s="224"/>
      <c r="AT782" s="224"/>
      <c r="AU782" s="224"/>
    </row>
    <row r="783" ht="15.7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  <c r="AF783" s="224"/>
      <c r="AG783" s="224"/>
      <c r="AH783" s="224"/>
      <c r="AI783" s="224"/>
      <c r="AJ783" s="224"/>
      <c r="AK783" s="224"/>
      <c r="AL783" s="224"/>
      <c r="AM783" s="224"/>
      <c r="AN783" s="224"/>
      <c r="AO783" s="224"/>
      <c r="AP783" s="224"/>
      <c r="AQ783" s="224"/>
      <c r="AR783" s="224"/>
      <c r="AS783" s="224"/>
      <c r="AT783" s="224"/>
      <c r="AU783" s="224"/>
    </row>
    <row r="784" ht="15.7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  <c r="AF784" s="224"/>
      <c r="AG784" s="224"/>
      <c r="AH784" s="224"/>
      <c r="AI784" s="224"/>
      <c r="AJ784" s="224"/>
      <c r="AK784" s="224"/>
      <c r="AL784" s="224"/>
      <c r="AM784" s="224"/>
      <c r="AN784" s="224"/>
      <c r="AO784" s="224"/>
      <c r="AP784" s="224"/>
      <c r="AQ784" s="224"/>
      <c r="AR784" s="224"/>
      <c r="AS784" s="224"/>
      <c r="AT784" s="224"/>
      <c r="AU784" s="224"/>
    </row>
    <row r="785" ht="15.7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  <c r="AF785" s="224"/>
      <c r="AG785" s="224"/>
      <c r="AH785" s="224"/>
      <c r="AI785" s="224"/>
      <c r="AJ785" s="224"/>
      <c r="AK785" s="224"/>
      <c r="AL785" s="224"/>
      <c r="AM785" s="224"/>
      <c r="AN785" s="224"/>
      <c r="AO785" s="224"/>
      <c r="AP785" s="224"/>
      <c r="AQ785" s="224"/>
      <c r="AR785" s="224"/>
      <c r="AS785" s="224"/>
      <c r="AT785" s="224"/>
      <c r="AU785" s="224"/>
    </row>
    <row r="786" ht="15.7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  <c r="AF786" s="224"/>
      <c r="AG786" s="224"/>
      <c r="AH786" s="224"/>
      <c r="AI786" s="224"/>
      <c r="AJ786" s="224"/>
      <c r="AK786" s="224"/>
      <c r="AL786" s="224"/>
      <c r="AM786" s="224"/>
      <c r="AN786" s="224"/>
      <c r="AO786" s="224"/>
      <c r="AP786" s="224"/>
      <c r="AQ786" s="224"/>
      <c r="AR786" s="224"/>
      <c r="AS786" s="224"/>
      <c r="AT786" s="224"/>
      <c r="AU786" s="224"/>
    </row>
    <row r="787" ht="15.7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  <c r="AF787" s="224"/>
      <c r="AG787" s="224"/>
      <c r="AH787" s="224"/>
      <c r="AI787" s="224"/>
      <c r="AJ787" s="224"/>
      <c r="AK787" s="224"/>
      <c r="AL787" s="224"/>
      <c r="AM787" s="224"/>
      <c r="AN787" s="224"/>
      <c r="AO787" s="224"/>
      <c r="AP787" s="224"/>
      <c r="AQ787" s="224"/>
      <c r="AR787" s="224"/>
      <c r="AS787" s="224"/>
      <c r="AT787" s="224"/>
      <c r="AU787" s="224"/>
    </row>
    <row r="788" ht="15.7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  <c r="AF788" s="224"/>
      <c r="AG788" s="224"/>
      <c r="AH788" s="224"/>
      <c r="AI788" s="224"/>
      <c r="AJ788" s="224"/>
      <c r="AK788" s="224"/>
      <c r="AL788" s="224"/>
      <c r="AM788" s="224"/>
      <c r="AN788" s="224"/>
      <c r="AO788" s="224"/>
      <c r="AP788" s="224"/>
      <c r="AQ788" s="224"/>
      <c r="AR788" s="224"/>
      <c r="AS788" s="224"/>
      <c r="AT788" s="224"/>
      <c r="AU788" s="224"/>
    </row>
    <row r="789" ht="15.7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  <c r="AF789" s="224"/>
      <c r="AG789" s="224"/>
      <c r="AH789" s="224"/>
      <c r="AI789" s="224"/>
      <c r="AJ789" s="224"/>
      <c r="AK789" s="224"/>
      <c r="AL789" s="224"/>
      <c r="AM789" s="224"/>
      <c r="AN789" s="224"/>
      <c r="AO789" s="224"/>
      <c r="AP789" s="224"/>
      <c r="AQ789" s="224"/>
      <c r="AR789" s="224"/>
      <c r="AS789" s="224"/>
      <c r="AT789" s="224"/>
      <c r="AU789" s="224"/>
    </row>
    <row r="790" ht="15.7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  <c r="AF790" s="224"/>
      <c r="AG790" s="224"/>
      <c r="AH790" s="224"/>
      <c r="AI790" s="224"/>
      <c r="AJ790" s="224"/>
      <c r="AK790" s="224"/>
      <c r="AL790" s="224"/>
      <c r="AM790" s="224"/>
      <c r="AN790" s="224"/>
      <c r="AO790" s="224"/>
      <c r="AP790" s="224"/>
      <c r="AQ790" s="224"/>
      <c r="AR790" s="224"/>
      <c r="AS790" s="224"/>
      <c r="AT790" s="224"/>
      <c r="AU790" s="224"/>
    </row>
    <row r="791" ht="15.7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  <c r="AF791" s="224"/>
      <c r="AG791" s="224"/>
      <c r="AH791" s="224"/>
      <c r="AI791" s="224"/>
      <c r="AJ791" s="224"/>
      <c r="AK791" s="224"/>
      <c r="AL791" s="224"/>
      <c r="AM791" s="224"/>
      <c r="AN791" s="224"/>
      <c r="AO791" s="224"/>
      <c r="AP791" s="224"/>
      <c r="AQ791" s="224"/>
      <c r="AR791" s="224"/>
      <c r="AS791" s="224"/>
      <c r="AT791" s="224"/>
      <c r="AU791" s="224"/>
    </row>
    <row r="792" ht="15.7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  <c r="AF792" s="224"/>
      <c r="AG792" s="224"/>
      <c r="AH792" s="224"/>
      <c r="AI792" s="224"/>
      <c r="AJ792" s="224"/>
      <c r="AK792" s="224"/>
      <c r="AL792" s="224"/>
      <c r="AM792" s="224"/>
      <c r="AN792" s="224"/>
      <c r="AO792" s="224"/>
      <c r="AP792" s="224"/>
      <c r="AQ792" s="224"/>
      <c r="AR792" s="224"/>
      <c r="AS792" s="224"/>
      <c r="AT792" s="224"/>
      <c r="AU792" s="224"/>
    </row>
    <row r="793" ht="15.7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  <c r="AF793" s="224"/>
      <c r="AG793" s="224"/>
      <c r="AH793" s="224"/>
      <c r="AI793" s="224"/>
      <c r="AJ793" s="224"/>
      <c r="AK793" s="224"/>
      <c r="AL793" s="224"/>
      <c r="AM793" s="224"/>
      <c r="AN793" s="224"/>
      <c r="AO793" s="224"/>
      <c r="AP793" s="224"/>
      <c r="AQ793" s="224"/>
      <c r="AR793" s="224"/>
      <c r="AS793" s="224"/>
      <c r="AT793" s="224"/>
      <c r="AU793" s="224"/>
    </row>
    <row r="794" ht="15.7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  <c r="AF794" s="224"/>
      <c r="AG794" s="224"/>
      <c r="AH794" s="224"/>
      <c r="AI794" s="224"/>
      <c r="AJ794" s="224"/>
      <c r="AK794" s="224"/>
      <c r="AL794" s="224"/>
      <c r="AM794" s="224"/>
      <c r="AN794" s="224"/>
      <c r="AO794" s="224"/>
      <c r="AP794" s="224"/>
      <c r="AQ794" s="224"/>
      <c r="AR794" s="224"/>
      <c r="AS794" s="224"/>
      <c r="AT794" s="224"/>
      <c r="AU794" s="224"/>
    </row>
    <row r="795" ht="15.7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  <c r="AF795" s="224"/>
      <c r="AG795" s="224"/>
      <c r="AH795" s="224"/>
      <c r="AI795" s="224"/>
      <c r="AJ795" s="224"/>
      <c r="AK795" s="224"/>
      <c r="AL795" s="224"/>
      <c r="AM795" s="224"/>
      <c r="AN795" s="224"/>
      <c r="AO795" s="224"/>
      <c r="AP795" s="224"/>
      <c r="AQ795" s="224"/>
      <c r="AR795" s="224"/>
      <c r="AS795" s="224"/>
      <c r="AT795" s="224"/>
      <c r="AU795" s="224"/>
    </row>
    <row r="796" ht="15.7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  <c r="AF796" s="224"/>
      <c r="AG796" s="224"/>
      <c r="AH796" s="224"/>
      <c r="AI796" s="224"/>
      <c r="AJ796" s="224"/>
      <c r="AK796" s="224"/>
      <c r="AL796" s="224"/>
      <c r="AM796" s="224"/>
      <c r="AN796" s="224"/>
      <c r="AO796" s="224"/>
      <c r="AP796" s="224"/>
      <c r="AQ796" s="224"/>
      <c r="AR796" s="224"/>
      <c r="AS796" s="224"/>
      <c r="AT796" s="224"/>
      <c r="AU796" s="224"/>
    </row>
    <row r="797" ht="15.7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  <c r="AF797" s="224"/>
      <c r="AG797" s="224"/>
      <c r="AH797" s="224"/>
      <c r="AI797" s="224"/>
      <c r="AJ797" s="224"/>
      <c r="AK797" s="224"/>
      <c r="AL797" s="224"/>
      <c r="AM797" s="224"/>
      <c r="AN797" s="224"/>
      <c r="AO797" s="224"/>
      <c r="AP797" s="224"/>
      <c r="AQ797" s="224"/>
      <c r="AR797" s="224"/>
      <c r="AS797" s="224"/>
      <c r="AT797" s="224"/>
      <c r="AU797" s="224"/>
    </row>
    <row r="798" ht="15.7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  <c r="AF798" s="224"/>
      <c r="AG798" s="224"/>
      <c r="AH798" s="224"/>
      <c r="AI798" s="224"/>
      <c r="AJ798" s="224"/>
      <c r="AK798" s="224"/>
      <c r="AL798" s="224"/>
      <c r="AM798" s="224"/>
      <c r="AN798" s="224"/>
      <c r="AO798" s="224"/>
      <c r="AP798" s="224"/>
      <c r="AQ798" s="224"/>
      <c r="AR798" s="224"/>
      <c r="AS798" s="224"/>
      <c r="AT798" s="224"/>
      <c r="AU798" s="224"/>
    </row>
    <row r="799" ht="15.7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  <c r="AF799" s="224"/>
      <c r="AG799" s="224"/>
      <c r="AH799" s="224"/>
      <c r="AI799" s="224"/>
      <c r="AJ799" s="224"/>
      <c r="AK799" s="224"/>
      <c r="AL799" s="224"/>
      <c r="AM799" s="224"/>
      <c r="AN799" s="224"/>
      <c r="AO799" s="224"/>
      <c r="AP799" s="224"/>
      <c r="AQ799" s="224"/>
      <c r="AR799" s="224"/>
      <c r="AS799" s="224"/>
      <c r="AT799" s="224"/>
      <c r="AU799" s="224"/>
    </row>
    <row r="800" ht="15.7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  <c r="AK800" s="224"/>
      <c r="AL800" s="224"/>
      <c r="AM800" s="224"/>
      <c r="AN800" s="224"/>
      <c r="AO800" s="224"/>
      <c r="AP800" s="224"/>
      <c r="AQ800" s="224"/>
      <c r="AR800" s="224"/>
      <c r="AS800" s="224"/>
      <c r="AT800" s="224"/>
      <c r="AU800" s="224"/>
    </row>
    <row r="801" ht="15.7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  <c r="AF801" s="224"/>
      <c r="AG801" s="224"/>
      <c r="AH801" s="224"/>
      <c r="AI801" s="224"/>
      <c r="AJ801" s="224"/>
      <c r="AK801" s="224"/>
      <c r="AL801" s="224"/>
      <c r="AM801" s="224"/>
      <c r="AN801" s="224"/>
      <c r="AO801" s="224"/>
      <c r="AP801" s="224"/>
      <c r="AQ801" s="224"/>
      <c r="AR801" s="224"/>
      <c r="AS801" s="224"/>
      <c r="AT801" s="224"/>
      <c r="AU801" s="224"/>
    </row>
    <row r="802" ht="15.7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  <c r="AF802" s="224"/>
      <c r="AG802" s="224"/>
      <c r="AH802" s="224"/>
      <c r="AI802" s="224"/>
      <c r="AJ802" s="224"/>
      <c r="AK802" s="224"/>
      <c r="AL802" s="224"/>
      <c r="AM802" s="224"/>
      <c r="AN802" s="224"/>
      <c r="AO802" s="224"/>
      <c r="AP802" s="224"/>
      <c r="AQ802" s="224"/>
      <c r="AR802" s="224"/>
      <c r="AS802" s="224"/>
      <c r="AT802" s="224"/>
      <c r="AU802" s="224"/>
    </row>
    <row r="803" ht="15.7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  <c r="AF803" s="224"/>
      <c r="AG803" s="224"/>
      <c r="AH803" s="224"/>
      <c r="AI803" s="224"/>
      <c r="AJ803" s="224"/>
      <c r="AK803" s="224"/>
      <c r="AL803" s="224"/>
      <c r="AM803" s="224"/>
      <c r="AN803" s="224"/>
      <c r="AO803" s="224"/>
      <c r="AP803" s="224"/>
      <c r="AQ803" s="224"/>
      <c r="AR803" s="224"/>
      <c r="AS803" s="224"/>
      <c r="AT803" s="224"/>
      <c r="AU803" s="224"/>
    </row>
    <row r="804" ht="15.7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  <c r="AF804" s="224"/>
      <c r="AG804" s="224"/>
      <c r="AH804" s="224"/>
      <c r="AI804" s="224"/>
      <c r="AJ804" s="224"/>
      <c r="AK804" s="224"/>
      <c r="AL804" s="224"/>
      <c r="AM804" s="224"/>
      <c r="AN804" s="224"/>
      <c r="AO804" s="224"/>
      <c r="AP804" s="224"/>
      <c r="AQ804" s="224"/>
      <c r="AR804" s="224"/>
      <c r="AS804" s="224"/>
      <c r="AT804" s="224"/>
      <c r="AU804" s="224"/>
    </row>
    <row r="805" ht="15.7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  <c r="AF805" s="224"/>
      <c r="AG805" s="224"/>
      <c r="AH805" s="224"/>
      <c r="AI805" s="224"/>
      <c r="AJ805" s="224"/>
      <c r="AK805" s="224"/>
      <c r="AL805" s="224"/>
      <c r="AM805" s="224"/>
      <c r="AN805" s="224"/>
      <c r="AO805" s="224"/>
      <c r="AP805" s="224"/>
      <c r="AQ805" s="224"/>
      <c r="AR805" s="224"/>
      <c r="AS805" s="224"/>
      <c r="AT805" s="224"/>
      <c r="AU805" s="224"/>
    </row>
    <row r="806" ht="15.7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  <c r="AF806" s="224"/>
      <c r="AG806" s="224"/>
      <c r="AH806" s="224"/>
      <c r="AI806" s="224"/>
      <c r="AJ806" s="224"/>
      <c r="AK806" s="224"/>
      <c r="AL806" s="224"/>
      <c r="AM806" s="224"/>
      <c r="AN806" s="224"/>
      <c r="AO806" s="224"/>
      <c r="AP806" s="224"/>
      <c r="AQ806" s="224"/>
      <c r="AR806" s="224"/>
      <c r="AS806" s="224"/>
      <c r="AT806" s="224"/>
      <c r="AU806" s="224"/>
    </row>
    <row r="807" ht="15.7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  <c r="AF807" s="224"/>
      <c r="AG807" s="224"/>
      <c r="AH807" s="224"/>
      <c r="AI807" s="224"/>
      <c r="AJ807" s="224"/>
      <c r="AK807" s="224"/>
      <c r="AL807" s="224"/>
      <c r="AM807" s="224"/>
      <c r="AN807" s="224"/>
      <c r="AO807" s="224"/>
      <c r="AP807" s="224"/>
      <c r="AQ807" s="224"/>
      <c r="AR807" s="224"/>
      <c r="AS807" s="224"/>
      <c r="AT807" s="224"/>
      <c r="AU807" s="224"/>
    </row>
    <row r="808" ht="15.7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  <c r="AF808" s="224"/>
      <c r="AG808" s="224"/>
      <c r="AH808" s="224"/>
      <c r="AI808" s="224"/>
      <c r="AJ808" s="224"/>
      <c r="AK808" s="224"/>
      <c r="AL808" s="224"/>
      <c r="AM808" s="224"/>
      <c r="AN808" s="224"/>
      <c r="AO808" s="224"/>
      <c r="AP808" s="224"/>
      <c r="AQ808" s="224"/>
      <c r="AR808" s="224"/>
      <c r="AS808" s="224"/>
      <c r="AT808" s="224"/>
      <c r="AU808" s="224"/>
    </row>
    <row r="809" ht="15.7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  <c r="AF809" s="224"/>
      <c r="AG809" s="224"/>
      <c r="AH809" s="224"/>
      <c r="AI809" s="224"/>
      <c r="AJ809" s="224"/>
      <c r="AK809" s="224"/>
      <c r="AL809" s="224"/>
      <c r="AM809" s="224"/>
      <c r="AN809" s="224"/>
      <c r="AO809" s="224"/>
      <c r="AP809" s="224"/>
      <c r="AQ809" s="224"/>
      <c r="AR809" s="224"/>
      <c r="AS809" s="224"/>
      <c r="AT809" s="224"/>
      <c r="AU809" s="224"/>
    </row>
    <row r="810" ht="15.7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  <c r="AF810" s="224"/>
      <c r="AG810" s="224"/>
      <c r="AH810" s="224"/>
      <c r="AI810" s="224"/>
      <c r="AJ810" s="224"/>
      <c r="AK810" s="224"/>
      <c r="AL810" s="224"/>
      <c r="AM810" s="224"/>
      <c r="AN810" s="224"/>
      <c r="AO810" s="224"/>
      <c r="AP810" s="224"/>
      <c r="AQ810" s="224"/>
      <c r="AR810" s="224"/>
      <c r="AS810" s="224"/>
      <c r="AT810" s="224"/>
      <c r="AU810" s="224"/>
    </row>
    <row r="811" ht="15.7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  <c r="AF811" s="224"/>
      <c r="AG811" s="224"/>
      <c r="AH811" s="224"/>
      <c r="AI811" s="224"/>
      <c r="AJ811" s="224"/>
      <c r="AK811" s="224"/>
      <c r="AL811" s="224"/>
      <c r="AM811" s="224"/>
      <c r="AN811" s="224"/>
      <c r="AO811" s="224"/>
      <c r="AP811" s="224"/>
      <c r="AQ811" s="224"/>
      <c r="AR811" s="224"/>
      <c r="AS811" s="224"/>
      <c r="AT811" s="224"/>
      <c r="AU811" s="224"/>
    </row>
    <row r="812" ht="15.7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  <c r="AF812" s="224"/>
      <c r="AG812" s="224"/>
      <c r="AH812" s="224"/>
      <c r="AI812" s="224"/>
      <c r="AJ812" s="224"/>
      <c r="AK812" s="224"/>
      <c r="AL812" s="224"/>
      <c r="AM812" s="224"/>
      <c r="AN812" s="224"/>
      <c r="AO812" s="224"/>
      <c r="AP812" s="224"/>
      <c r="AQ812" s="224"/>
      <c r="AR812" s="224"/>
      <c r="AS812" s="224"/>
      <c r="AT812" s="224"/>
      <c r="AU812" s="224"/>
    </row>
    <row r="813" ht="15.7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  <c r="AF813" s="224"/>
      <c r="AG813" s="224"/>
      <c r="AH813" s="224"/>
      <c r="AI813" s="224"/>
      <c r="AJ813" s="224"/>
      <c r="AK813" s="224"/>
      <c r="AL813" s="224"/>
      <c r="AM813" s="224"/>
      <c r="AN813" s="224"/>
      <c r="AO813" s="224"/>
      <c r="AP813" s="224"/>
      <c r="AQ813" s="224"/>
      <c r="AR813" s="224"/>
      <c r="AS813" s="224"/>
      <c r="AT813" s="224"/>
      <c r="AU813" s="224"/>
    </row>
    <row r="814" ht="15.7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  <c r="AF814" s="224"/>
      <c r="AG814" s="224"/>
      <c r="AH814" s="224"/>
      <c r="AI814" s="224"/>
      <c r="AJ814" s="224"/>
      <c r="AK814" s="224"/>
      <c r="AL814" s="224"/>
      <c r="AM814" s="224"/>
      <c r="AN814" s="224"/>
      <c r="AO814" s="224"/>
      <c r="AP814" s="224"/>
      <c r="AQ814" s="224"/>
      <c r="AR814" s="224"/>
      <c r="AS814" s="224"/>
      <c r="AT814" s="224"/>
      <c r="AU814" s="224"/>
    </row>
    <row r="815" ht="15.7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  <c r="AF815" s="224"/>
      <c r="AG815" s="224"/>
      <c r="AH815" s="224"/>
      <c r="AI815" s="224"/>
      <c r="AJ815" s="224"/>
      <c r="AK815" s="224"/>
      <c r="AL815" s="224"/>
      <c r="AM815" s="224"/>
      <c r="AN815" s="224"/>
      <c r="AO815" s="224"/>
      <c r="AP815" s="224"/>
      <c r="AQ815" s="224"/>
      <c r="AR815" s="224"/>
      <c r="AS815" s="224"/>
      <c r="AT815" s="224"/>
      <c r="AU815" s="224"/>
    </row>
    <row r="816" ht="15.7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  <c r="AF816" s="224"/>
      <c r="AG816" s="224"/>
      <c r="AH816" s="224"/>
      <c r="AI816" s="224"/>
      <c r="AJ816" s="224"/>
      <c r="AK816" s="224"/>
      <c r="AL816" s="224"/>
      <c r="AM816" s="224"/>
      <c r="AN816" s="224"/>
      <c r="AO816" s="224"/>
      <c r="AP816" s="224"/>
      <c r="AQ816" s="224"/>
      <c r="AR816" s="224"/>
      <c r="AS816" s="224"/>
      <c r="AT816" s="224"/>
      <c r="AU816" s="224"/>
    </row>
    <row r="817" ht="15.7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  <c r="AF817" s="224"/>
      <c r="AG817" s="224"/>
      <c r="AH817" s="224"/>
      <c r="AI817" s="224"/>
      <c r="AJ817" s="224"/>
      <c r="AK817" s="224"/>
      <c r="AL817" s="224"/>
      <c r="AM817" s="224"/>
      <c r="AN817" s="224"/>
      <c r="AO817" s="224"/>
      <c r="AP817" s="224"/>
      <c r="AQ817" s="224"/>
      <c r="AR817" s="224"/>
      <c r="AS817" s="224"/>
      <c r="AT817" s="224"/>
      <c r="AU817" s="224"/>
    </row>
    <row r="818" ht="15.7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  <c r="AF818" s="224"/>
      <c r="AG818" s="224"/>
      <c r="AH818" s="224"/>
      <c r="AI818" s="224"/>
      <c r="AJ818" s="224"/>
      <c r="AK818" s="224"/>
      <c r="AL818" s="224"/>
      <c r="AM818" s="224"/>
      <c r="AN818" s="224"/>
      <c r="AO818" s="224"/>
      <c r="AP818" s="224"/>
      <c r="AQ818" s="224"/>
      <c r="AR818" s="224"/>
      <c r="AS818" s="224"/>
      <c r="AT818" s="224"/>
      <c r="AU818" s="224"/>
    </row>
    <row r="819" ht="15.7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  <c r="AF819" s="224"/>
      <c r="AG819" s="224"/>
      <c r="AH819" s="224"/>
      <c r="AI819" s="224"/>
      <c r="AJ819" s="224"/>
      <c r="AK819" s="224"/>
      <c r="AL819" s="224"/>
      <c r="AM819" s="224"/>
      <c r="AN819" s="224"/>
      <c r="AO819" s="224"/>
      <c r="AP819" s="224"/>
      <c r="AQ819" s="224"/>
      <c r="AR819" s="224"/>
      <c r="AS819" s="224"/>
      <c r="AT819" s="224"/>
      <c r="AU819" s="224"/>
    </row>
    <row r="820" ht="15.7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  <c r="AF820" s="224"/>
      <c r="AG820" s="224"/>
      <c r="AH820" s="224"/>
      <c r="AI820" s="224"/>
      <c r="AJ820" s="224"/>
      <c r="AK820" s="224"/>
      <c r="AL820" s="224"/>
      <c r="AM820" s="224"/>
      <c r="AN820" s="224"/>
      <c r="AO820" s="224"/>
      <c r="AP820" s="224"/>
      <c r="AQ820" s="224"/>
      <c r="AR820" s="224"/>
      <c r="AS820" s="224"/>
      <c r="AT820" s="224"/>
      <c r="AU820" s="224"/>
    </row>
    <row r="821" ht="15.7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  <c r="AF821" s="224"/>
      <c r="AG821" s="224"/>
      <c r="AH821" s="224"/>
      <c r="AI821" s="224"/>
      <c r="AJ821" s="224"/>
      <c r="AK821" s="224"/>
      <c r="AL821" s="224"/>
      <c r="AM821" s="224"/>
      <c r="AN821" s="224"/>
      <c r="AO821" s="224"/>
      <c r="AP821" s="224"/>
      <c r="AQ821" s="224"/>
      <c r="AR821" s="224"/>
      <c r="AS821" s="224"/>
      <c r="AT821" s="224"/>
      <c r="AU821" s="224"/>
    </row>
    <row r="822" ht="15.7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  <c r="AF822" s="224"/>
      <c r="AG822" s="224"/>
      <c r="AH822" s="224"/>
      <c r="AI822" s="224"/>
      <c r="AJ822" s="224"/>
      <c r="AK822" s="224"/>
      <c r="AL822" s="224"/>
      <c r="AM822" s="224"/>
      <c r="AN822" s="224"/>
      <c r="AO822" s="224"/>
      <c r="AP822" s="224"/>
      <c r="AQ822" s="224"/>
      <c r="AR822" s="224"/>
      <c r="AS822" s="224"/>
      <c r="AT822" s="224"/>
      <c r="AU822" s="224"/>
    </row>
    <row r="823" ht="15.7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  <c r="AF823" s="224"/>
      <c r="AG823" s="224"/>
      <c r="AH823" s="224"/>
      <c r="AI823" s="224"/>
      <c r="AJ823" s="224"/>
      <c r="AK823" s="224"/>
      <c r="AL823" s="224"/>
      <c r="AM823" s="224"/>
      <c r="AN823" s="224"/>
      <c r="AO823" s="224"/>
      <c r="AP823" s="224"/>
      <c r="AQ823" s="224"/>
      <c r="AR823" s="224"/>
      <c r="AS823" s="224"/>
      <c r="AT823" s="224"/>
      <c r="AU823" s="224"/>
    </row>
    <row r="824" ht="15.7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  <c r="AF824" s="224"/>
      <c r="AG824" s="224"/>
      <c r="AH824" s="224"/>
      <c r="AI824" s="224"/>
      <c r="AJ824" s="224"/>
      <c r="AK824" s="224"/>
      <c r="AL824" s="224"/>
      <c r="AM824" s="224"/>
      <c r="AN824" s="224"/>
      <c r="AO824" s="224"/>
      <c r="AP824" s="224"/>
      <c r="AQ824" s="224"/>
      <c r="AR824" s="224"/>
      <c r="AS824" s="224"/>
      <c r="AT824" s="224"/>
      <c r="AU824" s="224"/>
    </row>
    <row r="825" ht="15.7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  <c r="AF825" s="224"/>
      <c r="AG825" s="224"/>
      <c r="AH825" s="224"/>
      <c r="AI825" s="224"/>
      <c r="AJ825" s="224"/>
      <c r="AK825" s="224"/>
      <c r="AL825" s="224"/>
      <c r="AM825" s="224"/>
      <c r="AN825" s="224"/>
      <c r="AO825" s="224"/>
      <c r="AP825" s="224"/>
      <c r="AQ825" s="224"/>
      <c r="AR825" s="224"/>
      <c r="AS825" s="224"/>
      <c r="AT825" s="224"/>
      <c r="AU825" s="224"/>
    </row>
    <row r="826" ht="15.7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  <c r="AF826" s="224"/>
      <c r="AG826" s="224"/>
      <c r="AH826" s="224"/>
      <c r="AI826" s="224"/>
      <c r="AJ826" s="224"/>
      <c r="AK826" s="224"/>
      <c r="AL826" s="224"/>
      <c r="AM826" s="224"/>
      <c r="AN826" s="224"/>
      <c r="AO826" s="224"/>
      <c r="AP826" s="224"/>
      <c r="AQ826" s="224"/>
      <c r="AR826" s="224"/>
      <c r="AS826" s="224"/>
      <c r="AT826" s="224"/>
      <c r="AU826" s="224"/>
    </row>
    <row r="827" ht="15.7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  <c r="AF827" s="224"/>
      <c r="AG827" s="224"/>
      <c r="AH827" s="224"/>
      <c r="AI827" s="224"/>
      <c r="AJ827" s="224"/>
      <c r="AK827" s="224"/>
      <c r="AL827" s="224"/>
      <c r="AM827" s="224"/>
      <c r="AN827" s="224"/>
      <c r="AO827" s="224"/>
      <c r="AP827" s="224"/>
      <c r="AQ827" s="224"/>
      <c r="AR827" s="224"/>
      <c r="AS827" s="224"/>
      <c r="AT827" s="224"/>
      <c r="AU827" s="224"/>
    </row>
    <row r="828" ht="15.7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  <c r="AF828" s="224"/>
      <c r="AG828" s="224"/>
      <c r="AH828" s="224"/>
      <c r="AI828" s="224"/>
      <c r="AJ828" s="224"/>
      <c r="AK828" s="224"/>
      <c r="AL828" s="224"/>
      <c r="AM828" s="224"/>
      <c r="AN828" s="224"/>
      <c r="AO828" s="224"/>
      <c r="AP828" s="224"/>
      <c r="AQ828" s="224"/>
      <c r="AR828" s="224"/>
      <c r="AS828" s="224"/>
      <c r="AT828" s="224"/>
      <c r="AU828" s="224"/>
    </row>
    <row r="829" ht="15.7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  <c r="AF829" s="224"/>
      <c r="AG829" s="224"/>
      <c r="AH829" s="224"/>
      <c r="AI829" s="224"/>
      <c r="AJ829" s="224"/>
      <c r="AK829" s="224"/>
      <c r="AL829" s="224"/>
      <c r="AM829" s="224"/>
      <c r="AN829" s="224"/>
      <c r="AO829" s="224"/>
      <c r="AP829" s="224"/>
      <c r="AQ829" s="224"/>
      <c r="AR829" s="224"/>
      <c r="AS829" s="224"/>
      <c r="AT829" s="224"/>
      <c r="AU829" s="224"/>
    </row>
    <row r="830" ht="15.7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  <c r="AF830" s="224"/>
      <c r="AG830" s="224"/>
      <c r="AH830" s="224"/>
      <c r="AI830" s="224"/>
      <c r="AJ830" s="224"/>
      <c r="AK830" s="224"/>
      <c r="AL830" s="224"/>
      <c r="AM830" s="224"/>
      <c r="AN830" s="224"/>
      <c r="AO830" s="224"/>
      <c r="AP830" s="224"/>
      <c r="AQ830" s="224"/>
      <c r="AR830" s="224"/>
      <c r="AS830" s="224"/>
      <c r="AT830" s="224"/>
      <c r="AU830" s="224"/>
    </row>
    <row r="831" ht="15.7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  <c r="AF831" s="224"/>
      <c r="AG831" s="224"/>
      <c r="AH831" s="224"/>
      <c r="AI831" s="224"/>
      <c r="AJ831" s="224"/>
      <c r="AK831" s="224"/>
      <c r="AL831" s="224"/>
      <c r="AM831" s="224"/>
      <c r="AN831" s="224"/>
      <c r="AO831" s="224"/>
      <c r="AP831" s="224"/>
      <c r="AQ831" s="224"/>
      <c r="AR831" s="224"/>
      <c r="AS831" s="224"/>
      <c r="AT831" s="224"/>
      <c r="AU831" s="224"/>
    </row>
    <row r="832" ht="15.7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  <c r="AF832" s="224"/>
      <c r="AG832" s="224"/>
      <c r="AH832" s="224"/>
      <c r="AI832" s="224"/>
      <c r="AJ832" s="224"/>
      <c r="AK832" s="224"/>
      <c r="AL832" s="224"/>
      <c r="AM832" s="224"/>
      <c r="AN832" s="224"/>
      <c r="AO832" s="224"/>
      <c r="AP832" s="224"/>
      <c r="AQ832" s="224"/>
      <c r="AR832" s="224"/>
      <c r="AS832" s="224"/>
      <c r="AT832" s="224"/>
      <c r="AU832" s="224"/>
    </row>
    <row r="833" ht="15.7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  <c r="AF833" s="224"/>
      <c r="AG833" s="224"/>
      <c r="AH833" s="224"/>
      <c r="AI833" s="224"/>
      <c r="AJ833" s="224"/>
      <c r="AK833" s="224"/>
      <c r="AL833" s="224"/>
      <c r="AM833" s="224"/>
      <c r="AN833" s="224"/>
      <c r="AO833" s="224"/>
      <c r="AP833" s="224"/>
      <c r="AQ833" s="224"/>
      <c r="AR833" s="224"/>
      <c r="AS833" s="224"/>
      <c r="AT833" s="224"/>
      <c r="AU833" s="224"/>
    </row>
    <row r="834" ht="15.7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  <c r="AF834" s="224"/>
      <c r="AG834" s="224"/>
      <c r="AH834" s="224"/>
      <c r="AI834" s="224"/>
      <c r="AJ834" s="224"/>
      <c r="AK834" s="224"/>
      <c r="AL834" s="224"/>
      <c r="AM834" s="224"/>
      <c r="AN834" s="224"/>
      <c r="AO834" s="224"/>
      <c r="AP834" s="224"/>
      <c r="AQ834" s="224"/>
      <c r="AR834" s="224"/>
      <c r="AS834" s="224"/>
      <c r="AT834" s="224"/>
      <c r="AU834" s="224"/>
    </row>
    <row r="835" ht="15.7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  <c r="AF835" s="224"/>
      <c r="AG835" s="224"/>
      <c r="AH835" s="224"/>
      <c r="AI835" s="224"/>
      <c r="AJ835" s="224"/>
      <c r="AK835" s="224"/>
      <c r="AL835" s="224"/>
      <c r="AM835" s="224"/>
      <c r="AN835" s="224"/>
      <c r="AO835" s="224"/>
      <c r="AP835" s="224"/>
      <c r="AQ835" s="224"/>
      <c r="AR835" s="224"/>
      <c r="AS835" s="224"/>
      <c r="AT835" s="224"/>
      <c r="AU835" s="224"/>
    </row>
    <row r="836" ht="15.7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  <c r="AF836" s="224"/>
      <c r="AG836" s="224"/>
      <c r="AH836" s="224"/>
      <c r="AI836" s="224"/>
      <c r="AJ836" s="224"/>
      <c r="AK836" s="224"/>
      <c r="AL836" s="224"/>
      <c r="AM836" s="224"/>
      <c r="AN836" s="224"/>
      <c r="AO836" s="224"/>
      <c r="AP836" s="224"/>
      <c r="AQ836" s="224"/>
      <c r="AR836" s="224"/>
      <c r="AS836" s="224"/>
      <c r="AT836" s="224"/>
      <c r="AU836" s="224"/>
    </row>
    <row r="837" ht="15.7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  <c r="AF837" s="224"/>
      <c r="AG837" s="224"/>
      <c r="AH837" s="224"/>
      <c r="AI837" s="224"/>
      <c r="AJ837" s="224"/>
      <c r="AK837" s="224"/>
      <c r="AL837" s="224"/>
      <c r="AM837" s="224"/>
      <c r="AN837" s="224"/>
      <c r="AO837" s="224"/>
      <c r="AP837" s="224"/>
      <c r="AQ837" s="224"/>
      <c r="AR837" s="224"/>
      <c r="AS837" s="224"/>
      <c r="AT837" s="224"/>
      <c r="AU837" s="224"/>
    </row>
    <row r="838" ht="15.7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  <c r="AF838" s="224"/>
      <c r="AG838" s="224"/>
      <c r="AH838" s="224"/>
      <c r="AI838" s="224"/>
      <c r="AJ838" s="224"/>
      <c r="AK838" s="224"/>
      <c r="AL838" s="224"/>
      <c r="AM838" s="224"/>
      <c r="AN838" s="224"/>
      <c r="AO838" s="224"/>
      <c r="AP838" s="224"/>
      <c r="AQ838" s="224"/>
      <c r="AR838" s="224"/>
      <c r="AS838" s="224"/>
      <c r="AT838" s="224"/>
      <c r="AU838" s="224"/>
    </row>
    <row r="839" ht="15.7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  <c r="AF839" s="224"/>
      <c r="AG839" s="224"/>
      <c r="AH839" s="224"/>
      <c r="AI839" s="224"/>
      <c r="AJ839" s="224"/>
      <c r="AK839" s="224"/>
      <c r="AL839" s="224"/>
      <c r="AM839" s="224"/>
      <c r="AN839" s="224"/>
      <c r="AO839" s="224"/>
      <c r="AP839" s="224"/>
      <c r="AQ839" s="224"/>
      <c r="AR839" s="224"/>
      <c r="AS839" s="224"/>
      <c r="AT839" s="224"/>
      <c r="AU839" s="224"/>
    </row>
    <row r="840" ht="15.7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  <c r="AF840" s="224"/>
      <c r="AG840" s="224"/>
      <c r="AH840" s="224"/>
      <c r="AI840" s="224"/>
      <c r="AJ840" s="224"/>
      <c r="AK840" s="224"/>
      <c r="AL840" s="224"/>
      <c r="AM840" s="224"/>
      <c r="AN840" s="224"/>
      <c r="AO840" s="224"/>
      <c r="AP840" s="224"/>
      <c r="AQ840" s="224"/>
      <c r="AR840" s="224"/>
      <c r="AS840" s="224"/>
      <c r="AT840" s="224"/>
      <c r="AU840" s="224"/>
    </row>
    <row r="841" ht="15.7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  <c r="AF841" s="224"/>
      <c r="AG841" s="224"/>
      <c r="AH841" s="224"/>
      <c r="AI841" s="224"/>
      <c r="AJ841" s="224"/>
      <c r="AK841" s="224"/>
      <c r="AL841" s="224"/>
      <c r="AM841" s="224"/>
      <c r="AN841" s="224"/>
      <c r="AO841" s="224"/>
      <c r="AP841" s="224"/>
      <c r="AQ841" s="224"/>
      <c r="AR841" s="224"/>
      <c r="AS841" s="224"/>
      <c r="AT841" s="224"/>
      <c r="AU841" s="224"/>
    </row>
    <row r="842" ht="15.7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  <c r="AF842" s="224"/>
      <c r="AG842" s="224"/>
      <c r="AH842" s="224"/>
      <c r="AI842" s="224"/>
      <c r="AJ842" s="224"/>
      <c r="AK842" s="224"/>
      <c r="AL842" s="224"/>
      <c r="AM842" s="224"/>
      <c r="AN842" s="224"/>
      <c r="AO842" s="224"/>
      <c r="AP842" s="224"/>
      <c r="AQ842" s="224"/>
      <c r="AR842" s="224"/>
      <c r="AS842" s="224"/>
      <c r="AT842" s="224"/>
      <c r="AU842" s="224"/>
    </row>
    <row r="843" ht="15.7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  <c r="AF843" s="224"/>
      <c r="AG843" s="224"/>
      <c r="AH843" s="224"/>
      <c r="AI843" s="224"/>
      <c r="AJ843" s="224"/>
      <c r="AK843" s="224"/>
      <c r="AL843" s="224"/>
      <c r="AM843" s="224"/>
      <c r="AN843" s="224"/>
      <c r="AO843" s="224"/>
      <c r="AP843" s="224"/>
      <c r="AQ843" s="224"/>
      <c r="AR843" s="224"/>
      <c r="AS843" s="224"/>
      <c r="AT843" s="224"/>
      <c r="AU843" s="224"/>
    </row>
    <row r="844" ht="15.7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  <c r="AF844" s="224"/>
      <c r="AG844" s="224"/>
      <c r="AH844" s="224"/>
      <c r="AI844" s="224"/>
      <c r="AJ844" s="224"/>
      <c r="AK844" s="224"/>
      <c r="AL844" s="224"/>
      <c r="AM844" s="224"/>
      <c r="AN844" s="224"/>
      <c r="AO844" s="224"/>
      <c r="AP844" s="224"/>
      <c r="AQ844" s="224"/>
      <c r="AR844" s="224"/>
      <c r="AS844" s="224"/>
      <c r="AT844" s="224"/>
      <c r="AU844" s="224"/>
    </row>
    <row r="845" ht="15.7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  <c r="AF845" s="224"/>
      <c r="AG845" s="224"/>
      <c r="AH845" s="224"/>
      <c r="AI845" s="224"/>
      <c r="AJ845" s="224"/>
      <c r="AK845" s="224"/>
      <c r="AL845" s="224"/>
      <c r="AM845" s="224"/>
      <c r="AN845" s="224"/>
      <c r="AO845" s="224"/>
      <c r="AP845" s="224"/>
      <c r="AQ845" s="224"/>
      <c r="AR845" s="224"/>
      <c r="AS845" s="224"/>
      <c r="AT845" s="224"/>
      <c r="AU845" s="224"/>
    </row>
    <row r="846" ht="15.7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  <c r="AF846" s="224"/>
      <c r="AG846" s="224"/>
      <c r="AH846" s="224"/>
      <c r="AI846" s="224"/>
      <c r="AJ846" s="224"/>
      <c r="AK846" s="224"/>
      <c r="AL846" s="224"/>
      <c r="AM846" s="224"/>
      <c r="AN846" s="224"/>
      <c r="AO846" s="224"/>
      <c r="AP846" s="224"/>
      <c r="AQ846" s="224"/>
      <c r="AR846" s="224"/>
      <c r="AS846" s="224"/>
      <c r="AT846" s="224"/>
      <c r="AU846" s="224"/>
    </row>
    <row r="847" ht="15.7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  <c r="AF847" s="224"/>
      <c r="AG847" s="224"/>
      <c r="AH847" s="224"/>
      <c r="AI847" s="224"/>
      <c r="AJ847" s="224"/>
      <c r="AK847" s="224"/>
      <c r="AL847" s="224"/>
      <c r="AM847" s="224"/>
      <c r="AN847" s="224"/>
      <c r="AO847" s="224"/>
      <c r="AP847" s="224"/>
      <c r="AQ847" s="224"/>
      <c r="AR847" s="224"/>
      <c r="AS847" s="224"/>
      <c r="AT847" s="224"/>
      <c r="AU847" s="224"/>
    </row>
    <row r="848" ht="15.7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  <c r="AF848" s="224"/>
      <c r="AG848" s="224"/>
      <c r="AH848" s="224"/>
      <c r="AI848" s="224"/>
      <c r="AJ848" s="224"/>
      <c r="AK848" s="224"/>
      <c r="AL848" s="224"/>
      <c r="AM848" s="224"/>
      <c r="AN848" s="224"/>
      <c r="AO848" s="224"/>
      <c r="AP848" s="224"/>
      <c r="AQ848" s="224"/>
      <c r="AR848" s="224"/>
      <c r="AS848" s="224"/>
      <c r="AT848" s="224"/>
      <c r="AU848" s="224"/>
    </row>
    <row r="849" ht="15.7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  <c r="AF849" s="224"/>
      <c r="AG849" s="224"/>
      <c r="AH849" s="224"/>
      <c r="AI849" s="224"/>
      <c r="AJ849" s="224"/>
      <c r="AK849" s="224"/>
      <c r="AL849" s="224"/>
      <c r="AM849" s="224"/>
      <c r="AN849" s="224"/>
      <c r="AO849" s="224"/>
      <c r="AP849" s="224"/>
      <c r="AQ849" s="224"/>
      <c r="AR849" s="224"/>
      <c r="AS849" s="224"/>
      <c r="AT849" s="224"/>
      <c r="AU849" s="224"/>
    </row>
    <row r="850" ht="15.7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  <c r="AF850" s="224"/>
      <c r="AG850" s="224"/>
      <c r="AH850" s="224"/>
      <c r="AI850" s="224"/>
      <c r="AJ850" s="224"/>
      <c r="AK850" s="224"/>
      <c r="AL850" s="224"/>
      <c r="AM850" s="224"/>
      <c r="AN850" s="224"/>
      <c r="AO850" s="224"/>
      <c r="AP850" s="224"/>
      <c r="AQ850" s="224"/>
      <c r="AR850" s="224"/>
      <c r="AS850" s="224"/>
      <c r="AT850" s="224"/>
      <c r="AU850" s="224"/>
    </row>
    <row r="851" ht="15.7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  <c r="AF851" s="224"/>
      <c r="AG851" s="224"/>
      <c r="AH851" s="224"/>
      <c r="AI851" s="224"/>
      <c r="AJ851" s="224"/>
      <c r="AK851" s="224"/>
      <c r="AL851" s="224"/>
      <c r="AM851" s="224"/>
      <c r="AN851" s="224"/>
      <c r="AO851" s="224"/>
      <c r="AP851" s="224"/>
      <c r="AQ851" s="224"/>
      <c r="AR851" s="224"/>
      <c r="AS851" s="224"/>
      <c r="AT851" s="224"/>
      <c r="AU851" s="224"/>
    </row>
    <row r="852" ht="15.7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  <c r="AF852" s="224"/>
      <c r="AG852" s="224"/>
      <c r="AH852" s="224"/>
      <c r="AI852" s="224"/>
      <c r="AJ852" s="224"/>
      <c r="AK852" s="224"/>
      <c r="AL852" s="224"/>
      <c r="AM852" s="224"/>
      <c r="AN852" s="224"/>
      <c r="AO852" s="224"/>
      <c r="AP852" s="224"/>
      <c r="AQ852" s="224"/>
      <c r="AR852" s="224"/>
      <c r="AS852" s="224"/>
      <c r="AT852" s="224"/>
      <c r="AU852" s="224"/>
    </row>
    <row r="853" ht="15.7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  <c r="AK853" s="224"/>
      <c r="AL853" s="224"/>
      <c r="AM853" s="224"/>
      <c r="AN853" s="224"/>
      <c r="AO853" s="224"/>
      <c r="AP853" s="224"/>
      <c r="AQ853" s="224"/>
      <c r="AR853" s="224"/>
      <c r="AS853" s="224"/>
      <c r="AT853" s="224"/>
      <c r="AU853" s="224"/>
    </row>
    <row r="854" ht="15.7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  <c r="AF854" s="224"/>
      <c r="AG854" s="224"/>
      <c r="AH854" s="224"/>
      <c r="AI854" s="224"/>
      <c r="AJ854" s="224"/>
      <c r="AK854" s="224"/>
      <c r="AL854" s="224"/>
      <c r="AM854" s="224"/>
      <c r="AN854" s="224"/>
      <c r="AO854" s="224"/>
      <c r="AP854" s="224"/>
      <c r="AQ854" s="224"/>
      <c r="AR854" s="224"/>
      <c r="AS854" s="224"/>
      <c r="AT854" s="224"/>
      <c r="AU854" s="224"/>
    </row>
    <row r="855" ht="15.7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  <c r="AF855" s="224"/>
      <c r="AG855" s="224"/>
      <c r="AH855" s="224"/>
      <c r="AI855" s="224"/>
      <c r="AJ855" s="224"/>
      <c r="AK855" s="224"/>
      <c r="AL855" s="224"/>
      <c r="AM855" s="224"/>
      <c r="AN855" s="224"/>
      <c r="AO855" s="224"/>
      <c r="AP855" s="224"/>
      <c r="AQ855" s="224"/>
      <c r="AR855" s="224"/>
      <c r="AS855" s="224"/>
      <c r="AT855" s="224"/>
      <c r="AU855" s="224"/>
    </row>
    <row r="856" ht="15.7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  <c r="AF856" s="224"/>
      <c r="AG856" s="224"/>
      <c r="AH856" s="224"/>
      <c r="AI856" s="224"/>
      <c r="AJ856" s="224"/>
      <c r="AK856" s="224"/>
      <c r="AL856" s="224"/>
      <c r="AM856" s="224"/>
      <c r="AN856" s="224"/>
      <c r="AO856" s="224"/>
      <c r="AP856" s="224"/>
      <c r="AQ856" s="224"/>
      <c r="AR856" s="224"/>
      <c r="AS856" s="224"/>
      <c r="AT856" s="224"/>
      <c r="AU856" s="224"/>
    </row>
    <row r="857" ht="15.7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  <c r="AF857" s="224"/>
      <c r="AG857" s="224"/>
      <c r="AH857" s="224"/>
      <c r="AI857" s="224"/>
      <c r="AJ857" s="224"/>
      <c r="AK857" s="224"/>
      <c r="AL857" s="224"/>
      <c r="AM857" s="224"/>
      <c r="AN857" s="224"/>
      <c r="AO857" s="224"/>
      <c r="AP857" s="224"/>
      <c r="AQ857" s="224"/>
      <c r="AR857" s="224"/>
      <c r="AS857" s="224"/>
      <c r="AT857" s="224"/>
      <c r="AU857" s="224"/>
    </row>
    <row r="858" ht="15.7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  <c r="AF858" s="224"/>
      <c r="AG858" s="224"/>
      <c r="AH858" s="224"/>
      <c r="AI858" s="224"/>
      <c r="AJ858" s="224"/>
      <c r="AK858" s="224"/>
      <c r="AL858" s="224"/>
      <c r="AM858" s="224"/>
      <c r="AN858" s="224"/>
      <c r="AO858" s="224"/>
      <c r="AP858" s="224"/>
      <c r="AQ858" s="224"/>
      <c r="AR858" s="224"/>
      <c r="AS858" s="224"/>
      <c r="AT858" s="224"/>
      <c r="AU858" s="224"/>
    </row>
    <row r="859" ht="15.7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  <c r="AF859" s="224"/>
      <c r="AG859" s="224"/>
      <c r="AH859" s="224"/>
      <c r="AI859" s="224"/>
      <c r="AJ859" s="224"/>
      <c r="AK859" s="224"/>
      <c r="AL859" s="224"/>
      <c r="AM859" s="224"/>
      <c r="AN859" s="224"/>
      <c r="AO859" s="224"/>
      <c r="AP859" s="224"/>
      <c r="AQ859" s="224"/>
      <c r="AR859" s="224"/>
      <c r="AS859" s="224"/>
      <c r="AT859" s="224"/>
      <c r="AU859" s="224"/>
    </row>
    <row r="860" ht="15.7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  <c r="AF860" s="224"/>
      <c r="AG860" s="224"/>
      <c r="AH860" s="224"/>
      <c r="AI860" s="224"/>
      <c r="AJ860" s="224"/>
      <c r="AK860" s="224"/>
      <c r="AL860" s="224"/>
      <c r="AM860" s="224"/>
      <c r="AN860" s="224"/>
      <c r="AO860" s="224"/>
      <c r="AP860" s="224"/>
      <c r="AQ860" s="224"/>
      <c r="AR860" s="224"/>
      <c r="AS860" s="224"/>
      <c r="AT860" s="224"/>
      <c r="AU860" s="224"/>
    </row>
    <row r="861" ht="15.7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  <c r="AF861" s="224"/>
      <c r="AG861" s="224"/>
      <c r="AH861" s="224"/>
      <c r="AI861" s="224"/>
      <c r="AJ861" s="224"/>
      <c r="AK861" s="224"/>
      <c r="AL861" s="224"/>
      <c r="AM861" s="224"/>
      <c r="AN861" s="224"/>
      <c r="AO861" s="224"/>
      <c r="AP861" s="224"/>
      <c r="AQ861" s="224"/>
      <c r="AR861" s="224"/>
      <c r="AS861" s="224"/>
      <c r="AT861" s="224"/>
      <c r="AU861" s="224"/>
    </row>
    <row r="862" ht="15.7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  <c r="AF862" s="224"/>
      <c r="AG862" s="224"/>
      <c r="AH862" s="224"/>
      <c r="AI862" s="224"/>
      <c r="AJ862" s="224"/>
      <c r="AK862" s="224"/>
      <c r="AL862" s="224"/>
      <c r="AM862" s="224"/>
      <c r="AN862" s="224"/>
      <c r="AO862" s="224"/>
      <c r="AP862" s="224"/>
      <c r="AQ862" s="224"/>
      <c r="AR862" s="224"/>
      <c r="AS862" s="224"/>
      <c r="AT862" s="224"/>
      <c r="AU862" s="224"/>
    </row>
    <row r="863" ht="15.7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  <c r="AF863" s="224"/>
      <c r="AG863" s="224"/>
      <c r="AH863" s="224"/>
      <c r="AI863" s="224"/>
      <c r="AJ863" s="224"/>
      <c r="AK863" s="224"/>
      <c r="AL863" s="224"/>
      <c r="AM863" s="224"/>
      <c r="AN863" s="224"/>
      <c r="AO863" s="224"/>
      <c r="AP863" s="224"/>
      <c r="AQ863" s="224"/>
      <c r="AR863" s="224"/>
      <c r="AS863" s="224"/>
      <c r="AT863" s="224"/>
      <c r="AU863" s="224"/>
    </row>
    <row r="864" ht="15.7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  <c r="AF864" s="224"/>
      <c r="AG864" s="224"/>
      <c r="AH864" s="224"/>
      <c r="AI864" s="224"/>
      <c r="AJ864" s="224"/>
      <c r="AK864" s="224"/>
      <c r="AL864" s="224"/>
      <c r="AM864" s="224"/>
      <c r="AN864" s="224"/>
      <c r="AO864" s="224"/>
      <c r="AP864" s="224"/>
      <c r="AQ864" s="224"/>
      <c r="AR864" s="224"/>
      <c r="AS864" s="224"/>
      <c r="AT864" s="224"/>
      <c r="AU864" s="224"/>
    </row>
    <row r="865" ht="15.7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  <c r="AF865" s="224"/>
      <c r="AG865" s="224"/>
      <c r="AH865" s="224"/>
      <c r="AI865" s="224"/>
      <c r="AJ865" s="224"/>
      <c r="AK865" s="224"/>
      <c r="AL865" s="224"/>
      <c r="AM865" s="224"/>
      <c r="AN865" s="224"/>
      <c r="AO865" s="224"/>
      <c r="AP865" s="224"/>
      <c r="AQ865" s="224"/>
      <c r="AR865" s="224"/>
      <c r="AS865" s="224"/>
      <c r="AT865" s="224"/>
      <c r="AU865" s="224"/>
    </row>
    <row r="866" ht="15.7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  <c r="AF866" s="224"/>
      <c r="AG866" s="224"/>
      <c r="AH866" s="224"/>
      <c r="AI866" s="224"/>
      <c r="AJ866" s="224"/>
      <c r="AK866" s="224"/>
      <c r="AL866" s="224"/>
      <c r="AM866" s="224"/>
      <c r="AN866" s="224"/>
      <c r="AO866" s="224"/>
      <c r="AP866" s="224"/>
      <c r="AQ866" s="224"/>
      <c r="AR866" s="224"/>
      <c r="AS866" s="224"/>
      <c r="AT866" s="224"/>
      <c r="AU866" s="224"/>
    </row>
    <row r="867" ht="15.7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  <c r="AF867" s="224"/>
      <c r="AG867" s="224"/>
      <c r="AH867" s="224"/>
      <c r="AI867" s="224"/>
      <c r="AJ867" s="224"/>
      <c r="AK867" s="224"/>
      <c r="AL867" s="224"/>
      <c r="AM867" s="224"/>
      <c r="AN867" s="224"/>
      <c r="AO867" s="224"/>
      <c r="AP867" s="224"/>
      <c r="AQ867" s="224"/>
      <c r="AR867" s="224"/>
      <c r="AS867" s="224"/>
      <c r="AT867" s="224"/>
      <c r="AU867" s="224"/>
    </row>
    <row r="868" ht="15.7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  <c r="AF868" s="224"/>
      <c r="AG868" s="224"/>
      <c r="AH868" s="224"/>
      <c r="AI868" s="224"/>
      <c r="AJ868" s="224"/>
      <c r="AK868" s="224"/>
      <c r="AL868" s="224"/>
      <c r="AM868" s="224"/>
      <c r="AN868" s="224"/>
      <c r="AO868" s="224"/>
      <c r="AP868" s="224"/>
      <c r="AQ868" s="224"/>
      <c r="AR868" s="224"/>
      <c r="AS868" s="224"/>
      <c r="AT868" s="224"/>
      <c r="AU868" s="224"/>
    </row>
    <row r="869" ht="15.7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  <c r="AF869" s="224"/>
      <c r="AG869" s="224"/>
      <c r="AH869" s="224"/>
      <c r="AI869" s="224"/>
      <c r="AJ869" s="224"/>
      <c r="AK869" s="224"/>
      <c r="AL869" s="224"/>
      <c r="AM869" s="224"/>
      <c r="AN869" s="224"/>
      <c r="AO869" s="224"/>
      <c r="AP869" s="224"/>
      <c r="AQ869" s="224"/>
      <c r="AR869" s="224"/>
      <c r="AS869" s="224"/>
      <c r="AT869" s="224"/>
      <c r="AU869" s="224"/>
    </row>
    <row r="870" ht="15.7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  <c r="AF870" s="224"/>
      <c r="AG870" s="224"/>
      <c r="AH870" s="224"/>
      <c r="AI870" s="224"/>
      <c r="AJ870" s="224"/>
      <c r="AK870" s="224"/>
      <c r="AL870" s="224"/>
      <c r="AM870" s="224"/>
      <c r="AN870" s="224"/>
      <c r="AO870" s="224"/>
      <c r="AP870" s="224"/>
      <c r="AQ870" s="224"/>
      <c r="AR870" s="224"/>
      <c r="AS870" s="224"/>
      <c r="AT870" s="224"/>
      <c r="AU870" s="224"/>
    </row>
    <row r="871" ht="15.7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  <c r="AF871" s="224"/>
      <c r="AG871" s="224"/>
      <c r="AH871" s="224"/>
      <c r="AI871" s="224"/>
      <c r="AJ871" s="224"/>
      <c r="AK871" s="224"/>
      <c r="AL871" s="224"/>
      <c r="AM871" s="224"/>
      <c r="AN871" s="224"/>
      <c r="AO871" s="224"/>
      <c r="AP871" s="224"/>
      <c r="AQ871" s="224"/>
      <c r="AR871" s="224"/>
      <c r="AS871" s="224"/>
      <c r="AT871" s="224"/>
      <c r="AU871" s="224"/>
    </row>
    <row r="872" ht="15.7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  <c r="AF872" s="224"/>
      <c r="AG872" s="224"/>
      <c r="AH872" s="224"/>
      <c r="AI872" s="224"/>
      <c r="AJ872" s="224"/>
      <c r="AK872" s="224"/>
      <c r="AL872" s="224"/>
      <c r="AM872" s="224"/>
      <c r="AN872" s="224"/>
      <c r="AO872" s="224"/>
      <c r="AP872" s="224"/>
      <c r="AQ872" s="224"/>
      <c r="AR872" s="224"/>
      <c r="AS872" s="224"/>
      <c r="AT872" s="224"/>
      <c r="AU872" s="224"/>
    </row>
    <row r="873" ht="15.7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  <c r="AF873" s="224"/>
      <c r="AG873" s="224"/>
      <c r="AH873" s="224"/>
      <c r="AI873" s="224"/>
      <c r="AJ873" s="224"/>
      <c r="AK873" s="224"/>
      <c r="AL873" s="224"/>
      <c r="AM873" s="224"/>
      <c r="AN873" s="224"/>
      <c r="AO873" s="224"/>
      <c r="AP873" s="224"/>
      <c r="AQ873" s="224"/>
      <c r="AR873" s="224"/>
      <c r="AS873" s="224"/>
      <c r="AT873" s="224"/>
      <c r="AU873" s="224"/>
    </row>
    <row r="874" ht="15.7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  <c r="AF874" s="224"/>
      <c r="AG874" s="224"/>
      <c r="AH874" s="224"/>
      <c r="AI874" s="224"/>
      <c r="AJ874" s="224"/>
      <c r="AK874" s="224"/>
      <c r="AL874" s="224"/>
      <c r="AM874" s="224"/>
      <c r="AN874" s="224"/>
      <c r="AO874" s="224"/>
      <c r="AP874" s="224"/>
      <c r="AQ874" s="224"/>
      <c r="AR874" s="224"/>
      <c r="AS874" s="224"/>
      <c r="AT874" s="224"/>
      <c r="AU874" s="224"/>
    </row>
    <row r="875" ht="15.7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  <c r="AF875" s="224"/>
      <c r="AG875" s="224"/>
      <c r="AH875" s="224"/>
      <c r="AI875" s="224"/>
      <c r="AJ875" s="224"/>
      <c r="AK875" s="224"/>
      <c r="AL875" s="224"/>
      <c r="AM875" s="224"/>
      <c r="AN875" s="224"/>
      <c r="AO875" s="224"/>
      <c r="AP875" s="224"/>
      <c r="AQ875" s="224"/>
      <c r="AR875" s="224"/>
      <c r="AS875" s="224"/>
      <c r="AT875" s="224"/>
      <c r="AU875" s="224"/>
    </row>
    <row r="876" ht="15.7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  <c r="AF876" s="224"/>
      <c r="AG876" s="224"/>
      <c r="AH876" s="224"/>
      <c r="AI876" s="224"/>
      <c r="AJ876" s="224"/>
      <c r="AK876" s="224"/>
      <c r="AL876" s="224"/>
      <c r="AM876" s="224"/>
      <c r="AN876" s="224"/>
      <c r="AO876" s="224"/>
      <c r="AP876" s="224"/>
      <c r="AQ876" s="224"/>
      <c r="AR876" s="224"/>
      <c r="AS876" s="224"/>
      <c r="AT876" s="224"/>
      <c r="AU876" s="224"/>
    </row>
    <row r="877" ht="15.7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  <c r="AF877" s="224"/>
      <c r="AG877" s="224"/>
      <c r="AH877" s="224"/>
      <c r="AI877" s="224"/>
      <c r="AJ877" s="224"/>
      <c r="AK877" s="224"/>
      <c r="AL877" s="224"/>
      <c r="AM877" s="224"/>
      <c r="AN877" s="224"/>
      <c r="AO877" s="224"/>
      <c r="AP877" s="224"/>
      <c r="AQ877" s="224"/>
      <c r="AR877" s="224"/>
      <c r="AS877" s="224"/>
      <c r="AT877" s="224"/>
      <c r="AU877" s="224"/>
    </row>
    <row r="878" ht="15.7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  <c r="AF878" s="224"/>
      <c r="AG878" s="224"/>
      <c r="AH878" s="224"/>
      <c r="AI878" s="224"/>
      <c r="AJ878" s="224"/>
      <c r="AK878" s="224"/>
      <c r="AL878" s="224"/>
      <c r="AM878" s="224"/>
      <c r="AN878" s="224"/>
      <c r="AO878" s="224"/>
      <c r="AP878" s="224"/>
      <c r="AQ878" s="224"/>
      <c r="AR878" s="224"/>
      <c r="AS878" s="224"/>
      <c r="AT878" s="224"/>
      <c r="AU878" s="224"/>
    </row>
    <row r="879" ht="15.7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  <c r="AF879" s="224"/>
      <c r="AG879" s="224"/>
      <c r="AH879" s="224"/>
      <c r="AI879" s="224"/>
      <c r="AJ879" s="224"/>
      <c r="AK879" s="224"/>
      <c r="AL879" s="224"/>
      <c r="AM879" s="224"/>
      <c r="AN879" s="224"/>
      <c r="AO879" s="224"/>
      <c r="AP879" s="224"/>
      <c r="AQ879" s="224"/>
      <c r="AR879" s="224"/>
      <c r="AS879" s="224"/>
      <c r="AT879" s="224"/>
      <c r="AU879" s="224"/>
    </row>
    <row r="880" ht="15.7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  <c r="AF880" s="224"/>
      <c r="AG880" s="224"/>
      <c r="AH880" s="224"/>
      <c r="AI880" s="224"/>
      <c r="AJ880" s="224"/>
      <c r="AK880" s="224"/>
      <c r="AL880" s="224"/>
      <c r="AM880" s="224"/>
      <c r="AN880" s="224"/>
      <c r="AO880" s="224"/>
      <c r="AP880" s="224"/>
      <c r="AQ880" s="224"/>
      <c r="AR880" s="224"/>
      <c r="AS880" s="224"/>
      <c r="AT880" s="224"/>
      <c r="AU880" s="224"/>
    </row>
    <row r="881" ht="15.7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  <c r="AF881" s="224"/>
      <c r="AG881" s="224"/>
      <c r="AH881" s="224"/>
      <c r="AI881" s="224"/>
      <c r="AJ881" s="224"/>
      <c r="AK881" s="224"/>
      <c r="AL881" s="224"/>
      <c r="AM881" s="224"/>
      <c r="AN881" s="224"/>
      <c r="AO881" s="224"/>
      <c r="AP881" s="224"/>
      <c r="AQ881" s="224"/>
      <c r="AR881" s="224"/>
      <c r="AS881" s="224"/>
      <c r="AT881" s="224"/>
      <c r="AU881" s="224"/>
    </row>
    <row r="882" ht="15.7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  <c r="AF882" s="224"/>
      <c r="AG882" s="224"/>
      <c r="AH882" s="224"/>
      <c r="AI882" s="224"/>
      <c r="AJ882" s="224"/>
      <c r="AK882" s="224"/>
      <c r="AL882" s="224"/>
      <c r="AM882" s="224"/>
      <c r="AN882" s="224"/>
      <c r="AO882" s="224"/>
      <c r="AP882" s="224"/>
      <c r="AQ882" s="224"/>
      <c r="AR882" s="224"/>
      <c r="AS882" s="224"/>
      <c r="AT882" s="224"/>
      <c r="AU882" s="224"/>
    </row>
    <row r="883" ht="15.7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  <c r="AF883" s="224"/>
      <c r="AG883" s="224"/>
      <c r="AH883" s="224"/>
      <c r="AI883" s="224"/>
      <c r="AJ883" s="224"/>
      <c r="AK883" s="224"/>
      <c r="AL883" s="224"/>
      <c r="AM883" s="224"/>
      <c r="AN883" s="224"/>
      <c r="AO883" s="224"/>
      <c r="AP883" s="224"/>
      <c r="AQ883" s="224"/>
      <c r="AR883" s="224"/>
      <c r="AS883" s="224"/>
      <c r="AT883" s="224"/>
      <c r="AU883" s="224"/>
    </row>
    <row r="884" ht="15.7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  <c r="AF884" s="224"/>
      <c r="AG884" s="224"/>
      <c r="AH884" s="224"/>
      <c r="AI884" s="224"/>
      <c r="AJ884" s="224"/>
      <c r="AK884" s="224"/>
      <c r="AL884" s="224"/>
      <c r="AM884" s="224"/>
      <c r="AN884" s="224"/>
      <c r="AO884" s="224"/>
      <c r="AP884" s="224"/>
      <c r="AQ884" s="224"/>
      <c r="AR884" s="224"/>
      <c r="AS884" s="224"/>
      <c r="AT884" s="224"/>
      <c r="AU884" s="224"/>
    </row>
    <row r="885" ht="15.7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  <c r="AF885" s="224"/>
      <c r="AG885" s="224"/>
      <c r="AH885" s="224"/>
      <c r="AI885" s="224"/>
      <c r="AJ885" s="224"/>
      <c r="AK885" s="224"/>
      <c r="AL885" s="224"/>
      <c r="AM885" s="224"/>
      <c r="AN885" s="224"/>
      <c r="AO885" s="224"/>
      <c r="AP885" s="224"/>
      <c r="AQ885" s="224"/>
      <c r="AR885" s="224"/>
      <c r="AS885" s="224"/>
      <c r="AT885" s="224"/>
      <c r="AU885" s="224"/>
    </row>
    <row r="886" ht="15.7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  <c r="AF886" s="224"/>
      <c r="AG886" s="224"/>
      <c r="AH886" s="224"/>
      <c r="AI886" s="224"/>
      <c r="AJ886" s="224"/>
      <c r="AK886" s="224"/>
      <c r="AL886" s="224"/>
      <c r="AM886" s="224"/>
      <c r="AN886" s="224"/>
      <c r="AO886" s="224"/>
      <c r="AP886" s="224"/>
      <c r="AQ886" s="224"/>
      <c r="AR886" s="224"/>
      <c r="AS886" s="224"/>
      <c r="AT886" s="224"/>
      <c r="AU886" s="224"/>
    </row>
    <row r="887" ht="15.7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  <c r="AF887" s="224"/>
      <c r="AG887" s="224"/>
      <c r="AH887" s="224"/>
      <c r="AI887" s="224"/>
      <c r="AJ887" s="224"/>
      <c r="AK887" s="224"/>
      <c r="AL887" s="224"/>
      <c r="AM887" s="224"/>
      <c r="AN887" s="224"/>
      <c r="AO887" s="224"/>
      <c r="AP887" s="224"/>
      <c r="AQ887" s="224"/>
      <c r="AR887" s="224"/>
      <c r="AS887" s="224"/>
      <c r="AT887" s="224"/>
      <c r="AU887" s="224"/>
    </row>
    <row r="888" ht="15.7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  <c r="AF888" s="224"/>
      <c r="AG888" s="224"/>
      <c r="AH888" s="224"/>
      <c r="AI888" s="224"/>
      <c r="AJ888" s="224"/>
      <c r="AK888" s="224"/>
      <c r="AL888" s="224"/>
      <c r="AM888" s="224"/>
      <c r="AN888" s="224"/>
      <c r="AO888" s="224"/>
      <c r="AP888" s="224"/>
      <c r="AQ888" s="224"/>
      <c r="AR888" s="224"/>
      <c r="AS888" s="224"/>
      <c r="AT888" s="224"/>
      <c r="AU888" s="224"/>
    </row>
    <row r="889" ht="15.7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  <c r="AF889" s="224"/>
      <c r="AG889" s="224"/>
      <c r="AH889" s="224"/>
      <c r="AI889" s="224"/>
      <c r="AJ889" s="224"/>
      <c r="AK889" s="224"/>
      <c r="AL889" s="224"/>
      <c r="AM889" s="224"/>
      <c r="AN889" s="224"/>
      <c r="AO889" s="224"/>
      <c r="AP889" s="224"/>
      <c r="AQ889" s="224"/>
      <c r="AR889" s="224"/>
      <c r="AS889" s="224"/>
      <c r="AT889" s="224"/>
      <c r="AU889" s="224"/>
    </row>
    <row r="890" ht="15.7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  <c r="AC890" s="224"/>
      <c r="AD890" s="224"/>
      <c r="AE890" s="224"/>
      <c r="AF890" s="224"/>
      <c r="AG890" s="224"/>
      <c r="AH890" s="224"/>
      <c r="AI890" s="224"/>
      <c r="AJ890" s="224"/>
      <c r="AK890" s="224"/>
      <c r="AL890" s="224"/>
      <c r="AM890" s="224"/>
      <c r="AN890" s="224"/>
      <c r="AO890" s="224"/>
      <c r="AP890" s="224"/>
      <c r="AQ890" s="224"/>
      <c r="AR890" s="224"/>
      <c r="AS890" s="224"/>
      <c r="AT890" s="224"/>
      <c r="AU890" s="224"/>
    </row>
    <row r="891" ht="15.7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  <c r="AC891" s="224"/>
      <c r="AD891" s="224"/>
      <c r="AE891" s="224"/>
      <c r="AF891" s="224"/>
      <c r="AG891" s="224"/>
      <c r="AH891" s="224"/>
      <c r="AI891" s="224"/>
      <c r="AJ891" s="224"/>
      <c r="AK891" s="224"/>
      <c r="AL891" s="224"/>
      <c r="AM891" s="224"/>
      <c r="AN891" s="224"/>
      <c r="AO891" s="224"/>
      <c r="AP891" s="224"/>
      <c r="AQ891" s="224"/>
      <c r="AR891" s="224"/>
      <c r="AS891" s="224"/>
      <c r="AT891" s="224"/>
      <c r="AU891" s="224"/>
    </row>
    <row r="892" ht="15.7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  <c r="AC892" s="224"/>
      <c r="AD892" s="224"/>
      <c r="AE892" s="224"/>
      <c r="AF892" s="224"/>
      <c r="AG892" s="224"/>
      <c r="AH892" s="224"/>
      <c r="AI892" s="224"/>
      <c r="AJ892" s="224"/>
      <c r="AK892" s="224"/>
      <c r="AL892" s="224"/>
      <c r="AM892" s="224"/>
      <c r="AN892" s="224"/>
      <c r="AO892" s="224"/>
      <c r="AP892" s="224"/>
      <c r="AQ892" s="224"/>
      <c r="AR892" s="224"/>
      <c r="AS892" s="224"/>
      <c r="AT892" s="224"/>
      <c r="AU892" s="224"/>
    </row>
    <row r="893" ht="15.7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  <c r="AC893" s="224"/>
      <c r="AD893" s="224"/>
      <c r="AE893" s="224"/>
      <c r="AF893" s="224"/>
      <c r="AG893" s="224"/>
      <c r="AH893" s="224"/>
      <c r="AI893" s="224"/>
      <c r="AJ893" s="224"/>
      <c r="AK893" s="224"/>
      <c r="AL893" s="224"/>
      <c r="AM893" s="224"/>
      <c r="AN893" s="224"/>
      <c r="AO893" s="224"/>
      <c r="AP893" s="224"/>
      <c r="AQ893" s="224"/>
      <c r="AR893" s="224"/>
      <c r="AS893" s="224"/>
      <c r="AT893" s="224"/>
      <c r="AU893" s="224"/>
    </row>
    <row r="894" ht="15.7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  <c r="AC894" s="224"/>
      <c r="AD894" s="224"/>
      <c r="AE894" s="224"/>
      <c r="AF894" s="224"/>
      <c r="AG894" s="224"/>
      <c r="AH894" s="224"/>
      <c r="AI894" s="224"/>
      <c r="AJ894" s="224"/>
      <c r="AK894" s="224"/>
      <c r="AL894" s="224"/>
      <c r="AM894" s="224"/>
      <c r="AN894" s="224"/>
      <c r="AO894" s="224"/>
      <c r="AP894" s="224"/>
      <c r="AQ894" s="224"/>
      <c r="AR894" s="224"/>
      <c r="AS894" s="224"/>
      <c r="AT894" s="224"/>
      <c r="AU894" s="224"/>
    </row>
    <row r="895" ht="15.7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  <c r="AC895" s="224"/>
      <c r="AD895" s="224"/>
      <c r="AE895" s="224"/>
      <c r="AF895" s="224"/>
      <c r="AG895" s="224"/>
      <c r="AH895" s="224"/>
      <c r="AI895" s="224"/>
      <c r="AJ895" s="224"/>
      <c r="AK895" s="224"/>
      <c r="AL895" s="224"/>
      <c r="AM895" s="224"/>
      <c r="AN895" s="224"/>
      <c r="AO895" s="224"/>
      <c r="AP895" s="224"/>
      <c r="AQ895" s="224"/>
      <c r="AR895" s="224"/>
      <c r="AS895" s="224"/>
      <c r="AT895" s="224"/>
      <c r="AU895" s="224"/>
    </row>
    <row r="896" ht="15.7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  <c r="AC896" s="224"/>
      <c r="AD896" s="224"/>
      <c r="AE896" s="224"/>
      <c r="AF896" s="224"/>
      <c r="AG896" s="224"/>
      <c r="AH896" s="224"/>
      <c r="AI896" s="224"/>
      <c r="AJ896" s="224"/>
      <c r="AK896" s="224"/>
      <c r="AL896" s="224"/>
      <c r="AM896" s="224"/>
      <c r="AN896" s="224"/>
      <c r="AO896" s="224"/>
      <c r="AP896" s="224"/>
      <c r="AQ896" s="224"/>
      <c r="AR896" s="224"/>
      <c r="AS896" s="224"/>
      <c r="AT896" s="224"/>
      <c r="AU896" s="224"/>
    </row>
    <row r="897" ht="15.7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  <c r="AC897" s="224"/>
      <c r="AD897" s="224"/>
      <c r="AE897" s="224"/>
      <c r="AF897" s="224"/>
      <c r="AG897" s="224"/>
      <c r="AH897" s="224"/>
      <c r="AI897" s="224"/>
      <c r="AJ897" s="224"/>
      <c r="AK897" s="224"/>
      <c r="AL897" s="224"/>
      <c r="AM897" s="224"/>
      <c r="AN897" s="224"/>
      <c r="AO897" s="224"/>
      <c r="AP897" s="224"/>
      <c r="AQ897" s="224"/>
      <c r="AR897" s="224"/>
      <c r="AS897" s="224"/>
      <c r="AT897" s="224"/>
      <c r="AU897" s="224"/>
    </row>
    <row r="898" ht="15.7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  <c r="AC898" s="224"/>
      <c r="AD898" s="224"/>
      <c r="AE898" s="224"/>
      <c r="AF898" s="224"/>
      <c r="AG898" s="224"/>
      <c r="AH898" s="224"/>
      <c r="AI898" s="224"/>
      <c r="AJ898" s="224"/>
      <c r="AK898" s="224"/>
      <c r="AL898" s="224"/>
      <c r="AM898" s="224"/>
      <c r="AN898" s="224"/>
      <c r="AO898" s="224"/>
      <c r="AP898" s="224"/>
      <c r="AQ898" s="224"/>
      <c r="AR898" s="224"/>
      <c r="AS898" s="224"/>
      <c r="AT898" s="224"/>
      <c r="AU898" s="224"/>
    </row>
    <row r="899" ht="15.7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  <c r="AC899" s="224"/>
      <c r="AD899" s="224"/>
      <c r="AE899" s="224"/>
      <c r="AF899" s="224"/>
      <c r="AG899" s="224"/>
      <c r="AH899" s="224"/>
      <c r="AI899" s="224"/>
      <c r="AJ899" s="224"/>
      <c r="AK899" s="224"/>
      <c r="AL899" s="224"/>
      <c r="AM899" s="224"/>
      <c r="AN899" s="224"/>
      <c r="AO899" s="224"/>
      <c r="AP899" s="224"/>
      <c r="AQ899" s="224"/>
      <c r="AR899" s="224"/>
      <c r="AS899" s="224"/>
      <c r="AT899" s="224"/>
      <c r="AU899" s="224"/>
    </row>
    <row r="900" ht="15.7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  <c r="AC900" s="224"/>
      <c r="AD900" s="224"/>
      <c r="AE900" s="224"/>
      <c r="AF900" s="224"/>
      <c r="AG900" s="224"/>
      <c r="AH900" s="224"/>
      <c r="AI900" s="224"/>
      <c r="AJ900" s="224"/>
      <c r="AK900" s="224"/>
      <c r="AL900" s="224"/>
      <c r="AM900" s="224"/>
      <c r="AN900" s="224"/>
      <c r="AO900" s="224"/>
      <c r="AP900" s="224"/>
      <c r="AQ900" s="224"/>
      <c r="AR900" s="224"/>
      <c r="AS900" s="224"/>
      <c r="AT900" s="224"/>
      <c r="AU900" s="224"/>
    </row>
    <row r="901" ht="15.7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  <c r="AC901" s="224"/>
      <c r="AD901" s="224"/>
      <c r="AE901" s="224"/>
      <c r="AF901" s="224"/>
      <c r="AG901" s="224"/>
      <c r="AH901" s="224"/>
      <c r="AI901" s="224"/>
      <c r="AJ901" s="224"/>
      <c r="AK901" s="224"/>
      <c r="AL901" s="224"/>
      <c r="AM901" s="224"/>
      <c r="AN901" s="224"/>
      <c r="AO901" s="224"/>
      <c r="AP901" s="224"/>
      <c r="AQ901" s="224"/>
      <c r="AR901" s="224"/>
      <c r="AS901" s="224"/>
      <c r="AT901" s="224"/>
      <c r="AU901" s="224"/>
    </row>
    <row r="902" ht="15.7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  <c r="AC902" s="224"/>
      <c r="AD902" s="224"/>
      <c r="AE902" s="224"/>
      <c r="AF902" s="224"/>
      <c r="AG902" s="224"/>
      <c r="AH902" s="224"/>
      <c r="AI902" s="224"/>
      <c r="AJ902" s="224"/>
      <c r="AK902" s="224"/>
      <c r="AL902" s="224"/>
      <c r="AM902" s="224"/>
      <c r="AN902" s="224"/>
      <c r="AO902" s="224"/>
      <c r="AP902" s="224"/>
      <c r="AQ902" s="224"/>
      <c r="AR902" s="224"/>
      <c r="AS902" s="224"/>
      <c r="AT902" s="224"/>
      <c r="AU902" s="224"/>
    </row>
    <row r="903" ht="15.7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  <c r="AC903" s="224"/>
      <c r="AD903" s="224"/>
      <c r="AE903" s="224"/>
      <c r="AF903" s="224"/>
      <c r="AG903" s="224"/>
      <c r="AH903" s="224"/>
      <c r="AI903" s="224"/>
      <c r="AJ903" s="224"/>
      <c r="AK903" s="224"/>
      <c r="AL903" s="224"/>
      <c r="AM903" s="224"/>
      <c r="AN903" s="224"/>
      <c r="AO903" s="224"/>
      <c r="AP903" s="224"/>
      <c r="AQ903" s="224"/>
      <c r="AR903" s="224"/>
      <c r="AS903" s="224"/>
      <c r="AT903" s="224"/>
      <c r="AU903" s="224"/>
    </row>
    <row r="904" ht="15.7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  <c r="AC904" s="224"/>
      <c r="AD904" s="224"/>
      <c r="AE904" s="224"/>
      <c r="AF904" s="224"/>
      <c r="AG904" s="224"/>
      <c r="AH904" s="224"/>
      <c r="AI904" s="224"/>
      <c r="AJ904" s="224"/>
      <c r="AK904" s="224"/>
      <c r="AL904" s="224"/>
      <c r="AM904" s="224"/>
      <c r="AN904" s="224"/>
      <c r="AO904" s="224"/>
      <c r="AP904" s="224"/>
      <c r="AQ904" s="224"/>
      <c r="AR904" s="224"/>
      <c r="AS904" s="224"/>
      <c r="AT904" s="224"/>
      <c r="AU904" s="224"/>
    </row>
    <row r="905" ht="15.7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  <c r="AC905" s="224"/>
      <c r="AD905" s="224"/>
      <c r="AE905" s="224"/>
      <c r="AF905" s="224"/>
      <c r="AG905" s="224"/>
      <c r="AH905" s="224"/>
      <c r="AI905" s="224"/>
      <c r="AJ905" s="224"/>
      <c r="AK905" s="224"/>
      <c r="AL905" s="224"/>
      <c r="AM905" s="224"/>
      <c r="AN905" s="224"/>
      <c r="AO905" s="224"/>
      <c r="AP905" s="224"/>
      <c r="AQ905" s="224"/>
      <c r="AR905" s="224"/>
      <c r="AS905" s="224"/>
      <c r="AT905" s="224"/>
      <c r="AU905" s="224"/>
    </row>
    <row r="906" ht="15.7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  <c r="AK906" s="224"/>
      <c r="AL906" s="224"/>
      <c r="AM906" s="224"/>
      <c r="AN906" s="224"/>
      <c r="AO906" s="224"/>
      <c r="AP906" s="224"/>
      <c r="AQ906" s="224"/>
      <c r="AR906" s="224"/>
      <c r="AS906" s="224"/>
      <c r="AT906" s="224"/>
      <c r="AU906" s="224"/>
    </row>
    <row r="907" ht="15.7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  <c r="AC907" s="224"/>
      <c r="AD907" s="224"/>
      <c r="AE907" s="224"/>
      <c r="AF907" s="224"/>
      <c r="AG907" s="224"/>
      <c r="AH907" s="224"/>
      <c r="AI907" s="224"/>
      <c r="AJ907" s="224"/>
      <c r="AK907" s="224"/>
      <c r="AL907" s="224"/>
      <c r="AM907" s="224"/>
      <c r="AN907" s="224"/>
      <c r="AO907" s="224"/>
      <c r="AP907" s="224"/>
      <c r="AQ907" s="224"/>
      <c r="AR907" s="224"/>
      <c r="AS907" s="224"/>
      <c r="AT907" s="224"/>
      <c r="AU907" s="224"/>
    </row>
    <row r="908" ht="15.7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  <c r="AC908" s="224"/>
      <c r="AD908" s="224"/>
      <c r="AE908" s="224"/>
      <c r="AF908" s="224"/>
      <c r="AG908" s="224"/>
      <c r="AH908" s="224"/>
      <c r="AI908" s="224"/>
      <c r="AJ908" s="224"/>
      <c r="AK908" s="224"/>
      <c r="AL908" s="224"/>
      <c r="AM908" s="224"/>
      <c r="AN908" s="224"/>
      <c r="AO908" s="224"/>
      <c r="AP908" s="224"/>
      <c r="AQ908" s="224"/>
      <c r="AR908" s="224"/>
      <c r="AS908" s="224"/>
      <c r="AT908" s="224"/>
      <c r="AU908" s="224"/>
    </row>
    <row r="909" ht="15.7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  <c r="AC909" s="224"/>
      <c r="AD909" s="224"/>
      <c r="AE909" s="224"/>
      <c r="AF909" s="224"/>
      <c r="AG909" s="224"/>
      <c r="AH909" s="224"/>
      <c r="AI909" s="224"/>
      <c r="AJ909" s="224"/>
      <c r="AK909" s="224"/>
      <c r="AL909" s="224"/>
      <c r="AM909" s="224"/>
      <c r="AN909" s="224"/>
      <c r="AO909" s="224"/>
      <c r="AP909" s="224"/>
      <c r="AQ909" s="224"/>
      <c r="AR909" s="224"/>
      <c r="AS909" s="224"/>
      <c r="AT909" s="224"/>
      <c r="AU909" s="224"/>
    </row>
    <row r="910" ht="15.7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  <c r="AC910" s="224"/>
      <c r="AD910" s="224"/>
      <c r="AE910" s="224"/>
      <c r="AF910" s="224"/>
      <c r="AG910" s="224"/>
      <c r="AH910" s="224"/>
      <c r="AI910" s="224"/>
      <c r="AJ910" s="224"/>
      <c r="AK910" s="224"/>
      <c r="AL910" s="224"/>
      <c r="AM910" s="224"/>
      <c r="AN910" s="224"/>
      <c r="AO910" s="224"/>
      <c r="AP910" s="224"/>
      <c r="AQ910" s="224"/>
      <c r="AR910" s="224"/>
      <c r="AS910" s="224"/>
      <c r="AT910" s="224"/>
      <c r="AU910" s="224"/>
    </row>
    <row r="911" ht="15.7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  <c r="AC911" s="224"/>
      <c r="AD911" s="224"/>
      <c r="AE911" s="224"/>
      <c r="AF911" s="224"/>
      <c r="AG911" s="224"/>
      <c r="AH911" s="224"/>
      <c r="AI911" s="224"/>
      <c r="AJ911" s="224"/>
      <c r="AK911" s="224"/>
      <c r="AL911" s="224"/>
      <c r="AM911" s="224"/>
      <c r="AN911" s="224"/>
      <c r="AO911" s="224"/>
      <c r="AP911" s="224"/>
      <c r="AQ911" s="224"/>
      <c r="AR911" s="224"/>
      <c r="AS911" s="224"/>
      <c r="AT911" s="224"/>
      <c r="AU911" s="224"/>
    </row>
    <row r="912" ht="15.7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  <c r="AC912" s="224"/>
      <c r="AD912" s="224"/>
      <c r="AE912" s="224"/>
      <c r="AF912" s="224"/>
      <c r="AG912" s="224"/>
      <c r="AH912" s="224"/>
      <c r="AI912" s="224"/>
      <c r="AJ912" s="224"/>
      <c r="AK912" s="224"/>
      <c r="AL912" s="224"/>
      <c r="AM912" s="224"/>
      <c r="AN912" s="224"/>
      <c r="AO912" s="224"/>
      <c r="AP912" s="224"/>
      <c r="AQ912" s="224"/>
      <c r="AR912" s="224"/>
      <c r="AS912" s="224"/>
      <c r="AT912" s="224"/>
      <c r="AU912" s="224"/>
    </row>
    <row r="913" ht="15.7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  <c r="AC913" s="224"/>
      <c r="AD913" s="224"/>
      <c r="AE913" s="224"/>
      <c r="AF913" s="224"/>
      <c r="AG913" s="224"/>
      <c r="AH913" s="224"/>
      <c r="AI913" s="224"/>
      <c r="AJ913" s="224"/>
      <c r="AK913" s="224"/>
      <c r="AL913" s="224"/>
      <c r="AM913" s="224"/>
      <c r="AN913" s="224"/>
      <c r="AO913" s="224"/>
      <c r="AP913" s="224"/>
      <c r="AQ913" s="224"/>
      <c r="AR913" s="224"/>
      <c r="AS913" s="224"/>
      <c r="AT913" s="224"/>
      <c r="AU913" s="224"/>
    </row>
    <row r="914" ht="15.7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  <c r="AC914" s="224"/>
      <c r="AD914" s="224"/>
      <c r="AE914" s="224"/>
      <c r="AF914" s="224"/>
      <c r="AG914" s="224"/>
      <c r="AH914" s="224"/>
      <c r="AI914" s="224"/>
      <c r="AJ914" s="224"/>
      <c r="AK914" s="224"/>
      <c r="AL914" s="224"/>
      <c r="AM914" s="224"/>
      <c r="AN914" s="224"/>
      <c r="AO914" s="224"/>
      <c r="AP914" s="224"/>
      <c r="AQ914" s="224"/>
      <c r="AR914" s="224"/>
      <c r="AS914" s="224"/>
      <c r="AT914" s="224"/>
      <c r="AU914" s="224"/>
    </row>
    <row r="915" ht="15.7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  <c r="AC915" s="224"/>
      <c r="AD915" s="224"/>
      <c r="AE915" s="224"/>
      <c r="AF915" s="224"/>
      <c r="AG915" s="224"/>
      <c r="AH915" s="224"/>
      <c r="AI915" s="224"/>
      <c r="AJ915" s="224"/>
      <c r="AK915" s="224"/>
      <c r="AL915" s="224"/>
      <c r="AM915" s="224"/>
      <c r="AN915" s="224"/>
      <c r="AO915" s="224"/>
      <c r="AP915" s="224"/>
      <c r="AQ915" s="224"/>
      <c r="AR915" s="224"/>
      <c r="AS915" s="224"/>
      <c r="AT915" s="224"/>
      <c r="AU915" s="224"/>
    </row>
    <row r="916" ht="15.7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  <c r="AC916" s="224"/>
      <c r="AD916" s="224"/>
      <c r="AE916" s="224"/>
      <c r="AF916" s="224"/>
      <c r="AG916" s="224"/>
      <c r="AH916" s="224"/>
      <c r="AI916" s="224"/>
      <c r="AJ916" s="224"/>
      <c r="AK916" s="224"/>
      <c r="AL916" s="224"/>
      <c r="AM916" s="224"/>
      <c r="AN916" s="224"/>
      <c r="AO916" s="224"/>
      <c r="AP916" s="224"/>
      <c r="AQ916" s="224"/>
      <c r="AR916" s="224"/>
      <c r="AS916" s="224"/>
      <c r="AT916" s="224"/>
      <c r="AU916" s="224"/>
    </row>
    <row r="917" ht="15.7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  <c r="AC917" s="224"/>
      <c r="AD917" s="224"/>
      <c r="AE917" s="224"/>
      <c r="AF917" s="224"/>
      <c r="AG917" s="224"/>
      <c r="AH917" s="224"/>
      <c r="AI917" s="224"/>
      <c r="AJ917" s="224"/>
      <c r="AK917" s="224"/>
      <c r="AL917" s="224"/>
      <c r="AM917" s="224"/>
      <c r="AN917" s="224"/>
      <c r="AO917" s="224"/>
      <c r="AP917" s="224"/>
      <c r="AQ917" s="224"/>
      <c r="AR917" s="224"/>
      <c r="AS917" s="224"/>
      <c r="AT917" s="224"/>
      <c r="AU917" s="224"/>
    </row>
    <row r="918" ht="15.7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  <c r="AC918" s="224"/>
      <c r="AD918" s="224"/>
      <c r="AE918" s="224"/>
      <c r="AF918" s="224"/>
      <c r="AG918" s="224"/>
      <c r="AH918" s="224"/>
      <c r="AI918" s="224"/>
      <c r="AJ918" s="224"/>
      <c r="AK918" s="224"/>
      <c r="AL918" s="224"/>
      <c r="AM918" s="224"/>
      <c r="AN918" s="224"/>
      <c r="AO918" s="224"/>
      <c r="AP918" s="224"/>
      <c r="AQ918" s="224"/>
      <c r="AR918" s="224"/>
      <c r="AS918" s="224"/>
      <c r="AT918" s="224"/>
      <c r="AU918" s="224"/>
    </row>
    <row r="919" ht="15.7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  <c r="AC919" s="224"/>
      <c r="AD919" s="224"/>
      <c r="AE919" s="224"/>
      <c r="AF919" s="224"/>
      <c r="AG919" s="224"/>
      <c r="AH919" s="224"/>
      <c r="AI919" s="224"/>
      <c r="AJ919" s="224"/>
      <c r="AK919" s="224"/>
      <c r="AL919" s="224"/>
      <c r="AM919" s="224"/>
      <c r="AN919" s="224"/>
      <c r="AO919" s="224"/>
      <c r="AP919" s="224"/>
      <c r="AQ919" s="224"/>
      <c r="AR919" s="224"/>
      <c r="AS919" s="224"/>
      <c r="AT919" s="224"/>
      <c r="AU919" s="224"/>
    </row>
    <row r="920" ht="15.7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  <c r="AC920" s="224"/>
      <c r="AD920" s="224"/>
      <c r="AE920" s="224"/>
      <c r="AF920" s="224"/>
      <c r="AG920" s="224"/>
      <c r="AH920" s="224"/>
      <c r="AI920" s="224"/>
      <c r="AJ920" s="224"/>
      <c r="AK920" s="224"/>
      <c r="AL920" s="224"/>
      <c r="AM920" s="224"/>
      <c r="AN920" s="224"/>
      <c r="AO920" s="224"/>
      <c r="AP920" s="224"/>
      <c r="AQ920" s="224"/>
      <c r="AR920" s="224"/>
      <c r="AS920" s="224"/>
      <c r="AT920" s="224"/>
      <c r="AU920" s="224"/>
    </row>
    <row r="921" ht="15.7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  <c r="AC921" s="224"/>
      <c r="AD921" s="224"/>
      <c r="AE921" s="224"/>
      <c r="AF921" s="224"/>
      <c r="AG921" s="224"/>
      <c r="AH921" s="224"/>
      <c r="AI921" s="224"/>
      <c r="AJ921" s="224"/>
      <c r="AK921" s="224"/>
      <c r="AL921" s="224"/>
      <c r="AM921" s="224"/>
      <c r="AN921" s="224"/>
      <c r="AO921" s="224"/>
      <c r="AP921" s="224"/>
      <c r="AQ921" s="224"/>
      <c r="AR921" s="224"/>
      <c r="AS921" s="224"/>
      <c r="AT921" s="224"/>
      <c r="AU921" s="224"/>
    </row>
    <row r="922" ht="15.7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  <c r="AC922" s="224"/>
      <c r="AD922" s="224"/>
      <c r="AE922" s="224"/>
      <c r="AF922" s="224"/>
      <c r="AG922" s="224"/>
      <c r="AH922" s="224"/>
      <c r="AI922" s="224"/>
      <c r="AJ922" s="224"/>
      <c r="AK922" s="224"/>
      <c r="AL922" s="224"/>
      <c r="AM922" s="224"/>
      <c r="AN922" s="224"/>
      <c r="AO922" s="224"/>
      <c r="AP922" s="224"/>
      <c r="AQ922" s="224"/>
      <c r="AR922" s="224"/>
      <c r="AS922" s="224"/>
      <c r="AT922" s="224"/>
      <c r="AU922" s="224"/>
    </row>
    <row r="923" ht="15.7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  <c r="AC923" s="224"/>
      <c r="AD923" s="224"/>
      <c r="AE923" s="224"/>
      <c r="AF923" s="224"/>
      <c r="AG923" s="224"/>
      <c r="AH923" s="224"/>
      <c r="AI923" s="224"/>
      <c r="AJ923" s="224"/>
      <c r="AK923" s="224"/>
      <c r="AL923" s="224"/>
      <c r="AM923" s="224"/>
      <c r="AN923" s="224"/>
      <c r="AO923" s="224"/>
      <c r="AP923" s="224"/>
      <c r="AQ923" s="224"/>
      <c r="AR923" s="224"/>
      <c r="AS923" s="224"/>
      <c r="AT923" s="224"/>
      <c r="AU923" s="224"/>
    </row>
    <row r="924" ht="15.7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  <c r="AC924" s="224"/>
      <c r="AD924" s="224"/>
      <c r="AE924" s="224"/>
      <c r="AF924" s="224"/>
      <c r="AG924" s="224"/>
      <c r="AH924" s="224"/>
      <c r="AI924" s="224"/>
      <c r="AJ924" s="224"/>
      <c r="AK924" s="224"/>
      <c r="AL924" s="224"/>
      <c r="AM924" s="224"/>
      <c r="AN924" s="224"/>
      <c r="AO924" s="224"/>
      <c r="AP924" s="224"/>
      <c r="AQ924" s="224"/>
      <c r="AR924" s="224"/>
      <c r="AS924" s="224"/>
      <c r="AT924" s="224"/>
      <c r="AU924" s="224"/>
    </row>
    <row r="925" ht="15.7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  <c r="AC925" s="224"/>
      <c r="AD925" s="224"/>
      <c r="AE925" s="224"/>
      <c r="AF925" s="224"/>
      <c r="AG925" s="224"/>
      <c r="AH925" s="224"/>
      <c r="AI925" s="224"/>
      <c r="AJ925" s="224"/>
      <c r="AK925" s="224"/>
      <c r="AL925" s="224"/>
      <c r="AM925" s="224"/>
      <c r="AN925" s="224"/>
      <c r="AO925" s="224"/>
      <c r="AP925" s="224"/>
      <c r="AQ925" s="224"/>
      <c r="AR925" s="224"/>
      <c r="AS925" s="224"/>
      <c r="AT925" s="224"/>
      <c r="AU925" s="224"/>
    </row>
    <row r="926" ht="15.7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  <c r="AC926" s="224"/>
      <c r="AD926" s="224"/>
      <c r="AE926" s="224"/>
      <c r="AF926" s="224"/>
      <c r="AG926" s="224"/>
      <c r="AH926" s="224"/>
      <c r="AI926" s="224"/>
      <c r="AJ926" s="224"/>
      <c r="AK926" s="224"/>
      <c r="AL926" s="224"/>
      <c r="AM926" s="224"/>
      <c r="AN926" s="224"/>
      <c r="AO926" s="224"/>
      <c r="AP926" s="224"/>
      <c r="AQ926" s="224"/>
      <c r="AR926" s="224"/>
      <c r="AS926" s="224"/>
      <c r="AT926" s="224"/>
      <c r="AU926" s="224"/>
    </row>
    <row r="927" ht="15.7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  <c r="AC927" s="224"/>
      <c r="AD927" s="224"/>
      <c r="AE927" s="224"/>
      <c r="AF927" s="224"/>
      <c r="AG927" s="224"/>
      <c r="AH927" s="224"/>
      <c r="AI927" s="224"/>
      <c r="AJ927" s="224"/>
      <c r="AK927" s="224"/>
      <c r="AL927" s="224"/>
      <c r="AM927" s="224"/>
      <c r="AN927" s="224"/>
      <c r="AO927" s="224"/>
      <c r="AP927" s="224"/>
      <c r="AQ927" s="224"/>
      <c r="AR927" s="224"/>
      <c r="AS927" s="224"/>
      <c r="AT927" s="224"/>
      <c r="AU927" s="224"/>
    </row>
    <row r="928" ht="15.7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  <c r="AC928" s="224"/>
      <c r="AD928" s="224"/>
      <c r="AE928" s="224"/>
      <c r="AF928" s="224"/>
      <c r="AG928" s="224"/>
      <c r="AH928" s="224"/>
      <c r="AI928" s="224"/>
      <c r="AJ928" s="224"/>
      <c r="AK928" s="224"/>
      <c r="AL928" s="224"/>
      <c r="AM928" s="224"/>
      <c r="AN928" s="224"/>
      <c r="AO928" s="224"/>
      <c r="AP928" s="224"/>
      <c r="AQ928" s="224"/>
      <c r="AR928" s="224"/>
      <c r="AS928" s="224"/>
      <c r="AT928" s="224"/>
      <c r="AU928" s="224"/>
    </row>
    <row r="929" ht="15.7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  <c r="AC929" s="224"/>
      <c r="AD929" s="224"/>
      <c r="AE929" s="224"/>
      <c r="AF929" s="224"/>
      <c r="AG929" s="224"/>
      <c r="AH929" s="224"/>
      <c r="AI929" s="224"/>
      <c r="AJ929" s="224"/>
      <c r="AK929" s="224"/>
      <c r="AL929" s="224"/>
      <c r="AM929" s="224"/>
      <c r="AN929" s="224"/>
      <c r="AO929" s="224"/>
      <c r="AP929" s="224"/>
      <c r="AQ929" s="224"/>
      <c r="AR929" s="224"/>
      <c r="AS929" s="224"/>
      <c r="AT929" s="224"/>
      <c r="AU929" s="224"/>
    </row>
    <row r="930" ht="15.7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  <c r="AC930" s="224"/>
      <c r="AD930" s="224"/>
      <c r="AE930" s="224"/>
      <c r="AF930" s="224"/>
      <c r="AG930" s="224"/>
      <c r="AH930" s="224"/>
      <c r="AI930" s="224"/>
      <c r="AJ930" s="224"/>
      <c r="AK930" s="224"/>
      <c r="AL930" s="224"/>
      <c r="AM930" s="224"/>
      <c r="AN930" s="224"/>
      <c r="AO930" s="224"/>
      <c r="AP930" s="224"/>
      <c r="AQ930" s="224"/>
      <c r="AR930" s="224"/>
      <c r="AS930" s="224"/>
      <c r="AT930" s="224"/>
      <c r="AU930" s="224"/>
    </row>
    <row r="931" ht="15.7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  <c r="AC931" s="224"/>
      <c r="AD931" s="224"/>
      <c r="AE931" s="224"/>
      <c r="AF931" s="224"/>
      <c r="AG931" s="224"/>
      <c r="AH931" s="224"/>
      <c r="AI931" s="224"/>
      <c r="AJ931" s="224"/>
      <c r="AK931" s="224"/>
      <c r="AL931" s="224"/>
      <c r="AM931" s="224"/>
      <c r="AN931" s="224"/>
      <c r="AO931" s="224"/>
      <c r="AP931" s="224"/>
      <c r="AQ931" s="224"/>
      <c r="AR931" s="224"/>
      <c r="AS931" s="224"/>
      <c r="AT931" s="224"/>
      <c r="AU931" s="224"/>
    </row>
    <row r="932" ht="15.7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  <c r="AC932" s="224"/>
      <c r="AD932" s="224"/>
      <c r="AE932" s="224"/>
      <c r="AF932" s="224"/>
      <c r="AG932" s="224"/>
      <c r="AH932" s="224"/>
      <c r="AI932" s="224"/>
      <c r="AJ932" s="224"/>
      <c r="AK932" s="224"/>
      <c r="AL932" s="224"/>
      <c r="AM932" s="224"/>
      <c r="AN932" s="224"/>
      <c r="AO932" s="224"/>
      <c r="AP932" s="224"/>
      <c r="AQ932" s="224"/>
      <c r="AR932" s="224"/>
      <c r="AS932" s="224"/>
      <c r="AT932" s="224"/>
      <c r="AU932" s="224"/>
    </row>
    <row r="933" ht="15.7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  <c r="AC933" s="224"/>
      <c r="AD933" s="224"/>
      <c r="AE933" s="224"/>
      <c r="AF933" s="224"/>
      <c r="AG933" s="224"/>
      <c r="AH933" s="224"/>
      <c r="AI933" s="224"/>
      <c r="AJ933" s="224"/>
      <c r="AK933" s="224"/>
      <c r="AL933" s="224"/>
      <c r="AM933" s="224"/>
      <c r="AN933" s="224"/>
      <c r="AO933" s="224"/>
      <c r="AP933" s="224"/>
      <c r="AQ933" s="224"/>
      <c r="AR933" s="224"/>
      <c r="AS933" s="224"/>
      <c r="AT933" s="224"/>
      <c r="AU933" s="224"/>
    </row>
    <row r="934" ht="15.7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  <c r="AC934" s="224"/>
      <c r="AD934" s="224"/>
      <c r="AE934" s="224"/>
      <c r="AF934" s="224"/>
      <c r="AG934" s="224"/>
      <c r="AH934" s="224"/>
      <c r="AI934" s="224"/>
      <c r="AJ934" s="224"/>
      <c r="AK934" s="224"/>
      <c r="AL934" s="224"/>
      <c r="AM934" s="224"/>
      <c r="AN934" s="224"/>
      <c r="AO934" s="224"/>
      <c r="AP934" s="224"/>
      <c r="AQ934" s="224"/>
      <c r="AR934" s="224"/>
      <c r="AS934" s="224"/>
      <c r="AT934" s="224"/>
      <c r="AU934" s="224"/>
    </row>
    <row r="935" ht="15.7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  <c r="AC935" s="224"/>
      <c r="AD935" s="224"/>
      <c r="AE935" s="224"/>
      <c r="AF935" s="224"/>
      <c r="AG935" s="224"/>
      <c r="AH935" s="224"/>
      <c r="AI935" s="224"/>
      <c r="AJ935" s="224"/>
      <c r="AK935" s="224"/>
      <c r="AL935" s="224"/>
      <c r="AM935" s="224"/>
      <c r="AN935" s="224"/>
      <c r="AO935" s="224"/>
      <c r="AP935" s="224"/>
      <c r="AQ935" s="224"/>
      <c r="AR935" s="224"/>
      <c r="AS935" s="224"/>
      <c r="AT935" s="224"/>
      <c r="AU935" s="224"/>
    </row>
    <row r="936" ht="15.7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  <c r="AC936" s="224"/>
      <c r="AD936" s="224"/>
      <c r="AE936" s="224"/>
      <c r="AF936" s="224"/>
      <c r="AG936" s="224"/>
      <c r="AH936" s="224"/>
      <c r="AI936" s="224"/>
      <c r="AJ936" s="224"/>
      <c r="AK936" s="224"/>
      <c r="AL936" s="224"/>
      <c r="AM936" s="224"/>
      <c r="AN936" s="224"/>
      <c r="AO936" s="224"/>
      <c r="AP936" s="224"/>
      <c r="AQ936" s="224"/>
      <c r="AR936" s="224"/>
      <c r="AS936" s="224"/>
      <c r="AT936" s="224"/>
      <c r="AU936" s="224"/>
    </row>
    <row r="937" ht="15.7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  <c r="AC937" s="224"/>
      <c r="AD937" s="224"/>
      <c r="AE937" s="224"/>
      <c r="AF937" s="224"/>
      <c r="AG937" s="224"/>
      <c r="AH937" s="224"/>
      <c r="AI937" s="224"/>
      <c r="AJ937" s="224"/>
      <c r="AK937" s="224"/>
      <c r="AL937" s="224"/>
      <c r="AM937" s="224"/>
      <c r="AN937" s="224"/>
      <c r="AO937" s="224"/>
      <c r="AP937" s="224"/>
      <c r="AQ937" s="224"/>
      <c r="AR937" s="224"/>
      <c r="AS937" s="224"/>
      <c r="AT937" s="224"/>
      <c r="AU937" s="224"/>
    </row>
    <row r="938" ht="15.7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  <c r="AC938" s="224"/>
      <c r="AD938" s="224"/>
      <c r="AE938" s="224"/>
      <c r="AF938" s="224"/>
      <c r="AG938" s="224"/>
      <c r="AH938" s="224"/>
      <c r="AI938" s="224"/>
      <c r="AJ938" s="224"/>
      <c r="AK938" s="224"/>
      <c r="AL938" s="224"/>
      <c r="AM938" s="224"/>
      <c r="AN938" s="224"/>
      <c r="AO938" s="224"/>
      <c r="AP938" s="224"/>
      <c r="AQ938" s="224"/>
      <c r="AR938" s="224"/>
      <c r="AS938" s="224"/>
      <c r="AT938" s="224"/>
      <c r="AU938" s="224"/>
    </row>
    <row r="939" ht="15.7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  <c r="AC939" s="224"/>
      <c r="AD939" s="224"/>
      <c r="AE939" s="224"/>
      <c r="AF939" s="224"/>
      <c r="AG939" s="224"/>
      <c r="AH939" s="224"/>
      <c r="AI939" s="224"/>
      <c r="AJ939" s="224"/>
      <c r="AK939" s="224"/>
      <c r="AL939" s="224"/>
      <c r="AM939" s="224"/>
      <c r="AN939" s="224"/>
      <c r="AO939" s="224"/>
      <c r="AP939" s="224"/>
      <c r="AQ939" s="224"/>
      <c r="AR939" s="224"/>
      <c r="AS939" s="224"/>
      <c r="AT939" s="224"/>
      <c r="AU939" s="224"/>
    </row>
    <row r="940" ht="15.7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  <c r="AC940" s="224"/>
      <c r="AD940" s="224"/>
      <c r="AE940" s="224"/>
      <c r="AF940" s="224"/>
      <c r="AG940" s="224"/>
      <c r="AH940" s="224"/>
      <c r="AI940" s="224"/>
      <c r="AJ940" s="224"/>
      <c r="AK940" s="224"/>
      <c r="AL940" s="224"/>
      <c r="AM940" s="224"/>
      <c r="AN940" s="224"/>
      <c r="AO940" s="224"/>
      <c r="AP940" s="224"/>
      <c r="AQ940" s="224"/>
      <c r="AR940" s="224"/>
      <c r="AS940" s="224"/>
      <c r="AT940" s="224"/>
      <c r="AU940" s="224"/>
    </row>
    <row r="941" ht="15.7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  <c r="AC941" s="224"/>
      <c r="AD941" s="224"/>
      <c r="AE941" s="224"/>
      <c r="AF941" s="224"/>
      <c r="AG941" s="224"/>
      <c r="AH941" s="224"/>
      <c r="AI941" s="224"/>
      <c r="AJ941" s="224"/>
      <c r="AK941" s="224"/>
      <c r="AL941" s="224"/>
      <c r="AM941" s="224"/>
      <c r="AN941" s="224"/>
      <c r="AO941" s="224"/>
      <c r="AP941" s="224"/>
      <c r="AQ941" s="224"/>
      <c r="AR941" s="224"/>
      <c r="AS941" s="224"/>
      <c r="AT941" s="224"/>
      <c r="AU941" s="224"/>
    </row>
    <row r="942" ht="15.7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  <c r="AC942" s="224"/>
      <c r="AD942" s="224"/>
      <c r="AE942" s="224"/>
      <c r="AF942" s="224"/>
      <c r="AG942" s="224"/>
      <c r="AH942" s="224"/>
      <c r="AI942" s="224"/>
      <c r="AJ942" s="224"/>
      <c r="AK942" s="224"/>
      <c r="AL942" s="224"/>
      <c r="AM942" s="224"/>
      <c r="AN942" s="224"/>
      <c r="AO942" s="224"/>
      <c r="AP942" s="224"/>
      <c r="AQ942" s="224"/>
      <c r="AR942" s="224"/>
      <c r="AS942" s="224"/>
      <c r="AT942" s="224"/>
      <c r="AU942" s="224"/>
    </row>
    <row r="943" ht="15.7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  <c r="AC943" s="224"/>
      <c r="AD943" s="224"/>
      <c r="AE943" s="224"/>
      <c r="AF943" s="224"/>
      <c r="AG943" s="224"/>
      <c r="AH943" s="224"/>
      <c r="AI943" s="224"/>
      <c r="AJ943" s="224"/>
      <c r="AK943" s="224"/>
      <c r="AL943" s="224"/>
      <c r="AM943" s="224"/>
      <c r="AN943" s="224"/>
      <c r="AO943" s="224"/>
      <c r="AP943" s="224"/>
      <c r="AQ943" s="224"/>
      <c r="AR943" s="224"/>
      <c r="AS943" s="224"/>
      <c r="AT943" s="224"/>
      <c r="AU943" s="224"/>
    </row>
    <row r="944" ht="15.7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  <c r="AC944" s="224"/>
      <c r="AD944" s="224"/>
      <c r="AE944" s="224"/>
      <c r="AF944" s="224"/>
      <c r="AG944" s="224"/>
      <c r="AH944" s="224"/>
      <c r="AI944" s="224"/>
      <c r="AJ944" s="224"/>
      <c r="AK944" s="224"/>
      <c r="AL944" s="224"/>
      <c r="AM944" s="224"/>
      <c r="AN944" s="224"/>
      <c r="AO944" s="224"/>
      <c r="AP944" s="224"/>
      <c r="AQ944" s="224"/>
      <c r="AR944" s="224"/>
      <c r="AS944" s="224"/>
      <c r="AT944" s="224"/>
      <c r="AU944" s="224"/>
    </row>
    <row r="945" ht="15.7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  <c r="AC945" s="224"/>
      <c r="AD945" s="224"/>
      <c r="AE945" s="224"/>
      <c r="AF945" s="224"/>
      <c r="AG945" s="224"/>
      <c r="AH945" s="224"/>
      <c r="AI945" s="224"/>
      <c r="AJ945" s="224"/>
      <c r="AK945" s="224"/>
      <c r="AL945" s="224"/>
      <c r="AM945" s="224"/>
      <c r="AN945" s="224"/>
      <c r="AO945" s="224"/>
      <c r="AP945" s="224"/>
      <c r="AQ945" s="224"/>
      <c r="AR945" s="224"/>
      <c r="AS945" s="224"/>
      <c r="AT945" s="224"/>
      <c r="AU945" s="224"/>
    </row>
    <row r="946" ht="15.7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  <c r="AC946" s="224"/>
      <c r="AD946" s="224"/>
      <c r="AE946" s="224"/>
      <c r="AF946" s="224"/>
      <c r="AG946" s="224"/>
      <c r="AH946" s="224"/>
      <c r="AI946" s="224"/>
      <c r="AJ946" s="224"/>
      <c r="AK946" s="224"/>
      <c r="AL946" s="224"/>
      <c r="AM946" s="224"/>
      <c r="AN946" s="224"/>
      <c r="AO946" s="224"/>
      <c r="AP946" s="224"/>
      <c r="AQ946" s="224"/>
      <c r="AR946" s="224"/>
      <c r="AS946" s="224"/>
      <c r="AT946" s="224"/>
      <c r="AU946" s="224"/>
    </row>
    <row r="947" ht="15.7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  <c r="AC947" s="224"/>
      <c r="AD947" s="224"/>
      <c r="AE947" s="224"/>
      <c r="AF947" s="224"/>
      <c r="AG947" s="224"/>
      <c r="AH947" s="224"/>
      <c r="AI947" s="224"/>
      <c r="AJ947" s="224"/>
      <c r="AK947" s="224"/>
      <c r="AL947" s="224"/>
      <c r="AM947" s="224"/>
      <c r="AN947" s="224"/>
      <c r="AO947" s="224"/>
      <c r="AP947" s="224"/>
      <c r="AQ947" s="224"/>
      <c r="AR947" s="224"/>
      <c r="AS947" s="224"/>
      <c r="AT947" s="224"/>
      <c r="AU947" s="224"/>
    </row>
    <row r="948" ht="15.7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  <c r="AC948" s="224"/>
      <c r="AD948" s="224"/>
      <c r="AE948" s="224"/>
      <c r="AF948" s="224"/>
      <c r="AG948" s="224"/>
      <c r="AH948" s="224"/>
      <c r="AI948" s="224"/>
      <c r="AJ948" s="224"/>
      <c r="AK948" s="224"/>
      <c r="AL948" s="224"/>
      <c r="AM948" s="224"/>
      <c r="AN948" s="224"/>
      <c r="AO948" s="224"/>
      <c r="AP948" s="224"/>
      <c r="AQ948" s="224"/>
      <c r="AR948" s="224"/>
      <c r="AS948" s="224"/>
      <c r="AT948" s="224"/>
      <c r="AU948" s="224"/>
    </row>
    <row r="949" ht="15.7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  <c r="AC949" s="224"/>
      <c r="AD949" s="224"/>
      <c r="AE949" s="224"/>
      <c r="AF949" s="224"/>
      <c r="AG949" s="224"/>
      <c r="AH949" s="224"/>
      <c r="AI949" s="224"/>
      <c r="AJ949" s="224"/>
      <c r="AK949" s="224"/>
      <c r="AL949" s="224"/>
      <c r="AM949" s="224"/>
      <c r="AN949" s="224"/>
      <c r="AO949" s="224"/>
      <c r="AP949" s="224"/>
      <c r="AQ949" s="224"/>
      <c r="AR949" s="224"/>
      <c r="AS949" s="224"/>
      <c r="AT949" s="224"/>
      <c r="AU949" s="224"/>
    </row>
    <row r="950" ht="15.7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  <c r="AC950" s="224"/>
      <c r="AD950" s="224"/>
      <c r="AE950" s="224"/>
      <c r="AF950" s="224"/>
      <c r="AG950" s="224"/>
      <c r="AH950" s="224"/>
      <c r="AI950" s="224"/>
      <c r="AJ950" s="224"/>
      <c r="AK950" s="224"/>
      <c r="AL950" s="224"/>
      <c r="AM950" s="224"/>
      <c r="AN950" s="224"/>
      <c r="AO950" s="224"/>
      <c r="AP950" s="224"/>
      <c r="AQ950" s="224"/>
      <c r="AR950" s="224"/>
      <c r="AS950" s="224"/>
      <c r="AT950" s="224"/>
      <c r="AU950" s="224"/>
    </row>
    <row r="951" ht="15.7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  <c r="AC951" s="224"/>
      <c r="AD951" s="224"/>
      <c r="AE951" s="224"/>
      <c r="AF951" s="224"/>
      <c r="AG951" s="224"/>
      <c r="AH951" s="224"/>
      <c r="AI951" s="224"/>
      <c r="AJ951" s="224"/>
      <c r="AK951" s="224"/>
      <c r="AL951" s="224"/>
      <c r="AM951" s="224"/>
      <c r="AN951" s="224"/>
      <c r="AO951" s="224"/>
      <c r="AP951" s="224"/>
      <c r="AQ951" s="224"/>
      <c r="AR951" s="224"/>
      <c r="AS951" s="224"/>
      <c r="AT951" s="224"/>
      <c r="AU951" s="224"/>
    </row>
    <row r="952" ht="15.7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  <c r="AC952" s="224"/>
      <c r="AD952" s="224"/>
      <c r="AE952" s="224"/>
      <c r="AF952" s="224"/>
      <c r="AG952" s="224"/>
      <c r="AH952" s="224"/>
      <c r="AI952" s="224"/>
      <c r="AJ952" s="224"/>
      <c r="AK952" s="224"/>
      <c r="AL952" s="224"/>
      <c r="AM952" s="224"/>
      <c r="AN952" s="224"/>
      <c r="AO952" s="224"/>
      <c r="AP952" s="224"/>
      <c r="AQ952" s="224"/>
      <c r="AR952" s="224"/>
      <c r="AS952" s="224"/>
      <c r="AT952" s="224"/>
      <c r="AU952" s="224"/>
    </row>
    <row r="953" ht="15.7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  <c r="AC953" s="224"/>
      <c r="AD953" s="224"/>
      <c r="AE953" s="224"/>
      <c r="AF953" s="224"/>
      <c r="AG953" s="224"/>
      <c r="AH953" s="224"/>
      <c r="AI953" s="224"/>
      <c r="AJ953" s="224"/>
      <c r="AK953" s="224"/>
      <c r="AL953" s="224"/>
      <c r="AM953" s="224"/>
      <c r="AN953" s="224"/>
      <c r="AO953" s="224"/>
      <c r="AP953" s="224"/>
      <c r="AQ953" s="224"/>
      <c r="AR953" s="224"/>
      <c r="AS953" s="224"/>
      <c r="AT953" s="224"/>
      <c r="AU953" s="224"/>
    </row>
    <row r="954" ht="15.7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  <c r="AC954" s="224"/>
      <c r="AD954" s="224"/>
      <c r="AE954" s="224"/>
      <c r="AF954" s="224"/>
      <c r="AG954" s="224"/>
      <c r="AH954" s="224"/>
      <c r="AI954" s="224"/>
      <c r="AJ954" s="224"/>
      <c r="AK954" s="224"/>
      <c r="AL954" s="224"/>
      <c r="AM954" s="224"/>
      <c r="AN954" s="224"/>
      <c r="AO954" s="224"/>
      <c r="AP954" s="224"/>
      <c r="AQ954" s="224"/>
      <c r="AR954" s="224"/>
      <c r="AS954" s="224"/>
      <c r="AT954" s="224"/>
      <c r="AU954" s="224"/>
    </row>
    <row r="955" ht="15.7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  <c r="AC955" s="224"/>
      <c r="AD955" s="224"/>
      <c r="AE955" s="224"/>
      <c r="AF955" s="224"/>
      <c r="AG955" s="224"/>
      <c r="AH955" s="224"/>
      <c r="AI955" s="224"/>
      <c r="AJ955" s="224"/>
      <c r="AK955" s="224"/>
      <c r="AL955" s="224"/>
      <c r="AM955" s="224"/>
      <c r="AN955" s="224"/>
      <c r="AO955" s="224"/>
      <c r="AP955" s="224"/>
      <c r="AQ955" s="224"/>
      <c r="AR955" s="224"/>
      <c r="AS955" s="224"/>
      <c r="AT955" s="224"/>
      <c r="AU955" s="224"/>
    </row>
    <row r="956" ht="15.7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  <c r="AC956" s="224"/>
      <c r="AD956" s="224"/>
      <c r="AE956" s="224"/>
      <c r="AF956" s="224"/>
      <c r="AG956" s="224"/>
      <c r="AH956" s="224"/>
      <c r="AI956" s="224"/>
      <c r="AJ956" s="224"/>
      <c r="AK956" s="224"/>
      <c r="AL956" s="224"/>
      <c r="AM956" s="224"/>
      <c r="AN956" s="224"/>
      <c r="AO956" s="224"/>
      <c r="AP956" s="224"/>
      <c r="AQ956" s="224"/>
      <c r="AR956" s="224"/>
      <c r="AS956" s="224"/>
      <c r="AT956" s="224"/>
      <c r="AU956" s="224"/>
    </row>
    <row r="957" ht="15.7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  <c r="AC957" s="224"/>
      <c r="AD957" s="224"/>
      <c r="AE957" s="224"/>
      <c r="AF957" s="224"/>
      <c r="AG957" s="224"/>
      <c r="AH957" s="224"/>
      <c r="AI957" s="224"/>
      <c r="AJ957" s="224"/>
      <c r="AK957" s="224"/>
      <c r="AL957" s="224"/>
      <c r="AM957" s="224"/>
      <c r="AN957" s="224"/>
      <c r="AO957" s="224"/>
      <c r="AP957" s="224"/>
      <c r="AQ957" s="224"/>
      <c r="AR957" s="224"/>
      <c r="AS957" s="224"/>
      <c r="AT957" s="224"/>
      <c r="AU957" s="224"/>
    </row>
    <row r="958" ht="15.7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  <c r="AC958" s="224"/>
      <c r="AD958" s="224"/>
      <c r="AE958" s="224"/>
      <c r="AF958" s="224"/>
      <c r="AG958" s="224"/>
      <c r="AH958" s="224"/>
      <c r="AI958" s="224"/>
      <c r="AJ958" s="224"/>
      <c r="AK958" s="224"/>
      <c r="AL958" s="224"/>
      <c r="AM958" s="224"/>
      <c r="AN958" s="224"/>
      <c r="AO958" s="224"/>
      <c r="AP958" s="224"/>
      <c r="AQ958" s="224"/>
      <c r="AR958" s="224"/>
      <c r="AS958" s="224"/>
      <c r="AT958" s="224"/>
      <c r="AU958" s="224"/>
    </row>
    <row r="959" ht="15.7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  <c r="AK959" s="224"/>
      <c r="AL959" s="224"/>
      <c r="AM959" s="224"/>
      <c r="AN959" s="224"/>
      <c r="AO959" s="224"/>
      <c r="AP959" s="224"/>
      <c r="AQ959" s="224"/>
      <c r="AR959" s="224"/>
      <c r="AS959" s="224"/>
      <c r="AT959" s="224"/>
      <c r="AU959" s="224"/>
    </row>
    <row r="960" ht="15.7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  <c r="AC960" s="224"/>
      <c r="AD960" s="224"/>
      <c r="AE960" s="224"/>
      <c r="AF960" s="224"/>
      <c r="AG960" s="224"/>
      <c r="AH960" s="224"/>
      <c r="AI960" s="224"/>
      <c r="AJ960" s="224"/>
      <c r="AK960" s="224"/>
      <c r="AL960" s="224"/>
      <c r="AM960" s="224"/>
      <c r="AN960" s="224"/>
      <c r="AO960" s="224"/>
      <c r="AP960" s="224"/>
      <c r="AQ960" s="224"/>
      <c r="AR960" s="224"/>
      <c r="AS960" s="224"/>
      <c r="AT960" s="224"/>
      <c r="AU960" s="224"/>
    </row>
    <row r="961" ht="15.7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  <c r="AC961" s="224"/>
      <c r="AD961" s="224"/>
      <c r="AE961" s="224"/>
      <c r="AF961" s="224"/>
      <c r="AG961" s="224"/>
      <c r="AH961" s="224"/>
      <c r="AI961" s="224"/>
      <c r="AJ961" s="224"/>
      <c r="AK961" s="224"/>
      <c r="AL961" s="224"/>
      <c r="AM961" s="224"/>
      <c r="AN961" s="224"/>
      <c r="AO961" s="224"/>
      <c r="AP961" s="224"/>
      <c r="AQ961" s="224"/>
      <c r="AR961" s="224"/>
      <c r="AS961" s="224"/>
      <c r="AT961" s="224"/>
      <c r="AU961" s="224"/>
    </row>
    <row r="962" ht="15.7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  <c r="AC962" s="224"/>
      <c r="AD962" s="224"/>
      <c r="AE962" s="224"/>
      <c r="AF962" s="224"/>
      <c r="AG962" s="224"/>
      <c r="AH962" s="224"/>
      <c r="AI962" s="224"/>
      <c r="AJ962" s="224"/>
      <c r="AK962" s="224"/>
      <c r="AL962" s="224"/>
      <c r="AM962" s="224"/>
      <c r="AN962" s="224"/>
      <c r="AO962" s="224"/>
      <c r="AP962" s="224"/>
      <c r="AQ962" s="224"/>
      <c r="AR962" s="224"/>
      <c r="AS962" s="224"/>
      <c r="AT962" s="224"/>
      <c r="AU962" s="224"/>
    </row>
    <row r="963" ht="15.7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  <c r="AC963" s="224"/>
      <c r="AD963" s="224"/>
      <c r="AE963" s="224"/>
      <c r="AF963" s="224"/>
      <c r="AG963" s="224"/>
      <c r="AH963" s="224"/>
      <c r="AI963" s="224"/>
      <c r="AJ963" s="224"/>
      <c r="AK963" s="224"/>
      <c r="AL963" s="224"/>
      <c r="AM963" s="224"/>
      <c r="AN963" s="224"/>
      <c r="AO963" s="224"/>
      <c r="AP963" s="224"/>
      <c r="AQ963" s="224"/>
      <c r="AR963" s="224"/>
      <c r="AS963" s="224"/>
      <c r="AT963" s="224"/>
      <c r="AU963" s="224"/>
    </row>
    <row r="964" ht="15.7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  <c r="AC964" s="224"/>
      <c r="AD964" s="224"/>
      <c r="AE964" s="224"/>
      <c r="AF964" s="224"/>
      <c r="AG964" s="224"/>
      <c r="AH964" s="224"/>
      <c r="AI964" s="224"/>
      <c r="AJ964" s="224"/>
      <c r="AK964" s="224"/>
      <c r="AL964" s="224"/>
      <c r="AM964" s="224"/>
      <c r="AN964" s="224"/>
      <c r="AO964" s="224"/>
      <c r="AP964" s="224"/>
      <c r="AQ964" s="224"/>
      <c r="AR964" s="224"/>
      <c r="AS964" s="224"/>
      <c r="AT964" s="224"/>
      <c r="AU964" s="224"/>
    </row>
    <row r="965" ht="15.7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  <c r="AC965" s="224"/>
      <c r="AD965" s="224"/>
      <c r="AE965" s="224"/>
      <c r="AF965" s="224"/>
      <c r="AG965" s="224"/>
      <c r="AH965" s="224"/>
      <c r="AI965" s="224"/>
      <c r="AJ965" s="224"/>
      <c r="AK965" s="224"/>
      <c r="AL965" s="224"/>
      <c r="AM965" s="224"/>
      <c r="AN965" s="224"/>
      <c r="AO965" s="224"/>
      <c r="AP965" s="224"/>
      <c r="AQ965" s="224"/>
      <c r="AR965" s="224"/>
      <c r="AS965" s="224"/>
      <c r="AT965" s="224"/>
      <c r="AU965" s="224"/>
    </row>
    <row r="966" ht="15.7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  <c r="AC966" s="224"/>
      <c r="AD966" s="224"/>
      <c r="AE966" s="224"/>
      <c r="AF966" s="224"/>
      <c r="AG966" s="224"/>
      <c r="AH966" s="224"/>
      <c r="AI966" s="224"/>
      <c r="AJ966" s="224"/>
      <c r="AK966" s="224"/>
      <c r="AL966" s="224"/>
      <c r="AM966" s="224"/>
      <c r="AN966" s="224"/>
      <c r="AO966" s="224"/>
      <c r="AP966" s="224"/>
      <c r="AQ966" s="224"/>
      <c r="AR966" s="224"/>
      <c r="AS966" s="224"/>
      <c r="AT966" s="224"/>
      <c r="AU966" s="224"/>
    </row>
    <row r="967" ht="15.7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  <c r="AC967" s="224"/>
      <c r="AD967" s="224"/>
      <c r="AE967" s="224"/>
      <c r="AF967" s="224"/>
      <c r="AG967" s="224"/>
      <c r="AH967" s="224"/>
      <c r="AI967" s="224"/>
      <c r="AJ967" s="224"/>
      <c r="AK967" s="224"/>
      <c r="AL967" s="224"/>
      <c r="AM967" s="224"/>
      <c r="AN967" s="224"/>
      <c r="AO967" s="224"/>
      <c r="AP967" s="224"/>
      <c r="AQ967" s="224"/>
      <c r="AR967" s="224"/>
      <c r="AS967" s="224"/>
      <c r="AT967" s="224"/>
      <c r="AU967" s="224"/>
    </row>
    <row r="968" ht="15.7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  <c r="AC968" s="224"/>
      <c r="AD968" s="224"/>
      <c r="AE968" s="224"/>
      <c r="AF968" s="224"/>
      <c r="AG968" s="224"/>
      <c r="AH968" s="224"/>
      <c r="AI968" s="224"/>
      <c r="AJ968" s="224"/>
      <c r="AK968" s="224"/>
      <c r="AL968" s="224"/>
      <c r="AM968" s="224"/>
      <c r="AN968" s="224"/>
      <c r="AO968" s="224"/>
      <c r="AP968" s="224"/>
      <c r="AQ968" s="224"/>
      <c r="AR968" s="224"/>
      <c r="AS968" s="224"/>
      <c r="AT968" s="224"/>
      <c r="AU968" s="224"/>
    </row>
    <row r="969" ht="15.7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  <c r="AC969" s="224"/>
      <c r="AD969" s="224"/>
      <c r="AE969" s="224"/>
      <c r="AF969" s="224"/>
      <c r="AG969" s="224"/>
      <c r="AH969" s="224"/>
      <c r="AI969" s="224"/>
      <c r="AJ969" s="224"/>
      <c r="AK969" s="224"/>
      <c r="AL969" s="224"/>
      <c r="AM969" s="224"/>
      <c r="AN969" s="224"/>
      <c r="AO969" s="224"/>
      <c r="AP969" s="224"/>
      <c r="AQ969" s="224"/>
      <c r="AR969" s="224"/>
      <c r="AS969" s="224"/>
      <c r="AT969" s="224"/>
      <c r="AU969" s="224"/>
    </row>
    <row r="970" ht="15.7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  <c r="AC970" s="224"/>
      <c r="AD970" s="224"/>
      <c r="AE970" s="224"/>
      <c r="AF970" s="224"/>
      <c r="AG970" s="224"/>
      <c r="AH970" s="224"/>
      <c r="AI970" s="224"/>
      <c r="AJ970" s="224"/>
      <c r="AK970" s="224"/>
      <c r="AL970" s="224"/>
      <c r="AM970" s="224"/>
      <c r="AN970" s="224"/>
      <c r="AO970" s="224"/>
      <c r="AP970" s="224"/>
      <c r="AQ970" s="224"/>
      <c r="AR970" s="224"/>
      <c r="AS970" s="224"/>
      <c r="AT970" s="224"/>
      <c r="AU970" s="224"/>
    </row>
    <row r="971" ht="15.7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  <c r="AC971" s="224"/>
      <c r="AD971" s="224"/>
      <c r="AE971" s="224"/>
      <c r="AF971" s="224"/>
      <c r="AG971" s="224"/>
      <c r="AH971" s="224"/>
      <c r="AI971" s="224"/>
      <c r="AJ971" s="224"/>
      <c r="AK971" s="224"/>
      <c r="AL971" s="224"/>
      <c r="AM971" s="224"/>
      <c r="AN971" s="224"/>
      <c r="AO971" s="224"/>
      <c r="AP971" s="224"/>
      <c r="AQ971" s="224"/>
      <c r="AR971" s="224"/>
      <c r="AS971" s="224"/>
      <c r="AT971" s="224"/>
      <c r="AU971" s="224"/>
    </row>
    <row r="972" ht="15.7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  <c r="AC972" s="224"/>
      <c r="AD972" s="224"/>
      <c r="AE972" s="224"/>
      <c r="AF972" s="224"/>
      <c r="AG972" s="224"/>
      <c r="AH972" s="224"/>
      <c r="AI972" s="224"/>
      <c r="AJ972" s="224"/>
      <c r="AK972" s="224"/>
      <c r="AL972" s="224"/>
      <c r="AM972" s="224"/>
      <c r="AN972" s="224"/>
      <c r="AO972" s="224"/>
      <c r="AP972" s="224"/>
      <c r="AQ972" s="224"/>
      <c r="AR972" s="224"/>
      <c r="AS972" s="224"/>
      <c r="AT972" s="224"/>
      <c r="AU972" s="224"/>
    </row>
    <row r="973" ht="15.7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  <c r="AC973" s="224"/>
      <c r="AD973" s="224"/>
      <c r="AE973" s="224"/>
      <c r="AF973" s="224"/>
      <c r="AG973" s="224"/>
      <c r="AH973" s="224"/>
      <c r="AI973" s="224"/>
      <c r="AJ973" s="224"/>
      <c r="AK973" s="224"/>
      <c r="AL973" s="224"/>
      <c r="AM973" s="224"/>
      <c r="AN973" s="224"/>
      <c r="AO973" s="224"/>
      <c r="AP973" s="224"/>
      <c r="AQ973" s="224"/>
      <c r="AR973" s="224"/>
      <c r="AS973" s="224"/>
      <c r="AT973" s="224"/>
      <c r="AU973" s="224"/>
    </row>
    <row r="974" ht="15.7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  <c r="AC974" s="224"/>
      <c r="AD974" s="224"/>
      <c r="AE974" s="224"/>
      <c r="AF974" s="224"/>
      <c r="AG974" s="224"/>
      <c r="AH974" s="224"/>
      <c r="AI974" s="224"/>
      <c r="AJ974" s="224"/>
      <c r="AK974" s="224"/>
      <c r="AL974" s="224"/>
      <c r="AM974" s="224"/>
      <c r="AN974" s="224"/>
      <c r="AO974" s="224"/>
      <c r="AP974" s="224"/>
      <c r="AQ974" s="224"/>
      <c r="AR974" s="224"/>
      <c r="AS974" s="224"/>
      <c r="AT974" s="224"/>
      <c r="AU974" s="224"/>
    </row>
    <row r="975" ht="15.7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  <c r="AC975" s="224"/>
      <c r="AD975" s="224"/>
      <c r="AE975" s="224"/>
      <c r="AF975" s="224"/>
      <c r="AG975" s="224"/>
      <c r="AH975" s="224"/>
      <c r="AI975" s="224"/>
      <c r="AJ975" s="224"/>
      <c r="AK975" s="224"/>
      <c r="AL975" s="224"/>
      <c r="AM975" s="224"/>
      <c r="AN975" s="224"/>
      <c r="AO975" s="224"/>
      <c r="AP975" s="224"/>
      <c r="AQ975" s="224"/>
      <c r="AR975" s="224"/>
      <c r="AS975" s="224"/>
      <c r="AT975" s="224"/>
      <c r="AU975" s="224"/>
    </row>
    <row r="976" ht="15.7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  <c r="AC976" s="224"/>
      <c r="AD976" s="224"/>
      <c r="AE976" s="224"/>
      <c r="AF976" s="224"/>
      <c r="AG976" s="224"/>
      <c r="AH976" s="224"/>
      <c r="AI976" s="224"/>
      <c r="AJ976" s="224"/>
      <c r="AK976" s="224"/>
      <c r="AL976" s="224"/>
      <c r="AM976" s="224"/>
      <c r="AN976" s="224"/>
      <c r="AO976" s="224"/>
      <c r="AP976" s="224"/>
      <c r="AQ976" s="224"/>
      <c r="AR976" s="224"/>
      <c r="AS976" s="224"/>
      <c r="AT976" s="224"/>
      <c r="AU976" s="224"/>
    </row>
    <row r="977" ht="15.7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  <c r="AC977" s="224"/>
      <c r="AD977" s="224"/>
      <c r="AE977" s="224"/>
      <c r="AF977" s="224"/>
      <c r="AG977" s="224"/>
      <c r="AH977" s="224"/>
      <c r="AI977" s="224"/>
      <c r="AJ977" s="224"/>
      <c r="AK977" s="224"/>
      <c r="AL977" s="224"/>
      <c r="AM977" s="224"/>
      <c r="AN977" s="224"/>
      <c r="AO977" s="224"/>
      <c r="AP977" s="224"/>
      <c r="AQ977" s="224"/>
      <c r="AR977" s="224"/>
      <c r="AS977" s="224"/>
      <c r="AT977" s="224"/>
      <c r="AU977" s="224"/>
    </row>
    <row r="978" ht="15.7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  <c r="AC978" s="224"/>
      <c r="AD978" s="224"/>
      <c r="AE978" s="224"/>
      <c r="AF978" s="224"/>
      <c r="AG978" s="224"/>
      <c r="AH978" s="224"/>
      <c r="AI978" s="224"/>
      <c r="AJ978" s="224"/>
      <c r="AK978" s="224"/>
      <c r="AL978" s="224"/>
      <c r="AM978" s="224"/>
      <c r="AN978" s="224"/>
      <c r="AO978" s="224"/>
      <c r="AP978" s="224"/>
      <c r="AQ978" s="224"/>
      <c r="AR978" s="224"/>
      <c r="AS978" s="224"/>
      <c r="AT978" s="224"/>
      <c r="AU978" s="224"/>
    </row>
    <row r="979" ht="15.7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  <c r="AC979" s="224"/>
      <c r="AD979" s="224"/>
      <c r="AE979" s="224"/>
      <c r="AF979" s="224"/>
      <c r="AG979" s="224"/>
      <c r="AH979" s="224"/>
      <c r="AI979" s="224"/>
      <c r="AJ979" s="224"/>
      <c r="AK979" s="224"/>
      <c r="AL979" s="224"/>
      <c r="AM979" s="224"/>
      <c r="AN979" s="224"/>
      <c r="AO979" s="224"/>
      <c r="AP979" s="224"/>
      <c r="AQ979" s="224"/>
      <c r="AR979" s="224"/>
      <c r="AS979" s="224"/>
      <c r="AT979" s="224"/>
      <c r="AU979" s="224"/>
    </row>
    <row r="980" ht="15.7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  <c r="AC980" s="224"/>
      <c r="AD980" s="224"/>
      <c r="AE980" s="224"/>
      <c r="AF980" s="224"/>
      <c r="AG980" s="224"/>
      <c r="AH980" s="224"/>
      <c r="AI980" s="224"/>
      <c r="AJ980" s="224"/>
      <c r="AK980" s="224"/>
      <c r="AL980" s="224"/>
      <c r="AM980" s="224"/>
      <c r="AN980" s="224"/>
      <c r="AO980" s="224"/>
      <c r="AP980" s="224"/>
      <c r="AQ980" s="224"/>
      <c r="AR980" s="224"/>
      <c r="AS980" s="224"/>
      <c r="AT980" s="224"/>
      <c r="AU980" s="224"/>
    </row>
    <row r="981" ht="15.7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  <c r="AC981" s="224"/>
      <c r="AD981" s="224"/>
      <c r="AE981" s="224"/>
      <c r="AF981" s="224"/>
      <c r="AG981" s="224"/>
      <c r="AH981" s="224"/>
      <c r="AI981" s="224"/>
      <c r="AJ981" s="224"/>
      <c r="AK981" s="224"/>
      <c r="AL981" s="224"/>
      <c r="AM981" s="224"/>
      <c r="AN981" s="224"/>
      <c r="AO981" s="224"/>
      <c r="AP981" s="224"/>
      <c r="AQ981" s="224"/>
      <c r="AR981" s="224"/>
      <c r="AS981" s="224"/>
      <c r="AT981" s="224"/>
      <c r="AU981" s="224"/>
    </row>
    <row r="982" ht="15.7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  <c r="AC982" s="224"/>
      <c r="AD982" s="224"/>
      <c r="AE982" s="224"/>
      <c r="AF982" s="224"/>
      <c r="AG982" s="224"/>
      <c r="AH982" s="224"/>
      <c r="AI982" s="224"/>
      <c r="AJ982" s="224"/>
      <c r="AK982" s="224"/>
      <c r="AL982" s="224"/>
      <c r="AM982" s="224"/>
      <c r="AN982" s="224"/>
      <c r="AO982" s="224"/>
      <c r="AP982" s="224"/>
      <c r="AQ982" s="224"/>
      <c r="AR982" s="224"/>
      <c r="AS982" s="224"/>
      <c r="AT982" s="224"/>
      <c r="AU982" s="224"/>
    </row>
    <row r="983" ht="15.7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  <c r="AC983" s="224"/>
      <c r="AD983" s="224"/>
      <c r="AE983" s="224"/>
      <c r="AF983" s="224"/>
      <c r="AG983" s="224"/>
      <c r="AH983" s="224"/>
      <c r="AI983" s="224"/>
      <c r="AJ983" s="224"/>
      <c r="AK983" s="224"/>
      <c r="AL983" s="224"/>
      <c r="AM983" s="224"/>
      <c r="AN983" s="224"/>
      <c r="AO983" s="224"/>
      <c r="AP983" s="224"/>
      <c r="AQ983" s="224"/>
      <c r="AR983" s="224"/>
      <c r="AS983" s="224"/>
      <c r="AT983" s="224"/>
      <c r="AU983" s="224"/>
    </row>
    <row r="984" ht="15.7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  <c r="AC984" s="224"/>
      <c r="AD984" s="224"/>
      <c r="AE984" s="224"/>
      <c r="AF984" s="224"/>
      <c r="AG984" s="224"/>
      <c r="AH984" s="224"/>
      <c r="AI984" s="224"/>
      <c r="AJ984" s="224"/>
      <c r="AK984" s="224"/>
      <c r="AL984" s="224"/>
      <c r="AM984" s="224"/>
      <c r="AN984" s="224"/>
      <c r="AO984" s="224"/>
      <c r="AP984" s="224"/>
      <c r="AQ984" s="224"/>
      <c r="AR984" s="224"/>
      <c r="AS984" s="224"/>
      <c r="AT984" s="224"/>
      <c r="AU984" s="224"/>
    </row>
    <row r="985" ht="15.7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  <c r="AC985" s="224"/>
      <c r="AD985" s="224"/>
      <c r="AE985" s="224"/>
      <c r="AF985" s="224"/>
      <c r="AG985" s="224"/>
      <c r="AH985" s="224"/>
      <c r="AI985" s="224"/>
      <c r="AJ985" s="224"/>
      <c r="AK985" s="224"/>
      <c r="AL985" s="224"/>
      <c r="AM985" s="224"/>
      <c r="AN985" s="224"/>
      <c r="AO985" s="224"/>
      <c r="AP985" s="224"/>
      <c r="AQ985" s="224"/>
      <c r="AR985" s="224"/>
      <c r="AS985" s="224"/>
      <c r="AT985" s="224"/>
      <c r="AU985" s="224"/>
    </row>
    <row r="986" ht="15.7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  <c r="AC986" s="224"/>
      <c r="AD986" s="224"/>
      <c r="AE986" s="224"/>
      <c r="AF986" s="224"/>
      <c r="AG986" s="224"/>
      <c r="AH986" s="224"/>
      <c r="AI986" s="224"/>
      <c r="AJ986" s="224"/>
      <c r="AK986" s="224"/>
      <c r="AL986" s="224"/>
      <c r="AM986" s="224"/>
      <c r="AN986" s="224"/>
      <c r="AO986" s="224"/>
      <c r="AP986" s="224"/>
      <c r="AQ986" s="224"/>
      <c r="AR986" s="224"/>
      <c r="AS986" s="224"/>
      <c r="AT986" s="224"/>
      <c r="AU986" s="224"/>
    </row>
    <row r="987" ht="15.7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  <c r="AC987" s="224"/>
      <c r="AD987" s="224"/>
      <c r="AE987" s="224"/>
      <c r="AF987" s="224"/>
      <c r="AG987" s="224"/>
      <c r="AH987" s="224"/>
      <c r="AI987" s="224"/>
      <c r="AJ987" s="224"/>
      <c r="AK987" s="224"/>
      <c r="AL987" s="224"/>
      <c r="AM987" s="224"/>
      <c r="AN987" s="224"/>
      <c r="AO987" s="224"/>
      <c r="AP987" s="224"/>
      <c r="AQ987" s="224"/>
      <c r="AR987" s="224"/>
      <c r="AS987" s="224"/>
      <c r="AT987" s="224"/>
      <c r="AU987" s="224"/>
    </row>
    <row r="988" ht="15.7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  <c r="AC988" s="224"/>
      <c r="AD988" s="224"/>
      <c r="AE988" s="224"/>
      <c r="AF988" s="224"/>
      <c r="AG988" s="224"/>
      <c r="AH988" s="224"/>
      <c r="AI988" s="224"/>
      <c r="AJ988" s="224"/>
      <c r="AK988" s="224"/>
      <c r="AL988" s="224"/>
      <c r="AM988" s="224"/>
      <c r="AN988" s="224"/>
      <c r="AO988" s="224"/>
      <c r="AP988" s="224"/>
      <c r="AQ988" s="224"/>
      <c r="AR988" s="224"/>
      <c r="AS988" s="224"/>
      <c r="AT988" s="224"/>
      <c r="AU988" s="224"/>
    </row>
    <row r="989" ht="15.7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  <c r="AC989" s="224"/>
      <c r="AD989" s="224"/>
      <c r="AE989" s="224"/>
      <c r="AF989" s="224"/>
      <c r="AG989" s="224"/>
      <c r="AH989" s="224"/>
      <c r="AI989" s="224"/>
      <c r="AJ989" s="224"/>
      <c r="AK989" s="224"/>
      <c r="AL989" s="224"/>
      <c r="AM989" s="224"/>
      <c r="AN989" s="224"/>
      <c r="AO989" s="224"/>
      <c r="AP989" s="224"/>
      <c r="AQ989" s="224"/>
      <c r="AR989" s="224"/>
      <c r="AS989" s="224"/>
      <c r="AT989" s="224"/>
      <c r="AU989" s="224"/>
    </row>
    <row r="990" ht="15.7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  <c r="AC990" s="224"/>
      <c r="AD990" s="224"/>
      <c r="AE990" s="224"/>
      <c r="AF990" s="224"/>
      <c r="AG990" s="224"/>
      <c r="AH990" s="224"/>
      <c r="AI990" s="224"/>
      <c r="AJ990" s="224"/>
      <c r="AK990" s="224"/>
      <c r="AL990" s="224"/>
      <c r="AM990" s="224"/>
      <c r="AN990" s="224"/>
      <c r="AO990" s="224"/>
      <c r="AP990" s="224"/>
      <c r="AQ990" s="224"/>
      <c r="AR990" s="224"/>
      <c r="AS990" s="224"/>
      <c r="AT990" s="224"/>
      <c r="AU990" s="224"/>
    </row>
    <row r="991" ht="15.7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  <c r="AC991" s="224"/>
      <c r="AD991" s="224"/>
      <c r="AE991" s="224"/>
      <c r="AF991" s="224"/>
      <c r="AG991" s="224"/>
      <c r="AH991" s="224"/>
      <c r="AI991" s="224"/>
      <c r="AJ991" s="224"/>
      <c r="AK991" s="224"/>
      <c r="AL991" s="224"/>
      <c r="AM991" s="224"/>
      <c r="AN991" s="224"/>
      <c r="AO991" s="224"/>
      <c r="AP991" s="224"/>
      <c r="AQ991" s="224"/>
      <c r="AR991" s="224"/>
      <c r="AS991" s="224"/>
      <c r="AT991" s="224"/>
      <c r="AU991" s="224"/>
    </row>
    <row r="992" ht="15.7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  <c r="AC992" s="224"/>
      <c r="AD992" s="224"/>
      <c r="AE992" s="224"/>
      <c r="AF992" s="224"/>
      <c r="AG992" s="224"/>
      <c r="AH992" s="224"/>
      <c r="AI992" s="224"/>
      <c r="AJ992" s="224"/>
      <c r="AK992" s="224"/>
      <c r="AL992" s="224"/>
      <c r="AM992" s="224"/>
      <c r="AN992" s="224"/>
      <c r="AO992" s="224"/>
      <c r="AP992" s="224"/>
      <c r="AQ992" s="224"/>
      <c r="AR992" s="224"/>
      <c r="AS992" s="224"/>
      <c r="AT992" s="224"/>
      <c r="AU992" s="224"/>
    </row>
    <row r="993" ht="15.7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  <c r="AC993" s="224"/>
      <c r="AD993" s="224"/>
      <c r="AE993" s="224"/>
      <c r="AF993" s="224"/>
      <c r="AG993" s="224"/>
      <c r="AH993" s="224"/>
      <c r="AI993" s="224"/>
      <c r="AJ993" s="224"/>
      <c r="AK993" s="224"/>
      <c r="AL993" s="224"/>
      <c r="AM993" s="224"/>
      <c r="AN993" s="224"/>
      <c r="AO993" s="224"/>
      <c r="AP993" s="224"/>
      <c r="AQ993" s="224"/>
      <c r="AR993" s="224"/>
      <c r="AS993" s="224"/>
      <c r="AT993" s="224"/>
      <c r="AU993" s="224"/>
    </row>
    <row r="994" ht="15.7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  <c r="AC994" s="224"/>
      <c r="AD994" s="224"/>
      <c r="AE994" s="224"/>
      <c r="AF994" s="224"/>
      <c r="AG994" s="224"/>
      <c r="AH994" s="224"/>
      <c r="AI994" s="224"/>
      <c r="AJ994" s="224"/>
      <c r="AK994" s="224"/>
      <c r="AL994" s="224"/>
      <c r="AM994" s="224"/>
      <c r="AN994" s="224"/>
      <c r="AO994" s="224"/>
      <c r="AP994" s="224"/>
      <c r="AQ994" s="224"/>
      <c r="AR994" s="224"/>
      <c r="AS994" s="224"/>
      <c r="AT994" s="224"/>
      <c r="AU994" s="224"/>
    </row>
    <row r="995" ht="15.7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  <c r="AC995" s="224"/>
      <c r="AD995" s="224"/>
      <c r="AE995" s="224"/>
      <c r="AF995" s="224"/>
      <c r="AG995" s="224"/>
      <c r="AH995" s="224"/>
      <c r="AI995" s="224"/>
      <c r="AJ995" s="224"/>
      <c r="AK995" s="224"/>
      <c r="AL995" s="224"/>
      <c r="AM995" s="224"/>
      <c r="AN995" s="224"/>
      <c r="AO995" s="224"/>
      <c r="AP995" s="224"/>
      <c r="AQ995" s="224"/>
      <c r="AR995" s="224"/>
      <c r="AS995" s="224"/>
      <c r="AT995" s="224"/>
      <c r="AU995" s="224"/>
    </row>
    <row r="996" ht="15.7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  <c r="AC996" s="224"/>
      <c r="AD996" s="224"/>
      <c r="AE996" s="224"/>
      <c r="AF996" s="224"/>
      <c r="AG996" s="224"/>
      <c r="AH996" s="224"/>
      <c r="AI996" s="224"/>
      <c r="AJ996" s="224"/>
      <c r="AK996" s="224"/>
      <c r="AL996" s="224"/>
      <c r="AM996" s="224"/>
      <c r="AN996" s="224"/>
      <c r="AO996" s="224"/>
      <c r="AP996" s="224"/>
      <c r="AQ996" s="224"/>
      <c r="AR996" s="224"/>
      <c r="AS996" s="224"/>
      <c r="AT996" s="224"/>
      <c r="AU996" s="224"/>
    </row>
    <row r="997" ht="15.7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  <c r="AC997" s="224"/>
      <c r="AD997" s="224"/>
      <c r="AE997" s="224"/>
      <c r="AF997" s="224"/>
      <c r="AG997" s="224"/>
      <c r="AH997" s="224"/>
      <c r="AI997" s="224"/>
      <c r="AJ997" s="224"/>
      <c r="AK997" s="224"/>
      <c r="AL997" s="224"/>
      <c r="AM997" s="224"/>
      <c r="AN997" s="224"/>
      <c r="AO997" s="224"/>
      <c r="AP997" s="224"/>
      <c r="AQ997" s="224"/>
      <c r="AR997" s="224"/>
      <c r="AS997" s="224"/>
      <c r="AT997" s="224"/>
      <c r="AU997" s="224"/>
    </row>
    <row r="998" ht="15.7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  <c r="AC998" s="224"/>
      <c r="AD998" s="224"/>
      <c r="AE998" s="224"/>
      <c r="AF998" s="224"/>
      <c r="AG998" s="224"/>
      <c r="AH998" s="224"/>
      <c r="AI998" s="224"/>
      <c r="AJ998" s="224"/>
      <c r="AK998" s="224"/>
      <c r="AL998" s="224"/>
      <c r="AM998" s="224"/>
      <c r="AN998" s="224"/>
      <c r="AO998" s="224"/>
      <c r="AP998" s="224"/>
      <c r="AQ998" s="224"/>
      <c r="AR998" s="224"/>
      <c r="AS998" s="224"/>
      <c r="AT998" s="224"/>
      <c r="AU998" s="224"/>
    </row>
    <row r="999" ht="15.7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  <c r="AC999" s="224"/>
      <c r="AD999" s="224"/>
      <c r="AE999" s="224"/>
      <c r="AF999" s="224"/>
      <c r="AG999" s="224"/>
      <c r="AH999" s="224"/>
      <c r="AI999" s="224"/>
      <c r="AJ999" s="224"/>
      <c r="AK999" s="224"/>
      <c r="AL999" s="224"/>
      <c r="AM999" s="224"/>
      <c r="AN999" s="224"/>
      <c r="AO999" s="224"/>
      <c r="AP999" s="224"/>
      <c r="AQ999" s="224"/>
      <c r="AR999" s="224"/>
      <c r="AS999" s="224"/>
      <c r="AT999" s="224"/>
      <c r="AU999" s="224"/>
    </row>
    <row r="1000" ht="15.7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  <c r="AC1000" s="224"/>
      <c r="AD1000" s="224"/>
      <c r="AE1000" s="224"/>
      <c r="AF1000" s="224"/>
      <c r="AG1000" s="224"/>
      <c r="AH1000" s="224"/>
      <c r="AI1000" s="224"/>
      <c r="AJ1000" s="224"/>
      <c r="AK1000" s="224"/>
      <c r="AL1000" s="224"/>
      <c r="AM1000" s="224"/>
      <c r="AN1000" s="224"/>
      <c r="AO1000" s="224"/>
      <c r="AP1000" s="224"/>
      <c r="AQ1000" s="224"/>
      <c r="AR1000" s="224"/>
      <c r="AS1000" s="224"/>
      <c r="AT1000" s="224"/>
      <c r="AU1000" s="224"/>
    </row>
  </sheetData>
  <conditionalFormatting sqref="H25:AB54">
    <cfRule type="cellIs" dxfId="5" priority="1" operator="greaterThan">
      <formula>0</formula>
    </cfRule>
  </conditionalFormatting>
  <conditionalFormatting sqref="A25:AB54">
    <cfRule type="expression" dxfId="6" priority="2">
      <formula>MOD(INT((ROW()-13)/3),2)=0</formula>
    </cfRule>
  </conditionalFormatting>
  <conditionalFormatting sqref="C58:AB72">
    <cfRule type="cellIs" dxfId="5" priority="3" operator="greaterThan">
      <formula>0</formula>
    </cfRule>
  </conditionalFormatting>
  <conditionalFormatting sqref="A58:AB72">
    <cfRule type="expression" dxfId="6" priority="4">
      <formula>ISEVEN($A58)</formula>
    </cfRule>
  </conditionalFormatting>
  <conditionalFormatting sqref="C76:AB90">
    <cfRule type="cellIs" dxfId="5" priority="5" operator="greaterThan">
      <formula>0</formula>
    </cfRule>
  </conditionalFormatting>
  <conditionalFormatting sqref="A76:AB90">
    <cfRule type="expression" dxfId="6" priority="6">
      <formula>ISEVEN($A76)</formula>
    </cfRule>
  </conditionalFormatting>
  <conditionalFormatting sqref="C94:AB108">
    <cfRule type="cellIs" dxfId="5" priority="7" operator="greaterThan">
      <formula>0</formula>
    </cfRule>
  </conditionalFormatting>
  <conditionalFormatting sqref="A94:AB108">
    <cfRule type="expression" dxfId="6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14" t="s">
        <v>49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</row>
    <row r="3">
      <c r="A3" s="149" t="s">
        <v>283</v>
      </c>
      <c r="B3" s="150">
        <v>5.0</v>
      </c>
    </row>
    <row r="4">
      <c r="A4" s="149" t="s">
        <v>284</v>
      </c>
      <c r="B4" s="150">
        <v>1.0</v>
      </c>
    </row>
    <row r="5">
      <c r="A5" s="149" t="s">
        <v>285</v>
      </c>
      <c r="B5" s="150">
        <v>1.0</v>
      </c>
    </row>
    <row r="6">
      <c r="A6" s="149" t="s">
        <v>286</v>
      </c>
      <c r="B6" s="184">
        <v>27.0</v>
      </c>
    </row>
    <row r="7">
      <c r="A7" s="149" t="s">
        <v>190</v>
      </c>
      <c r="B7" s="184">
        <v>1.0</v>
      </c>
    </row>
    <row r="9" ht="19.5" customHeight="1">
      <c r="A9" s="116" t="s">
        <v>116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</row>
    <row r="10" ht="90.0" customHeight="1">
      <c r="A10" s="121" t="s">
        <v>216</v>
      </c>
      <c r="B10" s="221" t="s">
        <v>82</v>
      </c>
      <c r="C10" s="123" t="s">
        <v>68</v>
      </c>
      <c r="D10" s="123" t="s">
        <v>103</v>
      </c>
      <c r="E10" s="123" t="s">
        <v>69</v>
      </c>
      <c r="F10" s="123" t="s">
        <v>70</v>
      </c>
      <c r="G10" s="123" t="s">
        <v>71</v>
      </c>
      <c r="H10" s="123" t="s">
        <v>72</v>
      </c>
      <c r="I10" s="123" t="s">
        <v>73</v>
      </c>
      <c r="J10" s="123" t="s">
        <v>74</v>
      </c>
      <c r="K10" s="123" t="s">
        <v>75</v>
      </c>
      <c r="L10" s="123" t="s">
        <v>76</v>
      </c>
      <c r="M10" s="123" t="s">
        <v>77</v>
      </c>
      <c r="N10" s="123" t="s">
        <v>78</v>
      </c>
      <c r="O10" s="123" t="s">
        <v>118</v>
      </c>
      <c r="P10" s="123" t="s">
        <v>104</v>
      </c>
      <c r="Q10" s="123" t="s">
        <v>105</v>
      </c>
      <c r="R10" s="123" t="s">
        <v>106</v>
      </c>
      <c r="S10" s="123" t="s">
        <v>107</v>
      </c>
      <c r="T10" s="123" t="s">
        <v>108</v>
      </c>
      <c r="U10" s="123" t="s">
        <v>109</v>
      </c>
      <c r="V10" s="123" t="s">
        <v>110</v>
      </c>
    </row>
    <row r="11">
      <c r="A11" s="126">
        <v>1.0</v>
      </c>
      <c r="B11" s="222">
        <v>0.0</v>
      </c>
      <c r="C11" s="125">
        <v>20.0</v>
      </c>
      <c r="D11" s="125">
        <v>0.0</v>
      </c>
      <c r="E11" s="125">
        <v>1.0</v>
      </c>
      <c r="F11" s="125">
        <v>1.0</v>
      </c>
      <c r="G11" s="125">
        <v>1.0</v>
      </c>
      <c r="H11" s="125">
        <v>1.0</v>
      </c>
      <c r="I11" s="125">
        <v>0.0</v>
      </c>
      <c r="J11" s="125">
        <v>0.0</v>
      </c>
      <c r="K11" s="125">
        <v>0.0</v>
      </c>
      <c r="L11" s="125">
        <v>0.0</v>
      </c>
      <c r="M11" s="125">
        <v>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5">
        <v>0.0</v>
      </c>
      <c r="V11" s="125">
        <v>0.0</v>
      </c>
    </row>
    <row r="12">
      <c r="A12" s="126">
        <v>2.0</v>
      </c>
      <c r="B12" s="222">
        <v>0.0</v>
      </c>
      <c r="C12" s="125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0.0</v>
      </c>
      <c r="M12" s="125">
        <v>0.0</v>
      </c>
      <c r="N12" s="125">
        <v>0.0</v>
      </c>
      <c r="O12" s="125">
        <v>0.0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</row>
    <row r="13">
      <c r="A13" s="126">
        <v>3.0</v>
      </c>
      <c r="B13" s="222">
        <v>0.0</v>
      </c>
      <c r="C13" s="125">
        <v>0.0</v>
      </c>
      <c r="D13" s="125">
        <v>0.0</v>
      </c>
      <c r="E13" s="125">
        <v>0.0</v>
      </c>
      <c r="F13" s="125">
        <v>0.0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  <c r="N13" s="125">
        <v>0.0</v>
      </c>
      <c r="O13" s="125">
        <v>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</row>
    <row r="14">
      <c r="A14" s="126">
        <v>4.0</v>
      </c>
      <c r="B14" s="222">
        <v>0.0</v>
      </c>
      <c r="C14" s="125">
        <v>0.0</v>
      </c>
      <c r="D14" s="125">
        <v>0.0</v>
      </c>
      <c r="E14" s="125">
        <v>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</row>
    <row r="15">
      <c r="A15" s="126">
        <v>5.0</v>
      </c>
      <c r="B15" s="222">
        <v>0.0</v>
      </c>
      <c r="C15" s="125">
        <v>0.0</v>
      </c>
      <c r="D15" s="125">
        <v>0.0</v>
      </c>
      <c r="E15" s="125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14" t="s">
        <v>49</v>
      </c>
      <c r="AH1" s="155" t="s">
        <v>287</v>
      </c>
    </row>
    <row r="2" ht="19.5" customHeight="1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AH2" s="156" t="s">
        <v>160</v>
      </c>
      <c r="AI2" s="174" t="s">
        <v>161</v>
      </c>
    </row>
    <row r="3">
      <c r="A3" s="149" t="s">
        <v>283</v>
      </c>
      <c r="B3" s="150">
        <v>5.0</v>
      </c>
      <c r="AH3" s="156" t="s">
        <v>162</v>
      </c>
      <c r="AI3" s="174" t="s">
        <v>163</v>
      </c>
    </row>
    <row r="4">
      <c r="A4" s="149" t="s">
        <v>284</v>
      </c>
      <c r="B4" s="150">
        <v>1.0</v>
      </c>
    </row>
    <row r="5">
      <c r="A5" s="149" t="s">
        <v>285</v>
      </c>
      <c r="B5" s="150">
        <v>1.0</v>
      </c>
      <c r="AH5" s="161" t="s">
        <v>288</v>
      </c>
      <c r="AI5" s="161" t="s">
        <v>289</v>
      </c>
      <c r="AJ5" s="161" t="s">
        <v>166</v>
      </c>
      <c r="AK5" s="161" t="s">
        <v>290</v>
      </c>
      <c r="AL5" s="161" t="s">
        <v>168</v>
      </c>
      <c r="AM5" s="161" t="s">
        <v>291</v>
      </c>
      <c r="AN5" s="161" t="s">
        <v>170</v>
      </c>
      <c r="AO5" s="161" t="s">
        <v>292</v>
      </c>
      <c r="AP5" s="161" t="s">
        <v>172</v>
      </c>
      <c r="AQ5" s="161" t="s">
        <v>293</v>
      </c>
      <c r="AR5" s="161" t="s">
        <v>174</v>
      </c>
    </row>
    <row r="6">
      <c r="A6" s="149" t="s">
        <v>286</v>
      </c>
      <c r="B6" s="184">
        <v>27.0</v>
      </c>
      <c r="AH6" s="235" t="s">
        <v>49</v>
      </c>
      <c r="AI6" s="163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64" t="str">
        <f t="array" ref="AJ6">LET(p,AI6,IF(p="n/a","n/a",IF(p&gt;5,"— (below ladder)",LET(s,INDEX($B$11:$V$15,p,0),b,TEXTJOIN(", ",TRUE,IF(s&gt;0,$B$10:$V$10&amp;": "&amp;ROUND(s,2),"")),IF(b="","{} (rank pays nothing)","{"&amp;b&amp;"}")))))</f>
        <v>{} (rank pays nothing)</v>
      </c>
      <c r="AK6" s="163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64" t="str">
        <f t="array" ref="AL6">LET(p,AK6,IF(p="n/a","n/a",IF(p&gt;5,"— (below ladder)",LET(s,INDEX($B$11:$V$15,p,0),b,TEXTJOIN(", ",TRUE,IF(s&gt;0,$B$10:$V$10&amp;": "&amp;ROUND(s,2),"")),IF(b="","{} (rank pays nothing)","{"&amp;b&amp;"}")))))</f>
        <v>{} (rank pays nothing)</v>
      </c>
      <c r="AM6" s="163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64" t="str">
        <f t="array" ref="AN6">LET(p,AM6,IF(p="n/a","n/a",IF(p&gt;5,"— (below ladder)",LET(s,INDEX($B$11:$V$15,p,0),b,TEXTJOIN(", ",TRUE,IF(s&gt;0,$B$10:$V$10&amp;": "&amp;ROUND(s,2),"")),IF(b="","{} (rank pays nothing)","{"&amp;b&amp;"}")))))</f>
        <v>{} (rank pays nothing)</v>
      </c>
      <c r="AO6" s="163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164" t="str">
        <f t="array" ref="AP6">LET(p,AO6,IF(p="n/a","n/a",IF(p&gt;5,"—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  <c r="AQ6" s="163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64" t="str">
        <f t="array" ref="AR6">LET(p,AQ6,IF(p="n/a","n/a",IF(p&gt;5,"— 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49" t="s">
        <v>190</v>
      </c>
      <c r="B7" s="184">
        <v>1.0</v>
      </c>
    </row>
    <row r="8">
      <c r="AH8" s="180" t="s">
        <v>294</v>
      </c>
    </row>
    <row r="9" ht="19.5" customHeight="1">
      <c r="A9" s="116" t="s">
        <v>116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AH9" s="180" t="s">
        <v>295</v>
      </c>
    </row>
    <row r="10" ht="90.0" customHeight="1">
      <c r="A10" s="121" t="s">
        <v>216</v>
      </c>
      <c r="B10" s="221" t="s">
        <v>82</v>
      </c>
      <c r="C10" s="123" t="s">
        <v>68</v>
      </c>
      <c r="D10" s="123" t="s">
        <v>103</v>
      </c>
      <c r="E10" s="123" t="s">
        <v>69</v>
      </c>
      <c r="F10" s="123" t="s">
        <v>70</v>
      </c>
      <c r="G10" s="123" t="s">
        <v>71</v>
      </c>
      <c r="H10" s="123" t="s">
        <v>72</v>
      </c>
      <c r="I10" s="123" t="s">
        <v>73</v>
      </c>
      <c r="J10" s="123" t="s">
        <v>74</v>
      </c>
      <c r="K10" s="123" t="s">
        <v>75</v>
      </c>
      <c r="L10" s="123" t="s">
        <v>76</v>
      </c>
      <c r="M10" s="123" t="s">
        <v>77</v>
      </c>
      <c r="N10" s="123" t="s">
        <v>78</v>
      </c>
      <c r="O10" s="123" t="s">
        <v>118</v>
      </c>
      <c r="P10" s="123" t="s">
        <v>104</v>
      </c>
      <c r="Q10" s="123" t="s">
        <v>105</v>
      </c>
      <c r="R10" s="123" t="s">
        <v>106</v>
      </c>
      <c r="S10" s="123" t="s">
        <v>107</v>
      </c>
      <c r="T10" s="123" t="s">
        <v>108</v>
      </c>
      <c r="U10" s="123" t="s">
        <v>109</v>
      </c>
      <c r="V10" s="123" t="s">
        <v>110</v>
      </c>
      <c r="AH10" s="236" t="s">
        <v>296</v>
      </c>
    </row>
    <row r="11">
      <c r="A11" s="126">
        <v>1.0</v>
      </c>
      <c r="B11" s="222">
        <v>0.0</v>
      </c>
      <c r="C11" s="125">
        <v>20.0</v>
      </c>
      <c r="D11" s="125">
        <v>0.0</v>
      </c>
      <c r="E11" s="125">
        <v>1.0</v>
      </c>
      <c r="F11" s="125">
        <v>1.0</v>
      </c>
      <c r="G11" s="125">
        <v>1.0</v>
      </c>
      <c r="H11" s="125">
        <v>1.0</v>
      </c>
      <c r="I11" s="125">
        <v>0.0</v>
      </c>
      <c r="J11" s="125">
        <v>0.0</v>
      </c>
      <c r="K11" s="125">
        <v>0.0</v>
      </c>
      <c r="L11" s="125">
        <v>0.0</v>
      </c>
      <c r="M11" s="125">
        <v>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5">
        <v>0.0</v>
      </c>
      <c r="V11" s="125">
        <v>0.0</v>
      </c>
    </row>
    <row r="12">
      <c r="A12" s="126">
        <v>2.0</v>
      </c>
      <c r="B12" s="222">
        <v>0.0</v>
      </c>
      <c r="C12" s="125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0.0</v>
      </c>
      <c r="M12" s="125">
        <v>0.0</v>
      </c>
      <c r="N12" s="125">
        <v>0.0</v>
      </c>
      <c r="O12" s="125">
        <v>0.0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</row>
    <row r="13">
      <c r="A13" s="126">
        <v>3.0</v>
      </c>
      <c r="B13" s="222">
        <v>0.0</v>
      </c>
      <c r="C13" s="125">
        <v>0.0</v>
      </c>
      <c r="D13" s="125">
        <v>0.0</v>
      </c>
      <c r="E13" s="125">
        <v>0.0</v>
      </c>
      <c r="F13" s="125">
        <v>0.0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  <c r="N13" s="125">
        <v>0.0</v>
      </c>
      <c r="O13" s="125">
        <v>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</row>
    <row r="14">
      <c r="A14" s="126">
        <v>4.0</v>
      </c>
      <c r="B14" s="222">
        <v>0.0</v>
      </c>
      <c r="C14" s="125">
        <v>0.0</v>
      </c>
      <c r="D14" s="125">
        <v>0.0</v>
      </c>
      <c r="E14" s="125">
        <v>0.0</v>
      </c>
      <c r="F14" s="125">
        <v>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</row>
    <row r="15">
      <c r="A15" s="126">
        <v>5.0</v>
      </c>
      <c r="B15" s="222">
        <v>0.0</v>
      </c>
      <c r="C15" s="125">
        <v>0.0</v>
      </c>
      <c r="D15" s="125">
        <v>0.0</v>
      </c>
      <c r="E15" s="125">
        <v>0.0</v>
      </c>
      <c r="F15" s="125">
        <v>0.0</v>
      </c>
      <c r="G15" s="125">
        <v>0.0</v>
      </c>
      <c r="H15" s="125">
        <v>0.0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5" priority="1" operator="greaterThan">
      <formula>0</formula>
    </cfRule>
  </conditionalFormatting>
  <conditionalFormatting sqref="A11:V1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114" t="s">
        <v>297</v>
      </c>
    </row>
    <row r="3" ht="19.5" customHeight="1">
      <c r="A3" s="115" t="s">
        <v>298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</row>
    <row r="4">
      <c r="A4" s="149" t="s">
        <v>299</v>
      </c>
      <c r="B4" s="150">
        <v>10.0</v>
      </c>
    </row>
    <row r="5">
      <c r="A5" s="149" t="s">
        <v>300</v>
      </c>
      <c r="B5" s="150">
        <v>10.0</v>
      </c>
    </row>
    <row r="6">
      <c r="A6" s="149" t="s">
        <v>152</v>
      </c>
      <c r="B6" s="184">
        <v>1.0</v>
      </c>
    </row>
    <row r="8" ht="19.5" customHeight="1">
      <c r="A8" s="115" t="s">
        <v>301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</row>
    <row r="9" ht="90.0" customHeight="1">
      <c r="A9" s="121" t="s">
        <v>216</v>
      </c>
      <c r="B9" s="221" t="s">
        <v>82</v>
      </c>
      <c r="C9" s="123" t="s">
        <v>68</v>
      </c>
      <c r="D9" s="123" t="s">
        <v>103</v>
      </c>
      <c r="E9" s="123" t="s">
        <v>69</v>
      </c>
      <c r="F9" s="123" t="s">
        <v>70</v>
      </c>
      <c r="G9" s="123" t="s">
        <v>71</v>
      </c>
      <c r="H9" s="123" t="s">
        <v>72</v>
      </c>
      <c r="I9" s="123" t="s">
        <v>73</v>
      </c>
      <c r="J9" s="123" t="s">
        <v>74</v>
      </c>
      <c r="K9" s="123" t="s">
        <v>75</v>
      </c>
      <c r="L9" s="123" t="s">
        <v>76</v>
      </c>
      <c r="M9" s="123" t="s">
        <v>77</v>
      </c>
      <c r="N9" s="123" t="s">
        <v>78</v>
      </c>
      <c r="O9" s="123" t="s">
        <v>118</v>
      </c>
      <c r="P9" s="123" t="s">
        <v>104</v>
      </c>
      <c r="Q9" s="123" t="s">
        <v>105</v>
      </c>
      <c r="R9" s="123" t="s">
        <v>106</v>
      </c>
      <c r="S9" s="123" t="s">
        <v>107</v>
      </c>
      <c r="T9" s="123" t="s">
        <v>108</v>
      </c>
      <c r="U9" s="123" t="s">
        <v>109</v>
      </c>
      <c r="V9" s="123" t="s">
        <v>110</v>
      </c>
    </row>
    <row r="10">
      <c r="A10" s="126">
        <v>1.0</v>
      </c>
      <c r="B10" s="222">
        <v>200.0</v>
      </c>
      <c r="C10" s="125">
        <v>0.0</v>
      </c>
      <c r="D10" s="125">
        <v>0.0</v>
      </c>
      <c r="E10" s="125">
        <v>0.0</v>
      </c>
      <c r="F10" s="125">
        <v>0.0</v>
      </c>
      <c r="G10" s="125">
        <v>0.0</v>
      </c>
      <c r="H10" s="125">
        <v>0.0</v>
      </c>
      <c r="I10" s="125">
        <v>0.0</v>
      </c>
      <c r="J10" s="125">
        <v>1.0</v>
      </c>
      <c r="K10" s="125">
        <v>0.0</v>
      </c>
      <c r="L10" s="125">
        <v>0.0</v>
      </c>
      <c r="M10" s="125">
        <v>0.0</v>
      </c>
      <c r="N10" s="125">
        <v>0.0</v>
      </c>
      <c r="O10" s="125">
        <v>0.0</v>
      </c>
      <c r="P10" s="125">
        <v>0.0</v>
      </c>
      <c r="Q10" s="125">
        <v>0.0</v>
      </c>
      <c r="R10" s="125">
        <v>0.0</v>
      </c>
      <c r="S10" s="125">
        <v>0.0</v>
      </c>
      <c r="T10" s="125">
        <v>0.0</v>
      </c>
      <c r="U10" s="125">
        <v>0.0</v>
      </c>
      <c r="V10" s="125">
        <v>0.0</v>
      </c>
    </row>
    <row r="11">
      <c r="A11" s="126">
        <v>2.0</v>
      </c>
      <c r="B11" s="222">
        <v>100.0</v>
      </c>
      <c r="C11" s="125">
        <v>0.0</v>
      </c>
      <c r="D11" s="125">
        <v>0.0</v>
      </c>
      <c r="E11" s="125">
        <v>0.0</v>
      </c>
      <c r="F11" s="125">
        <v>0.0</v>
      </c>
      <c r="G11" s="125">
        <v>0.0</v>
      </c>
      <c r="H11" s="125">
        <v>0.0</v>
      </c>
      <c r="I11" s="125">
        <v>1.0</v>
      </c>
      <c r="J11" s="125">
        <v>0.0</v>
      </c>
      <c r="K11" s="125">
        <v>0.0</v>
      </c>
      <c r="L11" s="125">
        <v>0.0</v>
      </c>
      <c r="M11" s="125">
        <v>0.0</v>
      </c>
      <c r="N11" s="125">
        <v>0.0</v>
      </c>
      <c r="O11" s="125">
        <v>0.0</v>
      </c>
      <c r="P11" s="125">
        <v>0.0</v>
      </c>
      <c r="Q11" s="125">
        <v>0.0</v>
      </c>
      <c r="R11" s="125">
        <v>0.0</v>
      </c>
      <c r="S11" s="125">
        <v>0.0</v>
      </c>
      <c r="T11" s="125">
        <v>0.0</v>
      </c>
      <c r="U11" s="125">
        <v>0.0</v>
      </c>
      <c r="V11" s="125">
        <v>0.0</v>
      </c>
    </row>
    <row r="12">
      <c r="A12" s="126">
        <v>3.0</v>
      </c>
      <c r="B12" s="222">
        <v>50.0</v>
      </c>
      <c r="C12" s="125">
        <v>0.0</v>
      </c>
      <c r="D12" s="125">
        <v>0.0</v>
      </c>
      <c r="E12" s="125">
        <v>0.0</v>
      </c>
      <c r="F12" s="125">
        <v>0.0</v>
      </c>
      <c r="G12" s="125">
        <v>0.0</v>
      </c>
      <c r="H12" s="125">
        <v>0.0</v>
      </c>
      <c r="I12" s="125">
        <v>1.0</v>
      </c>
      <c r="J12" s="125">
        <v>0.0</v>
      </c>
      <c r="K12" s="125">
        <v>0.0</v>
      </c>
      <c r="L12" s="125">
        <v>0.0</v>
      </c>
      <c r="M12" s="125">
        <v>0.0</v>
      </c>
      <c r="N12" s="125">
        <v>0.0</v>
      </c>
      <c r="O12" s="125">
        <v>0.0</v>
      </c>
      <c r="P12" s="125">
        <v>0.0</v>
      </c>
      <c r="Q12" s="125">
        <v>0.0</v>
      </c>
      <c r="R12" s="125">
        <v>0.0</v>
      </c>
      <c r="S12" s="125">
        <v>0.0</v>
      </c>
      <c r="T12" s="125">
        <v>0.0</v>
      </c>
      <c r="U12" s="125">
        <v>0.0</v>
      </c>
      <c r="V12" s="125">
        <v>0.0</v>
      </c>
    </row>
    <row r="13">
      <c r="A13" s="126">
        <v>4.0</v>
      </c>
      <c r="B13" s="222">
        <v>0.0</v>
      </c>
      <c r="C13" s="125">
        <v>0.0</v>
      </c>
      <c r="D13" s="125">
        <v>0.0</v>
      </c>
      <c r="E13" s="125">
        <v>0.0</v>
      </c>
      <c r="F13" s="125">
        <v>0.0</v>
      </c>
      <c r="G13" s="125">
        <v>0.0</v>
      </c>
      <c r="H13" s="125">
        <v>0.0</v>
      </c>
      <c r="I13" s="125">
        <v>1.0</v>
      </c>
      <c r="J13" s="125">
        <v>0.0</v>
      </c>
      <c r="K13" s="125">
        <v>0.0</v>
      </c>
      <c r="L13" s="125">
        <v>0.0</v>
      </c>
      <c r="M13" s="125">
        <v>0.0</v>
      </c>
      <c r="N13" s="125">
        <v>0.0</v>
      </c>
      <c r="O13" s="125">
        <v>0.0</v>
      </c>
      <c r="P13" s="125">
        <v>0.0</v>
      </c>
      <c r="Q13" s="125">
        <v>0.0</v>
      </c>
      <c r="R13" s="125">
        <v>0.0</v>
      </c>
      <c r="S13" s="125">
        <v>0.0</v>
      </c>
      <c r="T13" s="125">
        <v>0.0</v>
      </c>
      <c r="U13" s="125">
        <v>0.0</v>
      </c>
      <c r="V13" s="125">
        <v>0.0</v>
      </c>
    </row>
    <row r="14">
      <c r="A14" s="126">
        <v>5.0</v>
      </c>
      <c r="B14" s="222">
        <v>0.0</v>
      </c>
      <c r="C14" s="125">
        <v>0.0</v>
      </c>
      <c r="D14" s="125">
        <v>0.0</v>
      </c>
      <c r="E14" s="125">
        <v>0.0</v>
      </c>
      <c r="F14" s="125">
        <v>0.0</v>
      </c>
      <c r="G14" s="125">
        <v>0.0</v>
      </c>
      <c r="H14" s="125">
        <v>0.0</v>
      </c>
      <c r="I14" s="125">
        <v>1.0</v>
      </c>
      <c r="J14" s="125">
        <v>0.0</v>
      </c>
      <c r="K14" s="125">
        <v>0.0</v>
      </c>
      <c r="L14" s="125">
        <v>0.0</v>
      </c>
      <c r="M14" s="125">
        <v>0.0</v>
      </c>
      <c r="N14" s="125">
        <v>0.0</v>
      </c>
      <c r="O14" s="125">
        <v>0.0</v>
      </c>
      <c r="P14" s="125">
        <v>0.0</v>
      </c>
      <c r="Q14" s="125">
        <v>0.0</v>
      </c>
      <c r="R14" s="125">
        <v>0.0</v>
      </c>
      <c r="S14" s="125">
        <v>0.0</v>
      </c>
      <c r="T14" s="125">
        <v>0.0</v>
      </c>
      <c r="U14" s="125">
        <v>0.0</v>
      </c>
      <c r="V14" s="125">
        <v>0.0</v>
      </c>
    </row>
    <row r="15">
      <c r="A15" s="126">
        <v>6.0</v>
      </c>
      <c r="B15" s="222">
        <v>0.0</v>
      </c>
      <c r="C15" s="125">
        <v>0.0</v>
      </c>
      <c r="D15" s="125">
        <v>0.0</v>
      </c>
      <c r="E15" s="125">
        <v>0.0</v>
      </c>
      <c r="F15" s="125">
        <v>0.0</v>
      </c>
      <c r="G15" s="125">
        <v>0.0</v>
      </c>
      <c r="H15" s="125">
        <v>1.0</v>
      </c>
      <c r="I15" s="125">
        <v>0.0</v>
      </c>
      <c r="J15" s="125">
        <v>0.0</v>
      </c>
      <c r="K15" s="125">
        <v>0.0</v>
      </c>
      <c r="L15" s="125">
        <v>0.0</v>
      </c>
      <c r="M15" s="125">
        <v>0.0</v>
      </c>
      <c r="N15" s="125">
        <v>0.0</v>
      </c>
      <c r="O15" s="125">
        <v>0.0</v>
      </c>
      <c r="P15" s="125">
        <v>0.0</v>
      </c>
      <c r="Q15" s="125">
        <v>0.0</v>
      </c>
      <c r="R15" s="125">
        <v>0.0</v>
      </c>
      <c r="S15" s="125">
        <v>0.0</v>
      </c>
      <c r="T15" s="125">
        <v>0.0</v>
      </c>
      <c r="U15" s="125">
        <v>0.0</v>
      </c>
      <c r="V15" s="125">
        <v>0.0</v>
      </c>
    </row>
    <row r="16">
      <c r="A16" s="126">
        <v>7.0</v>
      </c>
      <c r="B16" s="222">
        <v>0.0</v>
      </c>
      <c r="C16" s="125">
        <v>0.0</v>
      </c>
      <c r="D16" s="125">
        <v>0.0</v>
      </c>
      <c r="E16" s="125">
        <v>0.0</v>
      </c>
      <c r="F16" s="125">
        <v>0.0</v>
      </c>
      <c r="G16" s="125">
        <v>0.0</v>
      </c>
      <c r="H16" s="125">
        <v>1.0</v>
      </c>
      <c r="I16" s="125">
        <v>0.0</v>
      </c>
      <c r="J16" s="125">
        <v>0.0</v>
      </c>
      <c r="K16" s="125">
        <v>0.0</v>
      </c>
      <c r="L16" s="125">
        <v>0.0</v>
      </c>
      <c r="M16" s="125">
        <v>0.0</v>
      </c>
      <c r="N16" s="125">
        <v>0.0</v>
      </c>
      <c r="O16" s="125">
        <v>0.0</v>
      </c>
      <c r="P16" s="125">
        <v>0.0</v>
      </c>
      <c r="Q16" s="125">
        <v>0.0</v>
      </c>
      <c r="R16" s="125">
        <v>0.0</v>
      </c>
      <c r="S16" s="125">
        <v>0.0</v>
      </c>
      <c r="T16" s="125">
        <v>0.0</v>
      </c>
      <c r="U16" s="125">
        <v>0.0</v>
      </c>
      <c r="V16" s="125">
        <v>0.0</v>
      </c>
    </row>
    <row r="17">
      <c r="A17" s="126">
        <v>8.0</v>
      </c>
      <c r="B17" s="222">
        <v>0.0</v>
      </c>
      <c r="C17" s="125">
        <v>0.0</v>
      </c>
      <c r="D17" s="125">
        <v>0.0</v>
      </c>
      <c r="E17" s="125">
        <v>0.0</v>
      </c>
      <c r="F17" s="125">
        <v>0.0</v>
      </c>
      <c r="G17" s="125">
        <v>0.0</v>
      </c>
      <c r="H17" s="125">
        <v>1.0</v>
      </c>
      <c r="I17" s="125">
        <v>0.0</v>
      </c>
      <c r="J17" s="125">
        <v>0.0</v>
      </c>
      <c r="K17" s="125">
        <v>0.0</v>
      </c>
      <c r="L17" s="125">
        <v>0.0</v>
      </c>
      <c r="M17" s="125">
        <v>0.0</v>
      </c>
      <c r="N17" s="125">
        <v>0.0</v>
      </c>
      <c r="O17" s="125">
        <v>0.0</v>
      </c>
      <c r="P17" s="125">
        <v>0.0</v>
      </c>
      <c r="Q17" s="125">
        <v>0.0</v>
      </c>
      <c r="R17" s="125">
        <v>0.0</v>
      </c>
      <c r="S17" s="125">
        <v>0.0</v>
      </c>
      <c r="T17" s="125">
        <v>0.0</v>
      </c>
      <c r="U17" s="125">
        <v>0.0</v>
      </c>
      <c r="V17" s="125">
        <v>0.0</v>
      </c>
    </row>
    <row r="18">
      <c r="A18" s="126">
        <v>9.0</v>
      </c>
      <c r="B18" s="222">
        <v>0.0</v>
      </c>
      <c r="C18" s="125">
        <v>0.0</v>
      </c>
      <c r="D18" s="125">
        <v>0.0</v>
      </c>
      <c r="E18" s="125">
        <v>0.0</v>
      </c>
      <c r="F18" s="125">
        <v>0.0</v>
      </c>
      <c r="G18" s="125">
        <v>0.0</v>
      </c>
      <c r="H18" s="125">
        <v>1.0</v>
      </c>
      <c r="I18" s="125">
        <v>0.0</v>
      </c>
      <c r="J18" s="125">
        <v>0.0</v>
      </c>
      <c r="K18" s="125">
        <v>0.0</v>
      </c>
      <c r="L18" s="125">
        <v>0.0</v>
      </c>
      <c r="M18" s="125">
        <v>0.0</v>
      </c>
      <c r="N18" s="125">
        <v>0.0</v>
      </c>
      <c r="O18" s="125">
        <v>0.0</v>
      </c>
      <c r="P18" s="125">
        <v>0.0</v>
      </c>
      <c r="Q18" s="125">
        <v>0.0</v>
      </c>
      <c r="R18" s="125">
        <v>0.0</v>
      </c>
      <c r="S18" s="125">
        <v>0.0</v>
      </c>
      <c r="T18" s="125">
        <v>0.0</v>
      </c>
      <c r="U18" s="125">
        <v>0.0</v>
      </c>
      <c r="V18" s="125">
        <v>0.0</v>
      </c>
    </row>
    <row r="19">
      <c r="A19" s="126">
        <v>10.0</v>
      </c>
      <c r="B19" s="222">
        <v>0.0</v>
      </c>
      <c r="C19" s="125">
        <v>0.0</v>
      </c>
      <c r="D19" s="125">
        <v>0.0</v>
      </c>
      <c r="E19" s="125">
        <v>0.0</v>
      </c>
      <c r="F19" s="125">
        <v>0.0</v>
      </c>
      <c r="G19" s="125">
        <v>0.0</v>
      </c>
      <c r="H19" s="125">
        <v>1.0</v>
      </c>
      <c r="I19" s="125">
        <v>0.0</v>
      </c>
      <c r="J19" s="125">
        <v>0.0</v>
      </c>
      <c r="K19" s="125">
        <v>0.0</v>
      </c>
      <c r="L19" s="125">
        <v>0.0</v>
      </c>
      <c r="M19" s="125">
        <v>0.0</v>
      </c>
      <c r="N19" s="125">
        <v>0.0</v>
      </c>
      <c r="O19" s="125">
        <v>0.0</v>
      </c>
      <c r="P19" s="125">
        <v>0.0</v>
      </c>
      <c r="Q19" s="125">
        <v>0.0</v>
      </c>
      <c r="R19" s="125">
        <v>0.0</v>
      </c>
      <c r="S19" s="125">
        <v>0.0</v>
      </c>
      <c r="T19" s="125">
        <v>0.0</v>
      </c>
      <c r="U19" s="125">
        <v>0.0</v>
      </c>
      <c r="V19" s="125">
        <v>0.0</v>
      </c>
    </row>
    <row r="21" ht="19.5" customHeight="1">
      <c r="A21" s="115" t="s">
        <v>302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</row>
    <row r="22" ht="15.75" customHeight="1">
      <c r="A22" s="149" t="s">
        <v>299</v>
      </c>
      <c r="B22" s="150">
        <v>10.0</v>
      </c>
    </row>
    <row r="23" ht="15.75" customHeight="1">
      <c r="A23" s="149" t="s">
        <v>300</v>
      </c>
      <c r="B23" s="150">
        <v>10.0</v>
      </c>
    </row>
    <row r="24" ht="15.75" customHeight="1">
      <c r="A24" s="149" t="s">
        <v>152</v>
      </c>
      <c r="B24" s="184">
        <v>1.0</v>
      </c>
    </row>
    <row r="25" ht="15.75" customHeight="1"/>
    <row r="26" ht="19.5" customHeight="1">
      <c r="A26" s="115" t="s">
        <v>303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</row>
    <row r="27" ht="90.0" customHeight="1">
      <c r="A27" s="121" t="s">
        <v>216</v>
      </c>
      <c r="B27" s="221" t="s">
        <v>82</v>
      </c>
      <c r="C27" s="123" t="s">
        <v>68</v>
      </c>
      <c r="D27" s="123" t="s">
        <v>103</v>
      </c>
      <c r="E27" s="123" t="s">
        <v>69</v>
      </c>
      <c r="F27" s="123" t="s">
        <v>70</v>
      </c>
      <c r="G27" s="123" t="s">
        <v>71</v>
      </c>
      <c r="H27" s="123" t="s">
        <v>72</v>
      </c>
      <c r="I27" s="123" t="s">
        <v>73</v>
      </c>
      <c r="J27" s="123" t="s">
        <v>74</v>
      </c>
      <c r="K27" s="123" t="s">
        <v>75</v>
      </c>
      <c r="L27" s="123" t="s">
        <v>76</v>
      </c>
      <c r="M27" s="123" t="s">
        <v>77</v>
      </c>
      <c r="N27" s="123" t="s">
        <v>78</v>
      </c>
      <c r="O27" s="123" t="s">
        <v>118</v>
      </c>
      <c r="P27" s="123" t="s">
        <v>104</v>
      </c>
      <c r="Q27" s="123" t="s">
        <v>105</v>
      </c>
      <c r="R27" s="123" t="s">
        <v>106</v>
      </c>
      <c r="S27" s="123" t="s">
        <v>107</v>
      </c>
      <c r="T27" s="123" t="s">
        <v>108</v>
      </c>
      <c r="U27" s="123" t="s">
        <v>109</v>
      </c>
      <c r="V27" s="123" t="s">
        <v>110</v>
      </c>
    </row>
    <row r="28" ht="15.75" customHeight="1">
      <c r="A28" s="126">
        <v>1.0</v>
      </c>
      <c r="B28" s="222">
        <v>200.0</v>
      </c>
      <c r="C28" s="125">
        <v>0.0</v>
      </c>
      <c r="D28" s="125">
        <v>0.0</v>
      </c>
      <c r="E28" s="125">
        <v>0.0</v>
      </c>
      <c r="F28" s="125">
        <v>0.0</v>
      </c>
      <c r="G28" s="125">
        <v>0.0</v>
      </c>
      <c r="H28" s="125">
        <v>0.0</v>
      </c>
      <c r="I28" s="125">
        <v>0.0</v>
      </c>
      <c r="J28" s="125">
        <v>1.0</v>
      </c>
      <c r="K28" s="125">
        <v>0.0</v>
      </c>
      <c r="L28" s="125">
        <v>0.0</v>
      </c>
      <c r="M28" s="125">
        <v>0.0</v>
      </c>
      <c r="N28" s="125">
        <v>0.0</v>
      </c>
      <c r="O28" s="125">
        <v>0.0</v>
      </c>
      <c r="P28" s="125">
        <v>0.0</v>
      </c>
      <c r="Q28" s="125">
        <v>0.0</v>
      </c>
      <c r="R28" s="125">
        <v>0.0</v>
      </c>
      <c r="S28" s="125">
        <v>0.0</v>
      </c>
      <c r="T28" s="125">
        <v>0.0</v>
      </c>
      <c r="U28" s="125">
        <v>0.0</v>
      </c>
      <c r="V28" s="125">
        <v>0.0</v>
      </c>
    </row>
    <row r="29" ht="15.75" customHeight="1">
      <c r="A29" s="126">
        <v>2.0</v>
      </c>
      <c r="B29" s="222">
        <v>100.0</v>
      </c>
      <c r="C29" s="125">
        <v>0.0</v>
      </c>
      <c r="D29" s="125">
        <v>0.0</v>
      </c>
      <c r="E29" s="125">
        <v>0.0</v>
      </c>
      <c r="F29" s="125">
        <v>0.0</v>
      </c>
      <c r="G29" s="125">
        <v>0.0</v>
      </c>
      <c r="H29" s="125">
        <v>0.0</v>
      </c>
      <c r="I29" s="125">
        <v>1.0</v>
      </c>
      <c r="J29" s="125">
        <v>0.0</v>
      </c>
      <c r="K29" s="125">
        <v>0.0</v>
      </c>
      <c r="L29" s="125">
        <v>0.0</v>
      </c>
      <c r="M29" s="125">
        <v>0.0</v>
      </c>
      <c r="N29" s="125">
        <v>0.0</v>
      </c>
      <c r="O29" s="125">
        <v>0.0</v>
      </c>
      <c r="P29" s="125">
        <v>0.0</v>
      </c>
      <c r="Q29" s="125">
        <v>0.0</v>
      </c>
      <c r="R29" s="125">
        <v>0.0</v>
      </c>
      <c r="S29" s="125">
        <v>0.0</v>
      </c>
      <c r="T29" s="125">
        <v>0.0</v>
      </c>
      <c r="U29" s="125">
        <v>0.0</v>
      </c>
      <c r="V29" s="125">
        <v>0.0</v>
      </c>
    </row>
    <row r="30" ht="15.75" customHeight="1">
      <c r="A30" s="126">
        <v>3.0</v>
      </c>
      <c r="B30" s="222">
        <v>50.0</v>
      </c>
      <c r="C30" s="125">
        <v>0.0</v>
      </c>
      <c r="D30" s="125">
        <v>0.0</v>
      </c>
      <c r="E30" s="125">
        <v>0.0</v>
      </c>
      <c r="F30" s="125">
        <v>0.0</v>
      </c>
      <c r="G30" s="125">
        <v>0.0</v>
      </c>
      <c r="H30" s="125">
        <v>0.0</v>
      </c>
      <c r="I30" s="125">
        <v>1.0</v>
      </c>
      <c r="J30" s="125">
        <v>0.0</v>
      </c>
      <c r="K30" s="125">
        <v>0.0</v>
      </c>
      <c r="L30" s="125">
        <v>0.0</v>
      </c>
      <c r="M30" s="125">
        <v>0.0</v>
      </c>
      <c r="N30" s="125">
        <v>0.0</v>
      </c>
      <c r="O30" s="125">
        <v>0.0</v>
      </c>
      <c r="P30" s="125">
        <v>0.0</v>
      </c>
      <c r="Q30" s="125">
        <v>0.0</v>
      </c>
      <c r="R30" s="125">
        <v>0.0</v>
      </c>
      <c r="S30" s="125">
        <v>0.0</v>
      </c>
      <c r="T30" s="125">
        <v>0.0</v>
      </c>
      <c r="U30" s="125">
        <v>0.0</v>
      </c>
      <c r="V30" s="125">
        <v>0.0</v>
      </c>
    </row>
    <row r="31" ht="15.75" customHeight="1">
      <c r="A31" s="126">
        <v>4.0</v>
      </c>
      <c r="B31" s="222">
        <v>0.0</v>
      </c>
      <c r="C31" s="125">
        <v>0.0</v>
      </c>
      <c r="D31" s="125">
        <v>0.0</v>
      </c>
      <c r="E31" s="125">
        <v>0.0</v>
      </c>
      <c r="F31" s="125">
        <v>0.0</v>
      </c>
      <c r="G31" s="125">
        <v>0.0</v>
      </c>
      <c r="H31" s="125">
        <v>0.0</v>
      </c>
      <c r="I31" s="125">
        <v>1.0</v>
      </c>
      <c r="J31" s="125">
        <v>0.0</v>
      </c>
      <c r="K31" s="125">
        <v>0.0</v>
      </c>
      <c r="L31" s="125">
        <v>0.0</v>
      </c>
      <c r="M31" s="125">
        <v>0.0</v>
      </c>
      <c r="N31" s="125">
        <v>0.0</v>
      </c>
      <c r="O31" s="125">
        <v>0.0</v>
      </c>
      <c r="P31" s="125">
        <v>0.0</v>
      </c>
      <c r="Q31" s="125">
        <v>0.0</v>
      </c>
      <c r="R31" s="125">
        <v>0.0</v>
      </c>
      <c r="S31" s="125">
        <v>0.0</v>
      </c>
      <c r="T31" s="125">
        <v>0.0</v>
      </c>
      <c r="U31" s="125">
        <v>0.0</v>
      </c>
      <c r="V31" s="125">
        <v>0.0</v>
      </c>
    </row>
    <row r="32" ht="15.75" customHeight="1">
      <c r="A32" s="126">
        <v>5.0</v>
      </c>
      <c r="B32" s="222">
        <v>0.0</v>
      </c>
      <c r="C32" s="125">
        <v>0.0</v>
      </c>
      <c r="D32" s="125">
        <v>0.0</v>
      </c>
      <c r="E32" s="125">
        <v>0.0</v>
      </c>
      <c r="F32" s="125">
        <v>0.0</v>
      </c>
      <c r="G32" s="125">
        <v>0.0</v>
      </c>
      <c r="H32" s="125">
        <v>0.0</v>
      </c>
      <c r="I32" s="125">
        <v>1.0</v>
      </c>
      <c r="J32" s="125">
        <v>0.0</v>
      </c>
      <c r="K32" s="125">
        <v>0.0</v>
      </c>
      <c r="L32" s="125">
        <v>0.0</v>
      </c>
      <c r="M32" s="125">
        <v>0.0</v>
      </c>
      <c r="N32" s="125">
        <v>0.0</v>
      </c>
      <c r="O32" s="125">
        <v>0.0</v>
      </c>
      <c r="P32" s="125">
        <v>0.0</v>
      </c>
      <c r="Q32" s="125">
        <v>0.0</v>
      </c>
      <c r="R32" s="125">
        <v>0.0</v>
      </c>
      <c r="S32" s="125">
        <v>0.0</v>
      </c>
      <c r="T32" s="125">
        <v>0.0</v>
      </c>
      <c r="U32" s="125">
        <v>0.0</v>
      </c>
      <c r="V32" s="125">
        <v>0.0</v>
      </c>
    </row>
    <row r="33" ht="15.75" customHeight="1">
      <c r="A33" s="126">
        <v>6.0</v>
      </c>
      <c r="B33" s="222">
        <v>0.0</v>
      </c>
      <c r="C33" s="125">
        <v>0.0</v>
      </c>
      <c r="D33" s="125">
        <v>0.0</v>
      </c>
      <c r="E33" s="125">
        <v>0.0</v>
      </c>
      <c r="F33" s="125">
        <v>0.0</v>
      </c>
      <c r="G33" s="125">
        <v>0.0</v>
      </c>
      <c r="H33" s="125">
        <v>1.0</v>
      </c>
      <c r="I33" s="125">
        <v>0.0</v>
      </c>
      <c r="J33" s="125">
        <v>0.0</v>
      </c>
      <c r="K33" s="125">
        <v>0.0</v>
      </c>
      <c r="L33" s="125">
        <v>0.0</v>
      </c>
      <c r="M33" s="125">
        <v>0.0</v>
      </c>
      <c r="N33" s="125">
        <v>0.0</v>
      </c>
      <c r="O33" s="125">
        <v>0.0</v>
      </c>
      <c r="P33" s="125">
        <v>0.0</v>
      </c>
      <c r="Q33" s="125">
        <v>0.0</v>
      </c>
      <c r="R33" s="125">
        <v>0.0</v>
      </c>
      <c r="S33" s="125">
        <v>0.0</v>
      </c>
      <c r="T33" s="125">
        <v>0.0</v>
      </c>
      <c r="U33" s="125">
        <v>0.0</v>
      </c>
      <c r="V33" s="125">
        <v>0.0</v>
      </c>
    </row>
    <row r="34" ht="15.75" customHeight="1">
      <c r="A34" s="126">
        <v>7.0</v>
      </c>
      <c r="B34" s="222">
        <v>0.0</v>
      </c>
      <c r="C34" s="125">
        <v>0.0</v>
      </c>
      <c r="D34" s="125">
        <v>0.0</v>
      </c>
      <c r="E34" s="125">
        <v>0.0</v>
      </c>
      <c r="F34" s="125">
        <v>0.0</v>
      </c>
      <c r="G34" s="125">
        <v>0.0</v>
      </c>
      <c r="H34" s="125">
        <v>1.0</v>
      </c>
      <c r="I34" s="125">
        <v>0.0</v>
      </c>
      <c r="J34" s="125">
        <v>0.0</v>
      </c>
      <c r="K34" s="125">
        <v>0.0</v>
      </c>
      <c r="L34" s="125">
        <v>0.0</v>
      </c>
      <c r="M34" s="125">
        <v>0.0</v>
      </c>
      <c r="N34" s="125">
        <v>0.0</v>
      </c>
      <c r="O34" s="125">
        <v>0.0</v>
      </c>
      <c r="P34" s="125">
        <v>0.0</v>
      </c>
      <c r="Q34" s="125">
        <v>0.0</v>
      </c>
      <c r="R34" s="125">
        <v>0.0</v>
      </c>
      <c r="S34" s="125">
        <v>0.0</v>
      </c>
      <c r="T34" s="125">
        <v>0.0</v>
      </c>
      <c r="U34" s="125">
        <v>0.0</v>
      </c>
      <c r="V34" s="125">
        <v>0.0</v>
      </c>
    </row>
    <row r="35" ht="15.75" customHeight="1">
      <c r="A35" s="126">
        <v>8.0</v>
      </c>
      <c r="B35" s="222">
        <v>0.0</v>
      </c>
      <c r="C35" s="125">
        <v>0.0</v>
      </c>
      <c r="D35" s="125">
        <v>0.0</v>
      </c>
      <c r="E35" s="125">
        <v>0.0</v>
      </c>
      <c r="F35" s="125">
        <v>0.0</v>
      </c>
      <c r="G35" s="125">
        <v>0.0</v>
      </c>
      <c r="H35" s="125">
        <v>1.0</v>
      </c>
      <c r="I35" s="125">
        <v>0.0</v>
      </c>
      <c r="J35" s="125">
        <v>0.0</v>
      </c>
      <c r="K35" s="125">
        <v>0.0</v>
      </c>
      <c r="L35" s="125">
        <v>0.0</v>
      </c>
      <c r="M35" s="125">
        <v>0.0</v>
      </c>
      <c r="N35" s="125">
        <v>0.0</v>
      </c>
      <c r="O35" s="125">
        <v>0.0</v>
      </c>
      <c r="P35" s="125">
        <v>0.0</v>
      </c>
      <c r="Q35" s="125">
        <v>0.0</v>
      </c>
      <c r="R35" s="125">
        <v>0.0</v>
      </c>
      <c r="S35" s="125">
        <v>0.0</v>
      </c>
      <c r="T35" s="125">
        <v>0.0</v>
      </c>
      <c r="U35" s="125">
        <v>0.0</v>
      </c>
      <c r="V35" s="125">
        <v>0.0</v>
      </c>
    </row>
    <row r="36" ht="15.75" customHeight="1">
      <c r="A36" s="126">
        <v>9.0</v>
      </c>
      <c r="B36" s="222">
        <v>0.0</v>
      </c>
      <c r="C36" s="125">
        <v>0.0</v>
      </c>
      <c r="D36" s="125">
        <v>0.0</v>
      </c>
      <c r="E36" s="125">
        <v>0.0</v>
      </c>
      <c r="F36" s="125">
        <v>0.0</v>
      </c>
      <c r="G36" s="125">
        <v>0.0</v>
      </c>
      <c r="H36" s="125">
        <v>1.0</v>
      </c>
      <c r="I36" s="125">
        <v>0.0</v>
      </c>
      <c r="J36" s="125">
        <v>0.0</v>
      </c>
      <c r="K36" s="125">
        <v>0.0</v>
      </c>
      <c r="L36" s="125">
        <v>0.0</v>
      </c>
      <c r="M36" s="125">
        <v>0.0</v>
      </c>
      <c r="N36" s="125">
        <v>0.0</v>
      </c>
      <c r="O36" s="125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25">
        <v>0.0</v>
      </c>
      <c r="V36" s="125">
        <v>0.0</v>
      </c>
    </row>
    <row r="37" ht="15.75" customHeight="1">
      <c r="A37" s="126">
        <v>10.0</v>
      </c>
      <c r="B37" s="222">
        <v>0.0</v>
      </c>
      <c r="C37" s="125">
        <v>0.0</v>
      </c>
      <c r="D37" s="125">
        <v>0.0</v>
      </c>
      <c r="E37" s="125">
        <v>0.0</v>
      </c>
      <c r="F37" s="125">
        <v>0.0</v>
      </c>
      <c r="G37" s="125">
        <v>0.0</v>
      </c>
      <c r="H37" s="125">
        <v>1.0</v>
      </c>
      <c r="I37" s="125">
        <v>0.0</v>
      </c>
      <c r="J37" s="125">
        <v>0.0</v>
      </c>
      <c r="K37" s="125">
        <v>0.0</v>
      </c>
      <c r="L37" s="125">
        <v>0.0</v>
      </c>
      <c r="M37" s="125">
        <v>0.0</v>
      </c>
      <c r="N37" s="125">
        <v>0.0</v>
      </c>
      <c r="O37" s="125">
        <v>0.0</v>
      </c>
      <c r="P37" s="125">
        <v>0.0</v>
      </c>
      <c r="Q37" s="125">
        <v>0.0</v>
      </c>
      <c r="R37" s="125">
        <v>0.0</v>
      </c>
      <c r="S37" s="125">
        <v>0.0</v>
      </c>
      <c r="T37" s="125">
        <v>0.0</v>
      </c>
      <c r="U37" s="125">
        <v>0.0</v>
      </c>
      <c r="V37" s="125">
        <v>0.0</v>
      </c>
    </row>
    <row r="38" ht="15.75" customHeight="1"/>
    <row r="39" ht="19.5" customHeight="1">
      <c r="A39" s="115" t="s">
        <v>304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</row>
    <row r="40" ht="15.75" customHeight="1">
      <c r="A40" s="149" t="s">
        <v>299</v>
      </c>
      <c r="B40" s="150">
        <v>10.0</v>
      </c>
    </row>
    <row r="41" ht="15.75" customHeight="1">
      <c r="A41" s="149" t="s">
        <v>300</v>
      </c>
      <c r="B41" s="150">
        <v>10.0</v>
      </c>
    </row>
    <row r="42" ht="15.75" customHeight="1">
      <c r="A42" s="149" t="s">
        <v>152</v>
      </c>
      <c r="B42" s="184">
        <v>1.0</v>
      </c>
    </row>
    <row r="43" ht="15.75" customHeight="1"/>
    <row r="44" ht="19.5" customHeight="1">
      <c r="A44" s="115" t="s">
        <v>305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</row>
    <row r="45" ht="90.0" customHeight="1">
      <c r="A45" s="121" t="s">
        <v>216</v>
      </c>
      <c r="B45" s="221" t="s">
        <v>82</v>
      </c>
      <c r="C45" s="123" t="s">
        <v>68</v>
      </c>
      <c r="D45" s="123" t="s">
        <v>103</v>
      </c>
      <c r="E45" s="123" t="s">
        <v>69</v>
      </c>
      <c r="F45" s="123" t="s">
        <v>70</v>
      </c>
      <c r="G45" s="123" t="s">
        <v>71</v>
      </c>
      <c r="H45" s="123" t="s">
        <v>72</v>
      </c>
      <c r="I45" s="123" t="s">
        <v>73</v>
      </c>
      <c r="J45" s="123" t="s">
        <v>74</v>
      </c>
      <c r="K45" s="123" t="s">
        <v>75</v>
      </c>
      <c r="L45" s="123" t="s">
        <v>76</v>
      </c>
      <c r="M45" s="123" t="s">
        <v>77</v>
      </c>
      <c r="N45" s="123" t="s">
        <v>78</v>
      </c>
      <c r="O45" s="123" t="s">
        <v>118</v>
      </c>
      <c r="P45" s="123" t="s">
        <v>104</v>
      </c>
      <c r="Q45" s="123" t="s">
        <v>105</v>
      </c>
      <c r="R45" s="123" t="s">
        <v>106</v>
      </c>
      <c r="S45" s="123" t="s">
        <v>107</v>
      </c>
      <c r="T45" s="123" t="s">
        <v>108</v>
      </c>
      <c r="U45" s="123" t="s">
        <v>109</v>
      </c>
      <c r="V45" s="123" t="s">
        <v>110</v>
      </c>
    </row>
    <row r="46" ht="15.75" customHeight="1">
      <c r="A46" s="126">
        <v>1.0</v>
      </c>
      <c r="B46" s="222">
        <v>200.0</v>
      </c>
      <c r="C46" s="125">
        <v>0.0</v>
      </c>
      <c r="D46" s="125">
        <v>0.0</v>
      </c>
      <c r="E46" s="125">
        <v>0.0</v>
      </c>
      <c r="F46" s="125">
        <v>0.0</v>
      </c>
      <c r="G46" s="125">
        <v>0.0</v>
      </c>
      <c r="H46" s="125">
        <v>0.0</v>
      </c>
      <c r="I46" s="125">
        <v>0.0</v>
      </c>
      <c r="J46" s="125">
        <v>1.0</v>
      </c>
      <c r="K46" s="125">
        <v>0.0</v>
      </c>
      <c r="L46" s="125">
        <v>0.0</v>
      </c>
      <c r="M46" s="125">
        <v>0.0</v>
      </c>
      <c r="N46" s="125">
        <v>0.0</v>
      </c>
      <c r="O46" s="125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5">
        <v>0.0</v>
      </c>
      <c r="V46" s="125">
        <v>0.0</v>
      </c>
    </row>
    <row r="47" ht="15.75" customHeight="1">
      <c r="A47" s="126">
        <v>2.0</v>
      </c>
      <c r="B47" s="222">
        <v>100.0</v>
      </c>
      <c r="C47" s="125">
        <v>0.0</v>
      </c>
      <c r="D47" s="125">
        <v>0.0</v>
      </c>
      <c r="E47" s="125">
        <v>0.0</v>
      </c>
      <c r="F47" s="125">
        <v>0.0</v>
      </c>
      <c r="G47" s="125">
        <v>0.0</v>
      </c>
      <c r="H47" s="125">
        <v>0.0</v>
      </c>
      <c r="I47" s="125">
        <v>1.0</v>
      </c>
      <c r="J47" s="125">
        <v>0.0</v>
      </c>
      <c r="K47" s="125">
        <v>0.0</v>
      </c>
      <c r="L47" s="125">
        <v>0.0</v>
      </c>
      <c r="M47" s="125">
        <v>0.0</v>
      </c>
      <c r="N47" s="125">
        <v>0.0</v>
      </c>
      <c r="O47" s="125">
        <v>0.0</v>
      </c>
      <c r="P47" s="125">
        <v>0.0</v>
      </c>
      <c r="Q47" s="125">
        <v>0.0</v>
      </c>
      <c r="R47" s="125">
        <v>0.0</v>
      </c>
      <c r="S47" s="125">
        <v>0.0</v>
      </c>
      <c r="T47" s="125">
        <v>0.0</v>
      </c>
      <c r="U47" s="125">
        <v>0.0</v>
      </c>
      <c r="V47" s="125">
        <v>0.0</v>
      </c>
    </row>
    <row r="48" ht="15.75" customHeight="1">
      <c r="A48" s="126">
        <v>3.0</v>
      </c>
      <c r="B48" s="222">
        <v>50.0</v>
      </c>
      <c r="C48" s="125">
        <v>0.0</v>
      </c>
      <c r="D48" s="125">
        <v>0.0</v>
      </c>
      <c r="E48" s="125">
        <v>0.0</v>
      </c>
      <c r="F48" s="125">
        <v>0.0</v>
      </c>
      <c r="G48" s="125">
        <v>0.0</v>
      </c>
      <c r="H48" s="125">
        <v>0.0</v>
      </c>
      <c r="I48" s="125">
        <v>1.0</v>
      </c>
      <c r="J48" s="125">
        <v>0.0</v>
      </c>
      <c r="K48" s="125">
        <v>0.0</v>
      </c>
      <c r="L48" s="125">
        <v>0.0</v>
      </c>
      <c r="M48" s="125">
        <v>0.0</v>
      </c>
      <c r="N48" s="125">
        <v>0.0</v>
      </c>
      <c r="O48" s="125">
        <v>0.0</v>
      </c>
      <c r="P48" s="125">
        <v>0.0</v>
      </c>
      <c r="Q48" s="125">
        <v>0.0</v>
      </c>
      <c r="R48" s="125">
        <v>0.0</v>
      </c>
      <c r="S48" s="125">
        <v>0.0</v>
      </c>
      <c r="T48" s="125">
        <v>0.0</v>
      </c>
      <c r="U48" s="125">
        <v>0.0</v>
      </c>
      <c r="V48" s="125">
        <v>0.0</v>
      </c>
    </row>
    <row r="49" ht="15.75" customHeight="1">
      <c r="A49" s="126">
        <v>4.0</v>
      </c>
      <c r="B49" s="222">
        <v>0.0</v>
      </c>
      <c r="C49" s="125">
        <v>0.0</v>
      </c>
      <c r="D49" s="125">
        <v>0.0</v>
      </c>
      <c r="E49" s="125">
        <v>0.0</v>
      </c>
      <c r="F49" s="125">
        <v>0.0</v>
      </c>
      <c r="G49" s="125">
        <v>0.0</v>
      </c>
      <c r="H49" s="125">
        <v>0.0</v>
      </c>
      <c r="I49" s="125">
        <v>1.0</v>
      </c>
      <c r="J49" s="125">
        <v>0.0</v>
      </c>
      <c r="K49" s="125">
        <v>0.0</v>
      </c>
      <c r="L49" s="125">
        <v>0.0</v>
      </c>
      <c r="M49" s="125">
        <v>0.0</v>
      </c>
      <c r="N49" s="125">
        <v>0.0</v>
      </c>
      <c r="O49" s="125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5">
        <v>0.0</v>
      </c>
      <c r="V49" s="125">
        <v>0.0</v>
      </c>
    </row>
    <row r="50" ht="15.75" customHeight="1">
      <c r="A50" s="126">
        <v>5.0</v>
      </c>
      <c r="B50" s="222">
        <v>0.0</v>
      </c>
      <c r="C50" s="125">
        <v>0.0</v>
      </c>
      <c r="D50" s="125">
        <v>0.0</v>
      </c>
      <c r="E50" s="125">
        <v>0.0</v>
      </c>
      <c r="F50" s="125">
        <v>0.0</v>
      </c>
      <c r="G50" s="125">
        <v>0.0</v>
      </c>
      <c r="H50" s="125">
        <v>0.0</v>
      </c>
      <c r="I50" s="125">
        <v>1.0</v>
      </c>
      <c r="J50" s="125">
        <v>0.0</v>
      </c>
      <c r="K50" s="125">
        <v>0.0</v>
      </c>
      <c r="L50" s="125">
        <v>0.0</v>
      </c>
      <c r="M50" s="125">
        <v>0.0</v>
      </c>
      <c r="N50" s="125">
        <v>0.0</v>
      </c>
      <c r="O50" s="125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</row>
    <row r="51" ht="15.75" customHeight="1">
      <c r="A51" s="126">
        <v>6.0</v>
      </c>
      <c r="B51" s="222">
        <v>0.0</v>
      </c>
      <c r="C51" s="125">
        <v>0.0</v>
      </c>
      <c r="D51" s="125">
        <v>0.0</v>
      </c>
      <c r="E51" s="125">
        <v>0.0</v>
      </c>
      <c r="F51" s="125">
        <v>0.0</v>
      </c>
      <c r="G51" s="125">
        <v>0.0</v>
      </c>
      <c r="H51" s="125">
        <v>1.0</v>
      </c>
      <c r="I51" s="125">
        <v>0.0</v>
      </c>
      <c r="J51" s="125">
        <v>0.0</v>
      </c>
      <c r="K51" s="125">
        <v>0.0</v>
      </c>
      <c r="L51" s="125">
        <v>0.0</v>
      </c>
      <c r="M51" s="125">
        <v>0.0</v>
      </c>
      <c r="N51" s="125">
        <v>0.0</v>
      </c>
      <c r="O51" s="125">
        <v>0.0</v>
      </c>
      <c r="P51" s="125">
        <v>0.0</v>
      </c>
      <c r="Q51" s="125">
        <v>0.0</v>
      </c>
      <c r="R51" s="125">
        <v>0.0</v>
      </c>
      <c r="S51" s="125">
        <v>0.0</v>
      </c>
      <c r="T51" s="125">
        <v>0.0</v>
      </c>
      <c r="U51" s="125">
        <v>0.0</v>
      </c>
      <c r="V51" s="125">
        <v>0.0</v>
      </c>
    </row>
    <row r="52" ht="15.75" customHeight="1">
      <c r="A52" s="126">
        <v>7.0</v>
      </c>
      <c r="B52" s="222">
        <v>0.0</v>
      </c>
      <c r="C52" s="125">
        <v>0.0</v>
      </c>
      <c r="D52" s="125">
        <v>0.0</v>
      </c>
      <c r="E52" s="125">
        <v>0.0</v>
      </c>
      <c r="F52" s="125">
        <v>0.0</v>
      </c>
      <c r="G52" s="125">
        <v>0.0</v>
      </c>
      <c r="H52" s="125">
        <v>1.0</v>
      </c>
      <c r="I52" s="125">
        <v>0.0</v>
      </c>
      <c r="J52" s="125">
        <v>0.0</v>
      </c>
      <c r="K52" s="125">
        <v>0.0</v>
      </c>
      <c r="L52" s="125">
        <v>0.0</v>
      </c>
      <c r="M52" s="125">
        <v>0.0</v>
      </c>
      <c r="N52" s="125">
        <v>0.0</v>
      </c>
      <c r="O52" s="125">
        <v>0.0</v>
      </c>
      <c r="P52" s="125">
        <v>0.0</v>
      </c>
      <c r="Q52" s="125">
        <v>0.0</v>
      </c>
      <c r="R52" s="125">
        <v>0.0</v>
      </c>
      <c r="S52" s="125">
        <v>0.0</v>
      </c>
      <c r="T52" s="125">
        <v>0.0</v>
      </c>
      <c r="U52" s="125">
        <v>0.0</v>
      </c>
      <c r="V52" s="125">
        <v>0.0</v>
      </c>
    </row>
    <row r="53" ht="15.75" customHeight="1">
      <c r="A53" s="126">
        <v>8.0</v>
      </c>
      <c r="B53" s="222">
        <v>0.0</v>
      </c>
      <c r="C53" s="125">
        <v>0.0</v>
      </c>
      <c r="D53" s="125">
        <v>0.0</v>
      </c>
      <c r="E53" s="125">
        <v>0.0</v>
      </c>
      <c r="F53" s="125">
        <v>0.0</v>
      </c>
      <c r="G53" s="125">
        <v>0.0</v>
      </c>
      <c r="H53" s="125">
        <v>1.0</v>
      </c>
      <c r="I53" s="125">
        <v>0.0</v>
      </c>
      <c r="J53" s="125">
        <v>0.0</v>
      </c>
      <c r="K53" s="125">
        <v>0.0</v>
      </c>
      <c r="L53" s="125">
        <v>0.0</v>
      </c>
      <c r="M53" s="125">
        <v>0.0</v>
      </c>
      <c r="N53" s="125">
        <v>0.0</v>
      </c>
      <c r="O53" s="125">
        <v>0.0</v>
      </c>
      <c r="P53" s="125">
        <v>0.0</v>
      </c>
      <c r="Q53" s="125">
        <v>0.0</v>
      </c>
      <c r="R53" s="125">
        <v>0.0</v>
      </c>
      <c r="S53" s="125">
        <v>0.0</v>
      </c>
      <c r="T53" s="125">
        <v>0.0</v>
      </c>
      <c r="U53" s="125">
        <v>0.0</v>
      </c>
      <c r="V53" s="125">
        <v>0.0</v>
      </c>
    </row>
    <row r="54" ht="15.75" customHeight="1">
      <c r="A54" s="126">
        <v>9.0</v>
      </c>
      <c r="B54" s="222">
        <v>0.0</v>
      </c>
      <c r="C54" s="125">
        <v>0.0</v>
      </c>
      <c r="D54" s="125">
        <v>0.0</v>
      </c>
      <c r="E54" s="125">
        <v>0.0</v>
      </c>
      <c r="F54" s="125">
        <v>0.0</v>
      </c>
      <c r="G54" s="125">
        <v>0.0</v>
      </c>
      <c r="H54" s="125">
        <v>1.0</v>
      </c>
      <c r="I54" s="125">
        <v>0.0</v>
      </c>
      <c r="J54" s="125">
        <v>0.0</v>
      </c>
      <c r="K54" s="125">
        <v>0.0</v>
      </c>
      <c r="L54" s="125">
        <v>0.0</v>
      </c>
      <c r="M54" s="125">
        <v>0.0</v>
      </c>
      <c r="N54" s="125">
        <v>0.0</v>
      </c>
      <c r="O54" s="125">
        <v>0.0</v>
      </c>
      <c r="P54" s="125">
        <v>0.0</v>
      </c>
      <c r="Q54" s="125">
        <v>0.0</v>
      </c>
      <c r="R54" s="125">
        <v>0.0</v>
      </c>
      <c r="S54" s="125">
        <v>0.0</v>
      </c>
      <c r="T54" s="125">
        <v>0.0</v>
      </c>
      <c r="U54" s="125">
        <v>0.0</v>
      </c>
      <c r="V54" s="125">
        <v>0.0</v>
      </c>
    </row>
    <row r="55" ht="15.75" customHeight="1">
      <c r="A55" s="126">
        <v>10.0</v>
      </c>
      <c r="B55" s="222">
        <v>0.0</v>
      </c>
      <c r="C55" s="125">
        <v>0.0</v>
      </c>
      <c r="D55" s="125">
        <v>0.0</v>
      </c>
      <c r="E55" s="125">
        <v>0.0</v>
      </c>
      <c r="F55" s="125">
        <v>0.0</v>
      </c>
      <c r="G55" s="125">
        <v>0.0</v>
      </c>
      <c r="H55" s="125">
        <v>1.0</v>
      </c>
      <c r="I55" s="125">
        <v>0.0</v>
      </c>
      <c r="J55" s="125">
        <v>0.0</v>
      </c>
      <c r="K55" s="125">
        <v>0.0</v>
      </c>
      <c r="L55" s="125">
        <v>0.0</v>
      </c>
      <c r="M55" s="125">
        <v>0.0</v>
      </c>
      <c r="N55" s="125">
        <v>0.0</v>
      </c>
      <c r="O55" s="125">
        <v>0.0</v>
      </c>
      <c r="P55" s="125">
        <v>0.0</v>
      </c>
      <c r="Q55" s="125">
        <v>0.0</v>
      </c>
      <c r="R55" s="125">
        <v>0.0</v>
      </c>
      <c r="S55" s="125">
        <v>0.0</v>
      </c>
      <c r="T55" s="125">
        <v>0.0</v>
      </c>
      <c r="U55" s="125">
        <v>0.0</v>
      </c>
      <c r="V55" s="125">
        <v>0.0</v>
      </c>
    </row>
    <row r="56" ht="15.75" customHeight="1"/>
    <row r="57" ht="19.5" customHeight="1">
      <c r="A57" s="115" t="s">
        <v>306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</row>
    <row r="58" ht="15.75" customHeight="1">
      <c r="A58" s="149" t="s">
        <v>299</v>
      </c>
      <c r="B58" s="150">
        <v>10.0</v>
      </c>
    </row>
    <row r="59" ht="15.75" customHeight="1">
      <c r="A59" s="149" t="s">
        <v>300</v>
      </c>
      <c r="B59" s="150">
        <v>10.0</v>
      </c>
    </row>
    <row r="60" ht="15.75" customHeight="1">
      <c r="A60" s="149" t="s">
        <v>152</v>
      </c>
      <c r="B60" s="184">
        <v>1.0</v>
      </c>
    </row>
    <row r="61" ht="15.75" customHeight="1"/>
    <row r="62" ht="19.5" customHeight="1">
      <c r="A62" s="115" t="s">
        <v>307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</row>
    <row r="63" ht="90.0" customHeight="1">
      <c r="A63" s="121" t="s">
        <v>216</v>
      </c>
      <c r="B63" s="221" t="s">
        <v>82</v>
      </c>
      <c r="C63" s="123" t="s">
        <v>68</v>
      </c>
      <c r="D63" s="123" t="s">
        <v>103</v>
      </c>
      <c r="E63" s="123" t="s">
        <v>69</v>
      </c>
      <c r="F63" s="123" t="s">
        <v>70</v>
      </c>
      <c r="G63" s="123" t="s">
        <v>71</v>
      </c>
      <c r="H63" s="123" t="s">
        <v>72</v>
      </c>
      <c r="I63" s="123" t="s">
        <v>73</v>
      </c>
      <c r="J63" s="123" t="s">
        <v>74</v>
      </c>
      <c r="K63" s="123" t="s">
        <v>75</v>
      </c>
      <c r="L63" s="123" t="s">
        <v>76</v>
      </c>
      <c r="M63" s="123" t="s">
        <v>77</v>
      </c>
      <c r="N63" s="123" t="s">
        <v>78</v>
      </c>
      <c r="O63" s="123" t="s">
        <v>118</v>
      </c>
      <c r="P63" s="123" t="s">
        <v>104</v>
      </c>
      <c r="Q63" s="123" t="s">
        <v>105</v>
      </c>
      <c r="R63" s="123" t="s">
        <v>106</v>
      </c>
      <c r="S63" s="123" t="s">
        <v>107</v>
      </c>
      <c r="T63" s="123" t="s">
        <v>108</v>
      </c>
      <c r="U63" s="123" t="s">
        <v>109</v>
      </c>
      <c r="V63" s="123" t="s">
        <v>110</v>
      </c>
    </row>
    <row r="64" ht="15.75" customHeight="1">
      <c r="A64" s="126">
        <v>1.0</v>
      </c>
      <c r="B64" s="222">
        <v>200.0</v>
      </c>
      <c r="C64" s="125">
        <v>0.0</v>
      </c>
      <c r="D64" s="125">
        <v>0.0</v>
      </c>
      <c r="E64" s="125">
        <v>0.0</v>
      </c>
      <c r="F64" s="125">
        <v>0.0</v>
      </c>
      <c r="G64" s="125">
        <v>0.0</v>
      </c>
      <c r="H64" s="125">
        <v>0.0</v>
      </c>
      <c r="I64" s="125">
        <v>0.0</v>
      </c>
      <c r="J64" s="125">
        <v>1.0</v>
      </c>
      <c r="K64" s="125">
        <v>0.0</v>
      </c>
      <c r="L64" s="125">
        <v>0.0</v>
      </c>
      <c r="M64" s="125">
        <v>0.0</v>
      </c>
      <c r="N64" s="125">
        <v>0.0</v>
      </c>
      <c r="O64" s="125">
        <v>0.0</v>
      </c>
      <c r="P64" s="125">
        <v>0.0</v>
      </c>
      <c r="Q64" s="125">
        <v>0.0</v>
      </c>
      <c r="R64" s="125">
        <v>0.0</v>
      </c>
      <c r="S64" s="125">
        <v>0.0</v>
      </c>
      <c r="T64" s="125">
        <v>0.0</v>
      </c>
      <c r="U64" s="125">
        <v>0.0</v>
      </c>
      <c r="V64" s="125">
        <v>0.0</v>
      </c>
    </row>
    <row r="65" ht="15.75" customHeight="1">
      <c r="A65" s="126">
        <v>2.0</v>
      </c>
      <c r="B65" s="222">
        <v>100.0</v>
      </c>
      <c r="C65" s="125">
        <v>0.0</v>
      </c>
      <c r="D65" s="125">
        <v>0.0</v>
      </c>
      <c r="E65" s="125">
        <v>0.0</v>
      </c>
      <c r="F65" s="125">
        <v>0.0</v>
      </c>
      <c r="G65" s="125">
        <v>0.0</v>
      </c>
      <c r="H65" s="125">
        <v>0.0</v>
      </c>
      <c r="I65" s="125">
        <v>1.0</v>
      </c>
      <c r="J65" s="125">
        <v>0.0</v>
      </c>
      <c r="K65" s="125">
        <v>0.0</v>
      </c>
      <c r="L65" s="125">
        <v>0.0</v>
      </c>
      <c r="M65" s="125">
        <v>0.0</v>
      </c>
      <c r="N65" s="125">
        <v>0.0</v>
      </c>
      <c r="O65" s="125">
        <v>0.0</v>
      </c>
      <c r="P65" s="125">
        <v>0.0</v>
      </c>
      <c r="Q65" s="125">
        <v>0.0</v>
      </c>
      <c r="R65" s="125">
        <v>0.0</v>
      </c>
      <c r="S65" s="125">
        <v>0.0</v>
      </c>
      <c r="T65" s="125">
        <v>0.0</v>
      </c>
      <c r="U65" s="125">
        <v>0.0</v>
      </c>
      <c r="V65" s="125">
        <v>0.0</v>
      </c>
    </row>
    <row r="66" ht="15.75" customHeight="1">
      <c r="A66" s="126">
        <v>3.0</v>
      </c>
      <c r="B66" s="222">
        <v>50.0</v>
      </c>
      <c r="C66" s="125">
        <v>0.0</v>
      </c>
      <c r="D66" s="125">
        <v>0.0</v>
      </c>
      <c r="E66" s="125">
        <v>0.0</v>
      </c>
      <c r="F66" s="125">
        <v>0.0</v>
      </c>
      <c r="G66" s="125">
        <v>0.0</v>
      </c>
      <c r="H66" s="125">
        <v>0.0</v>
      </c>
      <c r="I66" s="125">
        <v>1.0</v>
      </c>
      <c r="J66" s="125">
        <v>0.0</v>
      </c>
      <c r="K66" s="125">
        <v>0.0</v>
      </c>
      <c r="L66" s="125">
        <v>0.0</v>
      </c>
      <c r="M66" s="125">
        <v>0.0</v>
      </c>
      <c r="N66" s="125">
        <v>0.0</v>
      </c>
      <c r="O66" s="125">
        <v>0.0</v>
      </c>
      <c r="P66" s="125">
        <v>0.0</v>
      </c>
      <c r="Q66" s="125">
        <v>0.0</v>
      </c>
      <c r="R66" s="125">
        <v>0.0</v>
      </c>
      <c r="S66" s="125">
        <v>0.0</v>
      </c>
      <c r="T66" s="125">
        <v>0.0</v>
      </c>
      <c r="U66" s="125">
        <v>0.0</v>
      </c>
      <c r="V66" s="125">
        <v>0.0</v>
      </c>
    </row>
    <row r="67" ht="15.75" customHeight="1">
      <c r="A67" s="126">
        <v>4.0</v>
      </c>
      <c r="B67" s="222">
        <v>0.0</v>
      </c>
      <c r="C67" s="125">
        <v>0.0</v>
      </c>
      <c r="D67" s="125">
        <v>0.0</v>
      </c>
      <c r="E67" s="125">
        <v>0.0</v>
      </c>
      <c r="F67" s="125">
        <v>0.0</v>
      </c>
      <c r="G67" s="125">
        <v>0.0</v>
      </c>
      <c r="H67" s="125">
        <v>0.0</v>
      </c>
      <c r="I67" s="125">
        <v>1.0</v>
      </c>
      <c r="J67" s="125">
        <v>0.0</v>
      </c>
      <c r="K67" s="125">
        <v>0.0</v>
      </c>
      <c r="L67" s="125">
        <v>0.0</v>
      </c>
      <c r="M67" s="125">
        <v>0.0</v>
      </c>
      <c r="N67" s="125">
        <v>0.0</v>
      </c>
      <c r="O67" s="125">
        <v>0.0</v>
      </c>
      <c r="P67" s="125">
        <v>0.0</v>
      </c>
      <c r="Q67" s="125">
        <v>0.0</v>
      </c>
      <c r="R67" s="125">
        <v>0.0</v>
      </c>
      <c r="S67" s="125">
        <v>0.0</v>
      </c>
      <c r="T67" s="125">
        <v>0.0</v>
      </c>
      <c r="U67" s="125">
        <v>0.0</v>
      </c>
      <c r="V67" s="125">
        <v>0.0</v>
      </c>
    </row>
    <row r="68" ht="15.75" customHeight="1">
      <c r="A68" s="126">
        <v>5.0</v>
      </c>
      <c r="B68" s="222">
        <v>0.0</v>
      </c>
      <c r="C68" s="125">
        <v>0.0</v>
      </c>
      <c r="D68" s="125">
        <v>0.0</v>
      </c>
      <c r="E68" s="125">
        <v>0.0</v>
      </c>
      <c r="F68" s="125">
        <v>0.0</v>
      </c>
      <c r="G68" s="125">
        <v>0.0</v>
      </c>
      <c r="H68" s="125">
        <v>0.0</v>
      </c>
      <c r="I68" s="125">
        <v>1.0</v>
      </c>
      <c r="J68" s="125">
        <v>0.0</v>
      </c>
      <c r="K68" s="125">
        <v>0.0</v>
      </c>
      <c r="L68" s="125">
        <v>0.0</v>
      </c>
      <c r="M68" s="125">
        <v>0.0</v>
      </c>
      <c r="N68" s="125">
        <v>0.0</v>
      </c>
      <c r="O68" s="125">
        <v>0.0</v>
      </c>
      <c r="P68" s="125">
        <v>0.0</v>
      </c>
      <c r="Q68" s="125">
        <v>0.0</v>
      </c>
      <c r="R68" s="125">
        <v>0.0</v>
      </c>
      <c r="S68" s="125">
        <v>0.0</v>
      </c>
      <c r="T68" s="125">
        <v>0.0</v>
      </c>
      <c r="U68" s="125">
        <v>0.0</v>
      </c>
      <c r="V68" s="125">
        <v>0.0</v>
      </c>
    </row>
    <row r="69" ht="15.75" customHeight="1">
      <c r="A69" s="126">
        <v>6.0</v>
      </c>
      <c r="B69" s="222">
        <v>0.0</v>
      </c>
      <c r="C69" s="125">
        <v>0.0</v>
      </c>
      <c r="D69" s="125">
        <v>0.0</v>
      </c>
      <c r="E69" s="125">
        <v>0.0</v>
      </c>
      <c r="F69" s="125">
        <v>0.0</v>
      </c>
      <c r="G69" s="125">
        <v>0.0</v>
      </c>
      <c r="H69" s="125">
        <v>1.0</v>
      </c>
      <c r="I69" s="125">
        <v>0.0</v>
      </c>
      <c r="J69" s="125">
        <v>0.0</v>
      </c>
      <c r="K69" s="125">
        <v>0.0</v>
      </c>
      <c r="L69" s="125">
        <v>0.0</v>
      </c>
      <c r="M69" s="125">
        <v>0.0</v>
      </c>
      <c r="N69" s="125">
        <v>0.0</v>
      </c>
      <c r="O69" s="125">
        <v>0.0</v>
      </c>
      <c r="P69" s="125">
        <v>0.0</v>
      </c>
      <c r="Q69" s="125">
        <v>0.0</v>
      </c>
      <c r="R69" s="125">
        <v>0.0</v>
      </c>
      <c r="S69" s="125">
        <v>0.0</v>
      </c>
      <c r="T69" s="125">
        <v>0.0</v>
      </c>
      <c r="U69" s="125">
        <v>0.0</v>
      </c>
      <c r="V69" s="125">
        <v>0.0</v>
      </c>
    </row>
    <row r="70" ht="15.75" customHeight="1">
      <c r="A70" s="126">
        <v>7.0</v>
      </c>
      <c r="B70" s="222">
        <v>0.0</v>
      </c>
      <c r="C70" s="125">
        <v>0.0</v>
      </c>
      <c r="D70" s="125">
        <v>0.0</v>
      </c>
      <c r="E70" s="125">
        <v>0.0</v>
      </c>
      <c r="F70" s="125">
        <v>0.0</v>
      </c>
      <c r="G70" s="125">
        <v>0.0</v>
      </c>
      <c r="H70" s="125">
        <v>1.0</v>
      </c>
      <c r="I70" s="125">
        <v>0.0</v>
      </c>
      <c r="J70" s="125">
        <v>0.0</v>
      </c>
      <c r="K70" s="125">
        <v>0.0</v>
      </c>
      <c r="L70" s="125">
        <v>0.0</v>
      </c>
      <c r="M70" s="125">
        <v>0.0</v>
      </c>
      <c r="N70" s="125">
        <v>0.0</v>
      </c>
      <c r="O70" s="125">
        <v>0.0</v>
      </c>
      <c r="P70" s="125">
        <v>0.0</v>
      </c>
      <c r="Q70" s="125">
        <v>0.0</v>
      </c>
      <c r="R70" s="125">
        <v>0.0</v>
      </c>
      <c r="S70" s="125">
        <v>0.0</v>
      </c>
      <c r="T70" s="125">
        <v>0.0</v>
      </c>
      <c r="U70" s="125">
        <v>0.0</v>
      </c>
      <c r="V70" s="125">
        <v>0.0</v>
      </c>
    </row>
    <row r="71" ht="15.75" customHeight="1">
      <c r="A71" s="126">
        <v>8.0</v>
      </c>
      <c r="B71" s="222">
        <v>0.0</v>
      </c>
      <c r="C71" s="125">
        <v>0.0</v>
      </c>
      <c r="D71" s="125">
        <v>0.0</v>
      </c>
      <c r="E71" s="125">
        <v>0.0</v>
      </c>
      <c r="F71" s="125">
        <v>0.0</v>
      </c>
      <c r="G71" s="125">
        <v>0.0</v>
      </c>
      <c r="H71" s="125">
        <v>1.0</v>
      </c>
      <c r="I71" s="125">
        <v>0.0</v>
      </c>
      <c r="J71" s="125">
        <v>0.0</v>
      </c>
      <c r="K71" s="125">
        <v>0.0</v>
      </c>
      <c r="L71" s="125">
        <v>0.0</v>
      </c>
      <c r="M71" s="125">
        <v>0.0</v>
      </c>
      <c r="N71" s="125">
        <v>0.0</v>
      </c>
      <c r="O71" s="125">
        <v>0.0</v>
      </c>
      <c r="P71" s="125">
        <v>0.0</v>
      </c>
      <c r="Q71" s="125">
        <v>0.0</v>
      </c>
      <c r="R71" s="125">
        <v>0.0</v>
      </c>
      <c r="S71" s="125">
        <v>0.0</v>
      </c>
      <c r="T71" s="125">
        <v>0.0</v>
      </c>
      <c r="U71" s="125">
        <v>0.0</v>
      </c>
      <c r="V71" s="125">
        <v>0.0</v>
      </c>
    </row>
    <row r="72" ht="15.75" customHeight="1">
      <c r="A72" s="126">
        <v>9.0</v>
      </c>
      <c r="B72" s="222">
        <v>0.0</v>
      </c>
      <c r="C72" s="125">
        <v>0.0</v>
      </c>
      <c r="D72" s="125">
        <v>0.0</v>
      </c>
      <c r="E72" s="125">
        <v>0.0</v>
      </c>
      <c r="F72" s="125">
        <v>0.0</v>
      </c>
      <c r="G72" s="125">
        <v>0.0</v>
      </c>
      <c r="H72" s="125">
        <v>1.0</v>
      </c>
      <c r="I72" s="125">
        <v>0.0</v>
      </c>
      <c r="J72" s="125">
        <v>0.0</v>
      </c>
      <c r="K72" s="125">
        <v>0.0</v>
      </c>
      <c r="L72" s="125">
        <v>0.0</v>
      </c>
      <c r="M72" s="125">
        <v>0.0</v>
      </c>
      <c r="N72" s="125">
        <v>0.0</v>
      </c>
      <c r="O72" s="125">
        <v>0.0</v>
      </c>
      <c r="P72" s="125">
        <v>0.0</v>
      </c>
      <c r="Q72" s="125">
        <v>0.0</v>
      </c>
      <c r="R72" s="125">
        <v>0.0</v>
      </c>
      <c r="S72" s="125">
        <v>0.0</v>
      </c>
      <c r="T72" s="125">
        <v>0.0</v>
      </c>
      <c r="U72" s="125">
        <v>0.0</v>
      </c>
      <c r="V72" s="125">
        <v>0.0</v>
      </c>
    </row>
    <row r="73" ht="15.75" customHeight="1">
      <c r="A73" s="126">
        <v>10.0</v>
      </c>
      <c r="B73" s="222">
        <v>0.0</v>
      </c>
      <c r="C73" s="125">
        <v>0.0</v>
      </c>
      <c r="D73" s="125">
        <v>0.0</v>
      </c>
      <c r="E73" s="125">
        <v>0.0</v>
      </c>
      <c r="F73" s="125">
        <v>0.0</v>
      </c>
      <c r="G73" s="125">
        <v>0.0</v>
      </c>
      <c r="H73" s="125">
        <v>1.0</v>
      </c>
      <c r="I73" s="125">
        <v>0.0</v>
      </c>
      <c r="J73" s="125">
        <v>0.0</v>
      </c>
      <c r="K73" s="125">
        <v>0.0</v>
      </c>
      <c r="L73" s="125">
        <v>0.0</v>
      </c>
      <c r="M73" s="125">
        <v>0.0</v>
      </c>
      <c r="N73" s="125">
        <v>0.0</v>
      </c>
      <c r="O73" s="125">
        <v>0.0</v>
      </c>
      <c r="P73" s="125">
        <v>0.0</v>
      </c>
      <c r="Q73" s="125">
        <v>0.0</v>
      </c>
      <c r="R73" s="125">
        <v>0.0</v>
      </c>
      <c r="S73" s="125">
        <v>0.0</v>
      </c>
      <c r="T73" s="125">
        <v>0.0</v>
      </c>
      <c r="U73" s="125">
        <v>0.0</v>
      </c>
      <c r="V73" s="125">
        <v>0.0</v>
      </c>
    </row>
    <row r="74" ht="15.75" customHeight="1"/>
    <row r="75" ht="19.5" customHeight="1">
      <c r="A75" s="115" t="s">
        <v>308</v>
      </c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</row>
    <row r="76" ht="15.75" customHeight="1">
      <c r="A76" s="149" t="s">
        <v>299</v>
      </c>
      <c r="B76" s="150">
        <v>10.0</v>
      </c>
    </row>
    <row r="77" ht="15.75" customHeight="1">
      <c r="A77" s="149" t="s">
        <v>300</v>
      </c>
      <c r="B77" s="150">
        <v>10.0</v>
      </c>
    </row>
    <row r="78" ht="15.75" customHeight="1">
      <c r="A78" s="149" t="s">
        <v>152</v>
      </c>
      <c r="B78" s="184">
        <v>1.0</v>
      </c>
    </row>
    <row r="79" ht="15.75" customHeight="1"/>
    <row r="80" ht="19.5" customHeight="1">
      <c r="A80" s="115" t="s">
        <v>309</v>
      </c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</row>
    <row r="81" ht="90.0" customHeight="1">
      <c r="A81" s="121" t="s">
        <v>216</v>
      </c>
      <c r="B81" s="221" t="s">
        <v>82</v>
      </c>
      <c r="C81" s="123" t="s">
        <v>68</v>
      </c>
      <c r="D81" s="123" t="s">
        <v>103</v>
      </c>
      <c r="E81" s="123" t="s">
        <v>69</v>
      </c>
      <c r="F81" s="123" t="s">
        <v>70</v>
      </c>
      <c r="G81" s="123" t="s">
        <v>71</v>
      </c>
      <c r="H81" s="123" t="s">
        <v>72</v>
      </c>
      <c r="I81" s="123" t="s">
        <v>73</v>
      </c>
      <c r="J81" s="123" t="s">
        <v>74</v>
      </c>
      <c r="K81" s="123" t="s">
        <v>75</v>
      </c>
      <c r="L81" s="123" t="s">
        <v>76</v>
      </c>
      <c r="M81" s="123" t="s">
        <v>77</v>
      </c>
      <c r="N81" s="123" t="s">
        <v>78</v>
      </c>
      <c r="O81" s="123" t="s">
        <v>118</v>
      </c>
      <c r="P81" s="123" t="s">
        <v>104</v>
      </c>
      <c r="Q81" s="123" t="s">
        <v>105</v>
      </c>
      <c r="R81" s="123" t="s">
        <v>106</v>
      </c>
      <c r="S81" s="123" t="s">
        <v>107</v>
      </c>
      <c r="T81" s="123" t="s">
        <v>108</v>
      </c>
      <c r="U81" s="123" t="s">
        <v>109</v>
      </c>
      <c r="V81" s="123" t="s">
        <v>110</v>
      </c>
    </row>
    <row r="82" ht="15.75" customHeight="1">
      <c r="A82" s="126">
        <v>1.0</v>
      </c>
      <c r="B82" s="222">
        <v>200.0</v>
      </c>
      <c r="C82" s="125">
        <v>0.0</v>
      </c>
      <c r="D82" s="125">
        <v>0.0</v>
      </c>
      <c r="E82" s="125">
        <v>0.0</v>
      </c>
      <c r="F82" s="125">
        <v>0.0</v>
      </c>
      <c r="G82" s="125">
        <v>0.0</v>
      </c>
      <c r="H82" s="125">
        <v>0.0</v>
      </c>
      <c r="I82" s="125">
        <v>0.0</v>
      </c>
      <c r="J82" s="125">
        <v>1.0</v>
      </c>
      <c r="K82" s="125">
        <v>0.0</v>
      </c>
      <c r="L82" s="125">
        <v>0.0</v>
      </c>
      <c r="M82" s="125">
        <v>0.0</v>
      </c>
      <c r="N82" s="125">
        <v>0.0</v>
      </c>
      <c r="O82" s="125">
        <v>0.0</v>
      </c>
      <c r="P82" s="125">
        <v>0.0</v>
      </c>
      <c r="Q82" s="125">
        <v>0.0</v>
      </c>
      <c r="R82" s="125">
        <v>0.0</v>
      </c>
      <c r="S82" s="125">
        <v>0.0</v>
      </c>
      <c r="T82" s="125">
        <v>0.0</v>
      </c>
      <c r="U82" s="125">
        <v>0.0</v>
      </c>
      <c r="V82" s="125">
        <v>0.0</v>
      </c>
    </row>
    <row r="83" ht="15.75" customHeight="1">
      <c r="A83" s="126">
        <v>2.0</v>
      </c>
      <c r="B83" s="222">
        <v>100.0</v>
      </c>
      <c r="C83" s="125">
        <v>0.0</v>
      </c>
      <c r="D83" s="125">
        <v>0.0</v>
      </c>
      <c r="E83" s="125">
        <v>0.0</v>
      </c>
      <c r="F83" s="125">
        <v>0.0</v>
      </c>
      <c r="G83" s="125">
        <v>0.0</v>
      </c>
      <c r="H83" s="125">
        <v>0.0</v>
      </c>
      <c r="I83" s="125">
        <v>1.0</v>
      </c>
      <c r="J83" s="125">
        <v>0.0</v>
      </c>
      <c r="K83" s="125">
        <v>0.0</v>
      </c>
      <c r="L83" s="125">
        <v>0.0</v>
      </c>
      <c r="M83" s="125">
        <v>0.0</v>
      </c>
      <c r="N83" s="125">
        <v>0.0</v>
      </c>
      <c r="O83" s="125">
        <v>0.0</v>
      </c>
      <c r="P83" s="125">
        <v>0.0</v>
      </c>
      <c r="Q83" s="125">
        <v>0.0</v>
      </c>
      <c r="R83" s="125">
        <v>0.0</v>
      </c>
      <c r="S83" s="125">
        <v>0.0</v>
      </c>
      <c r="T83" s="125">
        <v>0.0</v>
      </c>
      <c r="U83" s="125">
        <v>0.0</v>
      </c>
      <c r="V83" s="125">
        <v>0.0</v>
      </c>
    </row>
    <row r="84" ht="15.75" customHeight="1">
      <c r="A84" s="126">
        <v>3.0</v>
      </c>
      <c r="B84" s="222">
        <v>50.0</v>
      </c>
      <c r="C84" s="125">
        <v>0.0</v>
      </c>
      <c r="D84" s="125">
        <v>0.0</v>
      </c>
      <c r="E84" s="125">
        <v>0.0</v>
      </c>
      <c r="F84" s="125">
        <v>0.0</v>
      </c>
      <c r="G84" s="125">
        <v>0.0</v>
      </c>
      <c r="H84" s="125">
        <v>0.0</v>
      </c>
      <c r="I84" s="125">
        <v>1.0</v>
      </c>
      <c r="J84" s="125">
        <v>0.0</v>
      </c>
      <c r="K84" s="125">
        <v>0.0</v>
      </c>
      <c r="L84" s="125">
        <v>0.0</v>
      </c>
      <c r="M84" s="125">
        <v>0.0</v>
      </c>
      <c r="N84" s="125">
        <v>0.0</v>
      </c>
      <c r="O84" s="125">
        <v>0.0</v>
      </c>
      <c r="P84" s="125">
        <v>0.0</v>
      </c>
      <c r="Q84" s="125">
        <v>0.0</v>
      </c>
      <c r="R84" s="125">
        <v>0.0</v>
      </c>
      <c r="S84" s="125">
        <v>0.0</v>
      </c>
      <c r="T84" s="125">
        <v>0.0</v>
      </c>
      <c r="U84" s="125">
        <v>0.0</v>
      </c>
      <c r="V84" s="125">
        <v>0.0</v>
      </c>
    </row>
    <row r="85" ht="15.75" customHeight="1">
      <c r="A85" s="126">
        <v>4.0</v>
      </c>
      <c r="B85" s="222">
        <v>0.0</v>
      </c>
      <c r="C85" s="125">
        <v>0.0</v>
      </c>
      <c r="D85" s="125">
        <v>0.0</v>
      </c>
      <c r="E85" s="125">
        <v>0.0</v>
      </c>
      <c r="F85" s="125">
        <v>0.0</v>
      </c>
      <c r="G85" s="125">
        <v>0.0</v>
      </c>
      <c r="H85" s="125">
        <v>0.0</v>
      </c>
      <c r="I85" s="125">
        <v>1.0</v>
      </c>
      <c r="J85" s="125">
        <v>0.0</v>
      </c>
      <c r="K85" s="125">
        <v>0.0</v>
      </c>
      <c r="L85" s="125">
        <v>0.0</v>
      </c>
      <c r="M85" s="125">
        <v>0.0</v>
      </c>
      <c r="N85" s="125">
        <v>0.0</v>
      </c>
      <c r="O85" s="125">
        <v>0.0</v>
      </c>
      <c r="P85" s="125">
        <v>0.0</v>
      </c>
      <c r="Q85" s="125">
        <v>0.0</v>
      </c>
      <c r="R85" s="125">
        <v>0.0</v>
      </c>
      <c r="S85" s="125">
        <v>0.0</v>
      </c>
      <c r="T85" s="125">
        <v>0.0</v>
      </c>
      <c r="U85" s="125">
        <v>0.0</v>
      </c>
      <c r="V85" s="125">
        <v>0.0</v>
      </c>
    </row>
    <row r="86" ht="15.75" customHeight="1">
      <c r="A86" s="126">
        <v>5.0</v>
      </c>
      <c r="B86" s="222">
        <v>0.0</v>
      </c>
      <c r="C86" s="125">
        <v>0.0</v>
      </c>
      <c r="D86" s="125">
        <v>0.0</v>
      </c>
      <c r="E86" s="125">
        <v>0.0</v>
      </c>
      <c r="F86" s="125">
        <v>0.0</v>
      </c>
      <c r="G86" s="125">
        <v>0.0</v>
      </c>
      <c r="H86" s="125">
        <v>0.0</v>
      </c>
      <c r="I86" s="125">
        <v>1.0</v>
      </c>
      <c r="J86" s="125">
        <v>0.0</v>
      </c>
      <c r="K86" s="125">
        <v>0.0</v>
      </c>
      <c r="L86" s="125">
        <v>0.0</v>
      </c>
      <c r="M86" s="125">
        <v>0.0</v>
      </c>
      <c r="N86" s="125">
        <v>0.0</v>
      </c>
      <c r="O86" s="125">
        <v>0.0</v>
      </c>
      <c r="P86" s="125">
        <v>0.0</v>
      </c>
      <c r="Q86" s="125">
        <v>0.0</v>
      </c>
      <c r="R86" s="125">
        <v>0.0</v>
      </c>
      <c r="S86" s="125">
        <v>0.0</v>
      </c>
      <c r="T86" s="125">
        <v>0.0</v>
      </c>
      <c r="U86" s="125">
        <v>0.0</v>
      </c>
      <c r="V86" s="125">
        <v>0.0</v>
      </c>
    </row>
    <row r="87" ht="15.75" customHeight="1">
      <c r="A87" s="126">
        <v>6.0</v>
      </c>
      <c r="B87" s="222">
        <v>0.0</v>
      </c>
      <c r="C87" s="125">
        <v>0.0</v>
      </c>
      <c r="D87" s="125">
        <v>0.0</v>
      </c>
      <c r="E87" s="125">
        <v>0.0</v>
      </c>
      <c r="F87" s="125">
        <v>0.0</v>
      </c>
      <c r="G87" s="125">
        <v>0.0</v>
      </c>
      <c r="H87" s="125">
        <v>1.0</v>
      </c>
      <c r="I87" s="125">
        <v>0.0</v>
      </c>
      <c r="J87" s="125">
        <v>0.0</v>
      </c>
      <c r="K87" s="125">
        <v>0.0</v>
      </c>
      <c r="L87" s="125">
        <v>0.0</v>
      </c>
      <c r="M87" s="125">
        <v>0.0</v>
      </c>
      <c r="N87" s="125">
        <v>0.0</v>
      </c>
      <c r="O87" s="125">
        <v>0.0</v>
      </c>
      <c r="P87" s="125">
        <v>0.0</v>
      </c>
      <c r="Q87" s="125">
        <v>0.0</v>
      </c>
      <c r="R87" s="125">
        <v>0.0</v>
      </c>
      <c r="S87" s="125">
        <v>0.0</v>
      </c>
      <c r="T87" s="125">
        <v>0.0</v>
      </c>
      <c r="U87" s="125">
        <v>0.0</v>
      </c>
      <c r="V87" s="125">
        <v>0.0</v>
      </c>
    </row>
    <row r="88" ht="15.75" customHeight="1">
      <c r="A88" s="126">
        <v>7.0</v>
      </c>
      <c r="B88" s="222">
        <v>0.0</v>
      </c>
      <c r="C88" s="125">
        <v>0.0</v>
      </c>
      <c r="D88" s="125">
        <v>0.0</v>
      </c>
      <c r="E88" s="125">
        <v>0.0</v>
      </c>
      <c r="F88" s="125">
        <v>0.0</v>
      </c>
      <c r="G88" s="125">
        <v>0.0</v>
      </c>
      <c r="H88" s="125">
        <v>1.0</v>
      </c>
      <c r="I88" s="125">
        <v>0.0</v>
      </c>
      <c r="J88" s="125">
        <v>0.0</v>
      </c>
      <c r="K88" s="125">
        <v>0.0</v>
      </c>
      <c r="L88" s="125">
        <v>0.0</v>
      </c>
      <c r="M88" s="125">
        <v>0.0</v>
      </c>
      <c r="N88" s="125">
        <v>0.0</v>
      </c>
      <c r="O88" s="125">
        <v>0.0</v>
      </c>
      <c r="P88" s="125">
        <v>0.0</v>
      </c>
      <c r="Q88" s="125">
        <v>0.0</v>
      </c>
      <c r="R88" s="125">
        <v>0.0</v>
      </c>
      <c r="S88" s="125">
        <v>0.0</v>
      </c>
      <c r="T88" s="125">
        <v>0.0</v>
      </c>
      <c r="U88" s="125">
        <v>0.0</v>
      </c>
      <c r="V88" s="125">
        <v>0.0</v>
      </c>
    </row>
    <row r="89" ht="15.75" customHeight="1">
      <c r="A89" s="126">
        <v>8.0</v>
      </c>
      <c r="B89" s="222">
        <v>0.0</v>
      </c>
      <c r="C89" s="125">
        <v>0.0</v>
      </c>
      <c r="D89" s="125">
        <v>0.0</v>
      </c>
      <c r="E89" s="125">
        <v>0.0</v>
      </c>
      <c r="F89" s="125">
        <v>0.0</v>
      </c>
      <c r="G89" s="125">
        <v>0.0</v>
      </c>
      <c r="H89" s="125">
        <v>1.0</v>
      </c>
      <c r="I89" s="125">
        <v>0.0</v>
      </c>
      <c r="J89" s="125">
        <v>0.0</v>
      </c>
      <c r="K89" s="125">
        <v>0.0</v>
      </c>
      <c r="L89" s="125">
        <v>0.0</v>
      </c>
      <c r="M89" s="125">
        <v>0.0</v>
      </c>
      <c r="N89" s="125">
        <v>0.0</v>
      </c>
      <c r="O89" s="125">
        <v>0.0</v>
      </c>
      <c r="P89" s="125">
        <v>0.0</v>
      </c>
      <c r="Q89" s="125">
        <v>0.0</v>
      </c>
      <c r="R89" s="125">
        <v>0.0</v>
      </c>
      <c r="S89" s="125">
        <v>0.0</v>
      </c>
      <c r="T89" s="125">
        <v>0.0</v>
      </c>
      <c r="U89" s="125">
        <v>0.0</v>
      </c>
      <c r="V89" s="125">
        <v>0.0</v>
      </c>
    </row>
    <row r="90" ht="15.75" customHeight="1">
      <c r="A90" s="126">
        <v>9.0</v>
      </c>
      <c r="B90" s="222">
        <v>0.0</v>
      </c>
      <c r="C90" s="125">
        <v>0.0</v>
      </c>
      <c r="D90" s="125">
        <v>0.0</v>
      </c>
      <c r="E90" s="125">
        <v>0.0</v>
      </c>
      <c r="F90" s="125">
        <v>0.0</v>
      </c>
      <c r="G90" s="125">
        <v>0.0</v>
      </c>
      <c r="H90" s="125">
        <v>1.0</v>
      </c>
      <c r="I90" s="125">
        <v>0.0</v>
      </c>
      <c r="J90" s="125">
        <v>0.0</v>
      </c>
      <c r="K90" s="125">
        <v>0.0</v>
      </c>
      <c r="L90" s="125">
        <v>0.0</v>
      </c>
      <c r="M90" s="125">
        <v>0.0</v>
      </c>
      <c r="N90" s="125">
        <v>0.0</v>
      </c>
      <c r="O90" s="125">
        <v>0.0</v>
      </c>
      <c r="P90" s="125">
        <v>0.0</v>
      </c>
      <c r="Q90" s="125">
        <v>0.0</v>
      </c>
      <c r="R90" s="125">
        <v>0.0</v>
      </c>
      <c r="S90" s="125">
        <v>0.0</v>
      </c>
      <c r="T90" s="125">
        <v>0.0</v>
      </c>
      <c r="U90" s="125">
        <v>0.0</v>
      </c>
      <c r="V90" s="125">
        <v>0.0</v>
      </c>
    </row>
    <row r="91" ht="15.75" customHeight="1">
      <c r="A91" s="126">
        <v>10.0</v>
      </c>
      <c r="B91" s="222">
        <v>0.0</v>
      </c>
      <c r="C91" s="125">
        <v>0.0</v>
      </c>
      <c r="D91" s="125">
        <v>0.0</v>
      </c>
      <c r="E91" s="125">
        <v>0.0</v>
      </c>
      <c r="F91" s="125">
        <v>0.0</v>
      </c>
      <c r="G91" s="125">
        <v>0.0</v>
      </c>
      <c r="H91" s="125">
        <v>1.0</v>
      </c>
      <c r="I91" s="125">
        <v>0.0</v>
      </c>
      <c r="J91" s="125">
        <v>0.0</v>
      </c>
      <c r="K91" s="125">
        <v>0.0</v>
      </c>
      <c r="L91" s="125">
        <v>0.0</v>
      </c>
      <c r="M91" s="125">
        <v>0.0</v>
      </c>
      <c r="N91" s="125">
        <v>0.0</v>
      </c>
      <c r="O91" s="125">
        <v>0.0</v>
      </c>
      <c r="P91" s="125">
        <v>0.0</v>
      </c>
      <c r="Q91" s="125">
        <v>0.0</v>
      </c>
      <c r="R91" s="125">
        <v>0.0</v>
      </c>
      <c r="S91" s="125">
        <v>0.0</v>
      </c>
      <c r="T91" s="125">
        <v>0.0</v>
      </c>
      <c r="U91" s="125">
        <v>0.0</v>
      </c>
      <c r="V91" s="125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154" t="s">
        <v>297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AH1" s="155" t="s">
        <v>287</v>
      </c>
    </row>
    <row r="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AH2" s="156" t="s">
        <v>160</v>
      </c>
      <c r="AI2" s="157" t="s">
        <v>161</v>
      </c>
    </row>
    <row r="3" ht="19.5" customHeight="1">
      <c r="A3" s="115" t="s">
        <v>298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AH3" s="156" t="s">
        <v>162</v>
      </c>
      <c r="AI3" s="174" t="s">
        <v>163</v>
      </c>
    </row>
    <row r="4">
      <c r="A4" s="158" t="s">
        <v>299</v>
      </c>
      <c r="B4" s="160">
        <v>10.0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</row>
    <row r="5">
      <c r="A5" s="158" t="s">
        <v>300</v>
      </c>
      <c r="B5" s="160">
        <v>10.0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AH5" s="161" t="s">
        <v>288</v>
      </c>
      <c r="AI5" s="161" t="s">
        <v>289</v>
      </c>
      <c r="AJ5" s="161" t="s">
        <v>166</v>
      </c>
      <c r="AK5" s="161" t="s">
        <v>290</v>
      </c>
      <c r="AL5" s="161" t="s">
        <v>168</v>
      </c>
      <c r="AM5" s="161" t="s">
        <v>291</v>
      </c>
      <c r="AN5" s="161" t="s">
        <v>170</v>
      </c>
      <c r="AO5" s="161" t="s">
        <v>292</v>
      </c>
      <c r="AP5" s="161" t="s">
        <v>172</v>
      </c>
      <c r="AQ5" s="161" t="s">
        <v>293</v>
      </c>
      <c r="AR5" s="161" t="s">
        <v>174</v>
      </c>
    </row>
    <row r="6">
      <c r="A6" s="158" t="s">
        <v>152</v>
      </c>
      <c r="B6" s="159">
        <v>2.0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AH6" s="235" t="s">
        <v>310</v>
      </c>
      <c r="AI6" s="163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164" t="str">
        <f t="array" ref="AJ6">LET(p,AI6,IF(p="n/a","n/a",IF(p&gt;10,"— (below ladder)",LET(s,INDEX($B$10:$V$19,p,0),b,TEXTJOIN(", ",TRUE,IF(s&gt;0,$B$9:$V$9&amp;": "&amp;ROUND(s,2),"")),IF(b="","{} (rank pays nothing)","{"&amp;b&amp;"}")))))</f>
        <v>{Slingshot: 1}</v>
      </c>
      <c r="AK6" s="163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64" t="str">
        <f t="array" ref="AL6">LET(p,AK6,IF(p="n/a","n/a",IF(p&gt;10,"— (below ladder)",LET(s,INDEX($B$10:$V$19,p,0),b,TEXTJOIN(", ",TRUE,IF(s&gt;0,$B$9:$V$9&amp;": "&amp;ROUND(s,2),"")),IF(b="","{} (rank pays nothing)","{"&amp;b&amp;"}")))))</f>
        <v>{Slingshot: 1}</v>
      </c>
      <c r="AM6" s="163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4</v>
      </c>
      <c r="AN6" s="164" t="str">
        <f t="array" ref="AN6">LET(p,AM6,IF(p="n/a","n/a",IF(p&gt;10,"— (below ladder)",LET(s,INDEX($B$10:$V$19,p,0),b,TEXTJOIN(", ",TRUE,IF(s&gt;0,$B$9:$V$9&amp;": "&amp;ROUND(s,2),"")),IF(b="","{} (rank pays nothing)","{"&amp;b&amp;"}")))))</f>
        <v>{Shuffle: 1}</v>
      </c>
      <c r="AO6" s="163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64" t="str">
        <f t="array" ref="AP6">LET(p,AO6,IF(p="n/a","n/a",IF(p&gt;10,"— (below ladder)",LET(s,INDEX($B$10:$V$19,p,0),b,TEXTJOIN(", ",TRUE,IF(s&gt;0,$B$9:$V$9&amp;": "&amp;ROUND(s,2),"")),IF(b="","{} (rank pays nothing)","{"&amp;b&amp;"}")))))</f>
        <v>{Coins: 100, Shuffle: 1}</v>
      </c>
      <c r="AQ6" s="163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64" t="str">
        <f t="array" ref="AR6">LET(p,AQ6,IF(p="n/a","n/a",IF(p&gt;10,"— (below ladder)",LET(s,INDEX($B$10:$V$19,p,0),b,TEXTJOIN(", ",TRUE,IF(s&gt;0,$B$9:$V$9&amp;": "&amp;ROUND(s,2),"")),IF(b="","{} (rank pays nothing)","{"&amp;b&amp;"}")))))</f>
        <v>{Coins: 200, Comet: 1}</v>
      </c>
    </row>
    <row r="7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AH7" s="235" t="s">
        <v>311</v>
      </c>
      <c r="AI7" s="163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64" t="str">
        <f t="array" ref="AJ7">LET(p,AI7,IF(p="n/a","n/a",IF(p&gt;10,"— (below ladder)",LET(s,INDEX($B$28:$V$37,p,0),b,TEXTJOIN(", ",TRUE,IF(s&gt;0,$B$27:$V$27&amp;": "&amp;ROUND(s,2),"")),IF(b="","{} (rank pays nothing)","{"&amp;b&amp;"}")))))</f>
        <v>{Slingshot: 1}</v>
      </c>
      <c r="AK7" s="163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64" t="str">
        <f t="array" ref="AL7">LET(p,AK7,IF(p="n/a","n/a",IF(p&gt;10,"— (below ladder)",LET(s,INDEX($B$28:$V$37,p,0),b,TEXTJOIN(", ",TRUE,IF(s&gt;0,$B$27:$V$27&amp;": "&amp;ROUND(s,2),"")),IF(b="","{} (rank pays nothing)","{"&amp;b&amp;"}")))))</f>
        <v>{Slingshot: 1}</v>
      </c>
      <c r="AM7" s="163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64" t="str">
        <f t="array" ref="AN7">LET(p,AM7,IF(p="n/a","n/a",IF(p&gt;10,"— (below ladder)",LET(s,INDEX($B$28:$V$37,p,0),b,TEXTJOIN(", ",TRUE,IF(s&gt;0,$B$27:$V$27&amp;": "&amp;ROUND(s,2),"")),IF(b="","{} (rank pays nothing)","{"&amp;b&amp;"}")))))</f>
        <v>{Shuffle: 1}</v>
      </c>
      <c r="AO7" s="163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64" t="str">
        <f t="array" ref="AP7">LET(p,AO7,IF(p="n/a","n/a",IF(p&gt;10,"— (below ladder)",LET(s,INDEX($B$28:$V$37,p,0),b,TEXTJOIN(", ",TRUE,IF(s&gt;0,$B$27:$V$27&amp;": "&amp;ROUND(s,2),"")),IF(b="","{} (rank pays nothing)","{"&amp;b&amp;"}")))))</f>
        <v>{Coins: 100, Shuffle: 1}</v>
      </c>
      <c r="AQ7" s="163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64" t="str">
        <f t="array" ref="AR7">LET(p,AQ7,IF(p="n/a","n/a",IF(p&gt;10,"—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15" t="s">
        <v>301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AH8" s="235" t="s">
        <v>312</v>
      </c>
      <c r="AI8" s="163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64" t="str">
        <f t="array" ref="AJ8">LET(p,AI8,IF(p="n/a","n/a",IF(p&gt;10,"— (below ladder)",LET(s,INDEX($B$46:$V$55,p,0),b,TEXTJOIN(", ",TRUE,IF(s&gt;0,$B$45:$V$45&amp;": "&amp;ROUND(s,2),"")),IF(b="","{} (rank pays nothing)","{"&amp;b&amp;"}")))))</f>
        <v>— (below ladder)</v>
      </c>
      <c r="AK8" s="163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64" t="str">
        <f t="array" ref="AL8">LET(p,AK8,IF(p="n/a","n/a",IF(p&gt;10,"— (below ladder)",LET(s,INDEX($B$46:$V$55,p,0),b,TEXTJOIN(", ",TRUE,IF(s&gt;0,$B$45:$V$45&amp;": "&amp;ROUND(s,2),"")),IF(b="","{} (rank pays nothing)","{"&amp;b&amp;"}")))))</f>
        <v>{Slingshot: 1}</v>
      </c>
      <c r="AM8" s="163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64" t="str">
        <f t="array" ref="AN8">LET(p,AM8,IF(p="n/a","n/a",IF(p&gt;10,"— (below ladder)",LET(s,INDEX($B$46:$V$55,p,0),b,TEXTJOIN(", ",TRUE,IF(s&gt;0,$B$45:$V$45&amp;": "&amp;ROUND(s,2),"")),IF(b="","{} (rank pays nothing)","{"&amp;b&amp;"}")))))</f>
        <v>{Shuffle: 1}</v>
      </c>
      <c r="AO8" s="163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64" t="str">
        <f t="array" ref="AP8">LET(p,AO8,IF(p="n/a","n/a",IF(p&gt;10,"— (below ladder)",LET(s,INDEX($B$46:$V$55,p,0),b,TEXTJOIN(", ",TRUE,IF(s&gt;0,$B$45:$V$45&amp;": "&amp;ROUND(s,2),"")),IF(b="","{} (rank pays nothing)","{"&amp;b&amp;"}")))))</f>
        <v>{Coins: 50, Shuffle: 1}</v>
      </c>
      <c r="AQ8" s="163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64" t="str">
        <f t="array" ref="AR8">LET(p,AQ8,IF(p="n/a","n/a",IF(p&gt;10,"—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166" t="s">
        <v>216</v>
      </c>
      <c r="B9" s="237" t="s">
        <v>82</v>
      </c>
      <c r="C9" s="168" t="s">
        <v>68</v>
      </c>
      <c r="D9" s="168" t="s">
        <v>103</v>
      </c>
      <c r="E9" s="168" t="s">
        <v>69</v>
      </c>
      <c r="F9" s="168" t="s">
        <v>70</v>
      </c>
      <c r="G9" s="168" t="s">
        <v>71</v>
      </c>
      <c r="H9" s="168" t="s">
        <v>72</v>
      </c>
      <c r="I9" s="168" t="s">
        <v>73</v>
      </c>
      <c r="J9" s="168" t="s">
        <v>74</v>
      </c>
      <c r="K9" s="168" t="s">
        <v>75</v>
      </c>
      <c r="L9" s="168" t="s">
        <v>76</v>
      </c>
      <c r="M9" s="168" t="s">
        <v>77</v>
      </c>
      <c r="N9" s="168" t="s">
        <v>78</v>
      </c>
      <c r="O9" s="168" t="s">
        <v>118</v>
      </c>
      <c r="P9" s="168" t="s">
        <v>104</v>
      </c>
      <c r="Q9" s="168" t="s">
        <v>105</v>
      </c>
      <c r="R9" s="168" t="s">
        <v>106</v>
      </c>
      <c r="S9" s="168" t="s">
        <v>107</v>
      </c>
      <c r="T9" s="168" t="s">
        <v>108</v>
      </c>
      <c r="U9" s="168" t="s">
        <v>109</v>
      </c>
      <c r="V9" s="168" t="s">
        <v>110</v>
      </c>
      <c r="AH9" s="235" t="s">
        <v>50</v>
      </c>
      <c r="AI9" s="163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64" t="str">
        <f t="array" ref="AJ9">LET(p,AI9,IF(p="n/a","n/a",IF(p&gt;10,"— (below ladder)",LET(s,INDEX($B$64:$V$73,p,0),b,TEXTJOIN(", ",TRUE,IF(s&gt;0,$B$63:$V$63&amp;": "&amp;ROUND(s,2),"")),IF(b="","{} (rank pays nothing)","{"&amp;b&amp;"}")))))</f>
        <v>{Slingshot: 1}</v>
      </c>
      <c r="AK9" s="163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64" t="str">
        <f t="array" ref="AL9">LET(p,AK9,IF(p="n/a","n/a",IF(p&gt;10,"— (below ladder)",LET(s,INDEX($B$64:$V$73,p,0),b,TEXTJOIN(", ",TRUE,IF(s&gt;0,$B$63:$V$63&amp;": "&amp;ROUND(s,2),"")),IF(b="","{} (rank pays nothing)","{"&amp;b&amp;"}")))))</f>
        <v>{Slingshot: 1}</v>
      </c>
      <c r="AM9" s="163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164" t="str">
        <f t="array" ref="AN9">LET(p,AM9,IF(p="n/a","n/a",IF(p&gt;10,"— (below ladder)",LET(s,INDEX($B$64:$V$73,p,0),b,TEXTJOIN(", ",TRUE,IF(s&gt;0,$B$63:$V$63&amp;": "&amp;ROUND(s,2),"")),IF(b="","{} (rank pays nothing)","{"&amp;b&amp;"}")))))</f>
        <v>{Shuffle: 1}</v>
      </c>
      <c r="AO9" s="163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64" t="str">
        <f t="array" ref="AP9">LET(p,AO9,IF(p="n/a","n/a",IF(p&gt;10,"— (below ladder)",LET(s,INDEX($B$64:$V$73,p,0),b,TEXTJOIN(", ",TRUE,IF(s&gt;0,$B$63:$V$63&amp;": "&amp;ROUND(s,2),"")),IF(b="","{} (rank pays nothing)","{"&amp;b&amp;"}")))))</f>
        <v>{Coins: 100, Shuffle: 1}</v>
      </c>
      <c r="AQ9" s="163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64" t="str">
        <f t="array" ref="AR9">LET(p,AQ9,IF(p="n/a","n/a",IF(p&gt;10,"— (below ladder)",LET(s,INDEX($B$64:$V$73,p,0),b,TEXTJOIN(", ",TRUE,IF(s&gt;0,$B$63:$V$63&amp;": "&amp;ROUND(s,2),"")),IF(b="","{} (rank pays nothing)","{"&amp;b&amp;"}")))))</f>
        <v>{Coins: 200, Comet: 1}</v>
      </c>
    </row>
    <row r="10">
      <c r="A10" s="170">
        <v>1.0</v>
      </c>
      <c r="B10" s="238">
        <v>200.0</v>
      </c>
      <c r="C10" s="169">
        <v>0.0</v>
      </c>
      <c r="D10" s="169">
        <v>0.0</v>
      </c>
      <c r="E10" s="169">
        <v>0.0</v>
      </c>
      <c r="F10" s="169">
        <v>0.0</v>
      </c>
      <c r="G10" s="169">
        <v>0.0</v>
      </c>
      <c r="H10" s="169">
        <v>0.0</v>
      </c>
      <c r="I10" s="169">
        <v>0.0</v>
      </c>
      <c r="J10" s="169">
        <v>1.0</v>
      </c>
      <c r="K10" s="169">
        <v>0.0</v>
      </c>
      <c r="L10" s="169">
        <v>0.0</v>
      </c>
      <c r="M10" s="169">
        <v>0.0</v>
      </c>
      <c r="N10" s="169">
        <v>0.0</v>
      </c>
      <c r="O10" s="169">
        <v>0.0</v>
      </c>
      <c r="P10" s="169">
        <v>0.0</v>
      </c>
      <c r="Q10" s="169">
        <v>0.0</v>
      </c>
      <c r="R10" s="169">
        <v>0.0</v>
      </c>
      <c r="S10" s="169">
        <v>0.0</v>
      </c>
      <c r="T10" s="169">
        <v>0.0</v>
      </c>
      <c r="U10" s="169">
        <v>0.0</v>
      </c>
      <c r="V10" s="169">
        <v>0.0</v>
      </c>
      <c r="AH10" s="235" t="s">
        <v>46</v>
      </c>
      <c r="AI10" s="163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64" t="str">
        <f t="array" ref="AJ10">LET(p,AI10,IF(p="n/a","n/a",IF(p&gt;10,"— (below ladder)",LET(s,INDEX($B$82:$V$91,p,0),b,TEXTJOIN(", ",TRUE,IF(s&gt;0,$B$81:$V$81&amp;": "&amp;ROUND(s,2),"")),IF(b="","{} (rank pays nothing)","{"&amp;b&amp;"}")))))</f>
        <v>{Shuffle: 1}</v>
      </c>
      <c r="AK10" s="163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64" t="str">
        <f t="array" ref="AL10">LET(p,AK10,IF(p="n/a","n/a",IF(p&gt;10,"— (below ladder)",LET(s,INDEX($B$82:$V$91,p,0),b,TEXTJOIN(", ",TRUE,IF(s&gt;0,$B$81:$V$81&amp;": "&amp;ROUND(s,2),"")),IF(b="","{} (rank pays nothing)","{"&amp;b&amp;"}")))))</f>
        <v>{Coins: 50, Shuffle: 1}</v>
      </c>
      <c r="AM10" s="163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64" t="str">
        <f t="array" ref="AN10">LET(p,AM10,IF(p="n/a","n/a",IF(p&gt;10,"— (below ladder)",LET(s,INDEX($B$82:$V$91,p,0),b,TEXTJOIN(", ",TRUE,IF(s&gt;0,$B$81:$V$81&amp;": "&amp;ROUND(s,2),"")),IF(b="","{} (rank pays nothing)","{"&amp;b&amp;"}")))))</f>
        <v>{Coins: 50, Shuffle: 1}</v>
      </c>
      <c r="AO10" s="163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64" t="str">
        <f t="array" ref="AP10">LET(p,AO10,IF(p="n/a","n/a",IF(p&gt;10,"— (below ladder)",LET(s,INDEX($B$82:$V$91,p,0),b,TEXTJOIN(", ",TRUE,IF(s&gt;0,$B$81:$V$81&amp;": "&amp;ROUND(s,2),"")),IF(b="","{} (rank pays nothing)","{"&amp;b&amp;"}")))))</f>
        <v>{Coins: 100, Shuffle: 1}</v>
      </c>
      <c r="AQ10" s="163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64" t="str">
        <f t="array" ref="AR10">LET(p,AQ10,IF(p="n/a","n/a",IF(p&gt;10,"— (below ladder)",LET(s,INDEX($B$82:$V$91,p,0),b,TEXTJOIN(", ",TRUE,IF(s&gt;0,$B$81:$V$81&amp;": "&amp;ROUND(s,2),"")),IF(b="","{} (rank pays nothing)","{"&amp;b&amp;"}")))))</f>
        <v>{Coins: 100, Shuffle: 1}</v>
      </c>
    </row>
    <row r="11">
      <c r="A11" s="170">
        <v>2.0</v>
      </c>
      <c r="B11" s="238">
        <v>100.0</v>
      </c>
      <c r="C11" s="169">
        <v>0.0</v>
      </c>
      <c r="D11" s="169">
        <v>0.0</v>
      </c>
      <c r="E11" s="169">
        <v>0.0</v>
      </c>
      <c r="F11" s="169">
        <v>0.0</v>
      </c>
      <c r="G11" s="169">
        <v>0.0</v>
      </c>
      <c r="H11" s="169">
        <v>0.0</v>
      </c>
      <c r="I11" s="169">
        <v>1.0</v>
      </c>
      <c r="J11" s="169">
        <v>0.0</v>
      </c>
      <c r="K11" s="169">
        <v>0.0</v>
      </c>
      <c r="L11" s="169">
        <v>0.0</v>
      </c>
      <c r="M11" s="169">
        <v>0.0</v>
      </c>
      <c r="N11" s="169">
        <v>0.0</v>
      </c>
      <c r="O11" s="169">
        <v>0.0</v>
      </c>
      <c r="P11" s="169">
        <v>0.0</v>
      </c>
      <c r="Q11" s="169">
        <v>0.0</v>
      </c>
      <c r="R11" s="169">
        <v>0.0</v>
      </c>
      <c r="S11" s="169">
        <v>0.0</v>
      </c>
      <c r="T11" s="169">
        <v>0.0</v>
      </c>
      <c r="U11" s="169">
        <v>0.0</v>
      </c>
      <c r="V11" s="169">
        <v>0.0</v>
      </c>
    </row>
    <row r="12">
      <c r="A12" s="170">
        <v>3.0</v>
      </c>
      <c r="B12" s="238">
        <v>50.0</v>
      </c>
      <c r="C12" s="169">
        <v>0.0</v>
      </c>
      <c r="D12" s="169">
        <v>0.0</v>
      </c>
      <c r="E12" s="169">
        <v>0.0</v>
      </c>
      <c r="F12" s="169">
        <v>0.0</v>
      </c>
      <c r="G12" s="169">
        <v>0.0</v>
      </c>
      <c r="H12" s="169">
        <v>0.0</v>
      </c>
      <c r="I12" s="169">
        <v>1.0</v>
      </c>
      <c r="J12" s="169">
        <v>0.0</v>
      </c>
      <c r="K12" s="169">
        <v>0.0</v>
      </c>
      <c r="L12" s="169">
        <v>0.0</v>
      </c>
      <c r="M12" s="169">
        <v>0.0</v>
      </c>
      <c r="N12" s="169">
        <v>0.0</v>
      </c>
      <c r="O12" s="169">
        <v>0.0</v>
      </c>
      <c r="P12" s="169">
        <v>0.0</v>
      </c>
      <c r="Q12" s="169">
        <v>0.0</v>
      </c>
      <c r="R12" s="169">
        <v>0.0</v>
      </c>
      <c r="S12" s="169">
        <v>0.0</v>
      </c>
      <c r="T12" s="169">
        <v>0.0</v>
      </c>
      <c r="U12" s="169">
        <v>0.0</v>
      </c>
      <c r="V12" s="169">
        <v>0.0</v>
      </c>
      <c r="AH12" s="180" t="s">
        <v>294</v>
      </c>
    </row>
    <row r="13">
      <c r="A13" s="170">
        <v>4.0</v>
      </c>
      <c r="B13" s="238">
        <v>0.0</v>
      </c>
      <c r="C13" s="169">
        <v>0.0</v>
      </c>
      <c r="D13" s="169">
        <v>0.0</v>
      </c>
      <c r="E13" s="169">
        <v>0.0</v>
      </c>
      <c r="F13" s="169">
        <v>0.0</v>
      </c>
      <c r="G13" s="169">
        <v>0.0</v>
      </c>
      <c r="H13" s="169">
        <v>0.0</v>
      </c>
      <c r="I13" s="169">
        <v>1.0</v>
      </c>
      <c r="J13" s="169">
        <v>0.0</v>
      </c>
      <c r="K13" s="169">
        <v>0.0</v>
      </c>
      <c r="L13" s="169">
        <v>0.0</v>
      </c>
      <c r="M13" s="169">
        <v>0.0</v>
      </c>
      <c r="N13" s="169">
        <v>0.0</v>
      </c>
      <c r="O13" s="169">
        <v>0.0</v>
      </c>
      <c r="P13" s="169">
        <v>0.0</v>
      </c>
      <c r="Q13" s="169">
        <v>0.0</v>
      </c>
      <c r="R13" s="169">
        <v>0.0</v>
      </c>
      <c r="S13" s="169">
        <v>0.0</v>
      </c>
      <c r="T13" s="169">
        <v>0.0</v>
      </c>
      <c r="U13" s="169">
        <v>0.0</v>
      </c>
      <c r="V13" s="169">
        <v>0.0</v>
      </c>
      <c r="AH13" s="236" t="s">
        <v>313</v>
      </c>
    </row>
    <row r="14">
      <c r="A14" s="170">
        <v>5.0</v>
      </c>
      <c r="B14" s="238">
        <v>0.0</v>
      </c>
      <c r="C14" s="169">
        <v>0.0</v>
      </c>
      <c r="D14" s="169">
        <v>0.0</v>
      </c>
      <c r="E14" s="169">
        <v>0.0</v>
      </c>
      <c r="F14" s="169">
        <v>0.0</v>
      </c>
      <c r="G14" s="169">
        <v>0.0</v>
      </c>
      <c r="H14" s="169">
        <v>0.0</v>
      </c>
      <c r="I14" s="169">
        <v>1.0</v>
      </c>
      <c r="J14" s="169">
        <v>0.0</v>
      </c>
      <c r="K14" s="169">
        <v>0.0</v>
      </c>
      <c r="L14" s="169">
        <v>0.0</v>
      </c>
      <c r="M14" s="169">
        <v>0.0</v>
      </c>
      <c r="N14" s="169">
        <v>0.0</v>
      </c>
      <c r="O14" s="169">
        <v>0.0</v>
      </c>
      <c r="P14" s="169">
        <v>0.0</v>
      </c>
      <c r="Q14" s="169">
        <v>0.0</v>
      </c>
      <c r="R14" s="169">
        <v>0.0</v>
      </c>
      <c r="S14" s="169">
        <v>0.0</v>
      </c>
      <c r="T14" s="169">
        <v>0.0</v>
      </c>
      <c r="U14" s="169">
        <v>0.0</v>
      </c>
      <c r="V14" s="169">
        <v>0.0</v>
      </c>
      <c r="AH14" s="236" t="s">
        <v>314</v>
      </c>
    </row>
    <row r="15">
      <c r="A15" s="170">
        <v>6.0</v>
      </c>
      <c r="B15" s="238">
        <v>0.0</v>
      </c>
      <c r="C15" s="169">
        <v>0.0</v>
      </c>
      <c r="D15" s="169">
        <v>0.0</v>
      </c>
      <c r="E15" s="169">
        <v>0.0</v>
      </c>
      <c r="F15" s="169">
        <v>0.0</v>
      </c>
      <c r="G15" s="169">
        <v>0.0</v>
      </c>
      <c r="H15" s="169">
        <v>1.0</v>
      </c>
      <c r="I15" s="169">
        <v>0.0</v>
      </c>
      <c r="J15" s="169">
        <v>0.0</v>
      </c>
      <c r="K15" s="169">
        <v>0.0</v>
      </c>
      <c r="L15" s="169">
        <v>0.0</v>
      </c>
      <c r="M15" s="169">
        <v>0.0</v>
      </c>
      <c r="N15" s="169">
        <v>0.0</v>
      </c>
      <c r="O15" s="169">
        <v>0.0</v>
      </c>
      <c r="P15" s="169">
        <v>0.0</v>
      </c>
      <c r="Q15" s="169">
        <v>0.0</v>
      </c>
      <c r="R15" s="169">
        <v>0.0</v>
      </c>
      <c r="S15" s="169">
        <v>0.0</v>
      </c>
      <c r="T15" s="169">
        <v>0.0</v>
      </c>
      <c r="U15" s="169">
        <v>0.0</v>
      </c>
      <c r="V15" s="169">
        <v>0.0</v>
      </c>
      <c r="AH15" s="236" t="s">
        <v>315</v>
      </c>
    </row>
    <row r="16">
      <c r="A16" s="170">
        <v>7.0</v>
      </c>
      <c r="B16" s="238">
        <v>0.0</v>
      </c>
      <c r="C16" s="169">
        <v>0.0</v>
      </c>
      <c r="D16" s="169">
        <v>0.0</v>
      </c>
      <c r="E16" s="169">
        <v>0.0</v>
      </c>
      <c r="F16" s="169">
        <v>0.0</v>
      </c>
      <c r="G16" s="169">
        <v>0.0</v>
      </c>
      <c r="H16" s="169">
        <v>1.0</v>
      </c>
      <c r="I16" s="169">
        <v>0.0</v>
      </c>
      <c r="J16" s="169">
        <v>0.0</v>
      </c>
      <c r="K16" s="169">
        <v>0.0</v>
      </c>
      <c r="L16" s="169">
        <v>0.0</v>
      </c>
      <c r="M16" s="169">
        <v>0.0</v>
      </c>
      <c r="N16" s="169">
        <v>0.0</v>
      </c>
      <c r="O16" s="169">
        <v>0.0</v>
      </c>
      <c r="P16" s="169">
        <v>0.0</v>
      </c>
      <c r="Q16" s="169">
        <v>0.0</v>
      </c>
      <c r="R16" s="169">
        <v>0.0</v>
      </c>
      <c r="S16" s="169">
        <v>0.0</v>
      </c>
      <c r="T16" s="169">
        <v>0.0</v>
      </c>
      <c r="U16" s="169">
        <v>0.0</v>
      </c>
      <c r="V16" s="169">
        <v>0.0</v>
      </c>
    </row>
    <row r="17">
      <c r="A17" s="170">
        <v>8.0</v>
      </c>
      <c r="B17" s="238">
        <v>0.0</v>
      </c>
      <c r="C17" s="169">
        <v>0.0</v>
      </c>
      <c r="D17" s="169">
        <v>0.0</v>
      </c>
      <c r="E17" s="169">
        <v>0.0</v>
      </c>
      <c r="F17" s="169">
        <v>0.0</v>
      </c>
      <c r="G17" s="169">
        <v>0.0</v>
      </c>
      <c r="H17" s="169">
        <v>1.0</v>
      </c>
      <c r="I17" s="169">
        <v>0.0</v>
      </c>
      <c r="J17" s="169">
        <v>0.0</v>
      </c>
      <c r="K17" s="169">
        <v>0.0</v>
      </c>
      <c r="L17" s="169">
        <v>0.0</v>
      </c>
      <c r="M17" s="169">
        <v>0.0</v>
      </c>
      <c r="N17" s="169">
        <v>0.0</v>
      </c>
      <c r="O17" s="169">
        <v>0.0</v>
      </c>
      <c r="P17" s="169">
        <v>0.0</v>
      </c>
      <c r="Q17" s="169">
        <v>0.0</v>
      </c>
      <c r="R17" s="169">
        <v>0.0</v>
      </c>
      <c r="S17" s="169">
        <v>0.0</v>
      </c>
      <c r="T17" s="169">
        <v>0.0</v>
      </c>
      <c r="U17" s="169">
        <v>0.0</v>
      </c>
      <c r="V17" s="169">
        <v>0.0</v>
      </c>
    </row>
    <row r="18">
      <c r="A18" s="170">
        <v>9.0</v>
      </c>
      <c r="B18" s="238">
        <v>0.0</v>
      </c>
      <c r="C18" s="169">
        <v>0.0</v>
      </c>
      <c r="D18" s="169">
        <v>0.0</v>
      </c>
      <c r="E18" s="169">
        <v>0.0</v>
      </c>
      <c r="F18" s="169">
        <v>0.0</v>
      </c>
      <c r="G18" s="169">
        <v>0.0</v>
      </c>
      <c r="H18" s="169">
        <v>1.0</v>
      </c>
      <c r="I18" s="169">
        <v>0.0</v>
      </c>
      <c r="J18" s="169">
        <v>0.0</v>
      </c>
      <c r="K18" s="169">
        <v>0.0</v>
      </c>
      <c r="L18" s="169">
        <v>0.0</v>
      </c>
      <c r="M18" s="169">
        <v>0.0</v>
      </c>
      <c r="N18" s="169">
        <v>0.0</v>
      </c>
      <c r="O18" s="169">
        <v>0.0</v>
      </c>
      <c r="P18" s="169">
        <v>0.0</v>
      </c>
      <c r="Q18" s="169">
        <v>0.0</v>
      </c>
      <c r="R18" s="169">
        <v>0.0</v>
      </c>
      <c r="S18" s="169">
        <v>0.0</v>
      </c>
      <c r="T18" s="169">
        <v>0.0</v>
      </c>
      <c r="U18" s="169">
        <v>0.0</v>
      </c>
      <c r="V18" s="169">
        <v>0.0</v>
      </c>
    </row>
    <row r="19">
      <c r="A19" s="170">
        <v>10.0</v>
      </c>
      <c r="B19" s="238">
        <v>0.0</v>
      </c>
      <c r="C19" s="169">
        <v>0.0</v>
      </c>
      <c r="D19" s="169">
        <v>0.0</v>
      </c>
      <c r="E19" s="169">
        <v>0.0</v>
      </c>
      <c r="F19" s="169">
        <v>0.0</v>
      </c>
      <c r="G19" s="169">
        <v>0.0</v>
      </c>
      <c r="H19" s="169">
        <v>1.0</v>
      </c>
      <c r="I19" s="169">
        <v>0.0</v>
      </c>
      <c r="J19" s="169">
        <v>0.0</v>
      </c>
      <c r="K19" s="169">
        <v>0.0</v>
      </c>
      <c r="L19" s="169">
        <v>0.0</v>
      </c>
      <c r="M19" s="169">
        <v>0.0</v>
      </c>
      <c r="N19" s="169">
        <v>0.0</v>
      </c>
      <c r="O19" s="169">
        <v>0.0</v>
      </c>
      <c r="P19" s="169">
        <v>0.0</v>
      </c>
      <c r="Q19" s="169">
        <v>0.0</v>
      </c>
      <c r="R19" s="169">
        <v>0.0</v>
      </c>
      <c r="S19" s="169">
        <v>0.0</v>
      </c>
      <c r="T19" s="169">
        <v>0.0</v>
      </c>
      <c r="U19" s="169">
        <v>0.0</v>
      </c>
      <c r="V19" s="169">
        <v>0.0</v>
      </c>
    </row>
    <row r="20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</row>
    <row r="21" ht="19.5" customHeight="1">
      <c r="A21" s="115" t="s">
        <v>302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</row>
    <row r="22" ht="15.75" customHeight="1">
      <c r="A22" s="158" t="s">
        <v>299</v>
      </c>
      <c r="B22" s="160">
        <v>10.0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</row>
    <row r="23" ht="15.75" customHeight="1">
      <c r="A23" s="158" t="s">
        <v>300</v>
      </c>
      <c r="B23" s="160">
        <v>10.0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</row>
    <row r="24" ht="15.75" customHeight="1">
      <c r="A24" s="158" t="s">
        <v>152</v>
      </c>
      <c r="B24" s="159">
        <v>2.0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</row>
    <row r="25" ht="15.75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</row>
    <row r="26" ht="19.5" customHeight="1">
      <c r="A26" s="115" t="s">
        <v>303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</row>
    <row r="27" ht="90.0" customHeight="1">
      <c r="A27" s="166" t="s">
        <v>216</v>
      </c>
      <c r="B27" s="237" t="s">
        <v>82</v>
      </c>
      <c r="C27" s="168" t="s">
        <v>68</v>
      </c>
      <c r="D27" s="168" t="s">
        <v>103</v>
      </c>
      <c r="E27" s="168" t="s">
        <v>69</v>
      </c>
      <c r="F27" s="168" t="s">
        <v>70</v>
      </c>
      <c r="G27" s="168" t="s">
        <v>71</v>
      </c>
      <c r="H27" s="168" t="s">
        <v>72</v>
      </c>
      <c r="I27" s="168" t="s">
        <v>73</v>
      </c>
      <c r="J27" s="168" t="s">
        <v>74</v>
      </c>
      <c r="K27" s="168" t="s">
        <v>75</v>
      </c>
      <c r="L27" s="168" t="s">
        <v>76</v>
      </c>
      <c r="M27" s="168" t="s">
        <v>77</v>
      </c>
      <c r="N27" s="168" t="s">
        <v>78</v>
      </c>
      <c r="O27" s="168" t="s">
        <v>118</v>
      </c>
      <c r="P27" s="168" t="s">
        <v>104</v>
      </c>
      <c r="Q27" s="168" t="s">
        <v>105</v>
      </c>
      <c r="R27" s="168" t="s">
        <v>106</v>
      </c>
      <c r="S27" s="168" t="s">
        <v>107</v>
      </c>
      <c r="T27" s="168" t="s">
        <v>108</v>
      </c>
      <c r="U27" s="168" t="s">
        <v>109</v>
      </c>
      <c r="V27" s="168" t="s">
        <v>110</v>
      </c>
    </row>
    <row r="28" ht="15.75" customHeight="1">
      <c r="A28" s="170">
        <v>1.0</v>
      </c>
      <c r="B28" s="238">
        <v>200.0</v>
      </c>
      <c r="C28" s="169">
        <v>0.0</v>
      </c>
      <c r="D28" s="169">
        <v>0.0</v>
      </c>
      <c r="E28" s="169">
        <v>0.0</v>
      </c>
      <c r="F28" s="169">
        <v>0.0</v>
      </c>
      <c r="G28" s="169">
        <v>0.0</v>
      </c>
      <c r="H28" s="169">
        <v>0.0</v>
      </c>
      <c r="I28" s="169">
        <v>0.0</v>
      </c>
      <c r="J28" s="169">
        <v>1.0</v>
      </c>
      <c r="K28" s="169">
        <v>0.0</v>
      </c>
      <c r="L28" s="169">
        <v>0.0</v>
      </c>
      <c r="M28" s="169">
        <v>0.0</v>
      </c>
      <c r="N28" s="169">
        <v>0.0</v>
      </c>
      <c r="O28" s="169">
        <v>0.0</v>
      </c>
      <c r="P28" s="169">
        <v>0.0</v>
      </c>
      <c r="Q28" s="169">
        <v>0.0</v>
      </c>
      <c r="R28" s="169">
        <v>0.0</v>
      </c>
      <c r="S28" s="169">
        <v>0.0</v>
      </c>
      <c r="T28" s="169">
        <v>0.0</v>
      </c>
      <c r="U28" s="169">
        <v>0.0</v>
      </c>
      <c r="V28" s="169">
        <v>0.0</v>
      </c>
    </row>
    <row r="29" ht="15.75" customHeight="1">
      <c r="A29" s="170">
        <v>2.0</v>
      </c>
      <c r="B29" s="238">
        <v>100.0</v>
      </c>
      <c r="C29" s="169">
        <v>0.0</v>
      </c>
      <c r="D29" s="169">
        <v>0.0</v>
      </c>
      <c r="E29" s="169">
        <v>0.0</v>
      </c>
      <c r="F29" s="169">
        <v>0.0</v>
      </c>
      <c r="G29" s="169">
        <v>0.0</v>
      </c>
      <c r="H29" s="169">
        <v>0.0</v>
      </c>
      <c r="I29" s="169">
        <v>1.0</v>
      </c>
      <c r="J29" s="169">
        <v>0.0</v>
      </c>
      <c r="K29" s="169">
        <v>0.0</v>
      </c>
      <c r="L29" s="169">
        <v>0.0</v>
      </c>
      <c r="M29" s="169">
        <v>0.0</v>
      </c>
      <c r="N29" s="169">
        <v>0.0</v>
      </c>
      <c r="O29" s="169">
        <v>0.0</v>
      </c>
      <c r="P29" s="169">
        <v>0.0</v>
      </c>
      <c r="Q29" s="169">
        <v>0.0</v>
      </c>
      <c r="R29" s="169">
        <v>0.0</v>
      </c>
      <c r="S29" s="169">
        <v>0.0</v>
      </c>
      <c r="T29" s="169">
        <v>0.0</v>
      </c>
      <c r="U29" s="169">
        <v>0.0</v>
      </c>
      <c r="V29" s="169">
        <v>0.0</v>
      </c>
    </row>
    <row r="30" ht="15.75" customHeight="1">
      <c r="A30" s="170">
        <v>3.0</v>
      </c>
      <c r="B30" s="238">
        <v>50.0</v>
      </c>
      <c r="C30" s="169">
        <v>0.0</v>
      </c>
      <c r="D30" s="169">
        <v>0.0</v>
      </c>
      <c r="E30" s="169">
        <v>0.0</v>
      </c>
      <c r="F30" s="169">
        <v>0.0</v>
      </c>
      <c r="G30" s="169">
        <v>0.0</v>
      </c>
      <c r="H30" s="169">
        <v>0.0</v>
      </c>
      <c r="I30" s="169">
        <v>1.0</v>
      </c>
      <c r="J30" s="169">
        <v>0.0</v>
      </c>
      <c r="K30" s="169">
        <v>0.0</v>
      </c>
      <c r="L30" s="169">
        <v>0.0</v>
      </c>
      <c r="M30" s="169">
        <v>0.0</v>
      </c>
      <c r="N30" s="169">
        <v>0.0</v>
      </c>
      <c r="O30" s="169">
        <v>0.0</v>
      </c>
      <c r="P30" s="169">
        <v>0.0</v>
      </c>
      <c r="Q30" s="169">
        <v>0.0</v>
      </c>
      <c r="R30" s="169">
        <v>0.0</v>
      </c>
      <c r="S30" s="169">
        <v>0.0</v>
      </c>
      <c r="T30" s="169">
        <v>0.0</v>
      </c>
      <c r="U30" s="169">
        <v>0.0</v>
      </c>
      <c r="V30" s="169">
        <v>0.0</v>
      </c>
    </row>
    <row r="31" ht="15.75" customHeight="1">
      <c r="A31" s="170">
        <v>4.0</v>
      </c>
      <c r="B31" s="238">
        <v>0.0</v>
      </c>
      <c r="C31" s="169">
        <v>0.0</v>
      </c>
      <c r="D31" s="169">
        <v>0.0</v>
      </c>
      <c r="E31" s="169">
        <v>0.0</v>
      </c>
      <c r="F31" s="169">
        <v>0.0</v>
      </c>
      <c r="G31" s="169">
        <v>0.0</v>
      </c>
      <c r="H31" s="169">
        <v>0.0</v>
      </c>
      <c r="I31" s="169">
        <v>1.0</v>
      </c>
      <c r="J31" s="169">
        <v>0.0</v>
      </c>
      <c r="K31" s="169">
        <v>0.0</v>
      </c>
      <c r="L31" s="169">
        <v>0.0</v>
      </c>
      <c r="M31" s="169">
        <v>0.0</v>
      </c>
      <c r="N31" s="169">
        <v>0.0</v>
      </c>
      <c r="O31" s="169">
        <v>0.0</v>
      </c>
      <c r="P31" s="169">
        <v>0.0</v>
      </c>
      <c r="Q31" s="169">
        <v>0.0</v>
      </c>
      <c r="R31" s="169">
        <v>0.0</v>
      </c>
      <c r="S31" s="169">
        <v>0.0</v>
      </c>
      <c r="T31" s="169">
        <v>0.0</v>
      </c>
      <c r="U31" s="169">
        <v>0.0</v>
      </c>
      <c r="V31" s="169">
        <v>0.0</v>
      </c>
    </row>
    <row r="32" ht="15.75" customHeight="1">
      <c r="A32" s="170">
        <v>5.0</v>
      </c>
      <c r="B32" s="238">
        <v>0.0</v>
      </c>
      <c r="C32" s="169">
        <v>0.0</v>
      </c>
      <c r="D32" s="169">
        <v>0.0</v>
      </c>
      <c r="E32" s="169">
        <v>0.0</v>
      </c>
      <c r="F32" s="169">
        <v>0.0</v>
      </c>
      <c r="G32" s="169">
        <v>0.0</v>
      </c>
      <c r="H32" s="169">
        <v>0.0</v>
      </c>
      <c r="I32" s="169">
        <v>1.0</v>
      </c>
      <c r="J32" s="169">
        <v>0.0</v>
      </c>
      <c r="K32" s="169">
        <v>0.0</v>
      </c>
      <c r="L32" s="169">
        <v>0.0</v>
      </c>
      <c r="M32" s="169">
        <v>0.0</v>
      </c>
      <c r="N32" s="169">
        <v>0.0</v>
      </c>
      <c r="O32" s="169">
        <v>0.0</v>
      </c>
      <c r="P32" s="169">
        <v>0.0</v>
      </c>
      <c r="Q32" s="169">
        <v>0.0</v>
      </c>
      <c r="R32" s="169">
        <v>0.0</v>
      </c>
      <c r="S32" s="169">
        <v>0.0</v>
      </c>
      <c r="T32" s="169">
        <v>0.0</v>
      </c>
      <c r="U32" s="169">
        <v>0.0</v>
      </c>
      <c r="V32" s="169">
        <v>0.0</v>
      </c>
    </row>
    <row r="33" ht="15.75" customHeight="1">
      <c r="A33" s="170">
        <v>6.0</v>
      </c>
      <c r="B33" s="238">
        <v>0.0</v>
      </c>
      <c r="C33" s="169">
        <v>0.0</v>
      </c>
      <c r="D33" s="169">
        <v>0.0</v>
      </c>
      <c r="E33" s="169">
        <v>0.0</v>
      </c>
      <c r="F33" s="169">
        <v>0.0</v>
      </c>
      <c r="G33" s="169">
        <v>0.0</v>
      </c>
      <c r="H33" s="169">
        <v>1.0</v>
      </c>
      <c r="I33" s="169">
        <v>0.0</v>
      </c>
      <c r="J33" s="169">
        <v>0.0</v>
      </c>
      <c r="K33" s="169">
        <v>0.0</v>
      </c>
      <c r="L33" s="169">
        <v>0.0</v>
      </c>
      <c r="M33" s="169">
        <v>0.0</v>
      </c>
      <c r="N33" s="169">
        <v>0.0</v>
      </c>
      <c r="O33" s="169">
        <v>0.0</v>
      </c>
      <c r="P33" s="169">
        <v>0.0</v>
      </c>
      <c r="Q33" s="169">
        <v>0.0</v>
      </c>
      <c r="R33" s="169">
        <v>0.0</v>
      </c>
      <c r="S33" s="169">
        <v>0.0</v>
      </c>
      <c r="T33" s="169">
        <v>0.0</v>
      </c>
      <c r="U33" s="169">
        <v>0.0</v>
      </c>
      <c r="V33" s="169">
        <v>0.0</v>
      </c>
    </row>
    <row r="34" ht="15.75" customHeight="1">
      <c r="A34" s="170">
        <v>7.0</v>
      </c>
      <c r="B34" s="238">
        <v>0.0</v>
      </c>
      <c r="C34" s="169">
        <v>0.0</v>
      </c>
      <c r="D34" s="169">
        <v>0.0</v>
      </c>
      <c r="E34" s="169">
        <v>0.0</v>
      </c>
      <c r="F34" s="169">
        <v>0.0</v>
      </c>
      <c r="G34" s="169">
        <v>0.0</v>
      </c>
      <c r="H34" s="169">
        <v>1.0</v>
      </c>
      <c r="I34" s="169">
        <v>0.0</v>
      </c>
      <c r="J34" s="169">
        <v>0.0</v>
      </c>
      <c r="K34" s="169">
        <v>0.0</v>
      </c>
      <c r="L34" s="169">
        <v>0.0</v>
      </c>
      <c r="M34" s="169">
        <v>0.0</v>
      </c>
      <c r="N34" s="169">
        <v>0.0</v>
      </c>
      <c r="O34" s="169">
        <v>0.0</v>
      </c>
      <c r="P34" s="169">
        <v>0.0</v>
      </c>
      <c r="Q34" s="169">
        <v>0.0</v>
      </c>
      <c r="R34" s="169">
        <v>0.0</v>
      </c>
      <c r="S34" s="169">
        <v>0.0</v>
      </c>
      <c r="T34" s="169">
        <v>0.0</v>
      </c>
      <c r="U34" s="169">
        <v>0.0</v>
      </c>
      <c r="V34" s="169">
        <v>0.0</v>
      </c>
    </row>
    <row r="35" ht="15.75" customHeight="1">
      <c r="A35" s="170">
        <v>8.0</v>
      </c>
      <c r="B35" s="238">
        <v>0.0</v>
      </c>
      <c r="C35" s="169">
        <v>0.0</v>
      </c>
      <c r="D35" s="169">
        <v>0.0</v>
      </c>
      <c r="E35" s="169">
        <v>0.0</v>
      </c>
      <c r="F35" s="169">
        <v>0.0</v>
      </c>
      <c r="G35" s="169">
        <v>0.0</v>
      </c>
      <c r="H35" s="169">
        <v>1.0</v>
      </c>
      <c r="I35" s="169">
        <v>0.0</v>
      </c>
      <c r="J35" s="169">
        <v>0.0</v>
      </c>
      <c r="K35" s="169">
        <v>0.0</v>
      </c>
      <c r="L35" s="169">
        <v>0.0</v>
      </c>
      <c r="M35" s="169">
        <v>0.0</v>
      </c>
      <c r="N35" s="169">
        <v>0.0</v>
      </c>
      <c r="O35" s="169">
        <v>0.0</v>
      </c>
      <c r="P35" s="169">
        <v>0.0</v>
      </c>
      <c r="Q35" s="169">
        <v>0.0</v>
      </c>
      <c r="R35" s="169">
        <v>0.0</v>
      </c>
      <c r="S35" s="169">
        <v>0.0</v>
      </c>
      <c r="T35" s="169">
        <v>0.0</v>
      </c>
      <c r="U35" s="169">
        <v>0.0</v>
      </c>
      <c r="V35" s="169">
        <v>0.0</v>
      </c>
    </row>
    <row r="36" ht="15.75" customHeight="1">
      <c r="A36" s="170">
        <v>9.0</v>
      </c>
      <c r="B36" s="238">
        <v>0.0</v>
      </c>
      <c r="C36" s="169">
        <v>0.0</v>
      </c>
      <c r="D36" s="169">
        <v>0.0</v>
      </c>
      <c r="E36" s="169">
        <v>0.0</v>
      </c>
      <c r="F36" s="169">
        <v>0.0</v>
      </c>
      <c r="G36" s="169">
        <v>0.0</v>
      </c>
      <c r="H36" s="169">
        <v>1.0</v>
      </c>
      <c r="I36" s="169">
        <v>0.0</v>
      </c>
      <c r="J36" s="169">
        <v>0.0</v>
      </c>
      <c r="K36" s="169">
        <v>0.0</v>
      </c>
      <c r="L36" s="169">
        <v>0.0</v>
      </c>
      <c r="M36" s="169">
        <v>0.0</v>
      </c>
      <c r="N36" s="169">
        <v>0.0</v>
      </c>
      <c r="O36" s="169">
        <v>0.0</v>
      </c>
      <c r="P36" s="169">
        <v>0.0</v>
      </c>
      <c r="Q36" s="169">
        <v>0.0</v>
      </c>
      <c r="R36" s="169">
        <v>0.0</v>
      </c>
      <c r="S36" s="169">
        <v>0.0</v>
      </c>
      <c r="T36" s="169">
        <v>0.0</v>
      </c>
      <c r="U36" s="169">
        <v>0.0</v>
      </c>
      <c r="V36" s="169">
        <v>0.0</v>
      </c>
    </row>
    <row r="37" ht="15.75" customHeight="1">
      <c r="A37" s="170">
        <v>10.0</v>
      </c>
      <c r="B37" s="238">
        <v>0.0</v>
      </c>
      <c r="C37" s="169">
        <v>0.0</v>
      </c>
      <c r="D37" s="169">
        <v>0.0</v>
      </c>
      <c r="E37" s="169">
        <v>0.0</v>
      </c>
      <c r="F37" s="169">
        <v>0.0</v>
      </c>
      <c r="G37" s="169">
        <v>0.0</v>
      </c>
      <c r="H37" s="169">
        <v>1.0</v>
      </c>
      <c r="I37" s="169">
        <v>0.0</v>
      </c>
      <c r="J37" s="169">
        <v>0.0</v>
      </c>
      <c r="K37" s="169">
        <v>0.0</v>
      </c>
      <c r="L37" s="169">
        <v>0.0</v>
      </c>
      <c r="M37" s="169">
        <v>0.0</v>
      </c>
      <c r="N37" s="169">
        <v>0.0</v>
      </c>
      <c r="O37" s="169">
        <v>0.0</v>
      </c>
      <c r="P37" s="169">
        <v>0.0</v>
      </c>
      <c r="Q37" s="169">
        <v>0.0</v>
      </c>
      <c r="R37" s="169">
        <v>0.0</v>
      </c>
      <c r="S37" s="169">
        <v>0.0</v>
      </c>
      <c r="T37" s="169">
        <v>0.0</v>
      </c>
      <c r="U37" s="169">
        <v>0.0</v>
      </c>
      <c r="V37" s="169">
        <v>0.0</v>
      </c>
    </row>
    <row r="38" ht="15.75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</row>
    <row r="39" ht="19.5" customHeight="1">
      <c r="A39" s="115" t="s">
        <v>304</v>
      </c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</row>
    <row r="40" ht="15.75" customHeight="1">
      <c r="A40" s="158" t="s">
        <v>299</v>
      </c>
      <c r="B40" s="160">
        <v>10.0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</row>
    <row r="41" ht="15.75" customHeight="1">
      <c r="A41" s="158" t="s">
        <v>300</v>
      </c>
      <c r="B41" s="160">
        <v>10.0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</row>
    <row r="42" ht="15.75" customHeight="1">
      <c r="A42" s="158" t="s">
        <v>152</v>
      </c>
      <c r="B42" s="159">
        <v>2.0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</row>
    <row r="43" ht="15.75" customHeight="1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</row>
    <row r="44" ht="19.5" customHeight="1">
      <c r="A44" s="115" t="s">
        <v>305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</row>
    <row r="45" ht="90.0" customHeight="1">
      <c r="A45" s="166" t="s">
        <v>216</v>
      </c>
      <c r="B45" s="237" t="s">
        <v>82</v>
      </c>
      <c r="C45" s="168" t="s">
        <v>68</v>
      </c>
      <c r="D45" s="168" t="s">
        <v>103</v>
      </c>
      <c r="E45" s="168" t="s">
        <v>69</v>
      </c>
      <c r="F45" s="168" t="s">
        <v>70</v>
      </c>
      <c r="G45" s="168" t="s">
        <v>71</v>
      </c>
      <c r="H45" s="168" t="s">
        <v>72</v>
      </c>
      <c r="I45" s="168" t="s">
        <v>73</v>
      </c>
      <c r="J45" s="168" t="s">
        <v>74</v>
      </c>
      <c r="K45" s="168" t="s">
        <v>75</v>
      </c>
      <c r="L45" s="168" t="s">
        <v>76</v>
      </c>
      <c r="M45" s="168" t="s">
        <v>77</v>
      </c>
      <c r="N45" s="168" t="s">
        <v>78</v>
      </c>
      <c r="O45" s="168" t="s">
        <v>118</v>
      </c>
      <c r="P45" s="168" t="s">
        <v>104</v>
      </c>
      <c r="Q45" s="168" t="s">
        <v>105</v>
      </c>
      <c r="R45" s="168" t="s">
        <v>106</v>
      </c>
      <c r="S45" s="168" t="s">
        <v>107</v>
      </c>
      <c r="T45" s="168" t="s">
        <v>108</v>
      </c>
      <c r="U45" s="168" t="s">
        <v>109</v>
      </c>
      <c r="V45" s="168" t="s">
        <v>110</v>
      </c>
    </row>
    <row r="46" ht="15.75" customHeight="1">
      <c r="A46" s="170">
        <v>1.0</v>
      </c>
      <c r="B46" s="238">
        <v>200.0</v>
      </c>
      <c r="C46" s="169">
        <v>0.0</v>
      </c>
      <c r="D46" s="169">
        <v>0.0</v>
      </c>
      <c r="E46" s="169">
        <v>0.0</v>
      </c>
      <c r="F46" s="169">
        <v>0.0</v>
      </c>
      <c r="G46" s="169">
        <v>0.0</v>
      </c>
      <c r="H46" s="169">
        <v>0.0</v>
      </c>
      <c r="I46" s="169">
        <v>0.0</v>
      </c>
      <c r="J46" s="169">
        <v>1.0</v>
      </c>
      <c r="K46" s="169">
        <v>0.0</v>
      </c>
      <c r="L46" s="169">
        <v>0.0</v>
      </c>
      <c r="M46" s="169">
        <v>0.0</v>
      </c>
      <c r="N46" s="169">
        <v>0.0</v>
      </c>
      <c r="O46" s="169">
        <v>0.0</v>
      </c>
      <c r="P46" s="169">
        <v>0.0</v>
      </c>
      <c r="Q46" s="169">
        <v>0.0</v>
      </c>
      <c r="R46" s="169">
        <v>0.0</v>
      </c>
      <c r="S46" s="169">
        <v>0.0</v>
      </c>
      <c r="T46" s="169">
        <v>0.0</v>
      </c>
      <c r="U46" s="169">
        <v>0.0</v>
      </c>
      <c r="V46" s="169">
        <v>0.0</v>
      </c>
    </row>
    <row r="47" ht="15.75" customHeight="1">
      <c r="A47" s="170">
        <v>2.0</v>
      </c>
      <c r="B47" s="238">
        <v>100.0</v>
      </c>
      <c r="C47" s="169">
        <v>0.0</v>
      </c>
      <c r="D47" s="169">
        <v>0.0</v>
      </c>
      <c r="E47" s="169">
        <v>0.0</v>
      </c>
      <c r="F47" s="169">
        <v>0.0</v>
      </c>
      <c r="G47" s="169">
        <v>0.0</v>
      </c>
      <c r="H47" s="169">
        <v>0.0</v>
      </c>
      <c r="I47" s="169">
        <v>1.0</v>
      </c>
      <c r="J47" s="169">
        <v>0.0</v>
      </c>
      <c r="K47" s="169">
        <v>0.0</v>
      </c>
      <c r="L47" s="169">
        <v>0.0</v>
      </c>
      <c r="M47" s="169">
        <v>0.0</v>
      </c>
      <c r="N47" s="169">
        <v>0.0</v>
      </c>
      <c r="O47" s="169">
        <v>0.0</v>
      </c>
      <c r="P47" s="169">
        <v>0.0</v>
      </c>
      <c r="Q47" s="169">
        <v>0.0</v>
      </c>
      <c r="R47" s="169">
        <v>0.0</v>
      </c>
      <c r="S47" s="169">
        <v>0.0</v>
      </c>
      <c r="T47" s="169">
        <v>0.0</v>
      </c>
      <c r="U47" s="169">
        <v>0.0</v>
      </c>
      <c r="V47" s="169">
        <v>0.0</v>
      </c>
    </row>
    <row r="48" ht="15.75" customHeight="1">
      <c r="A48" s="170">
        <v>3.0</v>
      </c>
      <c r="B48" s="238">
        <v>50.0</v>
      </c>
      <c r="C48" s="169">
        <v>0.0</v>
      </c>
      <c r="D48" s="169">
        <v>0.0</v>
      </c>
      <c r="E48" s="169">
        <v>0.0</v>
      </c>
      <c r="F48" s="169">
        <v>0.0</v>
      </c>
      <c r="G48" s="169">
        <v>0.0</v>
      </c>
      <c r="H48" s="169">
        <v>0.0</v>
      </c>
      <c r="I48" s="169">
        <v>1.0</v>
      </c>
      <c r="J48" s="169">
        <v>0.0</v>
      </c>
      <c r="K48" s="169">
        <v>0.0</v>
      </c>
      <c r="L48" s="169">
        <v>0.0</v>
      </c>
      <c r="M48" s="169">
        <v>0.0</v>
      </c>
      <c r="N48" s="169">
        <v>0.0</v>
      </c>
      <c r="O48" s="169">
        <v>0.0</v>
      </c>
      <c r="P48" s="169">
        <v>0.0</v>
      </c>
      <c r="Q48" s="169">
        <v>0.0</v>
      </c>
      <c r="R48" s="169">
        <v>0.0</v>
      </c>
      <c r="S48" s="169">
        <v>0.0</v>
      </c>
      <c r="T48" s="169">
        <v>0.0</v>
      </c>
      <c r="U48" s="169">
        <v>0.0</v>
      </c>
      <c r="V48" s="169">
        <v>0.0</v>
      </c>
    </row>
    <row r="49" ht="15.75" customHeight="1">
      <c r="A49" s="170">
        <v>4.0</v>
      </c>
      <c r="B49" s="238">
        <v>0.0</v>
      </c>
      <c r="C49" s="169">
        <v>0.0</v>
      </c>
      <c r="D49" s="169">
        <v>0.0</v>
      </c>
      <c r="E49" s="169">
        <v>0.0</v>
      </c>
      <c r="F49" s="169">
        <v>0.0</v>
      </c>
      <c r="G49" s="169">
        <v>0.0</v>
      </c>
      <c r="H49" s="169">
        <v>0.0</v>
      </c>
      <c r="I49" s="169">
        <v>1.0</v>
      </c>
      <c r="J49" s="169">
        <v>0.0</v>
      </c>
      <c r="K49" s="169">
        <v>0.0</v>
      </c>
      <c r="L49" s="169">
        <v>0.0</v>
      </c>
      <c r="M49" s="169">
        <v>0.0</v>
      </c>
      <c r="N49" s="169">
        <v>0.0</v>
      </c>
      <c r="O49" s="169">
        <v>0.0</v>
      </c>
      <c r="P49" s="169">
        <v>0.0</v>
      </c>
      <c r="Q49" s="169">
        <v>0.0</v>
      </c>
      <c r="R49" s="169">
        <v>0.0</v>
      </c>
      <c r="S49" s="169">
        <v>0.0</v>
      </c>
      <c r="T49" s="169">
        <v>0.0</v>
      </c>
      <c r="U49" s="169">
        <v>0.0</v>
      </c>
      <c r="V49" s="169">
        <v>0.0</v>
      </c>
    </row>
    <row r="50" ht="15.75" customHeight="1">
      <c r="A50" s="170">
        <v>5.0</v>
      </c>
      <c r="B50" s="238">
        <v>0.0</v>
      </c>
      <c r="C50" s="169">
        <v>0.0</v>
      </c>
      <c r="D50" s="169">
        <v>0.0</v>
      </c>
      <c r="E50" s="169">
        <v>0.0</v>
      </c>
      <c r="F50" s="169">
        <v>0.0</v>
      </c>
      <c r="G50" s="169">
        <v>0.0</v>
      </c>
      <c r="H50" s="169">
        <v>0.0</v>
      </c>
      <c r="I50" s="169">
        <v>1.0</v>
      </c>
      <c r="J50" s="169">
        <v>0.0</v>
      </c>
      <c r="K50" s="169">
        <v>0.0</v>
      </c>
      <c r="L50" s="169">
        <v>0.0</v>
      </c>
      <c r="M50" s="169">
        <v>0.0</v>
      </c>
      <c r="N50" s="169">
        <v>0.0</v>
      </c>
      <c r="O50" s="169">
        <v>0.0</v>
      </c>
      <c r="P50" s="169">
        <v>0.0</v>
      </c>
      <c r="Q50" s="169">
        <v>0.0</v>
      </c>
      <c r="R50" s="169">
        <v>0.0</v>
      </c>
      <c r="S50" s="169">
        <v>0.0</v>
      </c>
      <c r="T50" s="169">
        <v>0.0</v>
      </c>
      <c r="U50" s="169">
        <v>0.0</v>
      </c>
      <c r="V50" s="169">
        <v>0.0</v>
      </c>
    </row>
    <row r="51" ht="15.75" customHeight="1">
      <c r="A51" s="170">
        <v>6.0</v>
      </c>
      <c r="B51" s="238">
        <v>0.0</v>
      </c>
      <c r="C51" s="169">
        <v>0.0</v>
      </c>
      <c r="D51" s="169">
        <v>0.0</v>
      </c>
      <c r="E51" s="169">
        <v>0.0</v>
      </c>
      <c r="F51" s="169">
        <v>0.0</v>
      </c>
      <c r="G51" s="169">
        <v>0.0</v>
      </c>
      <c r="H51" s="169">
        <v>1.0</v>
      </c>
      <c r="I51" s="169">
        <v>0.0</v>
      </c>
      <c r="J51" s="169">
        <v>0.0</v>
      </c>
      <c r="K51" s="169">
        <v>0.0</v>
      </c>
      <c r="L51" s="169">
        <v>0.0</v>
      </c>
      <c r="M51" s="169">
        <v>0.0</v>
      </c>
      <c r="N51" s="169">
        <v>0.0</v>
      </c>
      <c r="O51" s="169">
        <v>0.0</v>
      </c>
      <c r="P51" s="169">
        <v>0.0</v>
      </c>
      <c r="Q51" s="169">
        <v>0.0</v>
      </c>
      <c r="R51" s="169">
        <v>0.0</v>
      </c>
      <c r="S51" s="169">
        <v>0.0</v>
      </c>
      <c r="T51" s="169">
        <v>0.0</v>
      </c>
      <c r="U51" s="169">
        <v>0.0</v>
      </c>
      <c r="V51" s="169">
        <v>0.0</v>
      </c>
    </row>
    <row r="52" ht="15.75" customHeight="1">
      <c r="A52" s="170">
        <v>7.0</v>
      </c>
      <c r="B52" s="238">
        <v>0.0</v>
      </c>
      <c r="C52" s="169">
        <v>0.0</v>
      </c>
      <c r="D52" s="169">
        <v>0.0</v>
      </c>
      <c r="E52" s="169">
        <v>0.0</v>
      </c>
      <c r="F52" s="169">
        <v>0.0</v>
      </c>
      <c r="G52" s="169">
        <v>0.0</v>
      </c>
      <c r="H52" s="169">
        <v>1.0</v>
      </c>
      <c r="I52" s="169">
        <v>0.0</v>
      </c>
      <c r="J52" s="169">
        <v>0.0</v>
      </c>
      <c r="K52" s="169">
        <v>0.0</v>
      </c>
      <c r="L52" s="169">
        <v>0.0</v>
      </c>
      <c r="M52" s="169">
        <v>0.0</v>
      </c>
      <c r="N52" s="169">
        <v>0.0</v>
      </c>
      <c r="O52" s="169">
        <v>0.0</v>
      </c>
      <c r="P52" s="169">
        <v>0.0</v>
      </c>
      <c r="Q52" s="169">
        <v>0.0</v>
      </c>
      <c r="R52" s="169">
        <v>0.0</v>
      </c>
      <c r="S52" s="169">
        <v>0.0</v>
      </c>
      <c r="T52" s="169">
        <v>0.0</v>
      </c>
      <c r="U52" s="169">
        <v>0.0</v>
      </c>
      <c r="V52" s="169">
        <v>0.0</v>
      </c>
    </row>
    <row r="53" ht="15.75" customHeight="1">
      <c r="A53" s="170">
        <v>8.0</v>
      </c>
      <c r="B53" s="238">
        <v>0.0</v>
      </c>
      <c r="C53" s="169">
        <v>0.0</v>
      </c>
      <c r="D53" s="169">
        <v>0.0</v>
      </c>
      <c r="E53" s="169">
        <v>0.0</v>
      </c>
      <c r="F53" s="169">
        <v>0.0</v>
      </c>
      <c r="G53" s="169">
        <v>0.0</v>
      </c>
      <c r="H53" s="169">
        <v>1.0</v>
      </c>
      <c r="I53" s="169">
        <v>0.0</v>
      </c>
      <c r="J53" s="169">
        <v>0.0</v>
      </c>
      <c r="K53" s="169">
        <v>0.0</v>
      </c>
      <c r="L53" s="169">
        <v>0.0</v>
      </c>
      <c r="M53" s="169">
        <v>0.0</v>
      </c>
      <c r="N53" s="169">
        <v>0.0</v>
      </c>
      <c r="O53" s="169">
        <v>0.0</v>
      </c>
      <c r="P53" s="169">
        <v>0.0</v>
      </c>
      <c r="Q53" s="169">
        <v>0.0</v>
      </c>
      <c r="R53" s="169">
        <v>0.0</v>
      </c>
      <c r="S53" s="169">
        <v>0.0</v>
      </c>
      <c r="T53" s="169">
        <v>0.0</v>
      </c>
      <c r="U53" s="169">
        <v>0.0</v>
      </c>
      <c r="V53" s="169">
        <v>0.0</v>
      </c>
    </row>
    <row r="54" ht="15.75" customHeight="1">
      <c r="A54" s="170">
        <v>9.0</v>
      </c>
      <c r="B54" s="238">
        <v>0.0</v>
      </c>
      <c r="C54" s="169">
        <v>0.0</v>
      </c>
      <c r="D54" s="169">
        <v>0.0</v>
      </c>
      <c r="E54" s="169">
        <v>0.0</v>
      </c>
      <c r="F54" s="169">
        <v>0.0</v>
      </c>
      <c r="G54" s="169">
        <v>0.0</v>
      </c>
      <c r="H54" s="169">
        <v>1.0</v>
      </c>
      <c r="I54" s="169">
        <v>0.0</v>
      </c>
      <c r="J54" s="169">
        <v>0.0</v>
      </c>
      <c r="K54" s="169">
        <v>0.0</v>
      </c>
      <c r="L54" s="169">
        <v>0.0</v>
      </c>
      <c r="M54" s="169">
        <v>0.0</v>
      </c>
      <c r="N54" s="169">
        <v>0.0</v>
      </c>
      <c r="O54" s="169">
        <v>0.0</v>
      </c>
      <c r="P54" s="169">
        <v>0.0</v>
      </c>
      <c r="Q54" s="169">
        <v>0.0</v>
      </c>
      <c r="R54" s="169">
        <v>0.0</v>
      </c>
      <c r="S54" s="169">
        <v>0.0</v>
      </c>
      <c r="T54" s="169">
        <v>0.0</v>
      </c>
      <c r="U54" s="169">
        <v>0.0</v>
      </c>
      <c r="V54" s="169">
        <v>0.0</v>
      </c>
    </row>
    <row r="55" ht="15.75" customHeight="1">
      <c r="A55" s="170">
        <v>10.0</v>
      </c>
      <c r="B55" s="238">
        <v>0.0</v>
      </c>
      <c r="C55" s="169">
        <v>0.0</v>
      </c>
      <c r="D55" s="169">
        <v>0.0</v>
      </c>
      <c r="E55" s="169">
        <v>0.0</v>
      </c>
      <c r="F55" s="169">
        <v>0.0</v>
      </c>
      <c r="G55" s="169">
        <v>0.0</v>
      </c>
      <c r="H55" s="169">
        <v>1.0</v>
      </c>
      <c r="I55" s="169">
        <v>0.0</v>
      </c>
      <c r="J55" s="169">
        <v>0.0</v>
      </c>
      <c r="K55" s="169">
        <v>0.0</v>
      </c>
      <c r="L55" s="169">
        <v>0.0</v>
      </c>
      <c r="M55" s="169">
        <v>0.0</v>
      </c>
      <c r="N55" s="169">
        <v>0.0</v>
      </c>
      <c r="O55" s="169">
        <v>0.0</v>
      </c>
      <c r="P55" s="169">
        <v>0.0</v>
      </c>
      <c r="Q55" s="169">
        <v>0.0</v>
      </c>
      <c r="R55" s="169">
        <v>0.0</v>
      </c>
      <c r="S55" s="169">
        <v>0.0</v>
      </c>
      <c r="T55" s="169">
        <v>0.0</v>
      </c>
      <c r="U55" s="169">
        <v>0.0</v>
      </c>
      <c r="V55" s="169">
        <v>0.0</v>
      </c>
    </row>
    <row r="56" ht="15.7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</row>
    <row r="57" ht="19.5" customHeight="1">
      <c r="A57" s="115" t="s">
        <v>306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</row>
    <row r="58" ht="15.75" customHeight="1">
      <c r="A58" s="158" t="s">
        <v>299</v>
      </c>
      <c r="B58" s="160">
        <v>10.0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</row>
    <row r="59" ht="15.75" customHeight="1">
      <c r="A59" s="158" t="s">
        <v>300</v>
      </c>
      <c r="B59" s="160">
        <v>10.0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</row>
    <row r="60" ht="15.75" customHeight="1">
      <c r="A60" s="158" t="s">
        <v>152</v>
      </c>
      <c r="B60" s="159">
        <v>2.0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</row>
    <row r="61" ht="15.75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</row>
    <row r="62" ht="19.5" customHeight="1">
      <c r="A62" s="115" t="s">
        <v>307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</row>
    <row r="63" ht="90.0" customHeight="1">
      <c r="A63" s="166" t="s">
        <v>216</v>
      </c>
      <c r="B63" s="237" t="s">
        <v>82</v>
      </c>
      <c r="C63" s="168" t="s">
        <v>68</v>
      </c>
      <c r="D63" s="168" t="s">
        <v>103</v>
      </c>
      <c r="E63" s="168" t="s">
        <v>69</v>
      </c>
      <c r="F63" s="168" t="s">
        <v>70</v>
      </c>
      <c r="G63" s="168" t="s">
        <v>71</v>
      </c>
      <c r="H63" s="168" t="s">
        <v>72</v>
      </c>
      <c r="I63" s="168" t="s">
        <v>73</v>
      </c>
      <c r="J63" s="168" t="s">
        <v>74</v>
      </c>
      <c r="K63" s="168" t="s">
        <v>75</v>
      </c>
      <c r="L63" s="168" t="s">
        <v>76</v>
      </c>
      <c r="M63" s="168" t="s">
        <v>77</v>
      </c>
      <c r="N63" s="168" t="s">
        <v>78</v>
      </c>
      <c r="O63" s="168" t="s">
        <v>118</v>
      </c>
      <c r="P63" s="168" t="s">
        <v>104</v>
      </c>
      <c r="Q63" s="168" t="s">
        <v>105</v>
      </c>
      <c r="R63" s="168" t="s">
        <v>106</v>
      </c>
      <c r="S63" s="168" t="s">
        <v>107</v>
      </c>
      <c r="T63" s="168" t="s">
        <v>108</v>
      </c>
      <c r="U63" s="168" t="s">
        <v>109</v>
      </c>
      <c r="V63" s="168" t="s">
        <v>110</v>
      </c>
    </row>
    <row r="64" ht="15.75" customHeight="1">
      <c r="A64" s="170">
        <v>1.0</v>
      </c>
      <c r="B64" s="238">
        <v>200.0</v>
      </c>
      <c r="C64" s="169">
        <v>0.0</v>
      </c>
      <c r="D64" s="169">
        <v>0.0</v>
      </c>
      <c r="E64" s="169">
        <v>0.0</v>
      </c>
      <c r="F64" s="169">
        <v>0.0</v>
      </c>
      <c r="G64" s="169">
        <v>0.0</v>
      </c>
      <c r="H64" s="169">
        <v>0.0</v>
      </c>
      <c r="I64" s="169">
        <v>0.0</v>
      </c>
      <c r="J64" s="169">
        <v>1.0</v>
      </c>
      <c r="K64" s="169">
        <v>0.0</v>
      </c>
      <c r="L64" s="169">
        <v>0.0</v>
      </c>
      <c r="M64" s="169">
        <v>0.0</v>
      </c>
      <c r="N64" s="169">
        <v>0.0</v>
      </c>
      <c r="O64" s="169">
        <v>0.0</v>
      </c>
      <c r="P64" s="169">
        <v>0.0</v>
      </c>
      <c r="Q64" s="169">
        <v>0.0</v>
      </c>
      <c r="R64" s="169">
        <v>0.0</v>
      </c>
      <c r="S64" s="169">
        <v>0.0</v>
      </c>
      <c r="T64" s="169">
        <v>0.0</v>
      </c>
      <c r="U64" s="169">
        <v>0.0</v>
      </c>
      <c r="V64" s="169">
        <v>0.0</v>
      </c>
    </row>
    <row r="65" ht="15.75" customHeight="1">
      <c r="A65" s="170">
        <v>2.0</v>
      </c>
      <c r="B65" s="238">
        <v>100.0</v>
      </c>
      <c r="C65" s="169">
        <v>0.0</v>
      </c>
      <c r="D65" s="169">
        <v>0.0</v>
      </c>
      <c r="E65" s="169">
        <v>0.0</v>
      </c>
      <c r="F65" s="169">
        <v>0.0</v>
      </c>
      <c r="G65" s="169">
        <v>0.0</v>
      </c>
      <c r="H65" s="169">
        <v>0.0</v>
      </c>
      <c r="I65" s="169">
        <v>1.0</v>
      </c>
      <c r="J65" s="169">
        <v>0.0</v>
      </c>
      <c r="K65" s="169">
        <v>0.0</v>
      </c>
      <c r="L65" s="169">
        <v>0.0</v>
      </c>
      <c r="M65" s="169">
        <v>0.0</v>
      </c>
      <c r="N65" s="169">
        <v>0.0</v>
      </c>
      <c r="O65" s="169">
        <v>0.0</v>
      </c>
      <c r="P65" s="169">
        <v>0.0</v>
      </c>
      <c r="Q65" s="169">
        <v>0.0</v>
      </c>
      <c r="R65" s="169">
        <v>0.0</v>
      </c>
      <c r="S65" s="169">
        <v>0.0</v>
      </c>
      <c r="T65" s="169">
        <v>0.0</v>
      </c>
      <c r="U65" s="169">
        <v>0.0</v>
      </c>
      <c r="V65" s="169">
        <v>0.0</v>
      </c>
    </row>
    <row r="66" ht="15.75" customHeight="1">
      <c r="A66" s="170">
        <v>3.0</v>
      </c>
      <c r="B66" s="238">
        <v>50.0</v>
      </c>
      <c r="C66" s="169">
        <v>0.0</v>
      </c>
      <c r="D66" s="169">
        <v>0.0</v>
      </c>
      <c r="E66" s="169">
        <v>0.0</v>
      </c>
      <c r="F66" s="169">
        <v>0.0</v>
      </c>
      <c r="G66" s="169">
        <v>0.0</v>
      </c>
      <c r="H66" s="169">
        <v>0.0</v>
      </c>
      <c r="I66" s="169">
        <v>1.0</v>
      </c>
      <c r="J66" s="169">
        <v>0.0</v>
      </c>
      <c r="K66" s="169">
        <v>0.0</v>
      </c>
      <c r="L66" s="169">
        <v>0.0</v>
      </c>
      <c r="M66" s="169">
        <v>0.0</v>
      </c>
      <c r="N66" s="169">
        <v>0.0</v>
      </c>
      <c r="O66" s="169">
        <v>0.0</v>
      </c>
      <c r="P66" s="169">
        <v>0.0</v>
      </c>
      <c r="Q66" s="169">
        <v>0.0</v>
      </c>
      <c r="R66" s="169">
        <v>0.0</v>
      </c>
      <c r="S66" s="169">
        <v>0.0</v>
      </c>
      <c r="T66" s="169">
        <v>0.0</v>
      </c>
      <c r="U66" s="169">
        <v>0.0</v>
      </c>
      <c r="V66" s="169">
        <v>0.0</v>
      </c>
    </row>
    <row r="67" ht="15.75" customHeight="1">
      <c r="A67" s="170">
        <v>4.0</v>
      </c>
      <c r="B67" s="238">
        <v>0.0</v>
      </c>
      <c r="C67" s="169">
        <v>0.0</v>
      </c>
      <c r="D67" s="169">
        <v>0.0</v>
      </c>
      <c r="E67" s="169">
        <v>0.0</v>
      </c>
      <c r="F67" s="169">
        <v>0.0</v>
      </c>
      <c r="G67" s="169">
        <v>0.0</v>
      </c>
      <c r="H67" s="169">
        <v>0.0</v>
      </c>
      <c r="I67" s="169">
        <v>1.0</v>
      </c>
      <c r="J67" s="169">
        <v>0.0</v>
      </c>
      <c r="K67" s="169">
        <v>0.0</v>
      </c>
      <c r="L67" s="169">
        <v>0.0</v>
      </c>
      <c r="M67" s="169">
        <v>0.0</v>
      </c>
      <c r="N67" s="169">
        <v>0.0</v>
      </c>
      <c r="O67" s="169">
        <v>0.0</v>
      </c>
      <c r="P67" s="169">
        <v>0.0</v>
      </c>
      <c r="Q67" s="169">
        <v>0.0</v>
      </c>
      <c r="R67" s="169">
        <v>0.0</v>
      </c>
      <c r="S67" s="169">
        <v>0.0</v>
      </c>
      <c r="T67" s="169">
        <v>0.0</v>
      </c>
      <c r="U67" s="169">
        <v>0.0</v>
      </c>
      <c r="V67" s="169">
        <v>0.0</v>
      </c>
    </row>
    <row r="68" ht="15.75" customHeight="1">
      <c r="A68" s="170">
        <v>5.0</v>
      </c>
      <c r="B68" s="238">
        <v>0.0</v>
      </c>
      <c r="C68" s="169">
        <v>0.0</v>
      </c>
      <c r="D68" s="169">
        <v>0.0</v>
      </c>
      <c r="E68" s="169">
        <v>0.0</v>
      </c>
      <c r="F68" s="169">
        <v>0.0</v>
      </c>
      <c r="G68" s="169">
        <v>0.0</v>
      </c>
      <c r="H68" s="169">
        <v>0.0</v>
      </c>
      <c r="I68" s="169">
        <v>1.0</v>
      </c>
      <c r="J68" s="169">
        <v>0.0</v>
      </c>
      <c r="K68" s="169">
        <v>0.0</v>
      </c>
      <c r="L68" s="169">
        <v>0.0</v>
      </c>
      <c r="M68" s="169">
        <v>0.0</v>
      </c>
      <c r="N68" s="169">
        <v>0.0</v>
      </c>
      <c r="O68" s="169">
        <v>0.0</v>
      </c>
      <c r="P68" s="169">
        <v>0.0</v>
      </c>
      <c r="Q68" s="169">
        <v>0.0</v>
      </c>
      <c r="R68" s="169">
        <v>0.0</v>
      </c>
      <c r="S68" s="169">
        <v>0.0</v>
      </c>
      <c r="T68" s="169">
        <v>0.0</v>
      </c>
      <c r="U68" s="169">
        <v>0.0</v>
      </c>
      <c r="V68" s="169">
        <v>0.0</v>
      </c>
    </row>
    <row r="69" ht="15.75" customHeight="1">
      <c r="A69" s="170">
        <v>6.0</v>
      </c>
      <c r="B69" s="238">
        <v>0.0</v>
      </c>
      <c r="C69" s="169">
        <v>0.0</v>
      </c>
      <c r="D69" s="169">
        <v>0.0</v>
      </c>
      <c r="E69" s="169">
        <v>0.0</v>
      </c>
      <c r="F69" s="169">
        <v>0.0</v>
      </c>
      <c r="G69" s="169">
        <v>0.0</v>
      </c>
      <c r="H69" s="169">
        <v>1.0</v>
      </c>
      <c r="I69" s="169">
        <v>0.0</v>
      </c>
      <c r="J69" s="169">
        <v>0.0</v>
      </c>
      <c r="K69" s="169">
        <v>0.0</v>
      </c>
      <c r="L69" s="169">
        <v>0.0</v>
      </c>
      <c r="M69" s="169">
        <v>0.0</v>
      </c>
      <c r="N69" s="169">
        <v>0.0</v>
      </c>
      <c r="O69" s="169">
        <v>0.0</v>
      </c>
      <c r="P69" s="169">
        <v>0.0</v>
      </c>
      <c r="Q69" s="169">
        <v>0.0</v>
      </c>
      <c r="R69" s="169">
        <v>0.0</v>
      </c>
      <c r="S69" s="169">
        <v>0.0</v>
      </c>
      <c r="T69" s="169">
        <v>0.0</v>
      </c>
      <c r="U69" s="169">
        <v>0.0</v>
      </c>
      <c r="V69" s="169">
        <v>0.0</v>
      </c>
    </row>
    <row r="70" ht="15.75" customHeight="1">
      <c r="A70" s="170">
        <v>7.0</v>
      </c>
      <c r="B70" s="238">
        <v>0.0</v>
      </c>
      <c r="C70" s="169">
        <v>0.0</v>
      </c>
      <c r="D70" s="169">
        <v>0.0</v>
      </c>
      <c r="E70" s="169">
        <v>0.0</v>
      </c>
      <c r="F70" s="169">
        <v>0.0</v>
      </c>
      <c r="G70" s="169">
        <v>0.0</v>
      </c>
      <c r="H70" s="169">
        <v>1.0</v>
      </c>
      <c r="I70" s="169">
        <v>0.0</v>
      </c>
      <c r="J70" s="169">
        <v>0.0</v>
      </c>
      <c r="K70" s="169">
        <v>0.0</v>
      </c>
      <c r="L70" s="169">
        <v>0.0</v>
      </c>
      <c r="M70" s="169">
        <v>0.0</v>
      </c>
      <c r="N70" s="169">
        <v>0.0</v>
      </c>
      <c r="O70" s="169">
        <v>0.0</v>
      </c>
      <c r="P70" s="169">
        <v>0.0</v>
      </c>
      <c r="Q70" s="169">
        <v>0.0</v>
      </c>
      <c r="R70" s="169">
        <v>0.0</v>
      </c>
      <c r="S70" s="169">
        <v>0.0</v>
      </c>
      <c r="T70" s="169">
        <v>0.0</v>
      </c>
      <c r="U70" s="169">
        <v>0.0</v>
      </c>
      <c r="V70" s="169">
        <v>0.0</v>
      </c>
    </row>
    <row r="71" ht="15.75" customHeight="1">
      <c r="A71" s="170">
        <v>8.0</v>
      </c>
      <c r="B71" s="238">
        <v>0.0</v>
      </c>
      <c r="C71" s="169">
        <v>0.0</v>
      </c>
      <c r="D71" s="169">
        <v>0.0</v>
      </c>
      <c r="E71" s="169">
        <v>0.0</v>
      </c>
      <c r="F71" s="169">
        <v>0.0</v>
      </c>
      <c r="G71" s="169">
        <v>0.0</v>
      </c>
      <c r="H71" s="169">
        <v>1.0</v>
      </c>
      <c r="I71" s="169">
        <v>0.0</v>
      </c>
      <c r="J71" s="169">
        <v>0.0</v>
      </c>
      <c r="K71" s="169">
        <v>0.0</v>
      </c>
      <c r="L71" s="169">
        <v>0.0</v>
      </c>
      <c r="M71" s="169">
        <v>0.0</v>
      </c>
      <c r="N71" s="169">
        <v>0.0</v>
      </c>
      <c r="O71" s="169">
        <v>0.0</v>
      </c>
      <c r="P71" s="169">
        <v>0.0</v>
      </c>
      <c r="Q71" s="169">
        <v>0.0</v>
      </c>
      <c r="R71" s="169">
        <v>0.0</v>
      </c>
      <c r="S71" s="169">
        <v>0.0</v>
      </c>
      <c r="T71" s="169">
        <v>0.0</v>
      </c>
      <c r="U71" s="169">
        <v>0.0</v>
      </c>
      <c r="V71" s="169">
        <v>0.0</v>
      </c>
    </row>
    <row r="72" ht="15.75" customHeight="1">
      <c r="A72" s="170">
        <v>9.0</v>
      </c>
      <c r="B72" s="238">
        <v>0.0</v>
      </c>
      <c r="C72" s="169">
        <v>0.0</v>
      </c>
      <c r="D72" s="169">
        <v>0.0</v>
      </c>
      <c r="E72" s="169">
        <v>0.0</v>
      </c>
      <c r="F72" s="169">
        <v>0.0</v>
      </c>
      <c r="G72" s="169">
        <v>0.0</v>
      </c>
      <c r="H72" s="169">
        <v>1.0</v>
      </c>
      <c r="I72" s="169">
        <v>0.0</v>
      </c>
      <c r="J72" s="169">
        <v>0.0</v>
      </c>
      <c r="K72" s="169">
        <v>0.0</v>
      </c>
      <c r="L72" s="169">
        <v>0.0</v>
      </c>
      <c r="M72" s="169">
        <v>0.0</v>
      </c>
      <c r="N72" s="169">
        <v>0.0</v>
      </c>
      <c r="O72" s="169">
        <v>0.0</v>
      </c>
      <c r="P72" s="169">
        <v>0.0</v>
      </c>
      <c r="Q72" s="169">
        <v>0.0</v>
      </c>
      <c r="R72" s="169">
        <v>0.0</v>
      </c>
      <c r="S72" s="169">
        <v>0.0</v>
      </c>
      <c r="T72" s="169">
        <v>0.0</v>
      </c>
      <c r="U72" s="169">
        <v>0.0</v>
      </c>
      <c r="V72" s="169">
        <v>0.0</v>
      </c>
    </row>
    <row r="73" ht="15.75" customHeight="1">
      <c r="A73" s="170">
        <v>10.0</v>
      </c>
      <c r="B73" s="238">
        <v>0.0</v>
      </c>
      <c r="C73" s="169">
        <v>0.0</v>
      </c>
      <c r="D73" s="169">
        <v>0.0</v>
      </c>
      <c r="E73" s="169">
        <v>0.0</v>
      </c>
      <c r="F73" s="169">
        <v>0.0</v>
      </c>
      <c r="G73" s="169">
        <v>0.0</v>
      </c>
      <c r="H73" s="169">
        <v>1.0</v>
      </c>
      <c r="I73" s="169">
        <v>0.0</v>
      </c>
      <c r="J73" s="169">
        <v>0.0</v>
      </c>
      <c r="K73" s="169">
        <v>0.0</v>
      </c>
      <c r="L73" s="169">
        <v>0.0</v>
      </c>
      <c r="M73" s="169">
        <v>0.0</v>
      </c>
      <c r="N73" s="169">
        <v>0.0</v>
      </c>
      <c r="O73" s="169">
        <v>0.0</v>
      </c>
      <c r="P73" s="169">
        <v>0.0</v>
      </c>
      <c r="Q73" s="169">
        <v>0.0</v>
      </c>
      <c r="R73" s="169">
        <v>0.0</v>
      </c>
      <c r="S73" s="169">
        <v>0.0</v>
      </c>
      <c r="T73" s="169">
        <v>0.0</v>
      </c>
      <c r="U73" s="169">
        <v>0.0</v>
      </c>
      <c r="V73" s="169">
        <v>0.0</v>
      </c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</row>
    <row r="75" ht="19.5" customHeight="1">
      <c r="A75" s="115" t="s">
        <v>308</v>
      </c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</row>
    <row r="76" ht="15.75" customHeight="1">
      <c r="A76" s="158" t="s">
        <v>299</v>
      </c>
      <c r="B76" s="160">
        <v>10.0</v>
      </c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</row>
    <row r="77" ht="15.75" customHeight="1">
      <c r="A77" s="158" t="s">
        <v>300</v>
      </c>
      <c r="B77" s="160">
        <v>10.0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</row>
    <row r="78" ht="15.75" customHeight="1">
      <c r="A78" s="158" t="s">
        <v>152</v>
      </c>
      <c r="B78" s="239">
        <v>1.0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</row>
    <row r="80" ht="19.5" customHeight="1">
      <c r="A80" s="115" t="s">
        <v>309</v>
      </c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</row>
    <row r="81" ht="90.0" customHeight="1">
      <c r="A81" s="166" t="s">
        <v>216</v>
      </c>
      <c r="B81" s="237" t="s">
        <v>82</v>
      </c>
      <c r="C81" s="168" t="s">
        <v>68</v>
      </c>
      <c r="D81" s="168" t="s">
        <v>103</v>
      </c>
      <c r="E81" s="168" t="s">
        <v>69</v>
      </c>
      <c r="F81" s="168" t="s">
        <v>70</v>
      </c>
      <c r="G81" s="168" t="s">
        <v>71</v>
      </c>
      <c r="H81" s="168" t="s">
        <v>72</v>
      </c>
      <c r="I81" s="168" t="s">
        <v>73</v>
      </c>
      <c r="J81" s="168" t="s">
        <v>74</v>
      </c>
      <c r="K81" s="168" t="s">
        <v>75</v>
      </c>
      <c r="L81" s="168" t="s">
        <v>76</v>
      </c>
      <c r="M81" s="168" t="s">
        <v>77</v>
      </c>
      <c r="N81" s="168" t="s">
        <v>78</v>
      </c>
      <c r="O81" s="168" t="s">
        <v>118</v>
      </c>
      <c r="P81" s="168" t="s">
        <v>104</v>
      </c>
      <c r="Q81" s="168" t="s">
        <v>105</v>
      </c>
      <c r="R81" s="168" t="s">
        <v>106</v>
      </c>
      <c r="S81" s="168" t="s">
        <v>107</v>
      </c>
      <c r="T81" s="168" t="s">
        <v>108</v>
      </c>
      <c r="U81" s="168" t="s">
        <v>109</v>
      </c>
      <c r="V81" s="168" t="s">
        <v>110</v>
      </c>
    </row>
    <row r="82" ht="15.75" customHeight="1">
      <c r="A82" s="170">
        <v>1.0</v>
      </c>
      <c r="B82" s="238">
        <v>200.0</v>
      </c>
      <c r="C82" s="169">
        <v>0.0</v>
      </c>
      <c r="D82" s="169">
        <v>0.0</v>
      </c>
      <c r="E82" s="169">
        <v>0.0</v>
      </c>
      <c r="F82" s="169">
        <v>0.0</v>
      </c>
      <c r="G82" s="169">
        <v>0.0</v>
      </c>
      <c r="H82" s="169">
        <v>0.0</v>
      </c>
      <c r="I82" s="169">
        <v>0.0</v>
      </c>
      <c r="J82" s="169">
        <v>1.0</v>
      </c>
      <c r="K82" s="169">
        <v>0.0</v>
      </c>
      <c r="L82" s="169">
        <v>0.0</v>
      </c>
      <c r="M82" s="169">
        <v>0.0</v>
      </c>
      <c r="N82" s="169">
        <v>0.0</v>
      </c>
      <c r="O82" s="169">
        <v>0.0</v>
      </c>
      <c r="P82" s="169">
        <v>0.0</v>
      </c>
      <c r="Q82" s="169">
        <v>0.0</v>
      </c>
      <c r="R82" s="169">
        <v>0.0</v>
      </c>
      <c r="S82" s="169">
        <v>0.0</v>
      </c>
      <c r="T82" s="169">
        <v>0.0</v>
      </c>
      <c r="U82" s="169">
        <v>0.0</v>
      </c>
      <c r="V82" s="169">
        <v>0.0</v>
      </c>
    </row>
    <row r="83" ht="15.75" customHeight="1">
      <c r="A83" s="170">
        <v>2.0</v>
      </c>
      <c r="B83" s="238">
        <v>100.0</v>
      </c>
      <c r="C83" s="169">
        <v>0.0</v>
      </c>
      <c r="D83" s="169">
        <v>0.0</v>
      </c>
      <c r="E83" s="169">
        <v>0.0</v>
      </c>
      <c r="F83" s="169">
        <v>0.0</v>
      </c>
      <c r="G83" s="169">
        <v>0.0</v>
      </c>
      <c r="H83" s="169">
        <v>0.0</v>
      </c>
      <c r="I83" s="169">
        <v>1.0</v>
      </c>
      <c r="J83" s="169">
        <v>0.0</v>
      </c>
      <c r="K83" s="169">
        <v>0.0</v>
      </c>
      <c r="L83" s="169">
        <v>0.0</v>
      </c>
      <c r="M83" s="169">
        <v>0.0</v>
      </c>
      <c r="N83" s="169">
        <v>0.0</v>
      </c>
      <c r="O83" s="169">
        <v>0.0</v>
      </c>
      <c r="P83" s="169">
        <v>0.0</v>
      </c>
      <c r="Q83" s="169">
        <v>0.0</v>
      </c>
      <c r="R83" s="169">
        <v>0.0</v>
      </c>
      <c r="S83" s="169">
        <v>0.0</v>
      </c>
      <c r="T83" s="169">
        <v>0.0</v>
      </c>
      <c r="U83" s="169">
        <v>0.0</v>
      </c>
      <c r="V83" s="169">
        <v>0.0</v>
      </c>
    </row>
    <row r="84" ht="15.75" customHeight="1">
      <c r="A84" s="170">
        <v>3.0</v>
      </c>
      <c r="B84" s="238">
        <v>50.0</v>
      </c>
      <c r="C84" s="169">
        <v>0.0</v>
      </c>
      <c r="D84" s="169">
        <v>0.0</v>
      </c>
      <c r="E84" s="169">
        <v>0.0</v>
      </c>
      <c r="F84" s="169">
        <v>0.0</v>
      </c>
      <c r="G84" s="169">
        <v>0.0</v>
      </c>
      <c r="H84" s="169">
        <v>0.0</v>
      </c>
      <c r="I84" s="169">
        <v>1.0</v>
      </c>
      <c r="J84" s="169">
        <v>0.0</v>
      </c>
      <c r="K84" s="169">
        <v>0.0</v>
      </c>
      <c r="L84" s="169">
        <v>0.0</v>
      </c>
      <c r="M84" s="169">
        <v>0.0</v>
      </c>
      <c r="N84" s="169">
        <v>0.0</v>
      </c>
      <c r="O84" s="169">
        <v>0.0</v>
      </c>
      <c r="P84" s="169">
        <v>0.0</v>
      </c>
      <c r="Q84" s="169">
        <v>0.0</v>
      </c>
      <c r="R84" s="169">
        <v>0.0</v>
      </c>
      <c r="S84" s="169">
        <v>0.0</v>
      </c>
      <c r="T84" s="169">
        <v>0.0</v>
      </c>
      <c r="U84" s="169">
        <v>0.0</v>
      </c>
      <c r="V84" s="169">
        <v>0.0</v>
      </c>
    </row>
    <row r="85" ht="15.75" customHeight="1">
      <c r="A85" s="170">
        <v>4.0</v>
      </c>
      <c r="B85" s="238">
        <v>0.0</v>
      </c>
      <c r="C85" s="169">
        <v>0.0</v>
      </c>
      <c r="D85" s="169">
        <v>0.0</v>
      </c>
      <c r="E85" s="169">
        <v>0.0</v>
      </c>
      <c r="F85" s="169">
        <v>0.0</v>
      </c>
      <c r="G85" s="169">
        <v>0.0</v>
      </c>
      <c r="H85" s="169">
        <v>0.0</v>
      </c>
      <c r="I85" s="169">
        <v>1.0</v>
      </c>
      <c r="J85" s="169">
        <v>0.0</v>
      </c>
      <c r="K85" s="169">
        <v>0.0</v>
      </c>
      <c r="L85" s="169">
        <v>0.0</v>
      </c>
      <c r="M85" s="169">
        <v>0.0</v>
      </c>
      <c r="N85" s="169">
        <v>0.0</v>
      </c>
      <c r="O85" s="169">
        <v>0.0</v>
      </c>
      <c r="P85" s="169">
        <v>0.0</v>
      </c>
      <c r="Q85" s="169">
        <v>0.0</v>
      </c>
      <c r="R85" s="169">
        <v>0.0</v>
      </c>
      <c r="S85" s="169">
        <v>0.0</v>
      </c>
      <c r="T85" s="169">
        <v>0.0</v>
      </c>
      <c r="U85" s="169">
        <v>0.0</v>
      </c>
      <c r="V85" s="169">
        <v>0.0</v>
      </c>
    </row>
    <row r="86" ht="15.75" customHeight="1">
      <c r="A86" s="170">
        <v>5.0</v>
      </c>
      <c r="B86" s="238">
        <v>0.0</v>
      </c>
      <c r="C86" s="169">
        <v>0.0</v>
      </c>
      <c r="D86" s="169">
        <v>0.0</v>
      </c>
      <c r="E86" s="169">
        <v>0.0</v>
      </c>
      <c r="F86" s="169">
        <v>0.0</v>
      </c>
      <c r="G86" s="169">
        <v>0.0</v>
      </c>
      <c r="H86" s="169">
        <v>0.0</v>
      </c>
      <c r="I86" s="169">
        <v>1.0</v>
      </c>
      <c r="J86" s="169">
        <v>0.0</v>
      </c>
      <c r="K86" s="169">
        <v>0.0</v>
      </c>
      <c r="L86" s="169">
        <v>0.0</v>
      </c>
      <c r="M86" s="169">
        <v>0.0</v>
      </c>
      <c r="N86" s="169">
        <v>0.0</v>
      </c>
      <c r="O86" s="169">
        <v>0.0</v>
      </c>
      <c r="P86" s="169">
        <v>0.0</v>
      </c>
      <c r="Q86" s="169">
        <v>0.0</v>
      </c>
      <c r="R86" s="169">
        <v>0.0</v>
      </c>
      <c r="S86" s="169">
        <v>0.0</v>
      </c>
      <c r="T86" s="169">
        <v>0.0</v>
      </c>
      <c r="U86" s="169">
        <v>0.0</v>
      </c>
      <c r="V86" s="169">
        <v>0.0</v>
      </c>
    </row>
    <row r="87" ht="15.75" customHeight="1">
      <c r="A87" s="170">
        <v>6.0</v>
      </c>
      <c r="B87" s="238">
        <v>0.0</v>
      </c>
      <c r="C87" s="169">
        <v>0.0</v>
      </c>
      <c r="D87" s="169">
        <v>0.0</v>
      </c>
      <c r="E87" s="169">
        <v>0.0</v>
      </c>
      <c r="F87" s="169">
        <v>0.0</v>
      </c>
      <c r="G87" s="169">
        <v>0.0</v>
      </c>
      <c r="H87" s="169">
        <v>1.0</v>
      </c>
      <c r="I87" s="169">
        <v>0.0</v>
      </c>
      <c r="J87" s="169">
        <v>0.0</v>
      </c>
      <c r="K87" s="169">
        <v>0.0</v>
      </c>
      <c r="L87" s="169">
        <v>0.0</v>
      </c>
      <c r="M87" s="169">
        <v>0.0</v>
      </c>
      <c r="N87" s="169">
        <v>0.0</v>
      </c>
      <c r="O87" s="169">
        <v>0.0</v>
      </c>
      <c r="P87" s="169">
        <v>0.0</v>
      </c>
      <c r="Q87" s="169">
        <v>0.0</v>
      </c>
      <c r="R87" s="169">
        <v>0.0</v>
      </c>
      <c r="S87" s="169">
        <v>0.0</v>
      </c>
      <c r="T87" s="169">
        <v>0.0</v>
      </c>
      <c r="U87" s="169">
        <v>0.0</v>
      </c>
      <c r="V87" s="169">
        <v>0.0</v>
      </c>
    </row>
    <row r="88" ht="15.75" customHeight="1">
      <c r="A88" s="170">
        <v>7.0</v>
      </c>
      <c r="B88" s="238">
        <v>0.0</v>
      </c>
      <c r="C88" s="169">
        <v>0.0</v>
      </c>
      <c r="D88" s="169">
        <v>0.0</v>
      </c>
      <c r="E88" s="169">
        <v>0.0</v>
      </c>
      <c r="F88" s="169">
        <v>0.0</v>
      </c>
      <c r="G88" s="169">
        <v>0.0</v>
      </c>
      <c r="H88" s="169">
        <v>1.0</v>
      </c>
      <c r="I88" s="169">
        <v>0.0</v>
      </c>
      <c r="J88" s="169">
        <v>0.0</v>
      </c>
      <c r="K88" s="169">
        <v>0.0</v>
      </c>
      <c r="L88" s="169">
        <v>0.0</v>
      </c>
      <c r="M88" s="169">
        <v>0.0</v>
      </c>
      <c r="N88" s="169">
        <v>0.0</v>
      </c>
      <c r="O88" s="169">
        <v>0.0</v>
      </c>
      <c r="P88" s="169">
        <v>0.0</v>
      </c>
      <c r="Q88" s="169">
        <v>0.0</v>
      </c>
      <c r="R88" s="169">
        <v>0.0</v>
      </c>
      <c r="S88" s="169">
        <v>0.0</v>
      </c>
      <c r="T88" s="169">
        <v>0.0</v>
      </c>
      <c r="U88" s="169">
        <v>0.0</v>
      </c>
      <c r="V88" s="169">
        <v>0.0</v>
      </c>
    </row>
    <row r="89" ht="15.75" customHeight="1">
      <c r="A89" s="170">
        <v>8.0</v>
      </c>
      <c r="B89" s="238">
        <v>0.0</v>
      </c>
      <c r="C89" s="169">
        <v>0.0</v>
      </c>
      <c r="D89" s="169">
        <v>0.0</v>
      </c>
      <c r="E89" s="169">
        <v>0.0</v>
      </c>
      <c r="F89" s="169">
        <v>0.0</v>
      </c>
      <c r="G89" s="169">
        <v>0.0</v>
      </c>
      <c r="H89" s="169">
        <v>1.0</v>
      </c>
      <c r="I89" s="169">
        <v>0.0</v>
      </c>
      <c r="J89" s="169">
        <v>0.0</v>
      </c>
      <c r="K89" s="169">
        <v>0.0</v>
      </c>
      <c r="L89" s="169">
        <v>0.0</v>
      </c>
      <c r="M89" s="169">
        <v>0.0</v>
      </c>
      <c r="N89" s="169">
        <v>0.0</v>
      </c>
      <c r="O89" s="169">
        <v>0.0</v>
      </c>
      <c r="P89" s="169">
        <v>0.0</v>
      </c>
      <c r="Q89" s="169">
        <v>0.0</v>
      </c>
      <c r="R89" s="169">
        <v>0.0</v>
      </c>
      <c r="S89" s="169">
        <v>0.0</v>
      </c>
      <c r="T89" s="169">
        <v>0.0</v>
      </c>
      <c r="U89" s="169">
        <v>0.0</v>
      </c>
      <c r="V89" s="169">
        <v>0.0</v>
      </c>
    </row>
    <row r="90" ht="15.75" customHeight="1">
      <c r="A90" s="170">
        <v>9.0</v>
      </c>
      <c r="B90" s="238">
        <v>0.0</v>
      </c>
      <c r="C90" s="169">
        <v>0.0</v>
      </c>
      <c r="D90" s="169">
        <v>0.0</v>
      </c>
      <c r="E90" s="169">
        <v>0.0</v>
      </c>
      <c r="F90" s="169">
        <v>0.0</v>
      </c>
      <c r="G90" s="169">
        <v>0.0</v>
      </c>
      <c r="H90" s="169">
        <v>1.0</v>
      </c>
      <c r="I90" s="169">
        <v>0.0</v>
      </c>
      <c r="J90" s="169">
        <v>0.0</v>
      </c>
      <c r="K90" s="169">
        <v>0.0</v>
      </c>
      <c r="L90" s="169">
        <v>0.0</v>
      </c>
      <c r="M90" s="169">
        <v>0.0</v>
      </c>
      <c r="N90" s="169">
        <v>0.0</v>
      </c>
      <c r="O90" s="169">
        <v>0.0</v>
      </c>
      <c r="P90" s="169">
        <v>0.0</v>
      </c>
      <c r="Q90" s="169">
        <v>0.0</v>
      </c>
      <c r="R90" s="169">
        <v>0.0</v>
      </c>
      <c r="S90" s="169">
        <v>0.0</v>
      </c>
      <c r="T90" s="169">
        <v>0.0</v>
      </c>
      <c r="U90" s="169">
        <v>0.0</v>
      </c>
      <c r="V90" s="169">
        <v>0.0</v>
      </c>
    </row>
    <row r="91" ht="15.75" customHeight="1">
      <c r="A91" s="170">
        <v>10.0</v>
      </c>
      <c r="B91" s="238">
        <v>0.0</v>
      </c>
      <c r="C91" s="169">
        <v>0.0</v>
      </c>
      <c r="D91" s="169">
        <v>0.0</v>
      </c>
      <c r="E91" s="169">
        <v>0.0</v>
      </c>
      <c r="F91" s="169">
        <v>0.0</v>
      </c>
      <c r="G91" s="169">
        <v>0.0</v>
      </c>
      <c r="H91" s="169">
        <v>1.0</v>
      </c>
      <c r="I91" s="169">
        <v>0.0</v>
      </c>
      <c r="J91" s="169">
        <v>0.0</v>
      </c>
      <c r="K91" s="169">
        <v>0.0</v>
      </c>
      <c r="L91" s="169">
        <v>0.0</v>
      </c>
      <c r="M91" s="169">
        <v>0.0</v>
      </c>
      <c r="N91" s="169">
        <v>0.0</v>
      </c>
      <c r="O91" s="169">
        <v>0.0</v>
      </c>
      <c r="P91" s="169">
        <v>0.0</v>
      </c>
      <c r="Q91" s="169">
        <v>0.0</v>
      </c>
      <c r="R91" s="169">
        <v>0.0</v>
      </c>
      <c r="S91" s="169">
        <v>0.0</v>
      </c>
      <c r="T91" s="169">
        <v>0.0</v>
      </c>
      <c r="U91" s="169">
        <v>0.0</v>
      </c>
      <c r="V91" s="169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5" priority="1" operator="greaterThan">
      <formula>0</formula>
    </cfRule>
  </conditionalFormatting>
  <conditionalFormatting sqref="A10:V19">
    <cfRule type="expression" dxfId="6" priority="2">
      <formula>ISEVEN(ROW()-9+1)</formula>
    </cfRule>
  </conditionalFormatting>
  <conditionalFormatting sqref="B28:V37">
    <cfRule type="cellIs" dxfId="5" priority="3" operator="greaterThan">
      <formula>0</formula>
    </cfRule>
  </conditionalFormatting>
  <conditionalFormatting sqref="A28:V37">
    <cfRule type="expression" dxfId="6" priority="4">
      <formula>ISEVEN(ROW()-26+1)</formula>
    </cfRule>
  </conditionalFormatting>
  <conditionalFormatting sqref="B46:V55">
    <cfRule type="cellIs" dxfId="5" priority="5" operator="greaterThan">
      <formula>0</formula>
    </cfRule>
  </conditionalFormatting>
  <conditionalFormatting sqref="A46:V55">
    <cfRule type="expression" dxfId="6" priority="6">
      <formula>ISEVEN(ROW()-43+1)</formula>
    </cfRule>
  </conditionalFormatting>
  <conditionalFormatting sqref="B64:V73">
    <cfRule type="cellIs" dxfId="5" priority="7" operator="greaterThan">
      <formula>0</formula>
    </cfRule>
  </conditionalFormatting>
  <conditionalFormatting sqref="A64:V73">
    <cfRule type="expression" dxfId="6" priority="8">
      <formula>ISEVEN(ROW()-60+1)</formula>
    </cfRule>
  </conditionalFormatting>
  <conditionalFormatting sqref="B82:V91">
    <cfRule type="cellIs" dxfId="5" priority="9" operator="greaterThan">
      <formula>0</formula>
    </cfRule>
  </conditionalFormatting>
  <conditionalFormatting sqref="A82:V91">
    <cfRule type="expression" dxfId="6" priority="10">
      <formula>ISEVEN(ROW()-77+1)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7" t="s">
        <v>32</v>
      </c>
    </row>
    <row r="2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</row>
    <row r="3">
      <c r="A3" s="240" t="s">
        <v>316</v>
      </c>
      <c r="B3" s="184" t="s">
        <v>317</v>
      </c>
    </row>
    <row r="4">
      <c r="A4" s="240" t="s">
        <v>318</v>
      </c>
      <c r="B4" s="184" t="s">
        <v>319</v>
      </c>
    </row>
    <row r="5">
      <c r="A5" s="240" t="s">
        <v>320</v>
      </c>
      <c r="B5" s="184" t="s">
        <v>321</v>
      </c>
    </row>
    <row r="6">
      <c r="A6" s="240" t="s">
        <v>154</v>
      </c>
      <c r="B6" s="184">
        <v>25.0</v>
      </c>
    </row>
    <row r="7">
      <c r="A7" s="149" t="s">
        <v>152</v>
      </c>
      <c r="B7" s="184">
        <v>7.0</v>
      </c>
    </row>
    <row r="9">
      <c r="A9" s="241" t="s">
        <v>322</v>
      </c>
      <c r="B9" s="207"/>
      <c r="C9" s="207"/>
      <c r="D9" s="207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>
      <c r="A10" s="242" t="s">
        <v>157</v>
      </c>
      <c r="B10" s="242" t="s">
        <v>323</v>
      </c>
      <c r="C10" s="243" t="s">
        <v>82</v>
      </c>
      <c r="D10" s="244" t="s">
        <v>68</v>
      </c>
      <c r="E10" s="245" t="s">
        <v>103</v>
      </c>
      <c r="F10" s="140" t="s">
        <v>69</v>
      </c>
      <c r="G10" s="140" t="s">
        <v>70</v>
      </c>
      <c r="H10" s="140" t="s">
        <v>71</v>
      </c>
      <c r="I10" s="140" t="s">
        <v>72</v>
      </c>
      <c r="J10" s="140" t="s">
        <v>73</v>
      </c>
      <c r="K10" s="140" t="s">
        <v>74</v>
      </c>
      <c r="L10" s="140" t="s">
        <v>75</v>
      </c>
      <c r="M10" s="140" t="s">
        <v>76</v>
      </c>
      <c r="N10" s="140" t="s">
        <v>77</v>
      </c>
      <c r="O10" s="140" t="s">
        <v>78</v>
      </c>
      <c r="P10" s="123" t="s">
        <v>118</v>
      </c>
      <c r="Q10" s="123" t="s">
        <v>104</v>
      </c>
      <c r="R10" s="123" t="s">
        <v>105</v>
      </c>
      <c r="S10" s="123" t="s">
        <v>106</v>
      </c>
      <c r="T10" s="123" t="s">
        <v>107</v>
      </c>
      <c r="U10" s="123" t="s">
        <v>108</v>
      </c>
      <c r="V10" s="123" t="s">
        <v>109</v>
      </c>
      <c r="W10" s="123" t="s">
        <v>110</v>
      </c>
    </row>
    <row r="11">
      <c r="A11" s="246">
        <v>1.0</v>
      </c>
      <c r="B11" s="246">
        <v>100.0</v>
      </c>
      <c r="C11" s="247">
        <v>0.0</v>
      </c>
      <c r="D11" s="246">
        <v>0.0</v>
      </c>
      <c r="E11" s="248">
        <v>0.0</v>
      </c>
      <c r="F11" s="173">
        <v>0.0</v>
      </c>
      <c r="G11" s="173">
        <v>0.0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</row>
    <row r="12">
      <c r="A12" s="246">
        <v>2.0</v>
      </c>
      <c r="B12" s="246">
        <v>300.0</v>
      </c>
      <c r="C12" s="247">
        <v>0.0</v>
      </c>
      <c r="D12" s="246">
        <v>0.0</v>
      </c>
      <c r="E12" s="248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</row>
    <row r="13">
      <c r="A13" s="246">
        <v>3.0</v>
      </c>
      <c r="B13" s="246">
        <v>500.0</v>
      </c>
      <c r="C13" s="247">
        <v>0.0</v>
      </c>
      <c r="D13" s="246">
        <v>0.0</v>
      </c>
      <c r="E13" s="248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246">
        <v>4.0</v>
      </c>
      <c r="B14" s="246">
        <v>700.0</v>
      </c>
      <c r="C14" s="247">
        <v>0.0</v>
      </c>
      <c r="D14" s="246">
        <v>0.0</v>
      </c>
      <c r="E14" s="248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246">
        <v>5.0</v>
      </c>
      <c r="B15" s="246">
        <v>2000.0</v>
      </c>
      <c r="C15" s="247">
        <v>0.0</v>
      </c>
      <c r="D15" s="246">
        <v>0.0</v>
      </c>
      <c r="E15" s="248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246">
        <v>6.0</v>
      </c>
      <c r="B16" s="246">
        <v>3000.0</v>
      </c>
      <c r="C16" s="247">
        <v>0.0</v>
      </c>
      <c r="D16" s="246">
        <v>0.0</v>
      </c>
      <c r="E16" s="248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246">
        <v>7.0</v>
      </c>
      <c r="B17" s="246">
        <v>4000.0</v>
      </c>
      <c r="C17" s="247">
        <v>0.0</v>
      </c>
      <c r="D17" s="246">
        <v>0.0</v>
      </c>
      <c r="E17" s="248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246">
        <v>8.0</v>
      </c>
      <c r="B18" s="246">
        <v>5500.0</v>
      </c>
      <c r="C18" s="247">
        <v>0.0</v>
      </c>
      <c r="D18" s="246">
        <v>0.0</v>
      </c>
      <c r="E18" s="248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246">
        <v>9.0</v>
      </c>
      <c r="B19" s="246">
        <v>7000.0</v>
      </c>
      <c r="C19" s="247">
        <v>0.0</v>
      </c>
      <c r="D19" s="246">
        <v>0.0</v>
      </c>
      <c r="E19" s="248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0.0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246">
        <v>10.0</v>
      </c>
      <c r="B20" s="246">
        <v>8500.0</v>
      </c>
      <c r="C20" s="247">
        <v>0.0</v>
      </c>
      <c r="D20" s="246">
        <v>0.0</v>
      </c>
      <c r="E20" s="248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0.0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>
      <c r="A21" s="246">
        <v>11.0</v>
      </c>
      <c r="B21" s="246">
        <v>10000.0</v>
      </c>
      <c r="C21" s="247">
        <v>0.0</v>
      </c>
      <c r="D21" s="246">
        <v>0.0</v>
      </c>
      <c r="E21" s="248">
        <v>0.0</v>
      </c>
      <c r="F21" s="173">
        <v>0.0</v>
      </c>
      <c r="G21" s="173">
        <v>0.0</v>
      </c>
      <c r="H21" s="173">
        <v>0.0</v>
      </c>
      <c r="I21" s="173">
        <v>0.0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>
      <c r="A22" s="246">
        <v>12.0</v>
      </c>
      <c r="B22" s="246">
        <v>11500.0</v>
      </c>
      <c r="C22" s="247">
        <v>0.0</v>
      </c>
      <c r="D22" s="246">
        <v>0.0</v>
      </c>
      <c r="E22" s="248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0.0</v>
      </c>
      <c r="M22" s="173">
        <v>0.0</v>
      </c>
      <c r="N22" s="173">
        <v>0.0</v>
      </c>
      <c r="O22" s="173">
        <v>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>
      <c r="A23" s="246">
        <v>13.0</v>
      </c>
      <c r="B23" s="246">
        <v>13000.0</v>
      </c>
      <c r="C23" s="247">
        <v>0.0</v>
      </c>
      <c r="D23" s="246">
        <v>0.0</v>
      </c>
      <c r="E23" s="248">
        <v>0.0</v>
      </c>
      <c r="F23" s="173">
        <v>0.0</v>
      </c>
      <c r="G23" s="173">
        <v>0.0</v>
      </c>
      <c r="H23" s="173">
        <v>0.0</v>
      </c>
      <c r="I23" s="173">
        <v>0.0</v>
      </c>
      <c r="J23" s="173">
        <v>0.0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</row>
    <row r="24">
      <c r="A24" s="246">
        <v>14.0</v>
      </c>
      <c r="B24" s="246">
        <v>14500.0</v>
      </c>
      <c r="C24" s="247">
        <v>0.0</v>
      </c>
      <c r="D24" s="246">
        <v>0.0</v>
      </c>
      <c r="E24" s="248">
        <v>0.0</v>
      </c>
      <c r="F24" s="173">
        <v>0.0</v>
      </c>
      <c r="G24" s="173">
        <v>0.0</v>
      </c>
      <c r="H24" s="173">
        <v>0.0</v>
      </c>
      <c r="I24" s="173">
        <v>0.0</v>
      </c>
      <c r="J24" s="173">
        <v>0.0</v>
      </c>
      <c r="K24" s="173">
        <v>0.0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</row>
    <row r="25">
      <c r="A25" s="246">
        <v>15.0</v>
      </c>
      <c r="B25" s="246">
        <v>16000.0</v>
      </c>
      <c r="C25" s="247">
        <v>0.0</v>
      </c>
      <c r="D25" s="246">
        <v>0.0</v>
      </c>
      <c r="E25" s="248">
        <v>0.0</v>
      </c>
      <c r="F25" s="173">
        <v>0.0</v>
      </c>
      <c r="G25" s="173">
        <v>0.0</v>
      </c>
      <c r="H25" s="173">
        <v>0.0</v>
      </c>
      <c r="I25" s="173">
        <v>0.0</v>
      </c>
      <c r="J25" s="173">
        <v>0.0</v>
      </c>
      <c r="K25" s="173">
        <v>0.0</v>
      </c>
      <c r="L25" s="173">
        <v>0.0</v>
      </c>
      <c r="M25" s="173">
        <v>0.0</v>
      </c>
      <c r="N25" s="173">
        <v>0.0</v>
      </c>
      <c r="O25" s="173">
        <v>0.0</v>
      </c>
      <c r="P25" s="173">
        <v>0.0</v>
      </c>
      <c r="Q25" s="173">
        <v>0.0</v>
      </c>
      <c r="R25" s="173">
        <v>0.0</v>
      </c>
      <c r="S25" s="173">
        <v>0.0</v>
      </c>
      <c r="T25" s="173">
        <v>0.0</v>
      </c>
      <c r="U25" s="173">
        <v>0.0</v>
      </c>
      <c r="V25" s="173">
        <v>0.0</v>
      </c>
      <c r="W25" s="173">
        <v>0.0</v>
      </c>
    </row>
    <row r="26">
      <c r="A26" s="246">
        <v>16.0</v>
      </c>
      <c r="B26" s="246">
        <v>17500.0</v>
      </c>
      <c r="C26" s="247">
        <v>0.0</v>
      </c>
      <c r="D26" s="246">
        <v>0.0</v>
      </c>
      <c r="E26" s="248">
        <v>0.0</v>
      </c>
      <c r="F26" s="173">
        <v>0.0</v>
      </c>
      <c r="G26" s="173">
        <v>0.0</v>
      </c>
      <c r="H26" s="173">
        <v>0.0</v>
      </c>
      <c r="I26" s="173">
        <v>0.0</v>
      </c>
      <c r="J26" s="173">
        <v>0.0</v>
      </c>
      <c r="K26" s="173">
        <v>0.0</v>
      </c>
      <c r="L26" s="173">
        <v>0.0</v>
      </c>
      <c r="M26" s="173">
        <v>0.0</v>
      </c>
      <c r="N26" s="173">
        <v>0.0</v>
      </c>
      <c r="O26" s="173">
        <v>0.0</v>
      </c>
      <c r="P26" s="173">
        <v>0.0</v>
      </c>
      <c r="Q26" s="173">
        <v>0.0</v>
      </c>
      <c r="R26" s="173">
        <v>0.0</v>
      </c>
      <c r="S26" s="173">
        <v>0.0</v>
      </c>
      <c r="T26" s="173">
        <v>0.0</v>
      </c>
      <c r="U26" s="173">
        <v>0.0</v>
      </c>
      <c r="V26" s="173">
        <v>0.0</v>
      </c>
      <c r="W26" s="173">
        <v>0.0</v>
      </c>
    </row>
    <row r="27">
      <c r="A27" s="246">
        <v>17.0</v>
      </c>
      <c r="B27" s="246">
        <v>19000.0</v>
      </c>
      <c r="C27" s="247">
        <v>0.0</v>
      </c>
      <c r="D27" s="246">
        <v>0.0</v>
      </c>
      <c r="E27" s="248">
        <v>0.0</v>
      </c>
      <c r="F27" s="173">
        <v>0.0</v>
      </c>
      <c r="G27" s="173">
        <v>0.0</v>
      </c>
      <c r="H27" s="173">
        <v>0.0</v>
      </c>
      <c r="I27" s="173">
        <v>0.0</v>
      </c>
      <c r="J27" s="173">
        <v>0.0</v>
      </c>
      <c r="K27" s="173">
        <v>0.0</v>
      </c>
      <c r="L27" s="173">
        <v>0.0</v>
      </c>
      <c r="M27" s="173">
        <v>0.0</v>
      </c>
      <c r="N27" s="173">
        <v>0.0</v>
      </c>
      <c r="O27" s="173">
        <v>0.0</v>
      </c>
      <c r="P27" s="173">
        <v>0.0</v>
      </c>
      <c r="Q27" s="173">
        <v>0.0</v>
      </c>
      <c r="R27" s="173">
        <v>0.0</v>
      </c>
      <c r="S27" s="173">
        <v>0.0</v>
      </c>
      <c r="T27" s="173">
        <v>0.0</v>
      </c>
      <c r="U27" s="173">
        <v>0.0</v>
      </c>
      <c r="V27" s="173">
        <v>0.0</v>
      </c>
      <c r="W27" s="173">
        <v>0.0</v>
      </c>
    </row>
    <row r="28">
      <c r="A28" s="246">
        <v>18.0</v>
      </c>
      <c r="B28" s="246">
        <v>20500.0</v>
      </c>
      <c r="C28" s="247">
        <v>0.0</v>
      </c>
      <c r="D28" s="246">
        <v>0.0</v>
      </c>
      <c r="E28" s="248">
        <v>0.0</v>
      </c>
      <c r="F28" s="173">
        <v>0.0</v>
      </c>
      <c r="G28" s="173">
        <v>0.0</v>
      </c>
      <c r="H28" s="173">
        <v>0.0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0.0</v>
      </c>
      <c r="Q28" s="173">
        <v>0.0</v>
      </c>
      <c r="R28" s="173">
        <v>0.0</v>
      </c>
      <c r="S28" s="173">
        <v>0.0</v>
      </c>
      <c r="T28" s="173">
        <v>0.0</v>
      </c>
      <c r="U28" s="173">
        <v>0.0</v>
      </c>
      <c r="V28" s="173">
        <v>0.0</v>
      </c>
      <c r="W28" s="173">
        <v>0.0</v>
      </c>
    </row>
    <row r="29">
      <c r="A29" s="246">
        <v>19.0</v>
      </c>
      <c r="B29" s="246">
        <v>22000.0</v>
      </c>
      <c r="C29" s="247">
        <v>0.0</v>
      </c>
      <c r="D29" s="246">
        <v>0.0</v>
      </c>
      <c r="E29" s="248">
        <v>0.0</v>
      </c>
      <c r="F29" s="173">
        <v>0.0</v>
      </c>
      <c r="G29" s="173">
        <v>0.0</v>
      </c>
      <c r="H29" s="173">
        <v>0.0</v>
      </c>
      <c r="I29" s="173">
        <v>0.0</v>
      </c>
      <c r="J29" s="173">
        <v>0.0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73">
        <v>0.0</v>
      </c>
      <c r="U29" s="173">
        <v>0.0</v>
      </c>
      <c r="V29" s="173">
        <v>0.0</v>
      </c>
      <c r="W29" s="173">
        <v>0.0</v>
      </c>
    </row>
    <row r="30">
      <c r="A30" s="246">
        <v>20.0</v>
      </c>
      <c r="B30" s="246">
        <v>23500.0</v>
      </c>
      <c r="C30" s="247">
        <v>0.0</v>
      </c>
      <c r="D30" s="246">
        <v>0.0</v>
      </c>
      <c r="E30" s="248">
        <v>0.0</v>
      </c>
      <c r="F30" s="173">
        <v>0.0</v>
      </c>
      <c r="G30" s="173">
        <v>0.0</v>
      </c>
      <c r="H30" s="173">
        <v>0.0</v>
      </c>
      <c r="I30" s="173">
        <v>0.0</v>
      </c>
      <c r="J30" s="173">
        <v>0.0</v>
      </c>
      <c r="K30" s="173">
        <v>0.0</v>
      </c>
      <c r="L30" s="173">
        <v>0.0</v>
      </c>
      <c r="M30" s="173">
        <v>0.0</v>
      </c>
      <c r="N30" s="173">
        <v>0.0</v>
      </c>
      <c r="O30" s="173">
        <v>0.0</v>
      </c>
      <c r="P30" s="173">
        <v>0.0</v>
      </c>
      <c r="Q30" s="173">
        <v>0.0</v>
      </c>
      <c r="R30" s="173">
        <v>0.0</v>
      </c>
      <c r="S30" s="173">
        <v>0.0</v>
      </c>
      <c r="T30" s="173">
        <v>0.0</v>
      </c>
      <c r="U30" s="173">
        <v>0.0</v>
      </c>
      <c r="V30" s="173">
        <v>0.0</v>
      </c>
      <c r="W30" s="173">
        <v>0.0</v>
      </c>
    </row>
    <row r="34">
      <c r="A34" s="115" t="s">
        <v>324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>
      <c r="A35" s="249" t="s">
        <v>325</v>
      </c>
      <c r="C35" s="250" t="s">
        <v>82</v>
      </c>
      <c r="D35" s="140" t="s">
        <v>68</v>
      </c>
      <c r="E35" s="140" t="s">
        <v>103</v>
      </c>
      <c r="F35" s="140" t="s">
        <v>69</v>
      </c>
      <c r="G35" s="140" t="s">
        <v>70</v>
      </c>
      <c r="H35" s="140" t="s">
        <v>71</v>
      </c>
      <c r="I35" s="140" t="s">
        <v>72</v>
      </c>
      <c r="J35" s="140" t="s">
        <v>73</v>
      </c>
      <c r="K35" s="140" t="s">
        <v>74</v>
      </c>
      <c r="L35" s="140" t="s">
        <v>75</v>
      </c>
      <c r="M35" s="140" t="s">
        <v>76</v>
      </c>
      <c r="N35" s="140" t="s">
        <v>77</v>
      </c>
      <c r="O35" s="140" t="s">
        <v>78</v>
      </c>
      <c r="P35" s="123" t="s">
        <v>118</v>
      </c>
      <c r="Q35" s="123" t="s">
        <v>104</v>
      </c>
      <c r="R35" s="123" t="s">
        <v>105</v>
      </c>
      <c r="S35" s="123" t="s">
        <v>106</v>
      </c>
      <c r="T35" s="123" t="s">
        <v>107</v>
      </c>
      <c r="U35" s="123" t="s">
        <v>108</v>
      </c>
      <c r="V35" s="123" t="s">
        <v>109</v>
      </c>
      <c r="W35" s="123" t="s">
        <v>110</v>
      </c>
    </row>
    <row r="36">
      <c r="A36" s="251">
        <v>1.0</v>
      </c>
      <c r="C36" s="252">
        <v>200.0</v>
      </c>
      <c r="D36" s="173">
        <v>0.0</v>
      </c>
      <c r="E36" s="173">
        <v>0.0</v>
      </c>
      <c r="F36" s="173">
        <v>0.0</v>
      </c>
      <c r="G36" s="173">
        <v>0.0</v>
      </c>
      <c r="H36" s="173">
        <v>0.0</v>
      </c>
      <c r="I36" s="173">
        <v>0.0</v>
      </c>
      <c r="J36" s="173">
        <v>0.0</v>
      </c>
      <c r="K36" s="173">
        <v>1.0</v>
      </c>
      <c r="L36" s="173">
        <v>0.0</v>
      </c>
      <c r="M36" s="173">
        <v>0.0</v>
      </c>
      <c r="N36" s="173">
        <v>0.0</v>
      </c>
      <c r="O36" s="173">
        <v>0.0</v>
      </c>
      <c r="P36" s="125">
        <v>0.0</v>
      </c>
      <c r="Q36" s="125">
        <v>0.0</v>
      </c>
      <c r="R36" s="125">
        <v>0.0</v>
      </c>
      <c r="S36" s="125">
        <v>0.0</v>
      </c>
      <c r="T36" s="125">
        <v>0.0</v>
      </c>
      <c r="U36" s="125">
        <v>0.0</v>
      </c>
      <c r="V36" s="125">
        <v>0.0</v>
      </c>
      <c r="W36" s="125">
        <v>0.0</v>
      </c>
    </row>
    <row r="37">
      <c r="A37" s="251">
        <v>2.0</v>
      </c>
      <c r="C37" s="252">
        <v>100.0</v>
      </c>
      <c r="D37" s="173">
        <v>0.0</v>
      </c>
      <c r="E37" s="173">
        <v>0.0</v>
      </c>
      <c r="F37" s="173">
        <v>0.0</v>
      </c>
      <c r="G37" s="173">
        <v>0.0</v>
      </c>
      <c r="H37" s="173">
        <v>0.0</v>
      </c>
      <c r="I37" s="173">
        <v>0.0</v>
      </c>
      <c r="J37" s="173">
        <v>1.0</v>
      </c>
      <c r="K37" s="173">
        <v>0.0</v>
      </c>
      <c r="L37" s="173">
        <v>0.0</v>
      </c>
      <c r="M37" s="173">
        <v>0.0</v>
      </c>
      <c r="N37" s="173">
        <v>0.0</v>
      </c>
      <c r="O37" s="173">
        <v>0.0</v>
      </c>
      <c r="P37" s="125">
        <v>0.0</v>
      </c>
      <c r="Q37" s="125">
        <v>0.0</v>
      </c>
      <c r="R37" s="125">
        <v>0.0</v>
      </c>
      <c r="S37" s="125">
        <v>0.0</v>
      </c>
      <c r="T37" s="125">
        <v>0.0</v>
      </c>
      <c r="U37" s="125">
        <v>0.0</v>
      </c>
      <c r="V37" s="125">
        <v>0.0</v>
      </c>
      <c r="W37" s="125">
        <v>0.0</v>
      </c>
    </row>
    <row r="38">
      <c r="A38" s="251">
        <v>3.0</v>
      </c>
      <c r="C38" s="252">
        <v>50.0</v>
      </c>
      <c r="D38" s="173">
        <v>0.0</v>
      </c>
      <c r="E38" s="173">
        <v>0.0</v>
      </c>
      <c r="F38" s="173">
        <v>0.0</v>
      </c>
      <c r="G38" s="173">
        <v>0.0</v>
      </c>
      <c r="H38" s="173">
        <v>0.0</v>
      </c>
      <c r="I38" s="173">
        <v>1.0</v>
      </c>
      <c r="J38" s="173">
        <v>0.0</v>
      </c>
      <c r="K38" s="173">
        <v>0.0</v>
      </c>
      <c r="L38" s="173">
        <v>0.0</v>
      </c>
      <c r="M38" s="173">
        <v>0.0</v>
      </c>
      <c r="N38" s="173">
        <v>0.0</v>
      </c>
      <c r="O38" s="173">
        <v>0.0</v>
      </c>
      <c r="P38" s="125">
        <v>0.0</v>
      </c>
      <c r="Q38" s="125">
        <v>0.0</v>
      </c>
      <c r="R38" s="125">
        <v>0.0</v>
      </c>
      <c r="S38" s="125">
        <v>0.0</v>
      </c>
      <c r="T38" s="125">
        <v>0.0</v>
      </c>
      <c r="U38" s="125">
        <v>0.0</v>
      </c>
      <c r="V38" s="125">
        <v>0.0</v>
      </c>
      <c r="W38" s="125">
        <v>0.0</v>
      </c>
    </row>
    <row r="39">
      <c r="A39" s="251">
        <v>4.0</v>
      </c>
      <c r="C39" s="252">
        <v>0.0</v>
      </c>
      <c r="D39" s="173">
        <v>0.0</v>
      </c>
      <c r="E39" s="173">
        <v>0.0</v>
      </c>
      <c r="F39" s="173">
        <v>0.0</v>
      </c>
      <c r="G39" s="173">
        <v>0.0</v>
      </c>
      <c r="H39" s="173">
        <v>0.0</v>
      </c>
      <c r="I39" s="173">
        <v>0.0</v>
      </c>
      <c r="J39" s="173">
        <v>1.0</v>
      </c>
      <c r="K39" s="173">
        <v>0.0</v>
      </c>
      <c r="L39" s="173">
        <v>0.0</v>
      </c>
      <c r="M39" s="173">
        <v>0.0</v>
      </c>
      <c r="N39" s="173">
        <v>0.0</v>
      </c>
      <c r="O39" s="173">
        <v>0.0</v>
      </c>
      <c r="P39" s="125">
        <v>0.0</v>
      </c>
      <c r="Q39" s="125">
        <v>0.0</v>
      </c>
      <c r="R39" s="125">
        <v>0.0</v>
      </c>
      <c r="S39" s="125">
        <v>0.0</v>
      </c>
      <c r="T39" s="125">
        <v>0.0</v>
      </c>
      <c r="U39" s="125">
        <v>0.0</v>
      </c>
      <c r="V39" s="125">
        <v>0.0</v>
      </c>
      <c r="W39" s="125">
        <v>0.0</v>
      </c>
    </row>
    <row r="40">
      <c r="A40" s="251">
        <v>5.0</v>
      </c>
      <c r="C40" s="252">
        <v>0.0</v>
      </c>
      <c r="D40" s="173">
        <v>0.0</v>
      </c>
      <c r="E40" s="173">
        <v>0.0</v>
      </c>
      <c r="F40" s="173">
        <v>0.0</v>
      </c>
      <c r="G40" s="173">
        <v>0.0</v>
      </c>
      <c r="H40" s="173">
        <v>0.0</v>
      </c>
      <c r="I40" s="173">
        <v>0.0</v>
      </c>
      <c r="J40" s="173">
        <v>1.0</v>
      </c>
      <c r="K40" s="173">
        <v>0.0</v>
      </c>
      <c r="L40" s="173">
        <v>0.0</v>
      </c>
      <c r="M40" s="173">
        <v>0.0</v>
      </c>
      <c r="N40" s="173">
        <v>0.0</v>
      </c>
      <c r="O40" s="173">
        <v>0.0</v>
      </c>
      <c r="P40" s="125">
        <v>0.0</v>
      </c>
      <c r="Q40" s="125">
        <v>0.0</v>
      </c>
      <c r="R40" s="125">
        <v>0.0</v>
      </c>
      <c r="S40" s="125">
        <v>0.0</v>
      </c>
      <c r="T40" s="125">
        <v>0.0</v>
      </c>
      <c r="U40" s="125">
        <v>0.0</v>
      </c>
      <c r="V40" s="125">
        <v>0.0</v>
      </c>
      <c r="W40" s="125">
        <v>0.0</v>
      </c>
    </row>
    <row r="41">
      <c r="A41" s="251">
        <v>6.0</v>
      </c>
      <c r="C41" s="252">
        <v>0.0</v>
      </c>
      <c r="D41" s="173">
        <v>0.0</v>
      </c>
      <c r="E41" s="173">
        <v>0.0</v>
      </c>
      <c r="F41" s="173">
        <v>0.0</v>
      </c>
      <c r="G41" s="173">
        <v>0.0</v>
      </c>
      <c r="H41" s="173">
        <v>0.0</v>
      </c>
      <c r="I41" s="173">
        <v>1.0</v>
      </c>
      <c r="J41" s="173">
        <v>0.0</v>
      </c>
      <c r="K41" s="173">
        <v>0.0</v>
      </c>
      <c r="L41" s="173">
        <v>0.0</v>
      </c>
      <c r="M41" s="173">
        <v>0.0</v>
      </c>
      <c r="N41" s="173">
        <v>0.0</v>
      </c>
      <c r="O41" s="173">
        <v>0.0</v>
      </c>
      <c r="P41" s="125">
        <v>0.0</v>
      </c>
      <c r="Q41" s="125">
        <v>0.0</v>
      </c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</row>
    <row r="42">
      <c r="A42" s="251">
        <v>7.0</v>
      </c>
      <c r="C42" s="252">
        <v>0.0</v>
      </c>
      <c r="D42" s="173">
        <v>0.0</v>
      </c>
      <c r="E42" s="173">
        <v>0.0</v>
      </c>
      <c r="F42" s="173">
        <v>0.0</v>
      </c>
      <c r="G42" s="173">
        <v>0.0</v>
      </c>
      <c r="H42" s="173">
        <v>0.0</v>
      </c>
      <c r="I42" s="173">
        <v>1.0</v>
      </c>
      <c r="J42" s="173">
        <v>0.0</v>
      </c>
      <c r="K42" s="173">
        <v>0.0</v>
      </c>
      <c r="L42" s="173">
        <v>0.0</v>
      </c>
      <c r="M42" s="173">
        <v>0.0</v>
      </c>
      <c r="N42" s="173">
        <v>0.0</v>
      </c>
      <c r="O42" s="173">
        <v>0.0</v>
      </c>
      <c r="P42" s="125">
        <v>0.0</v>
      </c>
      <c r="Q42" s="125">
        <v>0.0</v>
      </c>
      <c r="R42" s="125">
        <v>0.0</v>
      </c>
      <c r="S42" s="125">
        <v>0.0</v>
      </c>
      <c r="T42" s="125">
        <v>0.0</v>
      </c>
      <c r="U42" s="125">
        <v>0.0</v>
      </c>
      <c r="V42" s="125">
        <v>0.0</v>
      </c>
      <c r="W42" s="125">
        <v>0.0</v>
      </c>
    </row>
    <row r="43">
      <c r="A43" s="251">
        <v>8.0</v>
      </c>
      <c r="C43" s="252">
        <v>0.0</v>
      </c>
      <c r="D43" s="173">
        <v>0.0</v>
      </c>
      <c r="E43" s="173">
        <v>0.0</v>
      </c>
      <c r="F43" s="173">
        <v>0.0</v>
      </c>
      <c r="G43" s="173">
        <v>0.0</v>
      </c>
      <c r="H43" s="173">
        <v>0.0</v>
      </c>
      <c r="I43" s="173">
        <v>1.0</v>
      </c>
      <c r="J43" s="173">
        <v>0.0</v>
      </c>
      <c r="K43" s="173">
        <v>0.0</v>
      </c>
      <c r="L43" s="173">
        <v>0.0</v>
      </c>
      <c r="M43" s="173">
        <v>0.0</v>
      </c>
      <c r="N43" s="173">
        <v>0.0</v>
      </c>
      <c r="O43" s="173">
        <v>0.0</v>
      </c>
      <c r="P43" s="125">
        <v>0.0</v>
      </c>
      <c r="Q43" s="125">
        <v>0.0</v>
      </c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</row>
    <row r="44">
      <c r="A44" s="251">
        <v>9.0</v>
      </c>
      <c r="C44" s="252">
        <v>0.0</v>
      </c>
      <c r="D44" s="173">
        <v>0.0</v>
      </c>
      <c r="E44" s="173">
        <v>0.0</v>
      </c>
      <c r="F44" s="173">
        <v>0.0</v>
      </c>
      <c r="G44" s="173">
        <v>0.0</v>
      </c>
      <c r="H44" s="173">
        <v>0.0</v>
      </c>
      <c r="I44" s="173">
        <v>1.0</v>
      </c>
      <c r="J44" s="173">
        <v>0.0</v>
      </c>
      <c r="K44" s="173">
        <v>0.0</v>
      </c>
      <c r="L44" s="173">
        <v>0.0</v>
      </c>
      <c r="M44" s="173">
        <v>0.0</v>
      </c>
      <c r="N44" s="173">
        <v>0.0</v>
      </c>
      <c r="O44" s="173">
        <v>0.0</v>
      </c>
      <c r="P44" s="125">
        <v>0.0</v>
      </c>
      <c r="Q44" s="125">
        <v>0.0</v>
      </c>
      <c r="R44" s="125">
        <v>0.0</v>
      </c>
      <c r="S44" s="125">
        <v>0.0</v>
      </c>
      <c r="T44" s="125">
        <v>0.0</v>
      </c>
      <c r="U44" s="125">
        <v>0.0</v>
      </c>
      <c r="V44" s="125">
        <v>0.0</v>
      </c>
      <c r="W44" s="125">
        <v>0.0</v>
      </c>
    </row>
    <row r="45">
      <c r="A45" s="251">
        <v>10.0</v>
      </c>
      <c r="C45" s="252">
        <v>0.0</v>
      </c>
      <c r="D45" s="173">
        <v>0.0</v>
      </c>
      <c r="E45" s="173">
        <v>0.0</v>
      </c>
      <c r="F45" s="173">
        <v>0.0</v>
      </c>
      <c r="G45" s="173">
        <v>0.0</v>
      </c>
      <c r="H45" s="173">
        <v>0.0</v>
      </c>
      <c r="I45" s="173">
        <v>1.0</v>
      </c>
      <c r="J45" s="173">
        <v>0.0</v>
      </c>
      <c r="K45" s="173">
        <v>0.0</v>
      </c>
      <c r="L45" s="173">
        <v>0.0</v>
      </c>
      <c r="M45" s="173">
        <v>0.0</v>
      </c>
      <c r="N45" s="173">
        <v>0.0</v>
      </c>
      <c r="O45" s="173">
        <v>0.0</v>
      </c>
      <c r="P45" s="125">
        <v>0.0</v>
      </c>
      <c r="Q45" s="125">
        <v>0.0</v>
      </c>
      <c r="R45" s="125">
        <v>0.0</v>
      </c>
      <c r="S45" s="125">
        <v>0.0</v>
      </c>
      <c r="T45" s="125">
        <v>0.0</v>
      </c>
      <c r="U45" s="125">
        <v>0.0</v>
      </c>
      <c r="V45" s="125">
        <v>0.0</v>
      </c>
      <c r="W45" s="125">
        <v>0.0</v>
      </c>
    </row>
    <row r="46">
      <c r="A46" s="251">
        <v>11.0</v>
      </c>
      <c r="C46" s="252">
        <v>0.0</v>
      </c>
      <c r="D46" s="173">
        <v>0.0</v>
      </c>
      <c r="E46" s="173">
        <v>0.0</v>
      </c>
      <c r="F46" s="173">
        <v>0.0</v>
      </c>
      <c r="G46" s="173">
        <v>0.0</v>
      </c>
      <c r="H46" s="173">
        <v>0.0</v>
      </c>
      <c r="I46" s="173">
        <v>0.0</v>
      </c>
      <c r="J46" s="173">
        <v>0.0</v>
      </c>
      <c r="K46" s="173">
        <v>0.0</v>
      </c>
      <c r="L46" s="173">
        <v>0.0</v>
      </c>
      <c r="M46" s="173">
        <v>0.0</v>
      </c>
      <c r="N46" s="173">
        <v>0.0</v>
      </c>
      <c r="O46" s="173">
        <v>0.0</v>
      </c>
      <c r="P46" s="125">
        <v>0.0</v>
      </c>
      <c r="Q46" s="125">
        <v>0.0</v>
      </c>
      <c r="R46" s="125">
        <v>0.0</v>
      </c>
      <c r="S46" s="125">
        <v>0.0</v>
      </c>
      <c r="T46" s="125">
        <v>0.0</v>
      </c>
      <c r="U46" s="125">
        <v>0.0</v>
      </c>
      <c r="V46" s="125">
        <v>0.0</v>
      </c>
      <c r="W46" s="125">
        <v>0.0</v>
      </c>
    </row>
    <row r="47">
      <c r="A47" s="251">
        <v>12.0</v>
      </c>
      <c r="C47" s="252">
        <v>0.0</v>
      </c>
      <c r="D47" s="173">
        <v>0.0</v>
      </c>
      <c r="E47" s="173">
        <v>0.0</v>
      </c>
      <c r="F47" s="173">
        <v>0.0</v>
      </c>
      <c r="G47" s="173">
        <v>0.0</v>
      </c>
      <c r="H47" s="173">
        <v>0.0</v>
      </c>
      <c r="I47" s="173">
        <v>0.0</v>
      </c>
      <c r="J47" s="173">
        <v>0.0</v>
      </c>
      <c r="K47" s="173">
        <v>0.0</v>
      </c>
      <c r="L47" s="173">
        <v>0.0</v>
      </c>
      <c r="M47" s="173">
        <v>0.0</v>
      </c>
      <c r="N47" s="173">
        <v>0.0</v>
      </c>
      <c r="O47" s="173">
        <v>0.0</v>
      </c>
      <c r="P47" s="125">
        <v>0.0</v>
      </c>
      <c r="Q47" s="125">
        <v>0.0</v>
      </c>
      <c r="R47" s="125">
        <v>0.0</v>
      </c>
      <c r="S47" s="125">
        <v>0.0</v>
      </c>
      <c r="T47" s="125">
        <v>0.0</v>
      </c>
      <c r="U47" s="125">
        <v>0.0</v>
      </c>
      <c r="V47" s="125">
        <v>0.0</v>
      </c>
      <c r="W47" s="125">
        <v>0.0</v>
      </c>
    </row>
    <row r="48">
      <c r="A48" s="251">
        <v>13.0</v>
      </c>
      <c r="C48" s="252">
        <v>0.0</v>
      </c>
      <c r="D48" s="173">
        <v>0.0</v>
      </c>
      <c r="E48" s="173">
        <v>0.0</v>
      </c>
      <c r="F48" s="173">
        <v>0.0</v>
      </c>
      <c r="G48" s="173">
        <v>0.0</v>
      </c>
      <c r="H48" s="173">
        <v>0.0</v>
      </c>
      <c r="I48" s="173">
        <v>0.0</v>
      </c>
      <c r="J48" s="173">
        <v>0.0</v>
      </c>
      <c r="K48" s="173">
        <v>0.0</v>
      </c>
      <c r="L48" s="173">
        <v>0.0</v>
      </c>
      <c r="M48" s="173">
        <v>0.0</v>
      </c>
      <c r="N48" s="173">
        <v>0.0</v>
      </c>
      <c r="O48" s="173">
        <v>0.0</v>
      </c>
      <c r="P48" s="125">
        <v>0.0</v>
      </c>
      <c r="Q48" s="125">
        <v>0.0</v>
      </c>
      <c r="R48" s="125">
        <v>0.0</v>
      </c>
      <c r="S48" s="125">
        <v>0.0</v>
      </c>
      <c r="T48" s="125">
        <v>0.0</v>
      </c>
      <c r="U48" s="125">
        <v>0.0</v>
      </c>
      <c r="V48" s="125">
        <v>0.0</v>
      </c>
      <c r="W48" s="125">
        <v>0.0</v>
      </c>
    </row>
    <row r="49">
      <c r="A49" s="251">
        <v>14.0</v>
      </c>
      <c r="C49" s="252">
        <v>0.0</v>
      </c>
      <c r="D49" s="173">
        <v>0.0</v>
      </c>
      <c r="E49" s="173">
        <v>0.0</v>
      </c>
      <c r="F49" s="173">
        <v>0.0</v>
      </c>
      <c r="G49" s="173">
        <v>0.0</v>
      </c>
      <c r="H49" s="173">
        <v>0.0</v>
      </c>
      <c r="I49" s="173">
        <v>0.0</v>
      </c>
      <c r="J49" s="173">
        <v>0.0</v>
      </c>
      <c r="K49" s="173">
        <v>0.0</v>
      </c>
      <c r="L49" s="173">
        <v>0.0</v>
      </c>
      <c r="M49" s="173">
        <v>0.0</v>
      </c>
      <c r="N49" s="173">
        <v>0.0</v>
      </c>
      <c r="O49" s="173">
        <v>0.0</v>
      </c>
      <c r="P49" s="125">
        <v>0.0</v>
      </c>
      <c r="Q49" s="125">
        <v>0.0</v>
      </c>
      <c r="R49" s="125">
        <v>0.0</v>
      </c>
      <c r="S49" s="125">
        <v>0.0</v>
      </c>
      <c r="T49" s="125">
        <v>0.0</v>
      </c>
      <c r="U49" s="125">
        <v>0.0</v>
      </c>
      <c r="V49" s="125">
        <v>0.0</v>
      </c>
      <c r="W49" s="125">
        <v>0.0</v>
      </c>
    </row>
    <row r="50">
      <c r="A50" s="251">
        <v>15.0</v>
      </c>
      <c r="C50" s="252">
        <v>0.0</v>
      </c>
      <c r="D50" s="173">
        <v>0.0</v>
      </c>
      <c r="E50" s="173">
        <v>0.0</v>
      </c>
      <c r="F50" s="173">
        <v>0.0</v>
      </c>
      <c r="G50" s="173">
        <v>0.0</v>
      </c>
      <c r="H50" s="173">
        <v>0.0</v>
      </c>
      <c r="I50" s="173">
        <v>0.0</v>
      </c>
      <c r="J50" s="173">
        <v>0.0</v>
      </c>
      <c r="K50" s="173">
        <v>0.0</v>
      </c>
      <c r="L50" s="173">
        <v>0.0</v>
      </c>
      <c r="M50" s="173">
        <v>0.0</v>
      </c>
      <c r="N50" s="173">
        <v>0.0</v>
      </c>
      <c r="O50" s="173">
        <v>0.0</v>
      </c>
      <c r="P50" s="125">
        <v>0.0</v>
      </c>
      <c r="Q50" s="125">
        <v>0.0</v>
      </c>
      <c r="R50" s="125">
        <v>0.0</v>
      </c>
      <c r="S50" s="125">
        <v>0.0</v>
      </c>
      <c r="T50" s="125">
        <v>0.0</v>
      </c>
      <c r="U50" s="125">
        <v>0.0</v>
      </c>
      <c r="V50" s="125">
        <v>0.0</v>
      </c>
      <c r="W50" s="125">
        <v>0.0</v>
      </c>
    </row>
    <row r="51">
      <c r="A51" s="251">
        <v>16.0</v>
      </c>
      <c r="C51" s="252">
        <v>0.0</v>
      </c>
      <c r="D51" s="173">
        <v>0.0</v>
      </c>
      <c r="E51" s="173">
        <v>0.0</v>
      </c>
      <c r="F51" s="173">
        <v>0.0</v>
      </c>
      <c r="G51" s="173">
        <v>0.0</v>
      </c>
      <c r="H51" s="173">
        <v>0.0</v>
      </c>
      <c r="I51" s="173">
        <v>0.0</v>
      </c>
      <c r="J51" s="173">
        <v>0.0</v>
      </c>
      <c r="K51" s="173">
        <v>0.0</v>
      </c>
      <c r="L51" s="173">
        <v>0.0</v>
      </c>
      <c r="M51" s="173">
        <v>0.0</v>
      </c>
      <c r="N51" s="173">
        <v>0.0</v>
      </c>
      <c r="O51" s="173">
        <v>0.0</v>
      </c>
      <c r="P51" s="125">
        <v>0.0</v>
      </c>
      <c r="Q51" s="125">
        <v>0.0</v>
      </c>
      <c r="R51" s="125">
        <v>0.0</v>
      </c>
      <c r="S51" s="125">
        <v>0.0</v>
      </c>
      <c r="T51" s="125">
        <v>0.0</v>
      </c>
      <c r="U51" s="125">
        <v>0.0</v>
      </c>
      <c r="V51" s="125">
        <v>0.0</v>
      </c>
      <c r="W51" s="125">
        <v>0.0</v>
      </c>
    </row>
    <row r="52">
      <c r="A52" s="251">
        <v>17.0</v>
      </c>
      <c r="C52" s="252">
        <v>0.0</v>
      </c>
      <c r="D52" s="173">
        <v>0.0</v>
      </c>
      <c r="E52" s="173">
        <v>0.0</v>
      </c>
      <c r="F52" s="173">
        <v>0.0</v>
      </c>
      <c r="G52" s="173">
        <v>0.0</v>
      </c>
      <c r="H52" s="173">
        <v>0.0</v>
      </c>
      <c r="I52" s="173">
        <v>0.0</v>
      </c>
      <c r="J52" s="173">
        <v>0.0</v>
      </c>
      <c r="K52" s="173">
        <v>0.0</v>
      </c>
      <c r="L52" s="173">
        <v>0.0</v>
      </c>
      <c r="M52" s="173">
        <v>0.0</v>
      </c>
      <c r="N52" s="173">
        <v>0.0</v>
      </c>
      <c r="O52" s="173">
        <v>0.0</v>
      </c>
      <c r="P52" s="125">
        <v>0.0</v>
      </c>
      <c r="Q52" s="125">
        <v>0.0</v>
      </c>
      <c r="R52" s="125">
        <v>0.0</v>
      </c>
      <c r="S52" s="125">
        <v>0.0</v>
      </c>
      <c r="T52" s="125">
        <v>0.0</v>
      </c>
      <c r="U52" s="125">
        <v>0.0</v>
      </c>
      <c r="V52" s="125">
        <v>0.0</v>
      </c>
      <c r="W52" s="125">
        <v>0.0</v>
      </c>
    </row>
    <row r="53">
      <c r="A53" s="251">
        <v>18.0</v>
      </c>
      <c r="C53" s="252">
        <v>0.0</v>
      </c>
      <c r="D53" s="173">
        <v>0.0</v>
      </c>
      <c r="E53" s="173">
        <v>0.0</v>
      </c>
      <c r="F53" s="173">
        <v>0.0</v>
      </c>
      <c r="G53" s="173">
        <v>0.0</v>
      </c>
      <c r="H53" s="173">
        <v>0.0</v>
      </c>
      <c r="I53" s="173">
        <v>0.0</v>
      </c>
      <c r="J53" s="173">
        <v>0.0</v>
      </c>
      <c r="K53" s="173">
        <v>0.0</v>
      </c>
      <c r="L53" s="173">
        <v>0.0</v>
      </c>
      <c r="M53" s="173">
        <v>0.0</v>
      </c>
      <c r="N53" s="173">
        <v>0.0</v>
      </c>
      <c r="O53" s="173">
        <v>0.0</v>
      </c>
      <c r="P53" s="125">
        <v>0.0</v>
      </c>
      <c r="Q53" s="125">
        <v>0.0</v>
      </c>
      <c r="R53" s="125">
        <v>0.0</v>
      </c>
      <c r="S53" s="125">
        <v>0.0</v>
      </c>
      <c r="T53" s="125">
        <v>0.0</v>
      </c>
      <c r="U53" s="125">
        <v>0.0</v>
      </c>
      <c r="V53" s="125">
        <v>0.0</v>
      </c>
      <c r="W53" s="125">
        <v>0.0</v>
      </c>
    </row>
    <row r="54">
      <c r="A54" s="251">
        <v>19.0</v>
      </c>
      <c r="C54" s="252">
        <v>0.0</v>
      </c>
      <c r="D54" s="173">
        <v>0.0</v>
      </c>
      <c r="E54" s="173">
        <v>0.0</v>
      </c>
      <c r="F54" s="173">
        <v>0.0</v>
      </c>
      <c r="G54" s="173">
        <v>0.0</v>
      </c>
      <c r="H54" s="173">
        <v>0.0</v>
      </c>
      <c r="I54" s="173">
        <v>0.0</v>
      </c>
      <c r="J54" s="173">
        <v>0.0</v>
      </c>
      <c r="K54" s="173">
        <v>0.0</v>
      </c>
      <c r="L54" s="173">
        <v>0.0</v>
      </c>
      <c r="M54" s="173">
        <v>0.0</v>
      </c>
      <c r="N54" s="173">
        <v>0.0</v>
      </c>
      <c r="O54" s="173">
        <v>0.0</v>
      </c>
      <c r="P54" s="125">
        <v>0.0</v>
      </c>
      <c r="Q54" s="125">
        <v>0.0</v>
      </c>
      <c r="R54" s="125">
        <v>0.0</v>
      </c>
      <c r="S54" s="125">
        <v>0.0</v>
      </c>
      <c r="T54" s="125">
        <v>0.0</v>
      </c>
      <c r="U54" s="125">
        <v>0.0</v>
      </c>
      <c r="V54" s="125">
        <v>0.0</v>
      </c>
      <c r="W54" s="125">
        <v>0.0</v>
      </c>
    </row>
    <row r="55">
      <c r="A55" s="251">
        <v>20.0</v>
      </c>
      <c r="C55" s="252">
        <v>0.0</v>
      </c>
      <c r="D55" s="173">
        <v>0.0</v>
      </c>
      <c r="E55" s="173">
        <v>0.0</v>
      </c>
      <c r="F55" s="173">
        <v>0.0</v>
      </c>
      <c r="G55" s="173">
        <v>0.0</v>
      </c>
      <c r="H55" s="173">
        <v>0.0</v>
      </c>
      <c r="I55" s="173">
        <v>0.0</v>
      </c>
      <c r="J55" s="173">
        <v>0.0</v>
      </c>
      <c r="K55" s="173">
        <v>0.0</v>
      </c>
      <c r="L55" s="173">
        <v>0.0</v>
      </c>
      <c r="M55" s="173">
        <v>0.0</v>
      </c>
      <c r="N55" s="173">
        <v>0.0</v>
      </c>
      <c r="O55" s="173">
        <v>0.0</v>
      </c>
      <c r="P55" s="125">
        <v>0.0</v>
      </c>
      <c r="Q55" s="125">
        <v>0.0</v>
      </c>
      <c r="R55" s="125">
        <v>0.0</v>
      </c>
      <c r="S55" s="125">
        <v>0.0</v>
      </c>
      <c r="T55" s="125">
        <v>0.0</v>
      </c>
      <c r="U55" s="125">
        <v>0.0</v>
      </c>
      <c r="V55" s="125">
        <v>0.0</v>
      </c>
      <c r="W55" s="125">
        <v>0.0</v>
      </c>
    </row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3" t="s">
        <v>32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AH1" s="155" t="s">
        <v>287</v>
      </c>
    </row>
    <row r="2">
      <c r="A2" s="116" t="s">
        <v>114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AH2" s="156" t="s">
        <v>160</v>
      </c>
      <c r="AI2" s="157" t="s">
        <v>161</v>
      </c>
    </row>
    <row r="3">
      <c r="A3" s="254" t="s">
        <v>316</v>
      </c>
      <c r="B3" s="239" t="s">
        <v>317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AH3" s="156" t="s">
        <v>162</v>
      </c>
      <c r="AI3" s="174" t="s">
        <v>163</v>
      </c>
    </row>
    <row r="4">
      <c r="A4" s="254" t="s">
        <v>318</v>
      </c>
      <c r="B4" s="239" t="s">
        <v>319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>
      <c r="A5" s="254" t="s">
        <v>320</v>
      </c>
      <c r="B5" s="239" t="s">
        <v>321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AH5" s="161" t="s">
        <v>288</v>
      </c>
      <c r="AI5" s="161" t="s">
        <v>289</v>
      </c>
      <c r="AJ5" s="161" t="s">
        <v>166</v>
      </c>
      <c r="AK5" s="161" t="s">
        <v>290</v>
      </c>
      <c r="AL5" s="161" t="s">
        <v>168</v>
      </c>
      <c r="AM5" s="161" t="s">
        <v>291</v>
      </c>
      <c r="AN5" s="161" t="s">
        <v>170</v>
      </c>
      <c r="AO5" s="161" t="s">
        <v>292</v>
      </c>
      <c r="AP5" s="161" t="s">
        <v>172</v>
      </c>
      <c r="AQ5" s="161" t="s">
        <v>293</v>
      </c>
      <c r="AR5" s="161" t="s">
        <v>174</v>
      </c>
    </row>
    <row r="6">
      <c r="A6" s="254" t="s">
        <v>154</v>
      </c>
      <c r="B6" s="239">
        <v>25.0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AH6" s="235" t="s">
        <v>326</v>
      </c>
      <c r="AI6" s="163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164" t="str">
        <f t="array" ref="AJ6">LET(p,AI6,IF(p="n/a","n/a",IF(p&gt;20,"— (below ladder)",LET(s,INDEX($C$36:$W$55,p,0),b,TEXTJOIN(", ",TRUE,IF(s&gt;0,$C$35:$W$35&amp;": "&amp;ROUND(s,2),"")),IF(b="","{} (rank pays nothing)","{"&amp;b&amp;"}")))))</f>
        <v>{Red: 1}</v>
      </c>
      <c r="AK6" s="163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64" t="str">
        <f t="array" ref="AL6">LET(p,AK6,IF(p="n/a","n/a",IF(p&gt;20,"— (below ladder)",LET(s,INDEX($C$36:$W$55,p,0),b,TEXTJOIN(", ",TRUE,IF(s&gt;0,$C$35:$W$35&amp;": "&amp;ROUND(s,2),"")),IF(b="","{} (rank pays nothing)","{"&amp;b&amp;"}")))))</f>
        <v>{Chuck: 1}</v>
      </c>
      <c r="AM6" s="163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64" t="str">
        <f t="array" ref="AN6">LET(p,AM6,IF(p="n/a","n/a",IF(p&gt;20,"— (below ladder)",LET(s,INDEX($C$36:$W$55,p,0),b,TEXTJOIN(", ",TRUE,IF(s&gt;0,$C$35:$W$35&amp;": "&amp;ROUND(s,2),"")),IF(b="","{} (rank pays nothing)","{"&amp;b&amp;"}")))))</f>
        <v>{Bomb: 1}</v>
      </c>
      <c r="AO6" s="163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64" t="str">
        <f t="array" ref="AP6">LET(p,AO6,IF(p="n/a","n/a",IF(p&gt;20,"— (below ladder)",LET(s,INDEX($C$36:$W$55,p,0),b,TEXTJOIN(", ",TRUE,IF(s&gt;0,$C$35:$W$35&amp;": "&amp;ROUND(s,2),"")),IF(b="","{} (rank pays nothing)","{"&amp;b&amp;"}")))))</f>
        <v>{Coins: 25, Shuffle: 1}</v>
      </c>
      <c r="AQ6" s="163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64" t="str">
        <f t="array" ref="AR6">LET(p,AQ6,IF(p="n/a","n/a",IF(p&gt;20,"— (below ladder)",LET(s,INDEX($C$36:$W$55,p,0),b,TEXTJOIN(", ",TRUE,IF(s&gt;0,$C$35:$W$35&amp;": "&amp;ROUND(s,2),"")),IF(b="","{} (rank pays nothing)","{"&amp;b&amp;"}")))))</f>
        <v>{Coins: 50, Comet: 1}</v>
      </c>
    </row>
    <row r="7">
      <c r="A7" s="158" t="s">
        <v>152</v>
      </c>
      <c r="B7" s="159">
        <v>1.0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</row>
    <row r="8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AH8" s="180" t="s">
        <v>294</v>
      </c>
    </row>
    <row r="9">
      <c r="A9" s="241" t="s">
        <v>322</v>
      </c>
      <c r="B9" s="207"/>
      <c r="C9" s="207"/>
      <c r="D9" s="207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AH9" s="236" t="s">
        <v>327</v>
      </c>
    </row>
    <row r="10">
      <c r="A10" s="255" t="s">
        <v>157</v>
      </c>
      <c r="B10" s="255" t="s">
        <v>323</v>
      </c>
      <c r="C10" s="256" t="s">
        <v>82</v>
      </c>
      <c r="D10" s="257" t="s">
        <v>68</v>
      </c>
      <c r="E10" s="258" t="s">
        <v>103</v>
      </c>
      <c r="F10" s="259" t="s">
        <v>69</v>
      </c>
      <c r="G10" s="259" t="s">
        <v>70</v>
      </c>
      <c r="H10" s="259" t="s">
        <v>71</v>
      </c>
      <c r="I10" s="259" t="s">
        <v>72</v>
      </c>
      <c r="J10" s="259" t="s">
        <v>73</v>
      </c>
      <c r="K10" s="259" t="s">
        <v>74</v>
      </c>
      <c r="L10" s="259" t="s">
        <v>75</v>
      </c>
      <c r="M10" s="259" t="s">
        <v>76</v>
      </c>
      <c r="N10" s="259" t="s">
        <v>77</v>
      </c>
      <c r="O10" s="259" t="s">
        <v>78</v>
      </c>
      <c r="P10" s="168" t="s">
        <v>118</v>
      </c>
      <c r="Q10" s="168" t="s">
        <v>104</v>
      </c>
      <c r="R10" s="168" t="s">
        <v>105</v>
      </c>
      <c r="S10" s="168" t="s">
        <v>106</v>
      </c>
      <c r="T10" s="168" t="s">
        <v>107</v>
      </c>
      <c r="U10" s="168" t="s">
        <v>108</v>
      </c>
      <c r="V10" s="168" t="s">
        <v>109</v>
      </c>
      <c r="W10" s="168" t="s">
        <v>110</v>
      </c>
      <c r="AH10" s="180" t="s">
        <v>328</v>
      </c>
    </row>
    <row r="11">
      <c r="A11" s="260">
        <v>1.0</v>
      </c>
      <c r="B11" s="260">
        <v>100.0</v>
      </c>
      <c r="C11" s="261">
        <v>0.0</v>
      </c>
      <c r="D11" s="260">
        <v>0.0</v>
      </c>
      <c r="E11" s="262">
        <v>0.0</v>
      </c>
      <c r="F11" s="182">
        <v>0.0</v>
      </c>
      <c r="G11" s="182">
        <v>0.0</v>
      </c>
      <c r="H11" s="182">
        <v>0.0</v>
      </c>
      <c r="I11" s="182">
        <v>0.0</v>
      </c>
      <c r="J11" s="182">
        <v>0.0</v>
      </c>
      <c r="K11" s="182">
        <v>0.0</v>
      </c>
      <c r="L11" s="182">
        <v>0.0</v>
      </c>
      <c r="M11" s="182">
        <v>0.0</v>
      </c>
      <c r="N11" s="182">
        <v>0.0</v>
      </c>
      <c r="O11" s="182">
        <v>0.0</v>
      </c>
      <c r="P11" s="182">
        <v>0.0</v>
      </c>
      <c r="Q11" s="182">
        <v>0.0</v>
      </c>
      <c r="R11" s="182">
        <v>0.0</v>
      </c>
      <c r="S11" s="182">
        <v>0.0</v>
      </c>
      <c r="T11" s="182">
        <v>0.0</v>
      </c>
      <c r="U11" s="182">
        <v>0.0</v>
      </c>
      <c r="V11" s="182">
        <v>0.0</v>
      </c>
      <c r="W11" s="182">
        <v>0.0</v>
      </c>
    </row>
    <row r="12">
      <c r="A12" s="260">
        <v>2.0</v>
      </c>
      <c r="B12" s="260">
        <v>300.0</v>
      </c>
      <c r="C12" s="261">
        <v>0.0</v>
      </c>
      <c r="D12" s="260">
        <v>0.0</v>
      </c>
      <c r="E12" s="262">
        <v>0.0</v>
      </c>
      <c r="F12" s="182">
        <v>0.0</v>
      </c>
      <c r="G12" s="182">
        <v>0.0</v>
      </c>
      <c r="H12" s="182">
        <v>0.0</v>
      </c>
      <c r="I12" s="182">
        <v>0.0</v>
      </c>
      <c r="J12" s="182">
        <v>0.0</v>
      </c>
      <c r="K12" s="182">
        <v>0.0</v>
      </c>
      <c r="L12" s="182">
        <v>0.0</v>
      </c>
      <c r="M12" s="182">
        <v>0.0</v>
      </c>
      <c r="N12" s="182">
        <v>0.0</v>
      </c>
      <c r="O12" s="182">
        <v>0.0</v>
      </c>
      <c r="P12" s="182">
        <v>0.0</v>
      </c>
      <c r="Q12" s="182">
        <v>0.0</v>
      </c>
      <c r="R12" s="182">
        <v>0.0</v>
      </c>
      <c r="S12" s="182">
        <v>0.0</v>
      </c>
      <c r="T12" s="182">
        <v>0.0</v>
      </c>
      <c r="U12" s="182">
        <v>0.0</v>
      </c>
      <c r="V12" s="182">
        <v>0.0</v>
      </c>
      <c r="W12" s="182">
        <v>0.0</v>
      </c>
    </row>
    <row r="13">
      <c r="A13" s="260">
        <v>3.0</v>
      </c>
      <c r="B13" s="260">
        <v>500.0</v>
      </c>
      <c r="C13" s="261">
        <v>0.0</v>
      </c>
      <c r="D13" s="260">
        <v>0.0</v>
      </c>
      <c r="E13" s="262">
        <v>0.0</v>
      </c>
      <c r="F13" s="182">
        <v>0.0</v>
      </c>
      <c r="G13" s="182">
        <v>0.0</v>
      </c>
      <c r="H13" s="182">
        <v>0.0</v>
      </c>
      <c r="I13" s="182">
        <v>0.0</v>
      </c>
      <c r="J13" s="182">
        <v>0.0</v>
      </c>
      <c r="K13" s="182">
        <v>0.0</v>
      </c>
      <c r="L13" s="182">
        <v>0.0</v>
      </c>
      <c r="M13" s="182">
        <v>0.0</v>
      </c>
      <c r="N13" s="182">
        <v>0.0</v>
      </c>
      <c r="O13" s="182">
        <v>0.0</v>
      </c>
      <c r="P13" s="182">
        <v>0.0</v>
      </c>
      <c r="Q13" s="182">
        <v>0.0</v>
      </c>
      <c r="R13" s="182">
        <v>0.0</v>
      </c>
      <c r="S13" s="182">
        <v>0.0</v>
      </c>
      <c r="T13" s="182">
        <v>0.0</v>
      </c>
      <c r="U13" s="182">
        <v>0.0</v>
      </c>
      <c r="V13" s="182">
        <v>0.0</v>
      </c>
      <c r="W13" s="182">
        <v>0.0</v>
      </c>
    </row>
    <row r="14">
      <c r="A14" s="260">
        <v>4.0</v>
      </c>
      <c r="B14" s="260">
        <v>700.0</v>
      </c>
      <c r="C14" s="261">
        <v>0.0</v>
      </c>
      <c r="D14" s="260">
        <v>0.0</v>
      </c>
      <c r="E14" s="262">
        <v>0.0</v>
      </c>
      <c r="F14" s="182">
        <v>0.0</v>
      </c>
      <c r="G14" s="182">
        <v>0.0</v>
      </c>
      <c r="H14" s="182">
        <v>0.0</v>
      </c>
      <c r="I14" s="182">
        <v>0.0</v>
      </c>
      <c r="J14" s="182">
        <v>0.0</v>
      </c>
      <c r="K14" s="182">
        <v>0.0</v>
      </c>
      <c r="L14" s="182">
        <v>0.0</v>
      </c>
      <c r="M14" s="182">
        <v>0.0</v>
      </c>
      <c r="N14" s="182">
        <v>0.0</v>
      </c>
      <c r="O14" s="182">
        <v>0.0</v>
      </c>
      <c r="P14" s="182">
        <v>0.0</v>
      </c>
      <c r="Q14" s="182">
        <v>0.0</v>
      </c>
      <c r="R14" s="182">
        <v>0.0</v>
      </c>
      <c r="S14" s="182">
        <v>0.0</v>
      </c>
      <c r="T14" s="182">
        <v>0.0</v>
      </c>
      <c r="U14" s="182">
        <v>0.0</v>
      </c>
      <c r="V14" s="182">
        <v>0.0</v>
      </c>
      <c r="W14" s="182">
        <v>0.0</v>
      </c>
    </row>
    <row r="15">
      <c r="A15" s="260">
        <v>5.0</v>
      </c>
      <c r="B15" s="260">
        <v>2000.0</v>
      </c>
      <c r="C15" s="261">
        <v>0.0</v>
      </c>
      <c r="D15" s="260">
        <v>0.0</v>
      </c>
      <c r="E15" s="262">
        <v>0.0</v>
      </c>
      <c r="F15" s="182">
        <v>0.0</v>
      </c>
      <c r="G15" s="182">
        <v>0.0</v>
      </c>
      <c r="H15" s="182">
        <v>0.0</v>
      </c>
      <c r="I15" s="182">
        <v>0.0</v>
      </c>
      <c r="J15" s="182">
        <v>0.0</v>
      </c>
      <c r="K15" s="182">
        <v>0.0</v>
      </c>
      <c r="L15" s="182">
        <v>0.0</v>
      </c>
      <c r="M15" s="182">
        <v>0.0</v>
      </c>
      <c r="N15" s="182">
        <v>0.0</v>
      </c>
      <c r="O15" s="182">
        <v>0.0</v>
      </c>
      <c r="P15" s="182">
        <v>0.0</v>
      </c>
      <c r="Q15" s="182">
        <v>0.0</v>
      </c>
      <c r="R15" s="182">
        <v>0.0</v>
      </c>
      <c r="S15" s="182">
        <v>0.0</v>
      </c>
      <c r="T15" s="182">
        <v>0.0</v>
      </c>
      <c r="U15" s="182">
        <v>0.0</v>
      </c>
      <c r="V15" s="182">
        <v>0.0</v>
      </c>
      <c r="W15" s="182">
        <v>0.0</v>
      </c>
    </row>
    <row r="16">
      <c r="A16" s="260">
        <v>6.0</v>
      </c>
      <c r="B16" s="260">
        <v>3000.0</v>
      </c>
      <c r="C16" s="261">
        <v>0.0</v>
      </c>
      <c r="D16" s="260">
        <v>0.0</v>
      </c>
      <c r="E16" s="262">
        <v>0.0</v>
      </c>
      <c r="F16" s="182">
        <v>0.0</v>
      </c>
      <c r="G16" s="182">
        <v>0.0</v>
      </c>
      <c r="H16" s="182">
        <v>0.0</v>
      </c>
      <c r="I16" s="182">
        <v>0.0</v>
      </c>
      <c r="J16" s="182">
        <v>0.0</v>
      </c>
      <c r="K16" s="182">
        <v>0.0</v>
      </c>
      <c r="L16" s="182">
        <v>0.0</v>
      </c>
      <c r="M16" s="182">
        <v>0.0</v>
      </c>
      <c r="N16" s="182">
        <v>0.0</v>
      </c>
      <c r="O16" s="182">
        <v>0.0</v>
      </c>
      <c r="P16" s="182">
        <v>0.0</v>
      </c>
      <c r="Q16" s="182">
        <v>0.0</v>
      </c>
      <c r="R16" s="182">
        <v>0.0</v>
      </c>
      <c r="S16" s="182">
        <v>0.0</v>
      </c>
      <c r="T16" s="182">
        <v>0.0</v>
      </c>
      <c r="U16" s="182">
        <v>0.0</v>
      </c>
      <c r="V16" s="182">
        <v>0.0</v>
      </c>
      <c r="W16" s="182">
        <v>0.0</v>
      </c>
    </row>
    <row r="17">
      <c r="A17" s="260">
        <v>7.0</v>
      </c>
      <c r="B17" s="260">
        <v>4000.0</v>
      </c>
      <c r="C17" s="261">
        <v>0.0</v>
      </c>
      <c r="D17" s="260">
        <v>0.0</v>
      </c>
      <c r="E17" s="262">
        <v>0.0</v>
      </c>
      <c r="F17" s="182">
        <v>0.0</v>
      </c>
      <c r="G17" s="182">
        <v>0.0</v>
      </c>
      <c r="H17" s="182">
        <v>0.0</v>
      </c>
      <c r="I17" s="182">
        <v>0.0</v>
      </c>
      <c r="J17" s="182">
        <v>0.0</v>
      </c>
      <c r="K17" s="182">
        <v>0.0</v>
      </c>
      <c r="L17" s="182">
        <v>0.0</v>
      </c>
      <c r="M17" s="182">
        <v>0.0</v>
      </c>
      <c r="N17" s="182">
        <v>0.0</v>
      </c>
      <c r="O17" s="182">
        <v>0.0</v>
      </c>
      <c r="P17" s="182">
        <v>0.0</v>
      </c>
      <c r="Q17" s="182">
        <v>0.0</v>
      </c>
      <c r="R17" s="182">
        <v>0.0</v>
      </c>
      <c r="S17" s="182">
        <v>0.0</v>
      </c>
      <c r="T17" s="182">
        <v>0.0</v>
      </c>
      <c r="U17" s="182">
        <v>0.0</v>
      </c>
      <c r="V17" s="182">
        <v>0.0</v>
      </c>
      <c r="W17" s="182">
        <v>0.0</v>
      </c>
    </row>
    <row r="18">
      <c r="A18" s="260">
        <v>8.0</v>
      </c>
      <c r="B18" s="260">
        <v>5500.0</v>
      </c>
      <c r="C18" s="261">
        <v>0.0</v>
      </c>
      <c r="D18" s="260">
        <v>0.0</v>
      </c>
      <c r="E18" s="262">
        <v>0.0</v>
      </c>
      <c r="F18" s="182">
        <v>0.0</v>
      </c>
      <c r="G18" s="182">
        <v>0.0</v>
      </c>
      <c r="H18" s="182">
        <v>0.0</v>
      </c>
      <c r="I18" s="182">
        <v>0.0</v>
      </c>
      <c r="J18" s="182">
        <v>0.0</v>
      </c>
      <c r="K18" s="182">
        <v>0.0</v>
      </c>
      <c r="L18" s="182">
        <v>0.0</v>
      </c>
      <c r="M18" s="182">
        <v>0.0</v>
      </c>
      <c r="N18" s="182">
        <v>0.0</v>
      </c>
      <c r="O18" s="182">
        <v>0.0</v>
      </c>
      <c r="P18" s="182">
        <v>0.0</v>
      </c>
      <c r="Q18" s="182">
        <v>0.0</v>
      </c>
      <c r="R18" s="182">
        <v>0.0</v>
      </c>
      <c r="S18" s="182">
        <v>0.0</v>
      </c>
      <c r="T18" s="182">
        <v>0.0</v>
      </c>
      <c r="U18" s="182">
        <v>0.0</v>
      </c>
      <c r="V18" s="182">
        <v>0.0</v>
      </c>
      <c r="W18" s="182">
        <v>0.0</v>
      </c>
    </row>
    <row r="19">
      <c r="A19" s="260">
        <v>9.0</v>
      </c>
      <c r="B19" s="260">
        <v>7000.0</v>
      </c>
      <c r="C19" s="261">
        <v>0.0</v>
      </c>
      <c r="D19" s="260">
        <v>0.0</v>
      </c>
      <c r="E19" s="262">
        <v>0.0</v>
      </c>
      <c r="F19" s="182">
        <v>0.0</v>
      </c>
      <c r="G19" s="182">
        <v>0.0</v>
      </c>
      <c r="H19" s="182">
        <v>0.0</v>
      </c>
      <c r="I19" s="182">
        <v>0.0</v>
      </c>
      <c r="J19" s="182">
        <v>0.0</v>
      </c>
      <c r="K19" s="182">
        <v>0.0</v>
      </c>
      <c r="L19" s="182">
        <v>0.0</v>
      </c>
      <c r="M19" s="182">
        <v>0.0</v>
      </c>
      <c r="N19" s="182">
        <v>0.0</v>
      </c>
      <c r="O19" s="182">
        <v>0.0</v>
      </c>
      <c r="P19" s="182">
        <v>0.0</v>
      </c>
      <c r="Q19" s="182">
        <v>0.0</v>
      </c>
      <c r="R19" s="182">
        <v>0.0</v>
      </c>
      <c r="S19" s="182">
        <v>0.0</v>
      </c>
      <c r="T19" s="182">
        <v>0.0</v>
      </c>
      <c r="U19" s="182">
        <v>0.0</v>
      </c>
      <c r="V19" s="182">
        <v>0.0</v>
      </c>
      <c r="W19" s="182">
        <v>0.0</v>
      </c>
    </row>
    <row r="20">
      <c r="A20" s="260">
        <v>10.0</v>
      </c>
      <c r="B20" s="260">
        <v>8500.0</v>
      </c>
      <c r="C20" s="261">
        <v>0.0</v>
      </c>
      <c r="D20" s="260">
        <v>0.0</v>
      </c>
      <c r="E20" s="262">
        <v>0.0</v>
      </c>
      <c r="F20" s="182">
        <v>0.0</v>
      </c>
      <c r="G20" s="182">
        <v>0.0</v>
      </c>
      <c r="H20" s="182">
        <v>0.0</v>
      </c>
      <c r="I20" s="182">
        <v>0.0</v>
      </c>
      <c r="J20" s="182">
        <v>0.0</v>
      </c>
      <c r="K20" s="182">
        <v>0.0</v>
      </c>
      <c r="L20" s="182">
        <v>0.0</v>
      </c>
      <c r="M20" s="182">
        <v>0.0</v>
      </c>
      <c r="N20" s="182">
        <v>0.0</v>
      </c>
      <c r="O20" s="182">
        <v>0.0</v>
      </c>
      <c r="P20" s="182">
        <v>0.0</v>
      </c>
      <c r="Q20" s="182">
        <v>0.0</v>
      </c>
      <c r="R20" s="182">
        <v>0.0</v>
      </c>
      <c r="S20" s="182">
        <v>0.0</v>
      </c>
      <c r="T20" s="182">
        <v>0.0</v>
      </c>
      <c r="U20" s="182">
        <v>0.0</v>
      </c>
      <c r="V20" s="182">
        <v>0.0</v>
      </c>
      <c r="W20" s="182">
        <v>0.0</v>
      </c>
    </row>
    <row r="21" ht="15.75" customHeight="1">
      <c r="A21" s="260">
        <v>11.0</v>
      </c>
      <c r="B21" s="260">
        <v>10000.0</v>
      </c>
      <c r="C21" s="261">
        <v>0.0</v>
      </c>
      <c r="D21" s="260">
        <v>0.0</v>
      </c>
      <c r="E21" s="262">
        <v>0.0</v>
      </c>
      <c r="F21" s="182">
        <v>0.0</v>
      </c>
      <c r="G21" s="182">
        <v>0.0</v>
      </c>
      <c r="H21" s="182">
        <v>0.0</v>
      </c>
      <c r="I21" s="182">
        <v>0.0</v>
      </c>
      <c r="J21" s="182">
        <v>0.0</v>
      </c>
      <c r="K21" s="182">
        <v>0.0</v>
      </c>
      <c r="L21" s="182">
        <v>0.0</v>
      </c>
      <c r="M21" s="182">
        <v>0.0</v>
      </c>
      <c r="N21" s="182">
        <v>0.0</v>
      </c>
      <c r="O21" s="182">
        <v>0.0</v>
      </c>
      <c r="P21" s="182">
        <v>0.0</v>
      </c>
      <c r="Q21" s="182">
        <v>0.0</v>
      </c>
      <c r="R21" s="182">
        <v>0.0</v>
      </c>
      <c r="S21" s="182">
        <v>0.0</v>
      </c>
      <c r="T21" s="182">
        <v>0.0</v>
      </c>
      <c r="U21" s="182">
        <v>0.0</v>
      </c>
      <c r="V21" s="182">
        <v>0.0</v>
      </c>
      <c r="W21" s="182">
        <v>0.0</v>
      </c>
    </row>
    <row r="22" ht="15.75" customHeight="1">
      <c r="A22" s="260">
        <v>12.0</v>
      </c>
      <c r="B22" s="260">
        <v>11500.0</v>
      </c>
      <c r="C22" s="261">
        <v>0.0</v>
      </c>
      <c r="D22" s="260">
        <v>0.0</v>
      </c>
      <c r="E22" s="262">
        <v>0.0</v>
      </c>
      <c r="F22" s="182">
        <v>0.0</v>
      </c>
      <c r="G22" s="182">
        <v>0.0</v>
      </c>
      <c r="H22" s="182">
        <v>0.0</v>
      </c>
      <c r="I22" s="182">
        <v>0.0</v>
      </c>
      <c r="J22" s="182">
        <v>0.0</v>
      </c>
      <c r="K22" s="182">
        <v>0.0</v>
      </c>
      <c r="L22" s="182">
        <v>0.0</v>
      </c>
      <c r="M22" s="182">
        <v>0.0</v>
      </c>
      <c r="N22" s="182">
        <v>0.0</v>
      </c>
      <c r="O22" s="182">
        <v>0.0</v>
      </c>
      <c r="P22" s="182">
        <v>0.0</v>
      </c>
      <c r="Q22" s="182">
        <v>0.0</v>
      </c>
      <c r="R22" s="182">
        <v>0.0</v>
      </c>
      <c r="S22" s="182">
        <v>0.0</v>
      </c>
      <c r="T22" s="182">
        <v>0.0</v>
      </c>
      <c r="U22" s="182">
        <v>0.0</v>
      </c>
      <c r="V22" s="182">
        <v>0.0</v>
      </c>
      <c r="W22" s="182">
        <v>0.0</v>
      </c>
    </row>
    <row r="23" ht="15.75" customHeight="1">
      <c r="A23" s="260">
        <v>13.0</v>
      </c>
      <c r="B23" s="260">
        <v>13000.0</v>
      </c>
      <c r="C23" s="261">
        <v>0.0</v>
      </c>
      <c r="D23" s="260">
        <v>0.0</v>
      </c>
      <c r="E23" s="262">
        <v>0.0</v>
      </c>
      <c r="F23" s="182">
        <v>0.0</v>
      </c>
      <c r="G23" s="182">
        <v>0.0</v>
      </c>
      <c r="H23" s="182">
        <v>0.0</v>
      </c>
      <c r="I23" s="182">
        <v>0.0</v>
      </c>
      <c r="J23" s="182">
        <v>0.0</v>
      </c>
      <c r="K23" s="182">
        <v>0.0</v>
      </c>
      <c r="L23" s="182">
        <v>0.0</v>
      </c>
      <c r="M23" s="182">
        <v>0.0</v>
      </c>
      <c r="N23" s="182">
        <v>0.0</v>
      </c>
      <c r="O23" s="182">
        <v>0.0</v>
      </c>
      <c r="P23" s="182">
        <v>0.0</v>
      </c>
      <c r="Q23" s="182">
        <v>0.0</v>
      </c>
      <c r="R23" s="182">
        <v>0.0</v>
      </c>
      <c r="S23" s="182">
        <v>0.0</v>
      </c>
      <c r="T23" s="182">
        <v>0.0</v>
      </c>
      <c r="U23" s="182">
        <v>0.0</v>
      </c>
      <c r="V23" s="182">
        <v>0.0</v>
      </c>
      <c r="W23" s="182">
        <v>0.0</v>
      </c>
    </row>
    <row r="24" ht="15.75" customHeight="1">
      <c r="A24" s="260">
        <v>14.0</v>
      </c>
      <c r="B24" s="260">
        <v>14500.0</v>
      </c>
      <c r="C24" s="261">
        <v>0.0</v>
      </c>
      <c r="D24" s="260">
        <v>0.0</v>
      </c>
      <c r="E24" s="262">
        <v>0.0</v>
      </c>
      <c r="F24" s="182">
        <v>0.0</v>
      </c>
      <c r="G24" s="182">
        <v>0.0</v>
      </c>
      <c r="H24" s="182">
        <v>0.0</v>
      </c>
      <c r="I24" s="182">
        <v>0.0</v>
      </c>
      <c r="J24" s="182">
        <v>0.0</v>
      </c>
      <c r="K24" s="182">
        <v>0.0</v>
      </c>
      <c r="L24" s="182">
        <v>0.0</v>
      </c>
      <c r="M24" s="182">
        <v>0.0</v>
      </c>
      <c r="N24" s="182">
        <v>0.0</v>
      </c>
      <c r="O24" s="182">
        <v>0.0</v>
      </c>
      <c r="P24" s="182">
        <v>0.0</v>
      </c>
      <c r="Q24" s="182">
        <v>0.0</v>
      </c>
      <c r="R24" s="182">
        <v>0.0</v>
      </c>
      <c r="S24" s="182">
        <v>0.0</v>
      </c>
      <c r="T24" s="182">
        <v>0.0</v>
      </c>
      <c r="U24" s="182">
        <v>0.0</v>
      </c>
      <c r="V24" s="182">
        <v>0.0</v>
      </c>
      <c r="W24" s="182">
        <v>0.0</v>
      </c>
    </row>
    <row r="25" ht="15.75" customHeight="1">
      <c r="A25" s="260">
        <v>15.0</v>
      </c>
      <c r="B25" s="260">
        <v>16000.0</v>
      </c>
      <c r="C25" s="261">
        <v>0.0</v>
      </c>
      <c r="D25" s="260">
        <v>0.0</v>
      </c>
      <c r="E25" s="262">
        <v>0.0</v>
      </c>
      <c r="F25" s="182">
        <v>0.0</v>
      </c>
      <c r="G25" s="182">
        <v>0.0</v>
      </c>
      <c r="H25" s="182">
        <v>0.0</v>
      </c>
      <c r="I25" s="182">
        <v>0.0</v>
      </c>
      <c r="J25" s="182">
        <v>0.0</v>
      </c>
      <c r="K25" s="182">
        <v>0.0</v>
      </c>
      <c r="L25" s="182">
        <v>0.0</v>
      </c>
      <c r="M25" s="182">
        <v>0.0</v>
      </c>
      <c r="N25" s="182">
        <v>0.0</v>
      </c>
      <c r="O25" s="182">
        <v>0.0</v>
      </c>
      <c r="P25" s="182">
        <v>0.0</v>
      </c>
      <c r="Q25" s="182">
        <v>0.0</v>
      </c>
      <c r="R25" s="182">
        <v>0.0</v>
      </c>
      <c r="S25" s="182">
        <v>0.0</v>
      </c>
      <c r="T25" s="182">
        <v>0.0</v>
      </c>
      <c r="U25" s="182">
        <v>0.0</v>
      </c>
      <c r="V25" s="182">
        <v>0.0</v>
      </c>
      <c r="W25" s="182">
        <v>0.0</v>
      </c>
    </row>
    <row r="26" ht="15.75" customHeight="1">
      <c r="A26" s="260">
        <v>16.0</v>
      </c>
      <c r="B26" s="260">
        <v>17500.0</v>
      </c>
      <c r="C26" s="261">
        <v>0.0</v>
      </c>
      <c r="D26" s="260">
        <v>0.0</v>
      </c>
      <c r="E26" s="262">
        <v>0.0</v>
      </c>
      <c r="F26" s="182">
        <v>0.0</v>
      </c>
      <c r="G26" s="182">
        <v>0.0</v>
      </c>
      <c r="H26" s="182">
        <v>0.0</v>
      </c>
      <c r="I26" s="182">
        <v>0.0</v>
      </c>
      <c r="J26" s="182">
        <v>0.0</v>
      </c>
      <c r="K26" s="182">
        <v>0.0</v>
      </c>
      <c r="L26" s="182">
        <v>0.0</v>
      </c>
      <c r="M26" s="182">
        <v>0.0</v>
      </c>
      <c r="N26" s="182">
        <v>0.0</v>
      </c>
      <c r="O26" s="182">
        <v>0.0</v>
      </c>
      <c r="P26" s="182">
        <v>0.0</v>
      </c>
      <c r="Q26" s="182">
        <v>0.0</v>
      </c>
      <c r="R26" s="182">
        <v>0.0</v>
      </c>
      <c r="S26" s="182">
        <v>0.0</v>
      </c>
      <c r="T26" s="182">
        <v>0.0</v>
      </c>
      <c r="U26" s="182">
        <v>0.0</v>
      </c>
      <c r="V26" s="182">
        <v>0.0</v>
      </c>
      <c r="W26" s="182">
        <v>0.0</v>
      </c>
    </row>
    <row r="27" ht="15.75" customHeight="1">
      <c r="A27" s="260">
        <v>17.0</v>
      </c>
      <c r="B27" s="260">
        <v>19000.0</v>
      </c>
      <c r="C27" s="261">
        <v>0.0</v>
      </c>
      <c r="D27" s="260">
        <v>0.0</v>
      </c>
      <c r="E27" s="262">
        <v>0.0</v>
      </c>
      <c r="F27" s="182">
        <v>0.0</v>
      </c>
      <c r="G27" s="182">
        <v>0.0</v>
      </c>
      <c r="H27" s="182">
        <v>0.0</v>
      </c>
      <c r="I27" s="182">
        <v>0.0</v>
      </c>
      <c r="J27" s="182">
        <v>0.0</v>
      </c>
      <c r="K27" s="182">
        <v>0.0</v>
      </c>
      <c r="L27" s="182">
        <v>0.0</v>
      </c>
      <c r="M27" s="182">
        <v>0.0</v>
      </c>
      <c r="N27" s="182">
        <v>0.0</v>
      </c>
      <c r="O27" s="182">
        <v>0.0</v>
      </c>
      <c r="P27" s="182">
        <v>0.0</v>
      </c>
      <c r="Q27" s="182">
        <v>0.0</v>
      </c>
      <c r="R27" s="182">
        <v>0.0</v>
      </c>
      <c r="S27" s="182">
        <v>0.0</v>
      </c>
      <c r="T27" s="182">
        <v>0.0</v>
      </c>
      <c r="U27" s="182">
        <v>0.0</v>
      </c>
      <c r="V27" s="182">
        <v>0.0</v>
      </c>
      <c r="W27" s="182">
        <v>0.0</v>
      </c>
    </row>
    <row r="28" ht="15.75" customHeight="1">
      <c r="A28" s="260">
        <v>18.0</v>
      </c>
      <c r="B28" s="260">
        <v>20500.0</v>
      </c>
      <c r="C28" s="261">
        <v>0.0</v>
      </c>
      <c r="D28" s="260">
        <v>0.0</v>
      </c>
      <c r="E28" s="262">
        <v>0.0</v>
      </c>
      <c r="F28" s="182">
        <v>0.0</v>
      </c>
      <c r="G28" s="182">
        <v>0.0</v>
      </c>
      <c r="H28" s="182">
        <v>0.0</v>
      </c>
      <c r="I28" s="182">
        <v>0.0</v>
      </c>
      <c r="J28" s="182">
        <v>0.0</v>
      </c>
      <c r="K28" s="182">
        <v>0.0</v>
      </c>
      <c r="L28" s="182">
        <v>0.0</v>
      </c>
      <c r="M28" s="182">
        <v>0.0</v>
      </c>
      <c r="N28" s="182">
        <v>0.0</v>
      </c>
      <c r="O28" s="182">
        <v>0.0</v>
      </c>
      <c r="P28" s="182">
        <v>0.0</v>
      </c>
      <c r="Q28" s="182">
        <v>0.0</v>
      </c>
      <c r="R28" s="182">
        <v>0.0</v>
      </c>
      <c r="S28" s="182">
        <v>0.0</v>
      </c>
      <c r="T28" s="182">
        <v>0.0</v>
      </c>
      <c r="U28" s="182">
        <v>0.0</v>
      </c>
      <c r="V28" s="182">
        <v>0.0</v>
      </c>
      <c r="W28" s="182">
        <v>0.0</v>
      </c>
    </row>
    <row r="29" ht="15.75" customHeight="1">
      <c r="A29" s="260">
        <v>19.0</v>
      </c>
      <c r="B29" s="260">
        <v>22000.0</v>
      </c>
      <c r="C29" s="261">
        <v>0.0</v>
      </c>
      <c r="D29" s="260">
        <v>0.0</v>
      </c>
      <c r="E29" s="262">
        <v>0.0</v>
      </c>
      <c r="F29" s="182">
        <v>0.0</v>
      </c>
      <c r="G29" s="182">
        <v>0.0</v>
      </c>
      <c r="H29" s="182">
        <v>0.0</v>
      </c>
      <c r="I29" s="182">
        <v>0.0</v>
      </c>
      <c r="J29" s="182">
        <v>0.0</v>
      </c>
      <c r="K29" s="182">
        <v>0.0</v>
      </c>
      <c r="L29" s="182">
        <v>0.0</v>
      </c>
      <c r="M29" s="182">
        <v>0.0</v>
      </c>
      <c r="N29" s="182">
        <v>0.0</v>
      </c>
      <c r="O29" s="182">
        <v>0.0</v>
      </c>
      <c r="P29" s="182">
        <v>0.0</v>
      </c>
      <c r="Q29" s="182">
        <v>0.0</v>
      </c>
      <c r="R29" s="182">
        <v>0.0</v>
      </c>
      <c r="S29" s="182">
        <v>0.0</v>
      </c>
      <c r="T29" s="182">
        <v>0.0</v>
      </c>
      <c r="U29" s="182">
        <v>0.0</v>
      </c>
      <c r="V29" s="182">
        <v>0.0</v>
      </c>
      <c r="W29" s="182">
        <v>0.0</v>
      </c>
    </row>
    <row r="30" ht="15.75" customHeight="1">
      <c r="A30" s="260">
        <v>20.0</v>
      </c>
      <c r="B30" s="260">
        <v>23500.0</v>
      </c>
      <c r="C30" s="261">
        <v>0.0</v>
      </c>
      <c r="D30" s="260">
        <v>0.0</v>
      </c>
      <c r="E30" s="262">
        <v>0.0</v>
      </c>
      <c r="F30" s="182">
        <v>0.0</v>
      </c>
      <c r="G30" s="182">
        <v>0.0</v>
      </c>
      <c r="H30" s="182">
        <v>0.0</v>
      </c>
      <c r="I30" s="182">
        <v>0.0</v>
      </c>
      <c r="J30" s="182">
        <v>0.0</v>
      </c>
      <c r="K30" s="182">
        <v>0.0</v>
      </c>
      <c r="L30" s="182">
        <v>0.0</v>
      </c>
      <c r="M30" s="182">
        <v>0.0</v>
      </c>
      <c r="N30" s="182">
        <v>0.0</v>
      </c>
      <c r="O30" s="182">
        <v>0.0</v>
      </c>
      <c r="P30" s="182">
        <v>0.0</v>
      </c>
      <c r="Q30" s="182">
        <v>0.0</v>
      </c>
      <c r="R30" s="182">
        <v>0.0</v>
      </c>
      <c r="S30" s="182">
        <v>0.0</v>
      </c>
      <c r="T30" s="182">
        <v>0.0</v>
      </c>
      <c r="U30" s="182">
        <v>0.0</v>
      </c>
      <c r="V30" s="182">
        <v>0.0</v>
      </c>
      <c r="W30" s="182">
        <v>0.0</v>
      </c>
    </row>
    <row r="31" ht="15.75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</row>
    <row r="32" ht="15.75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</row>
    <row r="33" ht="15.75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</row>
    <row r="34" ht="15.75" customHeight="1">
      <c r="A34" s="115" t="s">
        <v>324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ht="15.75" customHeight="1">
      <c r="A35" s="263" t="s">
        <v>325</v>
      </c>
      <c r="B35" s="103"/>
      <c r="C35" s="264" t="s">
        <v>82</v>
      </c>
      <c r="D35" s="259" t="s">
        <v>68</v>
      </c>
      <c r="E35" s="259" t="s">
        <v>103</v>
      </c>
      <c r="F35" s="259" t="s">
        <v>69</v>
      </c>
      <c r="G35" s="259" t="s">
        <v>70</v>
      </c>
      <c r="H35" s="259" t="s">
        <v>71</v>
      </c>
      <c r="I35" s="259" t="s">
        <v>72</v>
      </c>
      <c r="J35" s="259" t="s">
        <v>73</v>
      </c>
      <c r="K35" s="259" t="s">
        <v>74</v>
      </c>
      <c r="L35" s="259" t="s">
        <v>75</v>
      </c>
      <c r="M35" s="259" t="s">
        <v>76</v>
      </c>
      <c r="N35" s="259" t="s">
        <v>77</v>
      </c>
      <c r="O35" s="259" t="s">
        <v>78</v>
      </c>
      <c r="P35" s="168" t="s">
        <v>118</v>
      </c>
      <c r="Q35" s="168" t="s">
        <v>104</v>
      </c>
      <c r="R35" s="168" t="s">
        <v>105</v>
      </c>
      <c r="S35" s="168" t="s">
        <v>106</v>
      </c>
      <c r="T35" s="168" t="s">
        <v>107</v>
      </c>
      <c r="U35" s="168" t="s">
        <v>108</v>
      </c>
      <c r="V35" s="168" t="s">
        <v>109</v>
      </c>
      <c r="W35" s="168" t="s">
        <v>110</v>
      </c>
    </row>
    <row r="36" ht="15.75" customHeight="1">
      <c r="A36" s="265">
        <v>1.0</v>
      </c>
      <c r="B36" s="103"/>
      <c r="C36" s="266">
        <v>50.0</v>
      </c>
      <c r="D36" s="182">
        <v>0.0</v>
      </c>
      <c r="E36" s="182">
        <v>0.0</v>
      </c>
      <c r="F36" s="182">
        <v>0.0</v>
      </c>
      <c r="G36" s="182">
        <v>0.0</v>
      </c>
      <c r="H36" s="182">
        <v>0.0</v>
      </c>
      <c r="I36" s="182">
        <v>0.0</v>
      </c>
      <c r="J36" s="182">
        <v>0.0</v>
      </c>
      <c r="K36" s="182">
        <v>1.0</v>
      </c>
      <c r="L36" s="182">
        <v>0.0</v>
      </c>
      <c r="M36" s="182">
        <v>0.0</v>
      </c>
      <c r="N36" s="182">
        <v>0.0</v>
      </c>
      <c r="O36" s="182">
        <v>0.0</v>
      </c>
      <c r="P36" s="169">
        <v>0.0</v>
      </c>
      <c r="Q36" s="169">
        <v>0.0</v>
      </c>
      <c r="R36" s="169">
        <v>0.0</v>
      </c>
      <c r="S36" s="169">
        <v>0.0</v>
      </c>
      <c r="T36" s="169">
        <v>0.0</v>
      </c>
      <c r="U36" s="169">
        <v>0.0</v>
      </c>
      <c r="V36" s="169">
        <v>0.0</v>
      </c>
      <c r="W36" s="169">
        <v>0.0</v>
      </c>
    </row>
    <row r="37" ht="15.75" customHeight="1">
      <c r="A37" s="265">
        <v>2.0</v>
      </c>
      <c r="B37" s="103"/>
      <c r="C37" s="266">
        <v>25.0</v>
      </c>
      <c r="D37" s="182">
        <v>0.0</v>
      </c>
      <c r="E37" s="182">
        <v>0.0</v>
      </c>
      <c r="F37" s="182">
        <v>0.0</v>
      </c>
      <c r="G37" s="182">
        <v>0.0</v>
      </c>
      <c r="H37" s="182">
        <v>0.0</v>
      </c>
      <c r="I37" s="182">
        <v>0.0</v>
      </c>
      <c r="J37" s="182">
        <v>1.0</v>
      </c>
      <c r="K37" s="182">
        <v>0.0</v>
      </c>
      <c r="L37" s="182">
        <v>0.0</v>
      </c>
      <c r="M37" s="182">
        <v>0.0</v>
      </c>
      <c r="N37" s="182">
        <v>0.0</v>
      </c>
      <c r="O37" s="182">
        <v>0.0</v>
      </c>
      <c r="P37" s="169">
        <v>0.0</v>
      </c>
      <c r="Q37" s="169">
        <v>0.0</v>
      </c>
      <c r="R37" s="169">
        <v>0.0</v>
      </c>
      <c r="S37" s="169">
        <v>0.0</v>
      </c>
      <c r="T37" s="169">
        <v>0.0</v>
      </c>
      <c r="U37" s="169">
        <v>0.0</v>
      </c>
      <c r="V37" s="169">
        <v>0.0</v>
      </c>
      <c r="W37" s="169">
        <v>0.0</v>
      </c>
    </row>
    <row r="38" ht="15.75" customHeight="1">
      <c r="A38" s="265">
        <v>3.0</v>
      </c>
      <c r="B38" s="103"/>
      <c r="C38" s="266">
        <v>10.0</v>
      </c>
      <c r="D38" s="182">
        <v>0.0</v>
      </c>
      <c r="E38" s="182">
        <v>0.0</v>
      </c>
      <c r="F38" s="182">
        <v>0.0</v>
      </c>
      <c r="G38" s="182">
        <v>0.0</v>
      </c>
      <c r="H38" s="182">
        <v>0.0</v>
      </c>
      <c r="I38" s="182">
        <v>1.0</v>
      </c>
      <c r="J38" s="182">
        <v>0.0</v>
      </c>
      <c r="K38" s="182">
        <v>0.0</v>
      </c>
      <c r="L38" s="182">
        <v>0.0</v>
      </c>
      <c r="M38" s="182">
        <v>0.0</v>
      </c>
      <c r="N38" s="182">
        <v>0.0</v>
      </c>
      <c r="O38" s="182">
        <v>0.0</v>
      </c>
      <c r="P38" s="169">
        <v>0.0</v>
      </c>
      <c r="Q38" s="169">
        <v>0.0</v>
      </c>
      <c r="R38" s="169">
        <v>0.0</v>
      </c>
      <c r="S38" s="169">
        <v>0.0</v>
      </c>
      <c r="T38" s="169">
        <v>0.0</v>
      </c>
      <c r="U38" s="169">
        <v>0.0</v>
      </c>
      <c r="V38" s="169">
        <v>0.0</v>
      </c>
      <c r="W38" s="169">
        <v>0.0</v>
      </c>
    </row>
    <row r="39" ht="15.75" customHeight="1">
      <c r="A39" s="265">
        <v>4.0</v>
      </c>
      <c r="B39" s="103"/>
      <c r="C39" s="267">
        <v>0.0</v>
      </c>
      <c r="D39" s="182">
        <v>0.0</v>
      </c>
      <c r="E39" s="182">
        <v>0.0</v>
      </c>
      <c r="F39" s="182">
        <v>0.0</v>
      </c>
      <c r="G39" s="182">
        <v>0.0</v>
      </c>
      <c r="H39" s="268">
        <v>1.0</v>
      </c>
      <c r="I39" s="182">
        <v>0.0</v>
      </c>
      <c r="J39" s="268">
        <v>0.0</v>
      </c>
      <c r="K39" s="182">
        <v>0.0</v>
      </c>
      <c r="L39" s="182">
        <v>0.0</v>
      </c>
      <c r="M39" s="182">
        <v>0.0</v>
      </c>
      <c r="N39" s="182">
        <v>0.0</v>
      </c>
      <c r="O39" s="182">
        <v>0.0</v>
      </c>
      <c r="P39" s="169">
        <v>0.0</v>
      </c>
      <c r="Q39" s="169">
        <v>0.0</v>
      </c>
      <c r="R39" s="169">
        <v>0.0</v>
      </c>
      <c r="S39" s="169">
        <v>0.0</v>
      </c>
      <c r="T39" s="169">
        <v>0.0</v>
      </c>
      <c r="U39" s="169">
        <v>0.0</v>
      </c>
      <c r="V39" s="169">
        <v>0.0</v>
      </c>
      <c r="W39" s="169">
        <v>0.0</v>
      </c>
    </row>
    <row r="40" ht="15.75" customHeight="1">
      <c r="A40" s="265">
        <v>5.0</v>
      </c>
      <c r="B40" s="103"/>
      <c r="C40" s="267">
        <v>0.0</v>
      </c>
      <c r="D40" s="182">
        <v>0.0</v>
      </c>
      <c r="E40" s="182">
        <v>0.0</v>
      </c>
      <c r="F40" s="182">
        <v>0.0</v>
      </c>
      <c r="G40" s="182">
        <v>0.0</v>
      </c>
      <c r="H40" s="268">
        <v>1.0</v>
      </c>
      <c r="I40" s="182">
        <v>0.0</v>
      </c>
      <c r="J40" s="268">
        <v>0.0</v>
      </c>
      <c r="K40" s="182">
        <v>0.0</v>
      </c>
      <c r="L40" s="182">
        <v>0.0</v>
      </c>
      <c r="M40" s="182">
        <v>0.0</v>
      </c>
      <c r="N40" s="182">
        <v>0.0</v>
      </c>
      <c r="O40" s="182">
        <v>0.0</v>
      </c>
      <c r="P40" s="169">
        <v>0.0</v>
      </c>
      <c r="Q40" s="169">
        <v>0.0</v>
      </c>
      <c r="R40" s="169">
        <v>0.0</v>
      </c>
      <c r="S40" s="169">
        <v>0.0</v>
      </c>
      <c r="T40" s="169">
        <v>0.0</v>
      </c>
      <c r="U40" s="169">
        <v>0.0</v>
      </c>
      <c r="V40" s="169">
        <v>0.0</v>
      </c>
      <c r="W40" s="169">
        <v>0.0</v>
      </c>
    </row>
    <row r="41" ht="15.75" customHeight="1">
      <c r="A41" s="265">
        <v>6.0</v>
      </c>
      <c r="B41" s="103"/>
      <c r="C41" s="267">
        <v>0.0</v>
      </c>
      <c r="D41" s="182">
        <v>0.0</v>
      </c>
      <c r="E41" s="182">
        <v>0.0</v>
      </c>
      <c r="F41" s="182">
        <v>0.0</v>
      </c>
      <c r="G41" s="268">
        <v>1.0</v>
      </c>
      <c r="H41" s="182">
        <v>0.0</v>
      </c>
      <c r="I41" s="268">
        <v>0.0</v>
      </c>
      <c r="J41" s="182">
        <v>0.0</v>
      </c>
      <c r="K41" s="182">
        <v>0.0</v>
      </c>
      <c r="L41" s="182">
        <v>0.0</v>
      </c>
      <c r="M41" s="182">
        <v>0.0</v>
      </c>
      <c r="N41" s="182">
        <v>0.0</v>
      </c>
      <c r="O41" s="182">
        <v>0.0</v>
      </c>
      <c r="P41" s="169">
        <v>0.0</v>
      </c>
      <c r="Q41" s="169">
        <v>0.0</v>
      </c>
      <c r="R41" s="169">
        <v>0.0</v>
      </c>
      <c r="S41" s="169">
        <v>0.0</v>
      </c>
      <c r="T41" s="169">
        <v>0.0</v>
      </c>
      <c r="U41" s="169">
        <v>0.0</v>
      </c>
      <c r="V41" s="169">
        <v>0.0</v>
      </c>
      <c r="W41" s="169">
        <v>0.0</v>
      </c>
    </row>
    <row r="42" ht="15.75" customHeight="1">
      <c r="A42" s="265">
        <v>7.0</v>
      </c>
      <c r="B42" s="103"/>
      <c r="C42" s="267">
        <v>0.0</v>
      </c>
      <c r="D42" s="182">
        <v>0.0</v>
      </c>
      <c r="E42" s="182">
        <v>0.0</v>
      </c>
      <c r="F42" s="182">
        <v>0.0</v>
      </c>
      <c r="G42" s="268">
        <v>1.0</v>
      </c>
      <c r="H42" s="182">
        <v>0.0</v>
      </c>
      <c r="I42" s="268">
        <v>0.0</v>
      </c>
      <c r="J42" s="182">
        <v>0.0</v>
      </c>
      <c r="K42" s="182">
        <v>0.0</v>
      </c>
      <c r="L42" s="182">
        <v>0.0</v>
      </c>
      <c r="M42" s="182">
        <v>0.0</v>
      </c>
      <c r="N42" s="182">
        <v>0.0</v>
      </c>
      <c r="O42" s="182">
        <v>0.0</v>
      </c>
      <c r="P42" s="169">
        <v>0.0</v>
      </c>
      <c r="Q42" s="169">
        <v>0.0</v>
      </c>
      <c r="R42" s="169">
        <v>0.0</v>
      </c>
      <c r="S42" s="169">
        <v>0.0</v>
      </c>
      <c r="T42" s="169">
        <v>0.0</v>
      </c>
      <c r="U42" s="169">
        <v>0.0</v>
      </c>
      <c r="V42" s="169">
        <v>0.0</v>
      </c>
      <c r="W42" s="169">
        <v>0.0</v>
      </c>
    </row>
    <row r="43" ht="15.75" customHeight="1">
      <c r="A43" s="265">
        <v>8.0</v>
      </c>
      <c r="B43" s="103"/>
      <c r="C43" s="267">
        <v>0.0</v>
      </c>
      <c r="D43" s="182">
        <v>0.0</v>
      </c>
      <c r="E43" s="182">
        <v>0.0</v>
      </c>
      <c r="F43" s="268">
        <v>1.0</v>
      </c>
      <c r="G43" s="182">
        <v>0.0</v>
      </c>
      <c r="H43" s="182">
        <v>0.0</v>
      </c>
      <c r="I43" s="268">
        <v>0.0</v>
      </c>
      <c r="J43" s="182">
        <v>0.0</v>
      </c>
      <c r="K43" s="182">
        <v>0.0</v>
      </c>
      <c r="L43" s="182">
        <v>0.0</v>
      </c>
      <c r="M43" s="182">
        <v>0.0</v>
      </c>
      <c r="N43" s="182">
        <v>0.0</v>
      </c>
      <c r="O43" s="182">
        <v>0.0</v>
      </c>
      <c r="P43" s="169">
        <v>0.0</v>
      </c>
      <c r="Q43" s="169">
        <v>0.0</v>
      </c>
      <c r="R43" s="169">
        <v>0.0</v>
      </c>
      <c r="S43" s="169">
        <v>0.0</v>
      </c>
      <c r="T43" s="169">
        <v>0.0</v>
      </c>
      <c r="U43" s="169">
        <v>0.0</v>
      </c>
      <c r="V43" s="169">
        <v>0.0</v>
      </c>
      <c r="W43" s="169">
        <v>0.0</v>
      </c>
    </row>
    <row r="44" ht="15.75" customHeight="1">
      <c r="A44" s="265">
        <v>9.0</v>
      </c>
      <c r="B44" s="103"/>
      <c r="C44" s="267">
        <v>0.0</v>
      </c>
      <c r="D44" s="182">
        <v>0.0</v>
      </c>
      <c r="E44" s="182">
        <v>0.0</v>
      </c>
      <c r="F44" s="268">
        <v>1.0</v>
      </c>
      <c r="G44" s="182">
        <v>0.0</v>
      </c>
      <c r="H44" s="182">
        <v>0.0</v>
      </c>
      <c r="I44" s="268">
        <v>0.0</v>
      </c>
      <c r="J44" s="182">
        <v>0.0</v>
      </c>
      <c r="K44" s="182">
        <v>0.0</v>
      </c>
      <c r="L44" s="182">
        <v>0.0</v>
      </c>
      <c r="M44" s="182">
        <v>0.0</v>
      </c>
      <c r="N44" s="182">
        <v>0.0</v>
      </c>
      <c r="O44" s="182">
        <v>0.0</v>
      </c>
      <c r="P44" s="169">
        <v>0.0</v>
      </c>
      <c r="Q44" s="169">
        <v>0.0</v>
      </c>
      <c r="R44" s="169">
        <v>0.0</v>
      </c>
      <c r="S44" s="169">
        <v>0.0</v>
      </c>
      <c r="T44" s="169">
        <v>0.0</v>
      </c>
      <c r="U44" s="169">
        <v>0.0</v>
      </c>
      <c r="V44" s="169">
        <v>0.0</v>
      </c>
      <c r="W44" s="169">
        <v>0.0</v>
      </c>
    </row>
    <row r="45" ht="15.75" customHeight="1">
      <c r="A45" s="265">
        <v>10.0</v>
      </c>
      <c r="B45" s="103"/>
      <c r="C45" s="267">
        <v>0.0</v>
      </c>
      <c r="D45" s="182">
        <v>0.0</v>
      </c>
      <c r="E45" s="182">
        <v>0.0</v>
      </c>
      <c r="F45" s="268">
        <v>1.0</v>
      </c>
      <c r="G45" s="182">
        <v>0.0</v>
      </c>
      <c r="H45" s="182">
        <v>0.0</v>
      </c>
      <c r="I45" s="268">
        <v>0.0</v>
      </c>
      <c r="J45" s="182">
        <v>0.0</v>
      </c>
      <c r="K45" s="182">
        <v>0.0</v>
      </c>
      <c r="L45" s="182">
        <v>0.0</v>
      </c>
      <c r="M45" s="182">
        <v>0.0</v>
      </c>
      <c r="N45" s="182">
        <v>0.0</v>
      </c>
      <c r="O45" s="182">
        <v>0.0</v>
      </c>
      <c r="P45" s="169">
        <v>0.0</v>
      </c>
      <c r="Q45" s="169">
        <v>0.0</v>
      </c>
      <c r="R45" s="169">
        <v>0.0</v>
      </c>
      <c r="S45" s="169">
        <v>0.0</v>
      </c>
      <c r="T45" s="169">
        <v>0.0</v>
      </c>
      <c r="U45" s="169">
        <v>0.0</v>
      </c>
      <c r="V45" s="169">
        <v>0.0</v>
      </c>
      <c r="W45" s="169">
        <v>0.0</v>
      </c>
    </row>
    <row r="46" ht="15.75" customHeight="1">
      <c r="A46" s="265">
        <v>11.0</v>
      </c>
      <c r="B46" s="103"/>
      <c r="C46" s="267">
        <v>0.0</v>
      </c>
      <c r="D46" s="182">
        <v>0.0</v>
      </c>
      <c r="E46" s="182">
        <v>0.0</v>
      </c>
      <c r="F46" s="182">
        <v>0.0</v>
      </c>
      <c r="G46" s="182">
        <v>0.0</v>
      </c>
      <c r="H46" s="182">
        <v>0.0</v>
      </c>
      <c r="I46" s="182">
        <v>0.0</v>
      </c>
      <c r="J46" s="182">
        <v>0.0</v>
      </c>
      <c r="K46" s="182">
        <v>0.0</v>
      </c>
      <c r="L46" s="182">
        <v>0.0</v>
      </c>
      <c r="M46" s="182">
        <v>0.0</v>
      </c>
      <c r="N46" s="182">
        <v>0.0</v>
      </c>
      <c r="O46" s="182">
        <v>0.0</v>
      </c>
      <c r="P46" s="169">
        <v>0.0</v>
      </c>
      <c r="Q46" s="169">
        <v>0.0</v>
      </c>
      <c r="R46" s="169">
        <v>0.0</v>
      </c>
      <c r="S46" s="169">
        <v>0.0</v>
      </c>
      <c r="T46" s="169">
        <v>0.0</v>
      </c>
      <c r="U46" s="169">
        <v>0.0</v>
      </c>
      <c r="V46" s="169">
        <v>0.0</v>
      </c>
      <c r="W46" s="169">
        <v>0.0</v>
      </c>
    </row>
    <row r="47" ht="15.75" customHeight="1">
      <c r="A47" s="265">
        <v>12.0</v>
      </c>
      <c r="B47" s="103"/>
      <c r="C47" s="267">
        <v>0.0</v>
      </c>
      <c r="D47" s="182">
        <v>0.0</v>
      </c>
      <c r="E47" s="182">
        <v>0.0</v>
      </c>
      <c r="F47" s="182">
        <v>0.0</v>
      </c>
      <c r="G47" s="182">
        <v>0.0</v>
      </c>
      <c r="H47" s="182">
        <v>0.0</v>
      </c>
      <c r="I47" s="182">
        <v>0.0</v>
      </c>
      <c r="J47" s="182">
        <v>0.0</v>
      </c>
      <c r="K47" s="182">
        <v>0.0</v>
      </c>
      <c r="L47" s="182">
        <v>0.0</v>
      </c>
      <c r="M47" s="182">
        <v>0.0</v>
      </c>
      <c r="N47" s="182">
        <v>0.0</v>
      </c>
      <c r="O47" s="182">
        <v>0.0</v>
      </c>
      <c r="P47" s="169">
        <v>0.0</v>
      </c>
      <c r="Q47" s="169">
        <v>0.0</v>
      </c>
      <c r="R47" s="169">
        <v>0.0</v>
      </c>
      <c r="S47" s="169">
        <v>0.0</v>
      </c>
      <c r="T47" s="169">
        <v>0.0</v>
      </c>
      <c r="U47" s="169">
        <v>0.0</v>
      </c>
      <c r="V47" s="169">
        <v>0.0</v>
      </c>
      <c r="W47" s="169">
        <v>0.0</v>
      </c>
    </row>
    <row r="48" ht="15.75" customHeight="1">
      <c r="A48" s="265">
        <v>13.0</v>
      </c>
      <c r="B48" s="103"/>
      <c r="C48" s="267">
        <v>0.0</v>
      </c>
      <c r="D48" s="182">
        <v>0.0</v>
      </c>
      <c r="E48" s="182">
        <v>0.0</v>
      </c>
      <c r="F48" s="182">
        <v>0.0</v>
      </c>
      <c r="G48" s="182">
        <v>0.0</v>
      </c>
      <c r="H48" s="182">
        <v>0.0</v>
      </c>
      <c r="I48" s="182">
        <v>0.0</v>
      </c>
      <c r="J48" s="182">
        <v>0.0</v>
      </c>
      <c r="K48" s="182">
        <v>0.0</v>
      </c>
      <c r="L48" s="182">
        <v>0.0</v>
      </c>
      <c r="M48" s="182">
        <v>0.0</v>
      </c>
      <c r="N48" s="182">
        <v>0.0</v>
      </c>
      <c r="O48" s="182">
        <v>0.0</v>
      </c>
      <c r="P48" s="169">
        <v>0.0</v>
      </c>
      <c r="Q48" s="169">
        <v>0.0</v>
      </c>
      <c r="R48" s="169">
        <v>0.0</v>
      </c>
      <c r="S48" s="169">
        <v>0.0</v>
      </c>
      <c r="T48" s="169">
        <v>0.0</v>
      </c>
      <c r="U48" s="169">
        <v>0.0</v>
      </c>
      <c r="V48" s="169">
        <v>0.0</v>
      </c>
      <c r="W48" s="169">
        <v>0.0</v>
      </c>
    </row>
    <row r="49" ht="15.75" customHeight="1">
      <c r="A49" s="265">
        <v>14.0</v>
      </c>
      <c r="B49" s="103"/>
      <c r="C49" s="267">
        <v>0.0</v>
      </c>
      <c r="D49" s="182">
        <v>0.0</v>
      </c>
      <c r="E49" s="182">
        <v>0.0</v>
      </c>
      <c r="F49" s="182">
        <v>0.0</v>
      </c>
      <c r="G49" s="182">
        <v>0.0</v>
      </c>
      <c r="H49" s="182">
        <v>0.0</v>
      </c>
      <c r="I49" s="182">
        <v>0.0</v>
      </c>
      <c r="J49" s="182">
        <v>0.0</v>
      </c>
      <c r="K49" s="182">
        <v>0.0</v>
      </c>
      <c r="L49" s="182">
        <v>0.0</v>
      </c>
      <c r="M49" s="182">
        <v>0.0</v>
      </c>
      <c r="N49" s="182">
        <v>0.0</v>
      </c>
      <c r="O49" s="182">
        <v>0.0</v>
      </c>
      <c r="P49" s="169">
        <v>0.0</v>
      </c>
      <c r="Q49" s="169">
        <v>0.0</v>
      </c>
      <c r="R49" s="169">
        <v>0.0</v>
      </c>
      <c r="S49" s="169">
        <v>0.0</v>
      </c>
      <c r="T49" s="169">
        <v>0.0</v>
      </c>
      <c r="U49" s="169">
        <v>0.0</v>
      </c>
      <c r="V49" s="169">
        <v>0.0</v>
      </c>
      <c r="W49" s="169">
        <v>0.0</v>
      </c>
    </row>
    <row r="50" ht="15.75" customHeight="1">
      <c r="A50" s="265">
        <v>15.0</v>
      </c>
      <c r="B50" s="103"/>
      <c r="C50" s="267">
        <v>0.0</v>
      </c>
      <c r="D50" s="182">
        <v>0.0</v>
      </c>
      <c r="E50" s="182">
        <v>0.0</v>
      </c>
      <c r="F50" s="182">
        <v>0.0</v>
      </c>
      <c r="G50" s="182">
        <v>0.0</v>
      </c>
      <c r="H50" s="182">
        <v>0.0</v>
      </c>
      <c r="I50" s="182">
        <v>0.0</v>
      </c>
      <c r="J50" s="182">
        <v>0.0</v>
      </c>
      <c r="K50" s="182">
        <v>0.0</v>
      </c>
      <c r="L50" s="182">
        <v>0.0</v>
      </c>
      <c r="M50" s="182">
        <v>0.0</v>
      </c>
      <c r="N50" s="182">
        <v>0.0</v>
      </c>
      <c r="O50" s="182">
        <v>0.0</v>
      </c>
      <c r="P50" s="169">
        <v>0.0</v>
      </c>
      <c r="Q50" s="169">
        <v>0.0</v>
      </c>
      <c r="R50" s="169">
        <v>0.0</v>
      </c>
      <c r="S50" s="169">
        <v>0.0</v>
      </c>
      <c r="T50" s="169">
        <v>0.0</v>
      </c>
      <c r="U50" s="169">
        <v>0.0</v>
      </c>
      <c r="V50" s="169">
        <v>0.0</v>
      </c>
      <c r="W50" s="169">
        <v>0.0</v>
      </c>
    </row>
    <row r="51" ht="15.75" customHeight="1">
      <c r="A51" s="265">
        <v>16.0</v>
      </c>
      <c r="B51" s="103"/>
      <c r="C51" s="267">
        <v>0.0</v>
      </c>
      <c r="D51" s="182">
        <v>0.0</v>
      </c>
      <c r="E51" s="182">
        <v>0.0</v>
      </c>
      <c r="F51" s="182">
        <v>0.0</v>
      </c>
      <c r="G51" s="182">
        <v>0.0</v>
      </c>
      <c r="H51" s="182">
        <v>0.0</v>
      </c>
      <c r="I51" s="182">
        <v>0.0</v>
      </c>
      <c r="J51" s="182">
        <v>0.0</v>
      </c>
      <c r="K51" s="182">
        <v>0.0</v>
      </c>
      <c r="L51" s="182">
        <v>0.0</v>
      </c>
      <c r="M51" s="182">
        <v>0.0</v>
      </c>
      <c r="N51" s="182">
        <v>0.0</v>
      </c>
      <c r="O51" s="182">
        <v>0.0</v>
      </c>
      <c r="P51" s="169">
        <v>0.0</v>
      </c>
      <c r="Q51" s="169">
        <v>0.0</v>
      </c>
      <c r="R51" s="169">
        <v>0.0</v>
      </c>
      <c r="S51" s="169">
        <v>0.0</v>
      </c>
      <c r="T51" s="169">
        <v>0.0</v>
      </c>
      <c r="U51" s="169">
        <v>0.0</v>
      </c>
      <c r="V51" s="169">
        <v>0.0</v>
      </c>
      <c r="W51" s="169">
        <v>0.0</v>
      </c>
    </row>
    <row r="52" ht="15.75" customHeight="1">
      <c r="A52" s="265">
        <v>17.0</v>
      </c>
      <c r="B52" s="103"/>
      <c r="C52" s="267">
        <v>0.0</v>
      </c>
      <c r="D52" s="182">
        <v>0.0</v>
      </c>
      <c r="E52" s="182">
        <v>0.0</v>
      </c>
      <c r="F52" s="182">
        <v>0.0</v>
      </c>
      <c r="G52" s="182">
        <v>0.0</v>
      </c>
      <c r="H52" s="182">
        <v>0.0</v>
      </c>
      <c r="I52" s="182">
        <v>0.0</v>
      </c>
      <c r="J52" s="182">
        <v>0.0</v>
      </c>
      <c r="K52" s="182">
        <v>0.0</v>
      </c>
      <c r="L52" s="182">
        <v>0.0</v>
      </c>
      <c r="M52" s="182">
        <v>0.0</v>
      </c>
      <c r="N52" s="182">
        <v>0.0</v>
      </c>
      <c r="O52" s="182">
        <v>0.0</v>
      </c>
      <c r="P52" s="169">
        <v>0.0</v>
      </c>
      <c r="Q52" s="169">
        <v>0.0</v>
      </c>
      <c r="R52" s="169">
        <v>0.0</v>
      </c>
      <c r="S52" s="169">
        <v>0.0</v>
      </c>
      <c r="T52" s="169">
        <v>0.0</v>
      </c>
      <c r="U52" s="169">
        <v>0.0</v>
      </c>
      <c r="V52" s="169">
        <v>0.0</v>
      </c>
      <c r="W52" s="169">
        <v>0.0</v>
      </c>
    </row>
    <row r="53" ht="15.75" customHeight="1">
      <c r="A53" s="265">
        <v>18.0</v>
      </c>
      <c r="B53" s="103"/>
      <c r="C53" s="267">
        <v>0.0</v>
      </c>
      <c r="D53" s="182">
        <v>0.0</v>
      </c>
      <c r="E53" s="182">
        <v>0.0</v>
      </c>
      <c r="F53" s="182">
        <v>0.0</v>
      </c>
      <c r="G53" s="182">
        <v>0.0</v>
      </c>
      <c r="H53" s="182">
        <v>0.0</v>
      </c>
      <c r="I53" s="182">
        <v>0.0</v>
      </c>
      <c r="J53" s="182">
        <v>0.0</v>
      </c>
      <c r="K53" s="182">
        <v>0.0</v>
      </c>
      <c r="L53" s="182">
        <v>0.0</v>
      </c>
      <c r="M53" s="182">
        <v>0.0</v>
      </c>
      <c r="N53" s="182">
        <v>0.0</v>
      </c>
      <c r="O53" s="182">
        <v>0.0</v>
      </c>
      <c r="P53" s="169">
        <v>0.0</v>
      </c>
      <c r="Q53" s="169">
        <v>0.0</v>
      </c>
      <c r="R53" s="169">
        <v>0.0</v>
      </c>
      <c r="S53" s="169">
        <v>0.0</v>
      </c>
      <c r="T53" s="169">
        <v>0.0</v>
      </c>
      <c r="U53" s="169">
        <v>0.0</v>
      </c>
      <c r="V53" s="169">
        <v>0.0</v>
      </c>
      <c r="W53" s="169">
        <v>0.0</v>
      </c>
    </row>
    <row r="54" ht="15.75" customHeight="1">
      <c r="A54" s="265">
        <v>19.0</v>
      </c>
      <c r="B54" s="103"/>
      <c r="C54" s="267">
        <v>0.0</v>
      </c>
      <c r="D54" s="182">
        <v>0.0</v>
      </c>
      <c r="E54" s="182">
        <v>0.0</v>
      </c>
      <c r="F54" s="182">
        <v>0.0</v>
      </c>
      <c r="G54" s="182">
        <v>0.0</v>
      </c>
      <c r="H54" s="182">
        <v>0.0</v>
      </c>
      <c r="I54" s="182">
        <v>0.0</v>
      </c>
      <c r="J54" s="182">
        <v>0.0</v>
      </c>
      <c r="K54" s="182">
        <v>0.0</v>
      </c>
      <c r="L54" s="182">
        <v>0.0</v>
      </c>
      <c r="M54" s="182">
        <v>0.0</v>
      </c>
      <c r="N54" s="182">
        <v>0.0</v>
      </c>
      <c r="O54" s="182">
        <v>0.0</v>
      </c>
      <c r="P54" s="169">
        <v>0.0</v>
      </c>
      <c r="Q54" s="169">
        <v>0.0</v>
      </c>
      <c r="R54" s="169">
        <v>0.0</v>
      </c>
      <c r="S54" s="169">
        <v>0.0</v>
      </c>
      <c r="T54" s="169">
        <v>0.0</v>
      </c>
      <c r="U54" s="169">
        <v>0.0</v>
      </c>
      <c r="V54" s="169">
        <v>0.0</v>
      </c>
      <c r="W54" s="169">
        <v>0.0</v>
      </c>
    </row>
    <row r="55" ht="15.75" customHeight="1">
      <c r="A55" s="265">
        <v>20.0</v>
      </c>
      <c r="B55" s="103"/>
      <c r="C55" s="267">
        <v>0.0</v>
      </c>
      <c r="D55" s="182">
        <v>0.0</v>
      </c>
      <c r="E55" s="182">
        <v>0.0</v>
      </c>
      <c r="F55" s="182">
        <v>0.0</v>
      </c>
      <c r="G55" s="182">
        <v>0.0</v>
      </c>
      <c r="H55" s="182">
        <v>0.0</v>
      </c>
      <c r="I55" s="182">
        <v>0.0</v>
      </c>
      <c r="J55" s="182">
        <v>0.0</v>
      </c>
      <c r="K55" s="182">
        <v>0.0</v>
      </c>
      <c r="L55" s="182">
        <v>0.0</v>
      </c>
      <c r="M55" s="182">
        <v>0.0</v>
      </c>
      <c r="N55" s="182">
        <v>0.0</v>
      </c>
      <c r="O55" s="182">
        <v>0.0</v>
      </c>
      <c r="P55" s="169">
        <v>0.0</v>
      </c>
      <c r="Q55" s="169">
        <v>0.0</v>
      </c>
      <c r="R55" s="169">
        <v>0.0</v>
      </c>
      <c r="S55" s="169">
        <v>0.0</v>
      </c>
      <c r="T55" s="169">
        <v>0.0</v>
      </c>
      <c r="U55" s="169">
        <v>0.0</v>
      </c>
      <c r="V55" s="169">
        <v>0.0</v>
      </c>
      <c r="W55" s="169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5" priority="1" operator="greaterThan">
      <formula>0</formula>
    </cfRule>
  </conditionalFormatting>
  <conditionalFormatting sqref="A11:W30 A36:A55 C36:W55">
    <cfRule type="expression" dxfId="6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87" t="s">
        <v>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</row>
    <row r="2" ht="19.5" customHeight="1">
      <c r="A2" s="269" t="s">
        <v>114</v>
      </c>
      <c r="B2" s="269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</row>
    <row r="3">
      <c r="A3" s="270" t="s">
        <v>329</v>
      </c>
      <c r="B3" s="271" t="s">
        <v>330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</row>
    <row r="4">
      <c r="A4" s="270" t="s">
        <v>196</v>
      </c>
      <c r="B4" s="272">
        <v>7.0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</row>
    <row r="5">
      <c r="A5" s="270" t="s">
        <v>331</v>
      </c>
      <c r="B5" s="272">
        <v>3.0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</row>
    <row r="6">
      <c r="A6" s="270" t="s">
        <v>332</v>
      </c>
      <c r="B6" s="272">
        <v>3.0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</row>
    <row r="7">
      <c r="A7" s="270" t="s">
        <v>333</v>
      </c>
      <c r="B7" s="272" t="b">
        <f t="shared" ref="B7:B8" si="1">FALSE()</f>
        <v>0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</row>
    <row r="8">
      <c r="A8" s="270" t="s">
        <v>334</v>
      </c>
      <c r="B8" s="272" t="b">
        <f t="shared" si="1"/>
        <v>0</v>
      </c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</row>
    <row r="9">
      <c r="A9" s="270" t="s">
        <v>335</v>
      </c>
      <c r="B9" s="272">
        <v>12.0</v>
      </c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</row>
    <row r="10">
      <c r="A10" s="270" t="s">
        <v>336</v>
      </c>
      <c r="B10" s="272">
        <f>SUM(B16:B22)</f>
        <v>165</v>
      </c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</row>
    <row r="11">
      <c r="A11" s="270" t="s">
        <v>337</v>
      </c>
      <c r="B11" s="272">
        <f>SUM(B26:B28)</f>
        <v>110</v>
      </c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</row>
    <row r="12">
      <c r="A12" s="270" t="s">
        <v>338</v>
      </c>
      <c r="B12" s="272">
        <f>COUNTIFS(B16:B22,"&gt;0")</f>
        <v>3</v>
      </c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</row>
    <row r="14" ht="19.5" customHeight="1">
      <c r="A14" s="269" t="s">
        <v>339</v>
      </c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</row>
    <row r="15" ht="75.0" customHeight="1">
      <c r="A15" s="273" t="s">
        <v>144</v>
      </c>
      <c r="B15" s="274" t="s">
        <v>82</v>
      </c>
      <c r="C15" s="193" t="s">
        <v>68</v>
      </c>
      <c r="D15" s="193" t="s">
        <v>103</v>
      </c>
      <c r="E15" s="193" t="s">
        <v>69</v>
      </c>
      <c r="F15" s="193" t="s">
        <v>70</v>
      </c>
      <c r="G15" s="193" t="s">
        <v>71</v>
      </c>
      <c r="H15" s="193" t="s">
        <v>72</v>
      </c>
      <c r="I15" s="193" t="s">
        <v>73</v>
      </c>
      <c r="J15" s="193" t="s">
        <v>74</v>
      </c>
      <c r="K15" s="193" t="s">
        <v>75</v>
      </c>
      <c r="L15" s="193" t="s">
        <v>76</v>
      </c>
      <c r="M15" s="193" t="s">
        <v>77</v>
      </c>
      <c r="N15" s="193" t="s">
        <v>78</v>
      </c>
      <c r="O15" s="193" t="s">
        <v>118</v>
      </c>
      <c r="P15" s="193" t="s">
        <v>104</v>
      </c>
      <c r="Q15" s="193" t="s">
        <v>105</v>
      </c>
      <c r="R15" s="193" t="s">
        <v>106</v>
      </c>
      <c r="S15" s="193" t="s">
        <v>107</v>
      </c>
      <c r="T15" s="193" t="s">
        <v>108</v>
      </c>
      <c r="U15" s="193" t="s">
        <v>109</v>
      </c>
      <c r="V15" s="193" t="s">
        <v>110</v>
      </c>
    </row>
    <row r="16">
      <c r="A16" s="275" t="str">
        <f t="shared" ref="A16:A22" si="2">CHOOSE(ROW()-ROW($A$16)+1,"1st","2nd","3rd","4th","5th","6th","7th","8th","9th","10th")</f>
        <v>1st</v>
      </c>
      <c r="B16" s="276">
        <v>100.0</v>
      </c>
      <c r="C16" s="191">
        <v>0.0</v>
      </c>
      <c r="D16" s="191">
        <v>0.0</v>
      </c>
      <c r="E16" s="191">
        <v>0.0</v>
      </c>
      <c r="F16" s="191">
        <v>0.0</v>
      </c>
      <c r="G16" s="191">
        <v>1.0</v>
      </c>
      <c r="H16" s="191">
        <v>0.0</v>
      </c>
      <c r="I16" s="191">
        <v>1.0</v>
      </c>
      <c r="J16" s="191">
        <v>1.0</v>
      </c>
      <c r="K16" s="191">
        <v>0.0</v>
      </c>
      <c r="L16" s="191">
        <v>0.0</v>
      </c>
      <c r="M16" s="191">
        <v>0.0</v>
      </c>
      <c r="N16" s="191">
        <v>0.0</v>
      </c>
      <c r="O16" s="191">
        <v>0.0</v>
      </c>
      <c r="P16" s="191">
        <v>0.0</v>
      </c>
      <c r="Q16" s="191">
        <v>0.0</v>
      </c>
      <c r="R16" s="191">
        <v>0.0</v>
      </c>
      <c r="S16" s="191">
        <v>0.0</v>
      </c>
      <c r="T16" s="191">
        <v>0.0</v>
      </c>
      <c r="U16" s="191">
        <v>0.0</v>
      </c>
      <c r="V16" s="191">
        <v>0.0</v>
      </c>
    </row>
    <row r="17">
      <c r="A17" s="275" t="str">
        <f t="shared" si="2"/>
        <v>2nd</v>
      </c>
      <c r="B17" s="276">
        <v>45.0</v>
      </c>
      <c r="C17" s="191">
        <v>0.0</v>
      </c>
      <c r="D17" s="191">
        <v>0.0</v>
      </c>
      <c r="E17" s="191">
        <v>0.0</v>
      </c>
      <c r="F17" s="191">
        <v>0.0</v>
      </c>
      <c r="G17" s="191">
        <v>1.0</v>
      </c>
      <c r="H17" s="191">
        <v>1.0</v>
      </c>
      <c r="I17" s="191">
        <v>0.0</v>
      </c>
      <c r="J17" s="191">
        <v>1.0</v>
      </c>
      <c r="K17" s="191">
        <v>0.0</v>
      </c>
      <c r="L17" s="191">
        <v>0.0</v>
      </c>
      <c r="M17" s="191">
        <v>0.0</v>
      </c>
      <c r="N17" s="191">
        <v>0.0</v>
      </c>
      <c r="O17" s="191">
        <v>0.0</v>
      </c>
      <c r="P17" s="191">
        <v>0.0</v>
      </c>
      <c r="Q17" s="191">
        <v>0.0</v>
      </c>
      <c r="R17" s="191">
        <v>0.0</v>
      </c>
      <c r="S17" s="191">
        <v>0.0</v>
      </c>
      <c r="T17" s="191">
        <v>0.0</v>
      </c>
      <c r="U17" s="191">
        <v>0.0</v>
      </c>
      <c r="V17" s="191">
        <v>0.0</v>
      </c>
    </row>
    <row r="18">
      <c r="A18" s="275" t="str">
        <f t="shared" si="2"/>
        <v>3rd</v>
      </c>
      <c r="B18" s="276">
        <v>20.0</v>
      </c>
      <c r="C18" s="191">
        <v>0.0</v>
      </c>
      <c r="D18" s="191">
        <v>0.0</v>
      </c>
      <c r="E18" s="191">
        <v>0.0</v>
      </c>
      <c r="F18" s="191">
        <v>0.0</v>
      </c>
      <c r="G18" s="191">
        <v>0.0</v>
      </c>
      <c r="H18" s="191">
        <v>1.0</v>
      </c>
      <c r="I18" s="191">
        <v>1.0</v>
      </c>
      <c r="J18" s="191">
        <v>0.0</v>
      </c>
      <c r="K18" s="191">
        <v>0.0</v>
      </c>
      <c r="L18" s="191">
        <v>0.0</v>
      </c>
      <c r="M18" s="191">
        <v>0.0</v>
      </c>
      <c r="N18" s="191">
        <v>0.0</v>
      </c>
      <c r="O18" s="191">
        <v>0.0</v>
      </c>
      <c r="P18" s="191">
        <v>0.0</v>
      </c>
      <c r="Q18" s="191">
        <v>0.0</v>
      </c>
      <c r="R18" s="191">
        <v>0.0</v>
      </c>
      <c r="S18" s="191">
        <v>0.0</v>
      </c>
      <c r="T18" s="191">
        <v>0.0</v>
      </c>
      <c r="U18" s="191">
        <v>0.0</v>
      </c>
      <c r="V18" s="191">
        <v>0.0</v>
      </c>
    </row>
    <row r="19">
      <c r="A19" s="275" t="str">
        <f t="shared" si="2"/>
        <v>4th</v>
      </c>
      <c r="B19" s="276">
        <v>0.0</v>
      </c>
      <c r="C19" s="191">
        <v>0.0</v>
      </c>
      <c r="D19" s="191">
        <v>0.0</v>
      </c>
      <c r="E19" s="191">
        <v>0.0</v>
      </c>
      <c r="F19" s="191">
        <v>0.0</v>
      </c>
      <c r="G19" s="191">
        <v>0.0</v>
      </c>
      <c r="H19" s="191">
        <v>0.0</v>
      </c>
      <c r="I19" s="191">
        <v>0.0</v>
      </c>
      <c r="J19" s="191">
        <v>0.0</v>
      </c>
      <c r="K19" s="191">
        <v>0.0</v>
      </c>
      <c r="L19" s="191">
        <v>0.0</v>
      </c>
      <c r="M19" s="191">
        <v>0.0</v>
      </c>
      <c r="N19" s="191">
        <v>0.0</v>
      </c>
      <c r="O19" s="191">
        <v>0.0</v>
      </c>
      <c r="P19" s="191">
        <v>0.0</v>
      </c>
      <c r="Q19" s="191">
        <v>0.0</v>
      </c>
      <c r="R19" s="191">
        <v>0.0</v>
      </c>
      <c r="S19" s="191">
        <v>0.0</v>
      </c>
      <c r="T19" s="191">
        <v>0.0</v>
      </c>
      <c r="U19" s="191">
        <v>0.0</v>
      </c>
      <c r="V19" s="191">
        <v>0.0</v>
      </c>
    </row>
    <row r="20">
      <c r="A20" s="275" t="str">
        <f t="shared" si="2"/>
        <v>5th</v>
      </c>
      <c r="B20" s="276">
        <v>0.0</v>
      </c>
      <c r="C20" s="191">
        <v>0.0</v>
      </c>
      <c r="D20" s="191">
        <v>0.0</v>
      </c>
      <c r="E20" s="191">
        <v>0.0</v>
      </c>
      <c r="F20" s="191">
        <v>0.0</v>
      </c>
      <c r="G20" s="191">
        <v>0.0</v>
      </c>
      <c r="H20" s="191">
        <v>0.0</v>
      </c>
      <c r="I20" s="191">
        <v>0.0</v>
      </c>
      <c r="J20" s="191">
        <v>0.0</v>
      </c>
      <c r="K20" s="191">
        <v>0.0</v>
      </c>
      <c r="L20" s="191">
        <v>0.0</v>
      </c>
      <c r="M20" s="191">
        <v>0.0</v>
      </c>
      <c r="N20" s="191">
        <v>0.0</v>
      </c>
      <c r="O20" s="191">
        <v>0.0</v>
      </c>
      <c r="P20" s="191">
        <v>0.0</v>
      </c>
      <c r="Q20" s="191">
        <v>0.0</v>
      </c>
      <c r="R20" s="191">
        <v>0.0</v>
      </c>
      <c r="S20" s="191">
        <v>0.0</v>
      </c>
      <c r="T20" s="191">
        <v>0.0</v>
      </c>
      <c r="U20" s="191">
        <v>0.0</v>
      </c>
      <c r="V20" s="191">
        <v>0.0</v>
      </c>
    </row>
    <row r="21" ht="15.75" customHeight="1">
      <c r="A21" s="275" t="str">
        <f t="shared" si="2"/>
        <v>6th</v>
      </c>
      <c r="B21" s="276">
        <v>0.0</v>
      </c>
      <c r="C21" s="191">
        <v>0.0</v>
      </c>
      <c r="D21" s="191">
        <v>0.0</v>
      </c>
      <c r="E21" s="191">
        <v>0.0</v>
      </c>
      <c r="F21" s="191">
        <v>0.0</v>
      </c>
      <c r="G21" s="191">
        <v>0.0</v>
      </c>
      <c r="H21" s="191">
        <v>0.0</v>
      </c>
      <c r="I21" s="191">
        <v>0.0</v>
      </c>
      <c r="J21" s="191">
        <v>0.0</v>
      </c>
      <c r="K21" s="191">
        <v>0.0</v>
      </c>
      <c r="L21" s="191">
        <v>0.0</v>
      </c>
      <c r="M21" s="191">
        <v>0.0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0.0</v>
      </c>
      <c r="U21" s="191">
        <v>0.0</v>
      </c>
      <c r="V21" s="191">
        <v>0.0</v>
      </c>
    </row>
    <row r="22" ht="15.75" customHeight="1">
      <c r="A22" s="275" t="str">
        <f t="shared" si="2"/>
        <v>7th</v>
      </c>
      <c r="B22" s="276">
        <v>0.0</v>
      </c>
      <c r="C22" s="191">
        <v>0.0</v>
      </c>
      <c r="D22" s="191">
        <v>0.0</v>
      </c>
      <c r="E22" s="191">
        <v>0.0</v>
      </c>
      <c r="F22" s="191">
        <v>0.0</v>
      </c>
      <c r="G22" s="191">
        <v>0.0</v>
      </c>
      <c r="H22" s="191">
        <v>0.0</v>
      </c>
      <c r="I22" s="191">
        <v>0.0</v>
      </c>
      <c r="J22" s="191">
        <v>0.0</v>
      </c>
      <c r="K22" s="191">
        <v>0.0</v>
      </c>
      <c r="L22" s="191">
        <v>0.0</v>
      </c>
      <c r="M22" s="191">
        <v>0.0</v>
      </c>
      <c r="N22" s="191">
        <v>0.0</v>
      </c>
      <c r="O22" s="191">
        <v>0.0</v>
      </c>
      <c r="P22" s="191">
        <v>0.0</v>
      </c>
      <c r="Q22" s="191">
        <v>0.0</v>
      </c>
      <c r="R22" s="191">
        <v>0.0</v>
      </c>
      <c r="S22" s="191">
        <v>0.0</v>
      </c>
      <c r="T22" s="191">
        <v>0.0</v>
      </c>
      <c r="U22" s="191">
        <v>0.0</v>
      </c>
      <c r="V22" s="191">
        <v>0.0</v>
      </c>
    </row>
    <row r="23" ht="15.75" customHeight="1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</row>
    <row r="24" ht="19.5" customHeight="1">
      <c r="A24" s="269" t="s">
        <v>340</v>
      </c>
      <c r="B24" s="269"/>
      <c r="C24" s="269"/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</row>
    <row r="25" ht="75.0" customHeight="1">
      <c r="A25" s="273" t="s">
        <v>144</v>
      </c>
      <c r="B25" s="274" t="s">
        <v>82</v>
      </c>
      <c r="C25" s="193" t="s">
        <v>68</v>
      </c>
      <c r="D25" s="193" t="s">
        <v>103</v>
      </c>
      <c r="E25" s="193" t="s">
        <v>69</v>
      </c>
      <c r="F25" s="193" t="s">
        <v>70</v>
      </c>
      <c r="G25" s="193" t="s">
        <v>71</v>
      </c>
      <c r="H25" s="193" t="s">
        <v>72</v>
      </c>
      <c r="I25" s="193" t="s">
        <v>73</v>
      </c>
      <c r="J25" s="193" t="s">
        <v>74</v>
      </c>
      <c r="K25" s="193" t="s">
        <v>75</v>
      </c>
      <c r="L25" s="193" t="s">
        <v>76</v>
      </c>
      <c r="M25" s="193" t="s">
        <v>77</v>
      </c>
      <c r="N25" s="193" t="s">
        <v>78</v>
      </c>
      <c r="O25" s="193" t="s">
        <v>118</v>
      </c>
      <c r="P25" s="193" t="s">
        <v>104</v>
      </c>
      <c r="Q25" s="193" t="s">
        <v>105</v>
      </c>
      <c r="R25" s="193" t="s">
        <v>106</v>
      </c>
      <c r="S25" s="193" t="s">
        <v>107</v>
      </c>
      <c r="T25" s="193" t="s">
        <v>108</v>
      </c>
      <c r="U25" s="193" t="s">
        <v>109</v>
      </c>
      <c r="V25" s="193" t="s">
        <v>110</v>
      </c>
    </row>
    <row r="26" ht="15.75" customHeight="1">
      <c r="A26" s="275" t="str">
        <f t="shared" ref="A26:A28" si="3">CHOOSE(ROW()-ROW($A$26)+1,"1st","2nd","3rd","4th","5th","6th","7th","8th","9th","10th")</f>
        <v>1st</v>
      </c>
      <c r="B26" s="276">
        <v>70.0</v>
      </c>
      <c r="C26" s="191">
        <v>0.0</v>
      </c>
      <c r="D26" s="191">
        <v>0.0</v>
      </c>
      <c r="E26" s="191">
        <v>0.0</v>
      </c>
      <c r="F26" s="191">
        <v>0.0</v>
      </c>
      <c r="G26" s="191">
        <v>1.0</v>
      </c>
      <c r="H26" s="191">
        <v>0.0</v>
      </c>
      <c r="I26" s="191">
        <v>0.0</v>
      </c>
      <c r="J26" s="191">
        <v>1.0</v>
      </c>
      <c r="K26" s="191">
        <v>0.0</v>
      </c>
      <c r="L26" s="191">
        <v>0.0</v>
      </c>
      <c r="M26" s="191">
        <v>0.0</v>
      </c>
      <c r="N26" s="191">
        <v>0.0</v>
      </c>
      <c r="O26" s="191">
        <v>0.0</v>
      </c>
      <c r="P26" s="191">
        <v>0.0</v>
      </c>
      <c r="Q26" s="191">
        <v>0.0</v>
      </c>
      <c r="R26" s="191">
        <v>0.0</v>
      </c>
      <c r="S26" s="191">
        <v>0.0</v>
      </c>
      <c r="T26" s="191">
        <v>0.0</v>
      </c>
      <c r="U26" s="191">
        <v>0.0</v>
      </c>
      <c r="V26" s="191">
        <v>0.0</v>
      </c>
    </row>
    <row r="27" ht="15.75" customHeight="1">
      <c r="A27" s="275" t="str">
        <f t="shared" si="3"/>
        <v>2nd</v>
      </c>
      <c r="B27" s="276">
        <v>30.0</v>
      </c>
      <c r="C27" s="191">
        <v>0.0</v>
      </c>
      <c r="D27" s="191">
        <v>0.0</v>
      </c>
      <c r="E27" s="191">
        <v>0.0</v>
      </c>
      <c r="F27" s="191">
        <v>1.0</v>
      </c>
      <c r="G27" s="191">
        <v>0.0</v>
      </c>
      <c r="H27" s="191">
        <v>0.0</v>
      </c>
      <c r="I27" s="191">
        <v>1.0</v>
      </c>
      <c r="J27" s="191">
        <v>0.0</v>
      </c>
      <c r="K27" s="191">
        <v>0.0</v>
      </c>
      <c r="L27" s="191">
        <v>0.0</v>
      </c>
      <c r="M27" s="191">
        <v>0.0</v>
      </c>
      <c r="N27" s="191">
        <v>0.0</v>
      </c>
      <c r="O27" s="191">
        <v>0.0</v>
      </c>
      <c r="P27" s="191">
        <v>0.0</v>
      </c>
      <c r="Q27" s="191">
        <v>0.0</v>
      </c>
      <c r="R27" s="191">
        <v>0.0</v>
      </c>
      <c r="S27" s="191">
        <v>0.0</v>
      </c>
      <c r="T27" s="191">
        <v>0.0</v>
      </c>
      <c r="U27" s="191">
        <v>0.0</v>
      </c>
      <c r="V27" s="191">
        <v>0.0</v>
      </c>
    </row>
    <row r="28" ht="15.75" customHeight="1">
      <c r="A28" s="275" t="str">
        <f t="shared" si="3"/>
        <v>3rd</v>
      </c>
      <c r="B28" s="276">
        <v>10.0</v>
      </c>
      <c r="C28" s="191">
        <v>0.0</v>
      </c>
      <c r="D28" s="191">
        <v>0.0</v>
      </c>
      <c r="E28" s="191">
        <v>1.0</v>
      </c>
      <c r="F28" s="191">
        <v>0.0</v>
      </c>
      <c r="G28" s="191">
        <v>0.0</v>
      </c>
      <c r="H28" s="191">
        <v>1.0</v>
      </c>
      <c r="I28" s="191">
        <v>0.0</v>
      </c>
      <c r="J28" s="191">
        <v>0.0</v>
      </c>
      <c r="K28" s="191">
        <v>0.0</v>
      </c>
      <c r="L28" s="191">
        <v>0.0</v>
      </c>
      <c r="M28" s="191">
        <v>0.0</v>
      </c>
      <c r="N28" s="191">
        <v>0.0</v>
      </c>
      <c r="O28" s="191">
        <v>0.0</v>
      </c>
      <c r="P28" s="191">
        <v>0.0</v>
      </c>
      <c r="Q28" s="191">
        <v>0.0</v>
      </c>
      <c r="R28" s="191">
        <v>0.0</v>
      </c>
      <c r="S28" s="191">
        <v>0.0</v>
      </c>
      <c r="T28" s="191">
        <v>0.0</v>
      </c>
      <c r="U28" s="191">
        <v>0.0</v>
      </c>
      <c r="V28" s="191">
        <v>0.0</v>
      </c>
    </row>
    <row r="29" ht="15.75" customHeight="1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</row>
    <row r="30" ht="15.75" customHeight="1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</row>
    <row r="31" ht="15.75" customHeight="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</row>
    <row r="32" ht="15.75" customHeight="1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</row>
    <row r="33" ht="15.75" customHeight="1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</row>
    <row r="34" ht="15.75" customHeight="1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</row>
    <row r="35" ht="15.75" customHeight="1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</row>
    <row r="36" ht="15.7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</row>
    <row r="37" ht="15.7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</row>
    <row r="38" ht="15.75" customHeight="1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</row>
    <row r="39" ht="15.75" customHeight="1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</row>
    <row r="40" ht="15.75" customHeight="1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</row>
    <row r="41" ht="15.75" customHeight="1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</row>
    <row r="42" ht="15.75" customHeight="1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</row>
    <row r="43" ht="15.75" customHeight="1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</row>
    <row r="44" ht="15.75" customHeight="1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</row>
    <row r="45" ht="15.75" customHeight="1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</row>
    <row r="46" ht="15.7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</row>
    <row r="47" ht="15.7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</row>
    <row r="48" ht="15.7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</row>
    <row r="49" ht="15.7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</row>
    <row r="50" ht="15.7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</row>
    <row r="51" ht="15.7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</row>
    <row r="52" ht="15.7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</row>
    <row r="53" ht="15.7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</row>
    <row r="54" ht="15.7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</row>
    <row r="55" ht="15.7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</row>
    <row r="56" ht="15.7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</row>
    <row r="57" ht="15.7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</row>
    <row r="58" ht="15.7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</row>
    <row r="59" ht="15.7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</row>
    <row r="60" ht="15.7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</row>
    <row r="61" ht="15.7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</row>
    <row r="62" ht="15.7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</row>
    <row r="63" ht="15.7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</row>
    <row r="64" ht="15.7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</row>
    <row r="65" ht="15.7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</row>
    <row r="66" ht="15.7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</row>
    <row r="67" ht="15.75" customHeight="1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</row>
    <row r="68" ht="15.75" customHeight="1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</row>
    <row r="69" ht="15.75" customHeight="1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</row>
    <row r="70" ht="15.75" customHeight="1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</row>
    <row r="71" ht="15.75" customHeight="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</row>
    <row r="72" ht="15.7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</row>
    <row r="73" ht="15.7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</row>
    <row r="74" ht="15.7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</row>
    <row r="75" ht="15.7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</row>
    <row r="76" ht="15.75" customHeight="1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</row>
    <row r="77" ht="15.75" customHeight="1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</row>
    <row r="78" ht="15.7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</row>
    <row r="79" ht="15.7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</row>
    <row r="80" ht="15.7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</row>
    <row r="81" ht="15.7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</row>
    <row r="82" ht="15.7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</row>
    <row r="83" ht="15.75" customHeight="1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</row>
    <row r="84" ht="15.75" customHeight="1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</row>
    <row r="85" ht="15.75" customHeight="1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</row>
    <row r="86" ht="15.7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</row>
    <row r="87" ht="15.7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</row>
    <row r="88" ht="15.7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</row>
    <row r="89" ht="15.7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</row>
    <row r="90" ht="15.7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</row>
    <row r="91" ht="15.7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</row>
    <row r="92" ht="15.7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</row>
    <row r="93" ht="15.7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</row>
    <row r="94" ht="15.7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</row>
    <row r="95" ht="15.7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</row>
    <row r="96" ht="15.7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</row>
    <row r="97" ht="15.7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</row>
    <row r="98" ht="15.7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</row>
    <row r="99" ht="15.7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</row>
    <row r="100" ht="15.75" customHeight="1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</row>
    <row r="101" ht="15.75" customHeight="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</row>
    <row r="102" ht="15.75" customHeight="1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</row>
    <row r="103" ht="15.75" customHeight="1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</row>
    <row r="104" ht="15.75" customHeight="1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</row>
    <row r="105" ht="15.75" customHeight="1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</row>
    <row r="106" ht="15.75" customHeight="1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</row>
    <row r="107" ht="15.75" customHeight="1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</row>
    <row r="108" ht="15.75" customHeight="1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</row>
    <row r="109" ht="15.7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</row>
    <row r="110" ht="15.7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</row>
    <row r="111" ht="15.7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</row>
    <row r="112" ht="15.7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</row>
    <row r="114" ht="15.7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</row>
    <row r="115" ht="15.7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</row>
    <row r="116" ht="15.7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</row>
    <row r="117" ht="15.7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</row>
    <row r="118" ht="15.7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</row>
    <row r="119" ht="15.7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</row>
    <row r="120" ht="15.7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</row>
    <row r="121" ht="15.7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</row>
    <row r="122" ht="15.7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</row>
    <row r="123" ht="15.7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</row>
    <row r="124" ht="15.7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</row>
    <row r="125" ht="15.7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</row>
    <row r="126" ht="15.7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</row>
    <row r="327" ht="15.7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</row>
    <row r="328" ht="15.7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</row>
    <row r="329" ht="15.7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</row>
    <row r="330" ht="15.7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</row>
    <row r="331" ht="15.7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</row>
    <row r="332" ht="15.7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</row>
    <row r="333" ht="15.7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</row>
    <row r="334" ht="15.7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</row>
    <row r="335" ht="15.7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</row>
    <row r="336" ht="15.7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</row>
    <row r="337" ht="15.7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</row>
    <row r="338" ht="15.7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</row>
    <row r="339" ht="15.7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</row>
    <row r="340" ht="15.7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</row>
    <row r="341" ht="15.7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</row>
    <row r="342" ht="15.7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</row>
    <row r="343" ht="15.7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</row>
    <row r="344" ht="15.7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</row>
    <row r="345" ht="15.7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</row>
    <row r="346" ht="15.7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</row>
    <row r="347" ht="15.7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</row>
    <row r="348" ht="15.7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</row>
    <row r="349" ht="15.7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</row>
    <row r="350" ht="15.7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</row>
    <row r="351" ht="15.7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</row>
    <row r="352" ht="15.7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</row>
    <row r="353" ht="15.7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</row>
    <row r="354" ht="15.7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</row>
    <row r="355" ht="15.7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</row>
    <row r="356" ht="15.7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</row>
    <row r="357" ht="15.7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</row>
    <row r="358" ht="15.7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</row>
    <row r="359" ht="15.7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</row>
    <row r="360" ht="15.7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</row>
    <row r="361" ht="15.7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</row>
    <row r="362" ht="15.7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</row>
    <row r="363" ht="15.7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</row>
    <row r="364" ht="15.7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</row>
    <row r="365" ht="15.7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</row>
    <row r="366" ht="15.7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</row>
    <row r="367" ht="15.7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</row>
    <row r="368" ht="15.7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</row>
    <row r="369" ht="15.7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</row>
    <row r="370" ht="15.7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</row>
    <row r="371" ht="15.7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</row>
    <row r="372" ht="15.7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</row>
    <row r="373" ht="15.7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</row>
    <row r="374" ht="15.7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</row>
    <row r="375" ht="15.7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</row>
    <row r="376" ht="15.7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</row>
    <row r="377" ht="15.7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</row>
    <row r="378" ht="15.7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</row>
    <row r="379" ht="15.7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</row>
    <row r="380" ht="15.7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</row>
    <row r="381" ht="15.7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</row>
    <row r="382" ht="15.7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</row>
    <row r="383" ht="15.7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</row>
    <row r="384" ht="15.7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</row>
    <row r="385" ht="15.7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</row>
    <row r="386" ht="15.7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</row>
    <row r="387" ht="15.7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</row>
    <row r="388" ht="15.7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</row>
    <row r="389" ht="15.7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</row>
    <row r="390" ht="15.7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</row>
    <row r="391" ht="15.7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</row>
    <row r="392" ht="15.7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</row>
    <row r="393" ht="15.7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</row>
    <row r="394" ht="15.7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</row>
    <row r="395" ht="15.7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</row>
    <row r="396" ht="15.7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</row>
    <row r="397" ht="15.7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</row>
    <row r="398" ht="15.7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</row>
    <row r="399" ht="15.7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</row>
    <row r="400" ht="15.7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</row>
    <row r="401" ht="15.7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</row>
    <row r="402" ht="15.7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</row>
    <row r="403" ht="15.7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</row>
    <row r="404" ht="15.7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</row>
    <row r="405" ht="15.7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</row>
    <row r="406" ht="15.7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</row>
    <row r="407" ht="15.7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</row>
    <row r="408" ht="15.7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</row>
    <row r="409" ht="15.7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</row>
    <row r="410" ht="15.7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</row>
    <row r="411" ht="15.7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</row>
    <row r="412" ht="15.7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</row>
    <row r="413" ht="15.7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</row>
    <row r="414" ht="15.7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</row>
    <row r="415" ht="15.7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</row>
    <row r="416" ht="15.7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</row>
    <row r="417" ht="15.7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</row>
    <row r="418" ht="15.7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</row>
    <row r="419" ht="15.7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</row>
    <row r="420" ht="15.7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</row>
    <row r="421" ht="15.7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</row>
    <row r="422" ht="15.7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</row>
    <row r="423" ht="15.7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</row>
    <row r="424" ht="15.7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</row>
    <row r="425" ht="15.7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</row>
    <row r="426" ht="15.7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</row>
    <row r="427" ht="15.7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</row>
    <row r="428" ht="15.7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</row>
    <row r="429" ht="15.7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</row>
    <row r="430" ht="15.7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</row>
    <row r="431" ht="15.7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</row>
    <row r="432" ht="15.7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</row>
    <row r="433" ht="15.7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</row>
    <row r="434" ht="15.7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</row>
    <row r="435" ht="15.7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</row>
    <row r="436" ht="15.7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</row>
    <row r="437" ht="15.7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</row>
    <row r="438" ht="15.7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</row>
    <row r="439" ht="15.7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</row>
    <row r="440" ht="15.7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</row>
    <row r="441" ht="15.7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</row>
    <row r="442" ht="15.7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</row>
    <row r="443" ht="15.7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</row>
    <row r="444" ht="15.7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</row>
    <row r="445" ht="15.7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</row>
    <row r="446" ht="15.7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</row>
    <row r="447" ht="15.7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</row>
    <row r="448" ht="15.7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</row>
    <row r="449" ht="15.7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</row>
    <row r="450" ht="15.7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</row>
    <row r="451" ht="15.7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</row>
    <row r="452" ht="15.7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</row>
    <row r="453" ht="15.7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</row>
    <row r="454" ht="15.7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</row>
    <row r="455" ht="15.7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</row>
    <row r="456" ht="15.7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</row>
    <row r="457" ht="15.7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</row>
    <row r="458" ht="15.7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</row>
    <row r="459" ht="15.7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</row>
    <row r="460" ht="15.7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</row>
    <row r="461" ht="15.7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</row>
    <row r="462" ht="15.7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</row>
    <row r="463" ht="15.7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</row>
    <row r="464" ht="15.7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</row>
    <row r="465" ht="15.7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</row>
    <row r="466" ht="15.7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</row>
    <row r="467" ht="15.7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</row>
    <row r="468" ht="15.7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</row>
    <row r="469" ht="15.7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</row>
    <row r="470" ht="15.7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</row>
    <row r="471" ht="15.7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</row>
    <row r="472" ht="15.7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</row>
    <row r="473" ht="15.7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</row>
    <row r="474" ht="15.7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</row>
    <row r="475" ht="15.7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</row>
    <row r="476" ht="15.7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</row>
    <row r="477" ht="15.7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</row>
    <row r="478" ht="15.7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</row>
    <row r="479" ht="15.7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</row>
    <row r="480" ht="15.7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</row>
    <row r="481" ht="15.7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</row>
    <row r="482" ht="15.7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</row>
    <row r="483" ht="15.7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</row>
    <row r="484" ht="15.7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</row>
    <row r="485" ht="15.7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</row>
    <row r="486" ht="15.7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</row>
    <row r="487" ht="15.7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</row>
    <row r="488" ht="15.7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</row>
    <row r="489" ht="15.7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</row>
    <row r="490" ht="15.7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</row>
    <row r="491" ht="15.7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</row>
    <row r="492" ht="15.7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</row>
    <row r="493" ht="15.7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</row>
    <row r="494" ht="15.7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</row>
    <row r="495" ht="15.7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</row>
    <row r="496" ht="15.7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</row>
    <row r="497" ht="15.7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</row>
    <row r="498" ht="15.7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</row>
    <row r="499" ht="15.7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</row>
    <row r="500" ht="15.7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</row>
    <row r="501" ht="15.7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</row>
    <row r="502" ht="15.7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</row>
    <row r="503" ht="15.7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</row>
    <row r="504" ht="15.7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</row>
    <row r="505" ht="15.7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</row>
    <row r="506" ht="15.7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</row>
    <row r="507" ht="15.7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</row>
    <row r="508" ht="15.7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</row>
    <row r="509" ht="15.7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</row>
    <row r="510" ht="15.7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</row>
    <row r="512" ht="15.7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</row>
    <row r="513" ht="15.7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</row>
    <row r="514" ht="15.7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</row>
    <row r="515" ht="15.7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</row>
    <row r="516" ht="15.7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</row>
    <row r="517" ht="15.7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</row>
    <row r="518" ht="15.7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</row>
    <row r="519" ht="15.7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</row>
    <row r="520" ht="15.7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</row>
    <row r="521" ht="15.7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</row>
    <row r="522" ht="15.7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</row>
    <row r="523" ht="15.7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</row>
    <row r="524" ht="15.7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</row>
    <row r="525" ht="15.7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</row>
    <row r="526" ht="15.7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</row>
    <row r="527" ht="15.7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</row>
    <row r="528" ht="15.7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</row>
    <row r="529" ht="15.7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</row>
    <row r="530" ht="15.7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</row>
    <row r="531" ht="15.7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</row>
    <row r="532" ht="15.7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</row>
    <row r="533" ht="15.7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</row>
    <row r="534" ht="15.7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</row>
    <row r="535" ht="15.7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</row>
    <row r="536" ht="15.7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</row>
    <row r="537" ht="15.7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</row>
    <row r="538" ht="15.7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</row>
    <row r="539" ht="15.7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</row>
    <row r="540" ht="15.7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</row>
    <row r="541" ht="15.7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</row>
    <row r="542" ht="15.7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</row>
    <row r="543" ht="15.7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</row>
    <row r="544" ht="15.7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</row>
    <row r="545" ht="15.7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</row>
    <row r="546" ht="15.7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</row>
    <row r="547" ht="15.7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</row>
    <row r="548" ht="15.7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</row>
    <row r="549" ht="15.7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</row>
    <row r="550" ht="15.7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</row>
    <row r="551" ht="15.7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</row>
    <row r="552" ht="15.7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</row>
    <row r="553" ht="15.7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</row>
    <row r="554" ht="15.7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</row>
    <row r="555" ht="15.7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</row>
    <row r="556" ht="15.7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</row>
    <row r="557" ht="15.7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</row>
    <row r="558" ht="15.7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</row>
    <row r="559" ht="15.7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</row>
    <row r="560" ht="15.7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</row>
    <row r="561" ht="15.7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</row>
    <row r="562" ht="15.7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</row>
    <row r="563" ht="15.7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</row>
    <row r="564" ht="15.7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</row>
    <row r="565" ht="15.7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</row>
    <row r="566" ht="15.7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</row>
    <row r="567" ht="15.7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</row>
    <row r="568" ht="15.7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</row>
    <row r="569" ht="15.7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</row>
    <row r="570" ht="15.7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</row>
    <row r="571" ht="15.7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</row>
    <row r="572" ht="15.7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</row>
    <row r="573" ht="15.7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</row>
    <row r="574" ht="15.7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</row>
    <row r="575" ht="15.7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</row>
    <row r="576" ht="15.7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</row>
    <row r="577" ht="15.7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</row>
    <row r="578" ht="15.7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</row>
    <row r="579" ht="15.7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</row>
    <row r="580" ht="15.7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</row>
    <row r="581" ht="15.7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</row>
    <row r="582" ht="15.7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</row>
    <row r="583" ht="15.7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</row>
    <row r="584" ht="15.7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</row>
    <row r="585" ht="15.7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</row>
    <row r="586" ht="15.7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</row>
    <row r="587" ht="15.7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</row>
    <row r="588" ht="15.7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</row>
    <row r="589" ht="15.7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</row>
    <row r="590" ht="15.7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</row>
    <row r="591" ht="15.7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</row>
    <row r="592" ht="15.7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</row>
    <row r="593" ht="15.7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</row>
    <row r="594" ht="15.7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</row>
    <row r="595" ht="15.7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</row>
    <row r="596" ht="15.7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</row>
    <row r="597" ht="15.7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</row>
    <row r="598" ht="15.7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</row>
    <row r="599" ht="15.7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</row>
    <row r="600" ht="15.7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</row>
    <row r="601" ht="15.7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</row>
    <row r="602" ht="15.7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</row>
    <row r="603" ht="15.7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</row>
    <row r="604" ht="15.7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</row>
    <row r="605" ht="15.7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</row>
    <row r="606" ht="15.7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</row>
    <row r="607" ht="15.7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</row>
    <row r="608" ht="15.7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</row>
    <row r="609" ht="15.7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</row>
    <row r="610" ht="15.7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</row>
    <row r="611" ht="15.7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</row>
    <row r="612" ht="15.7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</row>
    <row r="613" ht="15.7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</row>
    <row r="614" ht="15.7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</row>
    <row r="615" ht="15.7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</row>
    <row r="616" ht="15.7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</row>
    <row r="617" ht="15.7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</row>
    <row r="618" ht="15.7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</row>
    <row r="619" ht="15.7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</row>
    <row r="620" ht="15.7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</row>
    <row r="621" ht="15.7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</row>
    <row r="622" ht="15.7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</row>
    <row r="623" ht="15.7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</row>
    <row r="624" ht="15.7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</row>
    <row r="625" ht="15.7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</row>
    <row r="626" ht="15.7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</row>
    <row r="627" ht="15.7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</row>
    <row r="628" ht="15.7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</row>
    <row r="629" ht="15.7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</row>
    <row r="630" ht="15.7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</row>
    <row r="631" ht="15.7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</row>
    <row r="632" ht="15.7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</row>
    <row r="633" ht="15.7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</row>
    <row r="634" ht="15.7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</row>
    <row r="635" ht="15.7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</row>
    <row r="636" ht="15.7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</row>
    <row r="637" ht="15.7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</row>
    <row r="638" ht="15.7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</row>
    <row r="639" ht="15.7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</row>
    <row r="640" ht="15.7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</row>
    <row r="641" ht="15.7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</row>
    <row r="642" ht="15.7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</row>
    <row r="643" ht="15.7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</row>
    <row r="644" ht="15.7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</row>
    <row r="645" ht="15.7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</row>
    <row r="646" ht="15.7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</row>
    <row r="647" ht="15.7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</row>
    <row r="648" ht="15.7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</row>
    <row r="649" ht="15.7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</row>
    <row r="650" ht="15.7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</row>
    <row r="651" ht="15.7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</row>
    <row r="652" ht="15.7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</row>
    <row r="653" ht="15.7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</row>
    <row r="654" ht="15.7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</row>
    <row r="655" ht="15.7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</row>
    <row r="656" ht="15.7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</row>
    <row r="657" ht="15.7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</row>
    <row r="658" ht="15.7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</row>
    <row r="659" ht="15.7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</row>
    <row r="660" ht="15.7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</row>
    <row r="661" ht="15.7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</row>
    <row r="662" ht="15.7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</row>
    <row r="663" ht="15.7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</row>
    <row r="664" ht="15.7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</row>
    <row r="665" ht="15.7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</row>
    <row r="666" ht="15.7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</row>
    <row r="667" ht="15.7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</row>
    <row r="668" ht="15.7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</row>
    <row r="669" ht="15.7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</row>
    <row r="670" ht="15.7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</row>
    <row r="671" ht="15.7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</row>
    <row r="672" ht="15.7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</row>
    <row r="673" ht="15.7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</row>
    <row r="674" ht="15.7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</row>
    <row r="675" ht="15.7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</row>
    <row r="676" ht="15.7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</row>
    <row r="677" ht="15.7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</row>
    <row r="678" ht="15.7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</row>
    <row r="679" ht="15.7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</row>
    <row r="680" ht="15.7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</row>
    <row r="681" ht="15.7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</row>
    <row r="682" ht="15.7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</row>
    <row r="683" ht="15.7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</row>
    <row r="684" ht="15.7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</row>
    <row r="685" ht="15.7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</row>
    <row r="686" ht="15.7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</row>
    <row r="687" ht="15.7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</row>
    <row r="688" ht="15.7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</row>
    <row r="689" ht="15.7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</row>
    <row r="690" ht="15.7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</row>
    <row r="691" ht="15.7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</row>
    <row r="692" ht="15.7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</row>
    <row r="693" ht="15.7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</row>
    <row r="694" ht="15.7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</row>
    <row r="695" ht="15.7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</row>
    <row r="696" ht="15.7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</row>
    <row r="697" ht="15.7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</row>
    <row r="698" ht="15.7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</row>
    <row r="699" ht="15.7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</row>
    <row r="700" ht="15.7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</row>
    <row r="701" ht="15.7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</row>
    <row r="702" ht="15.7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</row>
    <row r="703" ht="15.7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</row>
    <row r="704" ht="15.7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</row>
    <row r="705" ht="15.7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</row>
    <row r="706" ht="15.7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</row>
    <row r="707" ht="15.7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</row>
    <row r="708" ht="15.7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</row>
    <row r="709" ht="15.7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</row>
    <row r="710" ht="15.7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</row>
    <row r="711" ht="15.7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</row>
    <row r="712" ht="15.7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</row>
    <row r="713" ht="15.7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</row>
    <row r="714" ht="15.7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</row>
    <row r="715" ht="15.7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</row>
    <row r="716" ht="15.7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</row>
    <row r="717" ht="15.7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</row>
    <row r="718" ht="15.7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</row>
    <row r="719" ht="15.7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</row>
    <row r="720" ht="15.7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</row>
    <row r="721" ht="15.7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</row>
    <row r="722" ht="15.7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</row>
    <row r="723" ht="15.7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</row>
    <row r="724" ht="15.7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</row>
    <row r="725" ht="15.7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</row>
    <row r="726" ht="15.7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</row>
    <row r="727" ht="15.7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</row>
    <row r="728" ht="15.7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</row>
    <row r="729" ht="15.7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</row>
    <row r="730" ht="15.7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</row>
    <row r="731" ht="15.7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</row>
    <row r="732" ht="15.7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</row>
    <row r="733" ht="15.7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</row>
    <row r="734" ht="15.7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</row>
    <row r="735" ht="15.7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</row>
    <row r="736" ht="15.7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</row>
    <row r="737" ht="15.7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</row>
    <row r="738" ht="15.7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</row>
    <row r="739" ht="15.7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</row>
    <row r="740" ht="15.7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</row>
    <row r="741" ht="15.7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</row>
    <row r="742" ht="15.7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</row>
    <row r="743" ht="15.7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</row>
    <row r="744" ht="15.7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</row>
    <row r="745" ht="15.7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</row>
    <row r="746" ht="15.7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</row>
    <row r="747" ht="15.7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</row>
    <row r="748" ht="15.7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</row>
    <row r="749" ht="15.7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</row>
    <row r="750" ht="15.7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</row>
    <row r="751" ht="15.7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</row>
    <row r="752" ht="15.7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</row>
    <row r="753" ht="15.7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</row>
    <row r="754" ht="15.7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</row>
    <row r="755" ht="15.7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</row>
    <row r="756" ht="15.7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</row>
    <row r="757" ht="15.7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</row>
    <row r="758" ht="15.7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</row>
    <row r="759" ht="15.7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</row>
    <row r="760" ht="15.7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</row>
    <row r="761" ht="15.7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</row>
    <row r="762" ht="15.7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</row>
    <row r="763" ht="15.7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</row>
    <row r="764" ht="15.7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</row>
    <row r="765" ht="15.7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</row>
    <row r="766" ht="15.7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</row>
    <row r="767" ht="15.7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</row>
    <row r="768" ht="15.7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</row>
    <row r="769" ht="15.7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</row>
    <row r="770" ht="15.7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</row>
    <row r="771" ht="15.7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</row>
    <row r="772" ht="15.7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</row>
    <row r="773" ht="15.7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</row>
    <row r="774" ht="15.7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</row>
    <row r="775" ht="15.7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</row>
    <row r="776" ht="15.7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</row>
    <row r="777" ht="15.7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</row>
    <row r="778" ht="15.7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</row>
    <row r="779" ht="15.7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</row>
    <row r="780" ht="15.7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</row>
    <row r="781" ht="15.7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</row>
    <row r="782" ht="15.7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</row>
    <row r="783" ht="15.7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</row>
    <row r="784" ht="15.7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</row>
    <row r="785" ht="15.7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</row>
    <row r="786" ht="15.7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</row>
    <row r="787" ht="15.7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</row>
    <row r="788" ht="15.7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</row>
    <row r="789" ht="15.7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</row>
    <row r="790" ht="15.7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</row>
    <row r="791" ht="15.7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</row>
    <row r="792" ht="15.7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</row>
    <row r="793" ht="15.7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</row>
    <row r="794" ht="15.7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</row>
    <row r="795" ht="15.7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</row>
    <row r="796" ht="15.7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</row>
    <row r="797" ht="15.7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</row>
    <row r="798" ht="15.7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</row>
    <row r="799" ht="15.7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</row>
    <row r="800" ht="15.7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</row>
    <row r="801" ht="15.7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</row>
    <row r="802" ht="15.7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</row>
    <row r="803" ht="15.7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</row>
    <row r="804" ht="15.7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</row>
    <row r="805" ht="15.7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</row>
    <row r="806" ht="15.7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</row>
    <row r="807" ht="15.7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</row>
    <row r="808" ht="15.7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</row>
    <row r="809" ht="15.7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</row>
    <row r="810" ht="15.7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</row>
    <row r="811" ht="15.7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</row>
    <row r="812" ht="15.7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</row>
    <row r="813" ht="15.7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</row>
    <row r="814" ht="15.7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</row>
    <row r="815" ht="15.7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</row>
    <row r="816" ht="15.7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</row>
    <row r="817" ht="15.7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</row>
    <row r="818" ht="15.7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</row>
    <row r="819" ht="15.7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</row>
    <row r="820" ht="15.7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</row>
    <row r="821" ht="15.7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</row>
    <row r="822" ht="15.7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</row>
    <row r="823" ht="15.7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</row>
    <row r="824" ht="15.7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</row>
    <row r="825" ht="15.7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</row>
    <row r="826" ht="15.7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</row>
    <row r="827" ht="15.7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</row>
    <row r="828" ht="15.7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</row>
    <row r="829" ht="15.7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</row>
    <row r="830" ht="15.7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</row>
    <row r="831" ht="15.7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</row>
    <row r="832" ht="15.7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</row>
    <row r="833" ht="15.7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</row>
    <row r="834" ht="15.7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</row>
    <row r="835" ht="15.7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</row>
    <row r="836" ht="15.7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</row>
    <row r="837" ht="15.7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</row>
    <row r="838" ht="15.7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</row>
    <row r="839" ht="15.7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</row>
    <row r="840" ht="15.7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</row>
    <row r="841" ht="15.7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</row>
    <row r="842" ht="15.7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</row>
    <row r="843" ht="15.7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</row>
    <row r="844" ht="15.7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</row>
    <row r="845" ht="15.7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</row>
    <row r="846" ht="15.7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</row>
    <row r="847" ht="15.7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</row>
    <row r="848" ht="15.7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</row>
    <row r="849" ht="15.7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</row>
    <row r="850" ht="15.7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</row>
    <row r="851" ht="15.7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</row>
    <row r="852" ht="15.7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</row>
    <row r="853" ht="15.7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</row>
    <row r="854" ht="15.7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</row>
    <row r="855" ht="15.7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</row>
    <row r="856" ht="15.7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</row>
    <row r="857" ht="15.7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</row>
    <row r="858" ht="15.7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</row>
    <row r="859" ht="15.7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</row>
    <row r="860" ht="15.7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</row>
    <row r="861" ht="15.7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</row>
    <row r="862" ht="15.7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</row>
    <row r="863" ht="15.7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</row>
    <row r="864" ht="15.7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</row>
    <row r="865" ht="15.7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</row>
    <row r="866" ht="15.7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</row>
    <row r="867" ht="15.7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</row>
    <row r="868" ht="15.7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</row>
    <row r="869" ht="15.7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</row>
    <row r="870" ht="15.7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</row>
    <row r="871" ht="15.7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</row>
    <row r="872" ht="15.7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</row>
    <row r="873" ht="15.7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</row>
    <row r="874" ht="15.7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</row>
    <row r="875" ht="15.7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</row>
    <row r="876" ht="15.7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</row>
    <row r="877" ht="15.7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</row>
    <row r="878" ht="15.7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</row>
    <row r="879" ht="15.7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</row>
    <row r="880" ht="15.7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</row>
    <row r="881" ht="15.7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</row>
    <row r="882" ht="15.7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</row>
    <row r="883" ht="15.7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</row>
    <row r="884" ht="15.7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</row>
    <row r="885" ht="15.7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</row>
    <row r="886" ht="15.7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</row>
    <row r="887" ht="15.7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</row>
    <row r="888" ht="15.7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</row>
    <row r="889" ht="15.7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</row>
    <row r="890" ht="15.7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</row>
    <row r="891" ht="15.7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</row>
    <row r="892" ht="15.7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</row>
    <row r="893" ht="15.7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</row>
    <row r="894" ht="15.7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</row>
    <row r="895" ht="15.7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</row>
    <row r="896" ht="15.7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</row>
    <row r="897" ht="15.7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</row>
    <row r="898" ht="15.7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</row>
    <row r="899" ht="15.7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</row>
    <row r="900" ht="15.7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</row>
    <row r="901" ht="15.7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</row>
    <row r="902" ht="15.7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</row>
    <row r="903" ht="15.7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</row>
    <row r="904" ht="15.7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</row>
    <row r="905" ht="15.7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</row>
    <row r="906" ht="15.7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</row>
    <row r="907" ht="15.7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</row>
    <row r="908" ht="15.7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</row>
    <row r="909" ht="15.7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</row>
    <row r="910" ht="15.7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</row>
    <row r="911" ht="15.7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</row>
    <row r="912" ht="15.7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</row>
    <row r="913" ht="15.7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</row>
    <row r="914" ht="15.7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</row>
    <row r="915" ht="15.7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</row>
    <row r="916" ht="15.7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</row>
    <row r="917" ht="15.7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</row>
    <row r="918" ht="15.7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</row>
    <row r="919" ht="15.7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</row>
    <row r="920" ht="15.7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</row>
    <row r="921" ht="15.7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</row>
    <row r="922" ht="15.7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</row>
    <row r="923" ht="15.7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</row>
    <row r="924" ht="15.7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</row>
    <row r="925" ht="15.7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</row>
    <row r="926" ht="15.7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</row>
    <row r="927" ht="15.7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</row>
    <row r="928" ht="15.7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</row>
    <row r="929" ht="15.7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</row>
    <row r="930" ht="15.7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</row>
    <row r="931" ht="15.7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</row>
    <row r="932" ht="15.7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</row>
    <row r="933" ht="15.7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</row>
    <row r="934" ht="15.7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</row>
    <row r="935" ht="15.7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</row>
    <row r="936" ht="15.7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</row>
    <row r="937" ht="15.7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</row>
    <row r="938" ht="15.7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</row>
    <row r="939" ht="15.7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</row>
    <row r="940" ht="15.7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</row>
    <row r="941" ht="15.7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</row>
    <row r="942" ht="15.7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</row>
    <row r="943" ht="15.7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</row>
    <row r="944" ht="15.7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</row>
    <row r="945" ht="15.7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</row>
    <row r="946" ht="15.7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</row>
    <row r="947" ht="15.7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</row>
    <row r="948" ht="15.7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</row>
    <row r="949" ht="15.7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</row>
    <row r="950" ht="15.7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</row>
    <row r="951" ht="15.7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</row>
    <row r="952" ht="15.7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</row>
    <row r="953" ht="15.7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</row>
    <row r="954" ht="15.7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</row>
    <row r="955" ht="15.7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</row>
    <row r="956" ht="15.7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</row>
    <row r="957" ht="15.7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</row>
    <row r="958" ht="15.7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</row>
    <row r="959" ht="15.7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</row>
    <row r="960" ht="15.7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</row>
    <row r="961" ht="15.7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</row>
    <row r="962" ht="15.7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</row>
    <row r="963" ht="15.7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</row>
    <row r="964" ht="15.7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</row>
    <row r="965" ht="15.7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</row>
    <row r="966" ht="15.7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</row>
    <row r="967" ht="15.7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</row>
    <row r="968" ht="15.7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</row>
    <row r="969" ht="15.7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</row>
    <row r="970" ht="15.7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</row>
    <row r="971" ht="15.7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</row>
    <row r="972" ht="15.7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</row>
    <row r="973" ht="15.7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</row>
    <row r="974" ht="15.7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</row>
    <row r="975" ht="15.7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</row>
    <row r="976" ht="15.7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</row>
    <row r="977" ht="15.7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</row>
    <row r="978" ht="15.7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</row>
    <row r="979" ht="15.7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</row>
    <row r="980" ht="15.7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</row>
    <row r="981" ht="15.7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</row>
    <row r="982" ht="15.7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</row>
    <row r="983" ht="15.7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</row>
    <row r="984" ht="15.7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</row>
    <row r="985" ht="15.7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</row>
    <row r="986" ht="15.7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</row>
    <row r="987" ht="15.7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</row>
    <row r="988" ht="15.7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</row>
    <row r="989" ht="15.7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</row>
    <row r="990" ht="15.7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</row>
    <row r="991" ht="15.7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</row>
    <row r="992" ht="15.7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</row>
    <row r="993" ht="15.7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</row>
    <row r="994" ht="15.7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</row>
    <row r="995" ht="15.7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</row>
    <row r="996" ht="15.7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</row>
    <row r="997" ht="15.7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</row>
    <row r="998" ht="15.7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</row>
    <row r="999" ht="15.7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</row>
    <row r="1000" ht="15.7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</row>
  </sheetData>
  <conditionalFormatting sqref="B16:V22">
    <cfRule type="cellIs" dxfId="5" priority="1" stopIfTrue="1" operator="greaterThan">
      <formula>0</formula>
    </cfRule>
  </conditionalFormatting>
  <conditionalFormatting sqref="B26:V28">
    <cfRule type="cellIs" dxfId="5" priority="2" stopIfTrue="1" operator="greaterThan">
      <formula>0</formula>
    </cfRule>
  </conditionalFormatting>
  <conditionalFormatting sqref="A16:V22">
    <cfRule type="expression" dxfId="6" priority="3">
      <formula>ISEVEN(ROW()-ROW($A$16)+1)</formula>
    </cfRule>
  </conditionalFormatting>
  <conditionalFormatting sqref="A26:V28">
    <cfRule type="expression" dxfId="6" priority="4">
      <formula>ISEVEN(ROW()-ROW($A$26)+1)</formula>
    </cfRule>
  </conditionalFormatting>
  <conditionalFormatting sqref="A1:D1000">
    <cfRule type="expression" dxfId="7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277" t="s">
        <v>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AH1" s="155" t="s">
        <v>159</v>
      </c>
    </row>
    <row r="2" ht="19.5" customHeight="1">
      <c r="A2" s="269" t="s">
        <v>114</v>
      </c>
      <c r="B2" s="269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AH2" s="156" t="s">
        <v>160</v>
      </c>
      <c r="AI2" s="157" t="s">
        <v>161</v>
      </c>
    </row>
    <row r="3">
      <c r="A3" s="149" t="s">
        <v>152</v>
      </c>
      <c r="B3" s="184">
        <v>4.0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AH3" s="156" t="s">
        <v>162</v>
      </c>
      <c r="AI3" s="157" t="s">
        <v>163</v>
      </c>
    </row>
    <row r="4">
      <c r="A4" s="270"/>
      <c r="B4" s="272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</row>
    <row r="5">
      <c r="A5" s="270"/>
      <c r="B5" s="272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AH5" s="161" t="s">
        <v>164</v>
      </c>
      <c r="AI5" s="161" t="s">
        <v>165</v>
      </c>
      <c r="AJ5" s="161" t="s">
        <v>166</v>
      </c>
      <c r="AK5" s="161" t="s">
        <v>167</v>
      </c>
      <c r="AL5" s="161" t="s">
        <v>168</v>
      </c>
      <c r="AM5" s="161" t="s">
        <v>169</v>
      </c>
      <c r="AN5" s="161" t="s">
        <v>170</v>
      </c>
      <c r="AO5" s="161" t="s">
        <v>171</v>
      </c>
      <c r="AP5" s="161" t="s">
        <v>172</v>
      </c>
      <c r="AQ5" s="161" t="s">
        <v>173</v>
      </c>
      <c r="AR5" s="161" t="s">
        <v>174</v>
      </c>
    </row>
    <row r="6">
      <c r="A6" s="270"/>
      <c r="B6" s="272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AH6" s="162">
        <f>IF(1&lt;=$B$3,1,"")</f>
        <v>1</v>
      </c>
      <c r="AI6" s="163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164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163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164" t="str">
        <f t="array" ref="AL6">IF($AH6="","",IF(AK6=0,"{}",LET(m,AK6,s,MMULT(SEQUENCE(1,m,1,0),N($E$16:$Y$45)),"{"&amp;TEXTJOIN(", ",TRUE,IF(s&gt;0,$E$15:$Y$15&amp;": "&amp;ROUND(s,2),""))&amp;"}")))</f>
        <v>{Coins: 10, Red: 2, Chuck: 2, Bomb: 1, Unlimited Lives: 30}</v>
      </c>
      <c r="AM6" s="163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164" t="str">
        <f t="array" ref="AN6">IF($AH6="","",IF(AM6=0,"{}",LET(m,AM6,s,MMULT(SEQUENCE(1,m,1,0),N($E$16:$Y$45)),"{"&amp;TEXTJOIN(", ",TRUE,IF(s&gt;0,$E$15:$Y$15&amp;": "&amp;ROUND(s,2),""))&amp;"}")))</f>
        <v>{Coins: 30, Red: 2, Chuck: 2, Bomb: 2, Unlimited Lives: 30}</v>
      </c>
      <c r="AO6" s="163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64" t="str">
        <f t="array" ref="AP6">IF($AH6="","",IF(AO6=0,"{}",LET(m,AO6,s,MMULT(SEQUENCE(1,m,1,0),N($E$16:$Y$45)),"{"&amp;TEXTJOIN(", ",TRUE,IF(s&gt;0,$E$15:$Y$15&amp;": "&amp;ROUND(s,2),""))&amp;"}")))</f>
        <v>{Coins: 30, Red: 2, Chuck: 2, Bomb: 2, Slingshot: 1, Shuffle: 1, Comet: 1, Unlimited Lives: 60, Unlimited Red: 10}</v>
      </c>
      <c r="AQ6" s="163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164" t="str">
        <f t="array" ref="AR6">IF($AH6="","",IF(AQ6=0,"{}",LET(m,AQ6,s,MMULT(SEQUENCE(1,m,1,0),N($E$16:$Y$45)),"{"&amp;TEXTJOIN(", ",TRUE,IF(s&gt;0,$E$15:$Y$15&amp;": "&amp;ROUND(s,2),""))&amp;"}")))</f>
        <v>{Coins: 30, Red: 4, Chuck: 2, Bomb: 2, Slingshot: 1, Shuffle: 1, Comet: 1, Unlimited Lives: 60, Unlimited Red: 10}</v>
      </c>
    </row>
    <row r="7">
      <c r="A7" s="270"/>
      <c r="B7" s="272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AH7" s="162">
        <f>IF(2&lt;=$B$3,2,"")</f>
        <v>2</v>
      </c>
      <c r="AI7" s="163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164" t="str">
        <f t="array" ref="AJ7">IF($AH7="","",IF(AI7=0,"{}",LET(m,AI7,s,MMULT(SEQUENCE(1,m,1,0),N($E$16:$Y$45)),"{"&amp;TEXTJOIN(", ",TRUE,IF(s&gt;0,$E$15:$Y$15&amp;": "&amp;ROUND(s,2),""))&amp;"}")))</f>
        <v>{Coins: 10, Red: 1, Chuck: 1, Bomb: 1, Unlimited Lives: 15}</v>
      </c>
      <c r="AK7" s="163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164" t="str">
        <f t="array" ref="AL7">IF($AH7="","",IF(AK7=0,"{}",LET(m,AK7,s,MMULT(SEQUENCE(1,m,1,0),N($E$16:$Y$45)),"{"&amp;TEXTJOIN(", ",TRUE,IF(s&gt;0,$E$15:$Y$15&amp;": "&amp;ROUND(s,2),""))&amp;"}")))</f>
        <v>{Coins: 30, Red: 2, Chuck: 2, Bomb: 2, Unlimited Lives: 30}</v>
      </c>
      <c r="AM7" s="163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164" t="str">
        <f t="array" ref="AN7">IF($AH7="","",IF(AM7=0,"{}",LET(m,AM7,s,MMULT(SEQUENCE(1,m,1,0),N($E$16:$Y$45)),"{"&amp;TEXTJOIN(", ",TRUE,IF(s&gt;0,$E$15:$Y$15&amp;": "&amp;ROUND(s,2),""))&amp;"}")))</f>
        <v>{Coins: 30, Red: 2, Chuck: 2, Bomb: 2, Slingshot: 1, Shuffle: 1, Comet: 1, Unlimited Lives: 60}</v>
      </c>
      <c r="AO7" s="163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164" t="str">
        <f t="array" ref="AP7">IF($AH7="","",IF(AO7=0,"{}",LET(m,AO7,s,MMULT(SEQUENCE(1,m,1,0),N($E$16:$Y$45)),"{"&amp;TEXTJOIN(", ",TRUE,IF(s&gt;0,$E$15:$Y$15&amp;": "&amp;ROUND(s,2),""))&amp;"}")))</f>
        <v>{Coins: 30, Red: 4, Chuck: 3, Bomb: 3, Slingshot: 1, Shuffle: 1, Comet: 1, Unlimited Lives: 60, Unlimited Red: 10}</v>
      </c>
      <c r="AQ7" s="163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164" t="str">
        <f t="array" ref="AR7">IF($AH7="","",IF(AQ7=0,"{}",LET(m,AQ7,s,MMULT(SEQUENCE(1,m,1,0),N($E$16:$Y$45)),"{"&amp;TEXTJOIN(", ",TRUE,IF(s&gt;0,$E$15:$Y$15&amp;": "&amp;ROUND(s,2),""))&amp;"}")))</f>
        <v>{Coins: 60, Red: 4, Chuck: 3, Bomb: 3, Slingshot: 2, Shuffle: 2, Comet: 1, Unlimited Lives: 60, Unlimited Red: 10}</v>
      </c>
    </row>
    <row r="8">
      <c r="A8" s="270"/>
      <c r="B8" s="272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AH8" s="162">
        <f>IF(3&lt;=$B$3,3,"")</f>
        <v>3</v>
      </c>
      <c r="AI8" s="163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164" t="str">
        <f t="array" ref="AJ8">IF($AH8="","",IF(AI8=0,"{}",LET(m,AI8,s,MMULT(SEQUENCE(1,m,1,0),N($E$16:$Y$45)),"{"&amp;TEXTJOIN(", ",TRUE,IF(s&gt;0,$E$15:$Y$15&amp;": "&amp;ROUND(s,2),""))&amp;"}")))</f>
        <v>{Coins: 10, Red: 1, Chuck: 1, Bomb: 1, Unlimited Lives: 15}</v>
      </c>
      <c r="AK8" s="163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64" t="str">
        <f t="array" ref="AL8">IF($AH8="","",IF(AK8=0,"{}",LET(m,AK8,s,MMULT(SEQUENCE(1,m,1,0),N($E$16:$Y$45)),"{"&amp;TEXTJOIN(", ",TRUE,IF(s&gt;0,$E$15:$Y$15&amp;": "&amp;ROUND(s,2),""))&amp;"}")))</f>
        <v>{Coins: 30, Red: 2, Chuck: 2, Bomb: 2, Slingshot: 1, Shuffle: 1, Unlimited Lives: 30}</v>
      </c>
      <c r="AM8" s="163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64" t="str">
        <f t="array" ref="AN8">IF($AH8="","",IF(AM8=0,"{}",LET(m,AM8,s,MMULT(SEQUENCE(1,m,1,0),N($E$16:$Y$45)),"{"&amp;TEXTJOIN(", ",TRUE,IF(s&gt;0,$E$15:$Y$15&amp;": "&amp;ROUND(s,2),""))&amp;"}")))</f>
        <v>{Coins: 30, Red: 4, Chuck: 2, Bomb: 2, Slingshot: 1, Shuffle: 1, Comet: 1, Unlimited Lives: 60, Unlimited Red: 10}</v>
      </c>
      <c r="AO8" s="163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164" t="str">
        <f t="array" ref="AP8">IF($AH8="","",IF(AO8=0,"{}",LET(m,AO8,s,MMULT(SEQUENCE(1,m,1,0),N($E$16:$Y$45)),"{"&amp;TEXTJOIN(", ",TRUE,IF(s&gt;0,$E$15:$Y$15&amp;": "&amp;ROUND(s,2),""))&amp;"}")))</f>
        <v>{Coins: 30, Red: 4, Chuck: 3, Bomb: 3, Slingshot: 2, Shuffle: 1, Comet: 1, Unlimited Lives: 60, Unlimited Red: 10}</v>
      </c>
      <c r="AQ8" s="163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164" t="str">
        <f t="array" ref="AR8">IF($AH8="","",IF(AQ8=0,"{}",LET(m,AQ8,s,MMULT(SEQUENCE(1,m,1,0),N($E$16:$Y$45)),"{"&amp;TEXTJOIN(", ",TRUE,IF(s&gt;0,$E$15:$Y$15&amp;": "&amp;ROUND(s,2),""))&amp;"}")))</f>
        <v>{Coins: 60, Red: 6, Chuck: 3, Bomb: 3, Slingshot: 2, Shuffle: 4, Comet: 1, Unlimited Lives: 105, Unlimited Red: 10}</v>
      </c>
    </row>
    <row r="9">
      <c r="A9" s="270"/>
      <c r="B9" s="272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AH9" s="162">
        <f>IF(4&lt;=$B$3,4,"")</f>
        <v>4</v>
      </c>
      <c r="AI9" s="163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164" t="str">
        <f t="array" ref="AJ9">IF($AH9="","",IF(AI9=0,"{}",LET(m,AI9,s,MMULT(SEQUENCE(1,m,1,0),N($E$16:$Y$45)),"{"&amp;TEXTJOIN(", ",TRUE,IF(s&gt;0,$E$15:$Y$15&amp;": "&amp;ROUND(s,2),""))&amp;"}")))</f>
        <v>{Coins: 10, Red: 2, Chuck: 2, Bomb: 1, Unlimited Lives: 30}</v>
      </c>
      <c r="AK9" s="163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164" t="str">
        <f t="array" ref="AL9">IF($AH9="","",IF(AK9=0,"{}",LET(m,AK9,s,MMULT(SEQUENCE(1,m,1,0),N($E$16:$Y$45)),"{"&amp;TEXTJOIN(", ",TRUE,IF(s&gt;0,$E$15:$Y$15&amp;": "&amp;ROUND(s,2),""))&amp;"}")))</f>
        <v>{Coins: 30, Red: 2, Chuck: 2, Bomb: 2, Slingshot: 1, Shuffle: 1, Comet: 1, Unlimited Lives: 60}</v>
      </c>
      <c r="AM9" s="163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164" t="str">
        <f t="array" ref="AN9">IF($AH9="","",IF(AM9=0,"{}",LET(m,AM9,s,MMULT(SEQUENCE(1,m,1,0),N($E$16:$Y$45)),"{"&amp;TEXTJOIN(", ",TRUE,IF(s&gt;0,$E$15:$Y$15&amp;": "&amp;ROUND(s,2),""))&amp;"}")))</f>
        <v>{Coins: 30, Red: 4, Chuck: 3, Bomb: 2, Slingshot: 1, Shuffle: 1, Comet: 1, Unlimited Lives: 60, Unlimited Red: 10}</v>
      </c>
      <c r="AO9" s="163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64" t="str">
        <f t="array" ref="AP9">IF($AH9="","",IF(AO9=0,"{}",LET(m,AO9,s,MMULT(SEQUENCE(1,m,1,0),N($E$16:$Y$45)),"{"&amp;TEXTJOIN(", ",TRUE,IF(s&gt;0,$E$15:$Y$15&amp;": "&amp;ROUND(s,2),""))&amp;"}")))</f>
        <v>{Coins: 60, Red: 6, Chuck: 3, Bomb: 3, Slingshot: 2, Shuffle: 2, Comet: 1, Unlimited Lives: 105, Unlimited Red: 10}</v>
      </c>
      <c r="AQ9" s="163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164" t="str">
        <f t="array" ref="AR9">IF($AH9="","",IF(AQ9=0,"{}",LET(m,AQ9,s,MMULT(SEQUENCE(1,m,1,0),N($E$16:$Y$45)),"{"&amp;TEXTJOIN(", ",TRUE,IF(s&gt;0,$E$15:$Y$15&amp;": "&amp;ROUND(s,2),""))&amp;"}")))</f>
        <v>{Coins: 60, Red: 6, Chuck: 5, Bomb: 3, Slingshot: 2, Shuffle: 4, Comet: 1, Unlimited Lives: 105, Unlimited Red: 10, Unlimited Chuck: 10}</v>
      </c>
    </row>
    <row r="10">
      <c r="A10" s="270"/>
      <c r="B10" s="272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AH10" s="162" t="str">
        <f>IF(5&lt;=$B$3,5,"")</f>
        <v/>
      </c>
      <c r="AI10" s="163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64" t="str">
        <f t="array" ref="AJ10">IF($AH10="","",IF(AI10=0,"{}",LET(m,AI10,s,MMULT(SEQUENCE(1,m,1,0),$E$16:$Y$45),"{"&amp;TEXTJOIN(", ",TRUE,IF(s&gt;0,$E$15:$Y$15&amp;": "&amp;ROUND(s,2),""))&amp;"}")))</f>
        <v/>
      </c>
      <c r="AK10" s="163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64" t="str">
        <f t="array" ref="AL10">IF($AH10="","",IF(AK10=0,"{}",LET(m,AK10,s,MMULT(SEQUENCE(1,m,1,0),$E$16:$Y$45),"{"&amp;TEXTJOIN(", ",TRUE,IF(s&gt;0,$E$15:$Y$15&amp;": "&amp;ROUND(s,2),""))&amp;"}")))</f>
        <v/>
      </c>
      <c r="AM10" s="163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64" t="str">
        <f t="array" ref="AN10">IF($AH10="","",IF(AM10=0,"{}",LET(m,AM10,s,MMULT(SEQUENCE(1,m,1,0),$E$16:$Y$45),"{"&amp;TEXTJOIN(", ",TRUE,IF(s&gt;0,$E$15:$Y$15&amp;": "&amp;ROUND(s,2),""))&amp;"}")))</f>
        <v/>
      </c>
      <c r="AO10" s="163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64" t="str">
        <f t="array" ref="AP10">IF($AH10="","",IF(AO10=0,"{}",LET(m,AO10,s,MMULT(SEQUENCE(1,m,1,0),$E$16:$Y$45),"{"&amp;TEXTJOIN(", ",TRUE,IF(s&gt;0,$E$15:$Y$15&amp;": "&amp;ROUND(s,2),""))&amp;"}")))</f>
        <v/>
      </c>
      <c r="AQ10" s="163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64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70"/>
      <c r="B11" s="272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AH11" s="162" t="str">
        <f>IF(6&lt;=$B$3,6,"")</f>
        <v/>
      </c>
      <c r="AI11" s="163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64" t="str">
        <f t="array" ref="AJ11">IF($AH11="","",IF(AI11=0,"{}",LET(m,AI11,s,MMULT(SEQUENCE(1,m,1,0),$E$16:$Y$45),"{"&amp;TEXTJOIN(", ",TRUE,IF(s&gt;0,$E$15:$Y$15&amp;": "&amp;ROUND(s,2),""))&amp;"}")))</f>
        <v/>
      </c>
      <c r="AK11" s="163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64" t="str">
        <f t="array" ref="AL11">IF($AH11="","",IF(AK11=0,"{}",LET(m,AK11,s,MMULT(SEQUENCE(1,m,1,0),$E$16:$Y$45),"{"&amp;TEXTJOIN(", ",TRUE,IF(s&gt;0,$E$15:$Y$15&amp;": "&amp;ROUND(s,2),""))&amp;"}")))</f>
        <v/>
      </c>
      <c r="AM11" s="163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64" t="str">
        <f t="array" ref="AN11">IF($AH11="","",IF(AM11=0,"{}",LET(m,AM11,s,MMULT(SEQUENCE(1,m,1,0),$E$16:$Y$45),"{"&amp;TEXTJOIN(", ",TRUE,IF(s&gt;0,$E$15:$Y$15&amp;": "&amp;ROUND(s,2),""))&amp;"}")))</f>
        <v/>
      </c>
      <c r="AO11" s="163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64" t="str">
        <f t="array" ref="AP11">IF($AH11="","",IF(AO11=0,"{}",LET(m,AO11,s,MMULT(SEQUENCE(1,m,1,0),$E$16:$Y$45),"{"&amp;TEXTJOIN(", ",TRUE,IF(s&gt;0,$E$15:$Y$15&amp;": "&amp;ROUND(s,2),""))&amp;"}")))</f>
        <v/>
      </c>
      <c r="AQ11" s="163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64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70"/>
      <c r="B12" s="272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AH12" s="162" t="str">
        <f>IF(7&lt;=$B$3,7,"")</f>
        <v/>
      </c>
      <c r="AI12" s="163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64" t="str">
        <f t="array" ref="AJ12">IF($AH12="","",IF(AI12=0,"{}",LET(m,AI12,s,MMULT(SEQUENCE(1,m,1,0),$E$16:$Y$45),"{"&amp;TEXTJOIN(", ",TRUE,IF(s&gt;0,$E$15:$Y$15&amp;": "&amp;ROUND(s,2),""))&amp;"}")))</f>
        <v/>
      </c>
      <c r="AK12" s="163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64" t="str">
        <f t="array" ref="AL12">IF($AH12="","",IF(AK12=0,"{}",LET(m,AK12,s,MMULT(SEQUENCE(1,m,1,0),$E$16:$Y$45),"{"&amp;TEXTJOIN(", ",TRUE,IF(s&gt;0,$E$15:$Y$15&amp;": "&amp;ROUND(s,2),""))&amp;"}")))</f>
        <v/>
      </c>
      <c r="AM12" s="163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64" t="str">
        <f t="array" ref="AN12">IF($AH12="","",IF(AM12=0,"{}",LET(m,AM12,s,MMULT(SEQUENCE(1,m,1,0),$E$16:$Y$45),"{"&amp;TEXTJOIN(", ",TRUE,IF(s&gt;0,$E$15:$Y$15&amp;": "&amp;ROUND(s,2),""))&amp;"}")))</f>
        <v/>
      </c>
      <c r="AO12" s="163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64" t="str">
        <f t="array" ref="AP12">IF($AH12="","",IF(AO12=0,"{}",LET(m,AO12,s,MMULT(SEQUENCE(1,m,1,0),$E$16:$Y$45),"{"&amp;TEXTJOIN(", ",TRUE,IF(s&gt;0,$E$15:$Y$15&amp;": "&amp;ROUND(s,2),""))&amp;"}")))</f>
        <v/>
      </c>
      <c r="AQ12" s="163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64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</row>
    <row r="14" ht="19.5" customHeight="1">
      <c r="A14" s="278" t="s">
        <v>341</v>
      </c>
      <c r="B14" s="269"/>
      <c r="C14" s="269"/>
      <c r="D14" s="269"/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</row>
    <row r="15" ht="90.75" customHeight="1">
      <c r="A15" s="273" t="s">
        <v>157</v>
      </c>
      <c r="B15" s="121" t="s">
        <v>342</v>
      </c>
      <c r="C15" s="121" t="s">
        <v>343</v>
      </c>
      <c r="D15" s="121" t="s">
        <v>344</v>
      </c>
      <c r="E15" s="274" t="s">
        <v>82</v>
      </c>
      <c r="F15" s="193" t="s">
        <v>68</v>
      </c>
      <c r="G15" s="193" t="s">
        <v>103</v>
      </c>
      <c r="H15" s="193" t="s">
        <v>69</v>
      </c>
      <c r="I15" s="193" t="s">
        <v>70</v>
      </c>
      <c r="J15" s="193" t="s">
        <v>71</v>
      </c>
      <c r="K15" s="193" t="s">
        <v>72</v>
      </c>
      <c r="L15" s="193" t="s">
        <v>73</v>
      </c>
      <c r="M15" s="193" t="s">
        <v>74</v>
      </c>
      <c r="N15" s="193" t="s">
        <v>75</v>
      </c>
      <c r="O15" s="193" t="s">
        <v>76</v>
      </c>
      <c r="P15" s="193" t="s">
        <v>77</v>
      </c>
      <c r="Q15" s="193" t="s">
        <v>78</v>
      </c>
      <c r="R15" s="193" t="s">
        <v>118</v>
      </c>
      <c r="S15" s="193" t="s">
        <v>104</v>
      </c>
      <c r="T15" s="193" t="s">
        <v>105</v>
      </c>
      <c r="U15" s="193" t="s">
        <v>106</v>
      </c>
      <c r="V15" s="193" t="s">
        <v>107</v>
      </c>
      <c r="W15" s="193" t="s">
        <v>108</v>
      </c>
      <c r="X15" s="193" t="s">
        <v>109</v>
      </c>
      <c r="Y15" s="193" t="s">
        <v>110</v>
      </c>
      <c r="AA15" s="279" t="s">
        <v>345</v>
      </c>
      <c r="AJ15" s="280"/>
    </row>
    <row r="16" ht="15.75" customHeight="1">
      <c r="A16" s="246">
        <v>1.0</v>
      </c>
      <c r="B16" s="246">
        <v>160.0</v>
      </c>
      <c r="C16" s="246">
        <v>160.0</v>
      </c>
      <c r="D16" s="246" t="b">
        <f t="shared" ref="D16:D45" si="1">if(counta($E16:$Y16)&gt;1, TRUE, FALSE)</f>
        <v>0</v>
      </c>
      <c r="E16" s="276"/>
      <c r="F16" s="191"/>
      <c r="G16" s="191"/>
      <c r="H16" s="191">
        <v>1.0</v>
      </c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AA16" s="281">
        <f t="shared" ref="AA16:AA45" si="2">C16/500</f>
        <v>0.32</v>
      </c>
    </row>
    <row r="17" ht="15.75" customHeight="1">
      <c r="A17" s="246">
        <v>2.0</v>
      </c>
      <c r="B17" s="246">
        <v>300.0</v>
      </c>
      <c r="C17" s="246">
        <v>460.0</v>
      </c>
      <c r="D17" s="246" t="b">
        <f t="shared" si="1"/>
        <v>0</v>
      </c>
      <c r="E17" s="276">
        <v>10.0</v>
      </c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AA17" s="281">
        <f t="shared" si="2"/>
        <v>0.92</v>
      </c>
    </row>
    <row r="18" ht="15.75" customHeight="1">
      <c r="A18" s="246">
        <v>3.0</v>
      </c>
      <c r="B18" s="246">
        <v>1000.0</v>
      </c>
      <c r="C18" s="246">
        <v>1460.0</v>
      </c>
      <c r="D18" s="246" t="b">
        <f t="shared" si="1"/>
        <v>0</v>
      </c>
      <c r="E18" s="276"/>
      <c r="F18" s="191"/>
      <c r="G18" s="191"/>
      <c r="H18" s="191"/>
      <c r="I18" s="191"/>
      <c r="J18" s="191"/>
      <c r="K18" s="191"/>
      <c r="L18" s="191"/>
      <c r="M18" s="191"/>
      <c r="N18" s="191">
        <v>15.0</v>
      </c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AA18" s="281">
        <f t="shared" si="2"/>
        <v>2.92</v>
      </c>
    </row>
    <row r="19" ht="15.75" customHeight="1">
      <c r="A19" s="246">
        <v>4.0</v>
      </c>
      <c r="B19" s="246">
        <v>250.0</v>
      </c>
      <c r="C19" s="246">
        <v>1710.0</v>
      </c>
      <c r="D19" s="246" t="b">
        <f t="shared" si="1"/>
        <v>0</v>
      </c>
      <c r="E19" s="276"/>
      <c r="F19" s="191"/>
      <c r="G19" s="191"/>
      <c r="H19" s="191"/>
      <c r="I19" s="191">
        <v>1.0</v>
      </c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AA19" s="281">
        <f t="shared" si="2"/>
        <v>3.42</v>
      </c>
    </row>
    <row r="20" ht="15.75" customHeight="1">
      <c r="A20" s="246">
        <v>5.0</v>
      </c>
      <c r="B20" s="246">
        <v>500.0</v>
      </c>
      <c r="C20" s="246">
        <v>2210.0</v>
      </c>
      <c r="D20" s="246" t="b">
        <f t="shared" si="1"/>
        <v>0</v>
      </c>
      <c r="E20" s="276"/>
      <c r="F20" s="191"/>
      <c r="G20" s="191"/>
      <c r="H20" s="191"/>
      <c r="I20" s="191"/>
      <c r="J20" s="191">
        <v>1.0</v>
      </c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AA20" s="281">
        <f t="shared" si="2"/>
        <v>4.42</v>
      </c>
    </row>
    <row r="21" ht="15.75" customHeight="1">
      <c r="A21" s="246">
        <v>6.0</v>
      </c>
      <c r="B21" s="246">
        <v>1600.0</v>
      </c>
      <c r="C21" s="246">
        <v>3810.0</v>
      </c>
      <c r="D21" s="246" t="b">
        <f t="shared" si="1"/>
        <v>1</v>
      </c>
      <c r="E21" s="276"/>
      <c r="F21" s="191"/>
      <c r="G21" s="191"/>
      <c r="H21" s="191">
        <v>1.0</v>
      </c>
      <c r="I21" s="191"/>
      <c r="J21" s="191"/>
      <c r="K21" s="191"/>
      <c r="L21" s="191"/>
      <c r="M21" s="191"/>
      <c r="N21" s="191">
        <v>15.0</v>
      </c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AA21" s="281">
        <f t="shared" si="2"/>
        <v>7.62</v>
      </c>
    </row>
    <row r="22" ht="15.75" customHeight="1">
      <c r="A22" s="246">
        <v>7.0</v>
      </c>
      <c r="B22" s="246">
        <v>500.0</v>
      </c>
      <c r="C22" s="246">
        <v>4310.0</v>
      </c>
      <c r="D22" s="246" t="b">
        <f t="shared" si="1"/>
        <v>0</v>
      </c>
      <c r="E22" s="276"/>
      <c r="F22" s="191"/>
      <c r="G22" s="191"/>
      <c r="H22" s="191"/>
      <c r="I22" s="282">
        <v>1.0</v>
      </c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AA22" s="281">
        <f t="shared" si="2"/>
        <v>8.62</v>
      </c>
    </row>
    <row r="23" ht="15.75" customHeight="1">
      <c r="A23" s="246">
        <v>8.0</v>
      </c>
      <c r="B23" s="246">
        <v>1000.0</v>
      </c>
      <c r="C23" s="246">
        <v>5310.0</v>
      </c>
      <c r="D23" s="246" t="b">
        <f t="shared" si="1"/>
        <v>0</v>
      </c>
      <c r="E23" s="276"/>
      <c r="F23" s="191"/>
      <c r="G23" s="191"/>
      <c r="H23" s="191"/>
      <c r="I23" s="191"/>
      <c r="J23" s="282">
        <v>1.0</v>
      </c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AA23" s="281">
        <f t="shared" si="2"/>
        <v>10.62</v>
      </c>
    </row>
    <row r="24" ht="15.75" customHeight="1">
      <c r="A24" s="246">
        <v>9.0</v>
      </c>
      <c r="B24" s="246">
        <v>3300.0</v>
      </c>
      <c r="C24" s="246">
        <v>8610.0</v>
      </c>
      <c r="D24" s="246" t="b">
        <f t="shared" si="1"/>
        <v>0</v>
      </c>
      <c r="E24" s="283">
        <v>20.0</v>
      </c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AA24" s="281">
        <f t="shared" si="2"/>
        <v>17.22</v>
      </c>
    </row>
    <row r="25" ht="15.75" customHeight="1">
      <c r="A25" s="246">
        <v>10.0</v>
      </c>
      <c r="B25" s="246">
        <v>1100.0</v>
      </c>
      <c r="C25" s="246">
        <v>9710.0</v>
      </c>
      <c r="D25" s="246" t="b">
        <f t="shared" si="1"/>
        <v>0</v>
      </c>
      <c r="E25" s="276"/>
      <c r="F25" s="191"/>
      <c r="G25" s="191"/>
      <c r="H25" s="191"/>
      <c r="I25" s="191"/>
      <c r="J25" s="191"/>
      <c r="K25" s="282">
        <v>1.0</v>
      </c>
      <c r="L25" s="282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AA25" s="281">
        <f t="shared" si="2"/>
        <v>19.42</v>
      </c>
    </row>
    <row r="26" ht="15.75" customHeight="1">
      <c r="A26" s="246">
        <v>11.0</v>
      </c>
      <c r="B26" s="246">
        <v>2200.0</v>
      </c>
      <c r="C26" s="246">
        <v>11910.0</v>
      </c>
      <c r="D26" s="246" t="b">
        <f t="shared" si="1"/>
        <v>0</v>
      </c>
      <c r="E26" s="276"/>
      <c r="F26" s="191"/>
      <c r="G26" s="191"/>
      <c r="H26" s="191"/>
      <c r="I26" s="191"/>
      <c r="J26" s="191"/>
      <c r="K26" s="191"/>
      <c r="L26" s="282">
        <v>1.0</v>
      </c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AA26" s="281">
        <f t="shared" si="2"/>
        <v>23.82</v>
      </c>
    </row>
    <row r="27" ht="15.75" customHeight="1">
      <c r="A27" s="246">
        <v>12.0</v>
      </c>
      <c r="B27" s="246">
        <v>6500.0</v>
      </c>
      <c r="C27" s="246">
        <v>18410.0</v>
      </c>
      <c r="D27" s="246" t="b">
        <f t="shared" si="1"/>
        <v>1</v>
      </c>
      <c r="E27" s="283"/>
      <c r="F27" s="191"/>
      <c r="G27" s="191"/>
      <c r="H27" s="191"/>
      <c r="I27" s="191"/>
      <c r="J27" s="191"/>
      <c r="K27" s="191"/>
      <c r="L27" s="191"/>
      <c r="M27" s="282">
        <v>1.0</v>
      </c>
      <c r="N27" s="191">
        <v>30.0</v>
      </c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AA27" s="281">
        <f t="shared" si="2"/>
        <v>36.82</v>
      </c>
    </row>
    <row r="28" ht="15.75" customHeight="1">
      <c r="A28" s="246">
        <v>13.0</v>
      </c>
      <c r="B28" s="246">
        <v>2200.0</v>
      </c>
      <c r="C28" s="246">
        <v>20610.0</v>
      </c>
      <c r="D28" s="246" t="b">
        <f t="shared" si="1"/>
        <v>0</v>
      </c>
      <c r="E28" s="276"/>
      <c r="F28" s="191"/>
      <c r="G28" s="191"/>
      <c r="H28" s="191"/>
      <c r="I28" s="191"/>
      <c r="J28" s="191"/>
      <c r="K28" s="191"/>
      <c r="L28" s="191"/>
      <c r="M28" s="191"/>
      <c r="N28" s="191"/>
      <c r="O28" s="191">
        <v>10.0</v>
      </c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AA28" s="281">
        <f t="shared" si="2"/>
        <v>41.22</v>
      </c>
    </row>
    <row r="29" ht="15.75" customHeight="1">
      <c r="A29" s="246">
        <v>14.0</v>
      </c>
      <c r="B29" s="246">
        <v>4400.0</v>
      </c>
      <c r="C29" s="246">
        <v>25010.0</v>
      </c>
      <c r="D29" s="246" t="b">
        <f t="shared" si="1"/>
        <v>0</v>
      </c>
      <c r="E29" s="276"/>
      <c r="F29" s="191"/>
      <c r="G29" s="191"/>
      <c r="H29" s="191">
        <v>2.0</v>
      </c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AA29" s="281">
        <f t="shared" si="2"/>
        <v>50.02</v>
      </c>
    </row>
    <row r="30" ht="15.75" customHeight="1">
      <c r="A30" s="246">
        <v>15.0</v>
      </c>
      <c r="B30" s="246">
        <v>13250.0</v>
      </c>
      <c r="C30" s="246">
        <v>38260.0</v>
      </c>
      <c r="D30" s="246" t="b">
        <f t="shared" si="1"/>
        <v>0</v>
      </c>
      <c r="E30" s="276"/>
      <c r="F30" s="191"/>
      <c r="G30" s="191"/>
      <c r="H30" s="191"/>
      <c r="I30" s="191">
        <v>1.0</v>
      </c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AA30" s="281">
        <f t="shared" si="2"/>
        <v>76.52</v>
      </c>
    </row>
    <row r="31" ht="15.75" customHeight="1">
      <c r="A31" s="246">
        <v>16.0</v>
      </c>
      <c r="B31" s="246">
        <v>3300.0</v>
      </c>
      <c r="C31" s="246">
        <v>41560.0</v>
      </c>
      <c r="D31" s="246" t="b">
        <f t="shared" si="1"/>
        <v>0</v>
      </c>
      <c r="E31" s="276"/>
      <c r="F31" s="191"/>
      <c r="G31" s="191"/>
      <c r="H31" s="191"/>
      <c r="I31" s="191"/>
      <c r="J31" s="191">
        <v>1.0</v>
      </c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AA31" s="281">
        <f t="shared" si="2"/>
        <v>83.12</v>
      </c>
    </row>
    <row r="32" ht="15.75" customHeight="1">
      <c r="A32" s="246">
        <v>17.0</v>
      </c>
      <c r="B32" s="246">
        <v>6500.0</v>
      </c>
      <c r="C32" s="246">
        <v>48060.0</v>
      </c>
      <c r="D32" s="246" t="b">
        <f t="shared" si="1"/>
        <v>0</v>
      </c>
      <c r="E32" s="276"/>
      <c r="F32" s="191"/>
      <c r="G32" s="191"/>
      <c r="H32" s="191"/>
      <c r="I32" s="191"/>
      <c r="J32" s="191"/>
      <c r="K32" s="282">
        <v>1.0</v>
      </c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AA32" s="281">
        <f t="shared" si="2"/>
        <v>96.12</v>
      </c>
    </row>
    <row r="33" ht="15.75" customHeight="1">
      <c r="A33" s="246">
        <v>18.0</v>
      </c>
      <c r="B33" s="246">
        <v>19750.0</v>
      </c>
      <c r="C33" s="246">
        <v>67810.0</v>
      </c>
      <c r="D33" s="246" t="b">
        <f t="shared" si="1"/>
        <v>1</v>
      </c>
      <c r="E33" s="283">
        <v>30.0</v>
      </c>
      <c r="F33" s="191"/>
      <c r="G33" s="191"/>
      <c r="H33" s="191"/>
      <c r="I33" s="191"/>
      <c r="J33" s="191"/>
      <c r="K33" s="191"/>
      <c r="L33" s="282">
        <v>1.0</v>
      </c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AA33" s="281">
        <f t="shared" si="2"/>
        <v>135.62</v>
      </c>
    </row>
    <row r="34" ht="15.75" customHeight="1">
      <c r="A34" s="246">
        <v>19.0</v>
      </c>
      <c r="B34" s="246">
        <v>4200.0</v>
      </c>
      <c r="C34" s="246">
        <v>72010.0</v>
      </c>
      <c r="D34" s="246" t="b">
        <f t="shared" si="1"/>
        <v>0</v>
      </c>
      <c r="E34" s="276"/>
      <c r="F34" s="191"/>
      <c r="G34" s="191"/>
      <c r="H34" s="191"/>
      <c r="I34" s="191"/>
      <c r="J34" s="191"/>
      <c r="K34" s="191"/>
      <c r="L34" s="191"/>
      <c r="M34" s="191"/>
      <c r="N34" s="282">
        <v>45.0</v>
      </c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AA34" s="281">
        <f t="shared" si="2"/>
        <v>144.02</v>
      </c>
    </row>
    <row r="35" ht="15.75" customHeight="1">
      <c r="A35" s="246">
        <v>20.0</v>
      </c>
      <c r="B35" s="246">
        <v>8250.0</v>
      </c>
      <c r="C35" s="246">
        <v>80260.0</v>
      </c>
      <c r="D35" s="246" t="b">
        <f t="shared" si="1"/>
        <v>0</v>
      </c>
      <c r="E35" s="276"/>
      <c r="F35" s="191"/>
      <c r="G35" s="191"/>
      <c r="H35" s="191">
        <v>2.0</v>
      </c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AA35" s="281">
        <f t="shared" si="2"/>
        <v>160.52</v>
      </c>
    </row>
    <row r="36" ht="15.75" customHeight="1">
      <c r="A36" s="246">
        <v>21.0</v>
      </c>
      <c r="B36" s="246">
        <v>22000.0</v>
      </c>
      <c r="C36" s="246">
        <v>102260.0</v>
      </c>
      <c r="D36" s="246" t="b">
        <f t="shared" si="1"/>
        <v>0</v>
      </c>
      <c r="E36" s="276"/>
      <c r="F36" s="191"/>
      <c r="G36" s="191"/>
      <c r="H36" s="191"/>
      <c r="I36" s="191"/>
      <c r="J36" s="191"/>
      <c r="K36" s="282"/>
      <c r="L36" s="282">
        <v>2.0</v>
      </c>
      <c r="M36" s="282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AA36" s="281">
        <f t="shared" si="2"/>
        <v>204.52</v>
      </c>
    </row>
    <row r="37" ht="15.75" customHeight="1">
      <c r="A37" s="246">
        <v>22.0</v>
      </c>
      <c r="B37" s="246">
        <v>6000.0</v>
      </c>
      <c r="C37" s="246">
        <v>108260.0</v>
      </c>
      <c r="D37" s="246" t="b">
        <f t="shared" si="1"/>
        <v>0</v>
      </c>
      <c r="E37" s="276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282">
        <v>10.0</v>
      </c>
      <c r="Q37" s="191"/>
      <c r="R37" s="191"/>
      <c r="S37" s="191"/>
      <c r="T37" s="191"/>
      <c r="U37" s="191"/>
      <c r="V37" s="191"/>
      <c r="W37" s="191"/>
      <c r="X37" s="191"/>
      <c r="Y37" s="191"/>
      <c r="AA37" s="281">
        <f t="shared" si="2"/>
        <v>216.52</v>
      </c>
    </row>
    <row r="38" ht="15.75" customHeight="1">
      <c r="A38" s="246">
        <v>23.0</v>
      </c>
      <c r="B38" s="246">
        <v>10500.0</v>
      </c>
      <c r="C38" s="246">
        <v>118760.0</v>
      </c>
      <c r="D38" s="246" t="b">
        <f t="shared" si="1"/>
        <v>0</v>
      </c>
      <c r="E38" s="276"/>
      <c r="F38" s="191"/>
      <c r="G38" s="191"/>
      <c r="H38" s="191"/>
      <c r="I38" s="191">
        <v>2.0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AA38" s="281">
        <f t="shared" si="2"/>
        <v>237.52</v>
      </c>
    </row>
    <row r="39" ht="15.75" customHeight="1">
      <c r="A39" s="246">
        <v>24.0</v>
      </c>
      <c r="B39" s="246">
        <v>33000.0</v>
      </c>
      <c r="C39" s="246">
        <v>151760.0</v>
      </c>
      <c r="D39" s="246" t="b">
        <f t="shared" si="1"/>
        <v>1</v>
      </c>
      <c r="E39" s="283">
        <v>100.0</v>
      </c>
      <c r="F39" s="191"/>
      <c r="G39" s="191"/>
      <c r="H39" s="191"/>
      <c r="I39" s="191"/>
      <c r="J39" s="191"/>
      <c r="K39" s="191">
        <v>2.0</v>
      </c>
      <c r="L39" s="191">
        <v>2.0</v>
      </c>
      <c r="M39" s="191">
        <v>2.0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AA39" s="281">
        <f t="shared" si="2"/>
        <v>303.52</v>
      </c>
    </row>
    <row r="40" ht="15.75" customHeight="1">
      <c r="A40" s="246">
        <v>25.0</v>
      </c>
      <c r="B40" s="246">
        <v>8750.0</v>
      </c>
      <c r="C40" s="246">
        <v>160510.0</v>
      </c>
      <c r="D40" s="246" t="b">
        <f t="shared" si="1"/>
        <v>0</v>
      </c>
      <c r="E40" s="276"/>
      <c r="F40" s="191"/>
      <c r="G40" s="191"/>
      <c r="H40" s="191"/>
      <c r="I40" s="191"/>
      <c r="J40" s="191"/>
      <c r="K40" s="191"/>
      <c r="L40" s="191"/>
      <c r="M40" s="191"/>
      <c r="N40" s="191">
        <v>60.0</v>
      </c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AA40" s="281">
        <f t="shared" si="2"/>
        <v>321.02</v>
      </c>
    </row>
    <row r="41" ht="15.75" customHeight="1">
      <c r="A41" s="246">
        <v>26.0</v>
      </c>
      <c r="B41" s="246">
        <v>14250.0</v>
      </c>
      <c r="C41" s="246">
        <v>174760.0</v>
      </c>
      <c r="D41" s="246" t="b">
        <f t="shared" si="1"/>
        <v>0</v>
      </c>
      <c r="E41" s="276"/>
      <c r="F41" s="191"/>
      <c r="G41" s="191"/>
      <c r="H41" s="191"/>
      <c r="I41" s="191"/>
      <c r="J41" s="191">
        <v>2.0</v>
      </c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AA41" s="281">
        <f t="shared" si="2"/>
        <v>349.52</v>
      </c>
    </row>
    <row r="42" ht="15.75" customHeight="1">
      <c r="A42" s="246">
        <v>27.0</v>
      </c>
      <c r="B42" s="246">
        <v>44000.0</v>
      </c>
      <c r="C42" s="246">
        <v>218760.0</v>
      </c>
      <c r="D42" s="246" t="b">
        <f t="shared" si="1"/>
        <v>0</v>
      </c>
      <c r="E42" s="283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AA42" s="281">
        <f t="shared" si="2"/>
        <v>437.52</v>
      </c>
    </row>
    <row r="43" ht="15.75" customHeight="1">
      <c r="A43" s="246">
        <v>28.0</v>
      </c>
      <c r="B43" s="246">
        <v>16500.0</v>
      </c>
      <c r="C43" s="246">
        <v>235260.0</v>
      </c>
      <c r="D43" s="246" t="b">
        <f t="shared" si="1"/>
        <v>0</v>
      </c>
      <c r="E43" s="276"/>
      <c r="F43" s="191"/>
      <c r="G43" s="191"/>
      <c r="H43" s="191"/>
      <c r="I43" s="191"/>
      <c r="J43" s="191"/>
      <c r="K43" s="191"/>
      <c r="L43" s="191"/>
      <c r="M43" s="191"/>
      <c r="N43" s="191">
        <v>60.0</v>
      </c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AA43" s="281">
        <f t="shared" si="2"/>
        <v>470.52</v>
      </c>
    </row>
    <row r="44" ht="15.75" customHeight="1">
      <c r="A44" s="246">
        <v>29.0</v>
      </c>
      <c r="B44" s="246">
        <v>34000.0</v>
      </c>
      <c r="C44" s="246">
        <v>269260.0</v>
      </c>
      <c r="D44" s="246" t="b">
        <f t="shared" si="1"/>
        <v>0</v>
      </c>
      <c r="E44" s="276"/>
      <c r="F44" s="191"/>
      <c r="G44" s="191"/>
      <c r="H44" s="191"/>
      <c r="I44" s="191"/>
      <c r="J44" s="191">
        <v>3.0</v>
      </c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AA44" s="281">
        <f t="shared" si="2"/>
        <v>538.52</v>
      </c>
    </row>
    <row r="45" ht="15.75" customHeight="1">
      <c r="A45" s="246">
        <v>30.0</v>
      </c>
      <c r="B45" s="246">
        <v>83000.0</v>
      </c>
      <c r="C45" s="246">
        <v>352260.0</v>
      </c>
      <c r="D45" s="246" t="b">
        <f t="shared" si="1"/>
        <v>1</v>
      </c>
      <c r="E45" s="283">
        <v>500.0</v>
      </c>
      <c r="F45" s="191"/>
      <c r="G45" s="191"/>
      <c r="H45" s="191"/>
      <c r="I45" s="191"/>
      <c r="J45" s="191"/>
      <c r="K45" s="191">
        <v>4.0</v>
      </c>
      <c r="L45" s="191">
        <v>4.0</v>
      </c>
      <c r="M45" s="191">
        <v>4.0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AA45" s="281">
        <f t="shared" si="2"/>
        <v>704.52</v>
      </c>
    </row>
    <row r="46" ht="15.75" customHeight="1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</row>
    <row r="47" ht="15.75" customHeight="1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</row>
    <row r="48" ht="15.75" customHeight="1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</row>
    <row r="49" ht="15.75" customHeight="1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</row>
    <row r="50" ht="15.7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</row>
  </sheetData>
  <conditionalFormatting sqref="E16:Y16">
    <cfRule type="expression" dxfId="6" priority="1">
      <formula>ISEVEN(ROW()-ROW($A$16)+1)</formula>
    </cfRule>
  </conditionalFormatting>
  <conditionalFormatting sqref="D16:D45">
    <cfRule type="cellIs" dxfId="5" priority="2" operator="equal">
      <formula>"TRUE"</formula>
    </cfRule>
  </conditionalFormatting>
  <conditionalFormatting sqref="A16:D45">
    <cfRule type="expression" dxfId="6" priority="3">
      <formula>ISEVEN(ROW()-10+1)</formula>
    </cfRule>
  </conditionalFormatting>
  <conditionalFormatting sqref="E16:Y45">
    <cfRule type="cellIs" dxfId="5" priority="4" stopIfTrue="1" operator="greaterThan">
      <formula>0</formula>
    </cfRule>
  </conditionalFormatting>
  <conditionalFormatting sqref="E16:Y45">
    <cfRule type="expression" dxfId="6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84">
        <v>46212.651105509256</v>
      </c>
      <c r="B1" s="5" t="s">
        <v>346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85"/>
      <c r="C2" s="285"/>
      <c r="D2" s="286" t="s">
        <v>347</v>
      </c>
      <c r="E2" s="287"/>
      <c r="F2" s="288"/>
      <c r="G2" s="285"/>
      <c r="H2" s="285"/>
      <c r="I2" s="285"/>
      <c r="J2" s="285"/>
      <c r="K2" s="286" t="s">
        <v>347</v>
      </c>
      <c r="L2" s="287"/>
      <c r="M2" s="288"/>
      <c r="N2" s="285"/>
      <c r="O2" s="285"/>
      <c r="P2" s="285"/>
      <c r="Q2" s="285"/>
      <c r="R2" s="286" t="s">
        <v>347</v>
      </c>
      <c r="S2" s="287"/>
      <c r="T2" s="288"/>
      <c r="U2" s="285"/>
      <c r="V2" s="285"/>
      <c r="W2" s="285"/>
      <c r="X2" s="285"/>
      <c r="Y2" s="286" t="s">
        <v>347</v>
      </c>
      <c r="Z2" s="287"/>
      <c r="AA2" s="288"/>
      <c r="AB2" s="285"/>
      <c r="AC2" s="285"/>
      <c r="AD2" s="285"/>
      <c r="AE2" s="285"/>
      <c r="AF2" s="286" t="s">
        <v>347</v>
      </c>
      <c r="AG2" s="287"/>
      <c r="AH2" s="288"/>
    </row>
    <row r="3">
      <c r="B3" s="289" t="s">
        <v>348</v>
      </c>
      <c r="C3" s="289" t="s">
        <v>349</v>
      </c>
      <c r="D3" s="289" t="s">
        <v>350</v>
      </c>
      <c r="E3" s="289" t="s">
        <v>351</v>
      </c>
      <c r="F3" s="289" t="s">
        <v>352</v>
      </c>
      <c r="G3" s="289" t="s">
        <v>353</v>
      </c>
      <c r="H3" s="289" t="s">
        <v>354</v>
      </c>
      <c r="I3" s="289" t="s">
        <v>348</v>
      </c>
      <c r="J3" s="289" t="s">
        <v>349</v>
      </c>
      <c r="K3" s="289" t="s">
        <v>350</v>
      </c>
      <c r="L3" s="289" t="s">
        <v>351</v>
      </c>
      <c r="M3" s="289" t="s">
        <v>352</v>
      </c>
      <c r="N3" s="289" t="s">
        <v>353</v>
      </c>
      <c r="O3" s="289" t="s">
        <v>354</v>
      </c>
      <c r="P3" s="289" t="s">
        <v>348</v>
      </c>
      <c r="Q3" s="289" t="s">
        <v>349</v>
      </c>
      <c r="R3" s="289" t="s">
        <v>350</v>
      </c>
      <c r="S3" s="289" t="s">
        <v>351</v>
      </c>
      <c r="T3" s="289" t="s">
        <v>352</v>
      </c>
      <c r="U3" s="289" t="s">
        <v>353</v>
      </c>
      <c r="V3" s="289" t="s">
        <v>354</v>
      </c>
      <c r="W3" s="289" t="s">
        <v>348</v>
      </c>
      <c r="X3" s="289" t="s">
        <v>349</v>
      </c>
      <c r="Y3" s="289" t="s">
        <v>350</v>
      </c>
      <c r="Z3" s="289" t="s">
        <v>351</v>
      </c>
      <c r="AA3" s="289" t="s">
        <v>352</v>
      </c>
      <c r="AB3" s="289" t="s">
        <v>353</v>
      </c>
      <c r="AC3" s="289" t="s">
        <v>354</v>
      </c>
      <c r="AD3" s="289" t="s">
        <v>348</v>
      </c>
      <c r="AE3" s="289" t="s">
        <v>355</v>
      </c>
      <c r="AF3" s="289" t="s">
        <v>350</v>
      </c>
      <c r="AG3" s="289" t="s">
        <v>351</v>
      </c>
      <c r="AH3" s="289" t="s">
        <v>352</v>
      </c>
    </row>
    <row r="4">
      <c r="B4" s="290">
        <v>1.0</v>
      </c>
      <c r="C4" s="290">
        <v>2.0</v>
      </c>
      <c r="D4" s="290">
        <v>3.0</v>
      </c>
      <c r="E4" s="290">
        <v>4.0</v>
      </c>
      <c r="F4" s="290">
        <v>5.0</v>
      </c>
      <c r="G4" s="290">
        <v>6.0</v>
      </c>
      <c r="H4" s="290">
        <v>7.0</v>
      </c>
      <c r="I4" s="290">
        <v>8.0</v>
      </c>
      <c r="J4" s="290">
        <v>9.0</v>
      </c>
      <c r="K4" s="290">
        <v>10.0</v>
      </c>
      <c r="L4" s="290">
        <v>11.0</v>
      </c>
      <c r="M4" s="290">
        <v>12.0</v>
      </c>
      <c r="N4" s="290">
        <v>13.0</v>
      </c>
      <c r="O4" s="290">
        <v>14.0</v>
      </c>
      <c r="P4" s="290">
        <v>15.0</v>
      </c>
      <c r="Q4" s="290">
        <v>16.0</v>
      </c>
      <c r="R4" s="290">
        <v>17.0</v>
      </c>
      <c r="S4" s="290">
        <v>18.0</v>
      </c>
      <c r="T4" s="290">
        <v>19.0</v>
      </c>
      <c r="U4" s="290">
        <v>20.0</v>
      </c>
      <c r="V4" s="290">
        <v>21.0</v>
      </c>
      <c r="W4" s="290">
        <v>22.0</v>
      </c>
      <c r="X4" s="290">
        <v>23.0</v>
      </c>
      <c r="Y4" s="290">
        <v>24.0</v>
      </c>
      <c r="Z4" s="290">
        <v>25.0</v>
      </c>
      <c r="AA4" s="290">
        <v>26.0</v>
      </c>
      <c r="AB4" s="290">
        <v>27.0</v>
      </c>
      <c r="AC4" s="290">
        <v>28.0</v>
      </c>
      <c r="AD4" s="290">
        <v>29.0</v>
      </c>
      <c r="AE4" s="290">
        <v>30.0</v>
      </c>
      <c r="AF4" s="290">
        <v>1.0</v>
      </c>
      <c r="AG4" s="290">
        <v>2.0</v>
      </c>
      <c r="AH4" s="290">
        <v>3.0</v>
      </c>
    </row>
    <row r="5">
      <c r="B5" s="291" t="s">
        <v>39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8"/>
      <c r="AF5" s="291" t="s">
        <v>39</v>
      </c>
      <c r="AG5" s="287"/>
      <c r="AH5" s="288"/>
    </row>
    <row r="6">
      <c r="B6" s="285"/>
      <c r="C6" s="285"/>
      <c r="D6" s="291" t="s">
        <v>42</v>
      </c>
      <c r="E6" s="287"/>
      <c r="F6" s="288"/>
      <c r="G6" s="285"/>
      <c r="H6" s="285"/>
      <c r="I6" s="285"/>
      <c r="J6" s="285"/>
      <c r="K6" s="291" t="s">
        <v>42</v>
      </c>
      <c r="L6" s="287"/>
      <c r="M6" s="288"/>
      <c r="N6" s="285"/>
      <c r="O6" s="285"/>
      <c r="P6" s="285"/>
      <c r="Q6" s="285"/>
      <c r="R6" s="291" t="s">
        <v>42</v>
      </c>
      <c r="S6" s="287"/>
      <c r="T6" s="288"/>
      <c r="U6" s="285"/>
      <c r="V6" s="285"/>
      <c r="W6" s="285"/>
      <c r="X6" s="285"/>
      <c r="Y6" s="291" t="s">
        <v>42</v>
      </c>
      <c r="Z6" s="287"/>
      <c r="AA6" s="288"/>
      <c r="AB6" s="285"/>
      <c r="AC6" s="285"/>
      <c r="AD6" s="285"/>
      <c r="AE6" s="285"/>
      <c r="AF6" s="291" t="s">
        <v>42</v>
      </c>
      <c r="AG6" s="287"/>
      <c r="AH6" s="288"/>
    </row>
    <row r="7">
      <c r="B7" s="291" t="s">
        <v>40</v>
      </c>
      <c r="C7" s="288"/>
      <c r="D7" s="285"/>
      <c r="E7" s="285"/>
      <c r="F7" s="285"/>
      <c r="G7" s="291" t="s">
        <v>40</v>
      </c>
      <c r="H7" s="287"/>
      <c r="I7" s="287"/>
      <c r="J7" s="288"/>
      <c r="K7" s="285"/>
      <c r="L7" s="285"/>
      <c r="M7" s="285"/>
      <c r="N7" s="291" t="s">
        <v>40</v>
      </c>
      <c r="O7" s="287"/>
      <c r="P7" s="287"/>
      <c r="Q7" s="288"/>
      <c r="R7" s="285"/>
      <c r="S7" s="285"/>
      <c r="T7" s="285"/>
      <c r="U7" s="291" t="s">
        <v>40</v>
      </c>
      <c r="V7" s="287"/>
      <c r="W7" s="287"/>
      <c r="X7" s="288"/>
      <c r="Y7" s="285"/>
      <c r="Z7" s="285"/>
      <c r="AA7" s="285"/>
      <c r="AB7" s="291" t="s">
        <v>40</v>
      </c>
      <c r="AC7" s="287"/>
      <c r="AD7" s="287"/>
      <c r="AE7" s="288"/>
      <c r="AF7" s="285"/>
      <c r="AG7" s="285"/>
      <c r="AH7" s="285"/>
    </row>
    <row r="8">
      <c r="B8" s="291" t="s">
        <v>41</v>
      </c>
      <c r="C8" s="287"/>
      <c r="D8" s="287"/>
      <c r="E8" s="287"/>
      <c r="F8" s="288"/>
      <c r="G8" s="291" t="s">
        <v>41</v>
      </c>
      <c r="H8" s="287"/>
      <c r="I8" s="287"/>
      <c r="J8" s="287"/>
      <c r="K8" s="287"/>
      <c r="L8" s="287"/>
      <c r="M8" s="288"/>
      <c r="N8" s="291" t="s">
        <v>41</v>
      </c>
      <c r="O8" s="287"/>
      <c r="P8" s="287"/>
      <c r="Q8" s="287"/>
      <c r="R8" s="287"/>
      <c r="S8" s="287"/>
      <c r="T8" s="288"/>
      <c r="U8" s="291" t="s">
        <v>41</v>
      </c>
      <c r="V8" s="287"/>
      <c r="W8" s="287"/>
      <c r="X8" s="287"/>
      <c r="Y8" s="287"/>
      <c r="Z8" s="287"/>
      <c r="AA8" s="288"/>
      <c r="AB8" s="291" t="s">
        <v>41</v>
      </c>
      <c r="AC8" s="287"/>
      <c r="AD8" s="287"/>
      <c r="AE8" s="287"/>
      <c r="AF8" s="287"/>
      <c r="AG8" s="287"/>
      <c r="AH8" s="288"/>
    </row>
    <row r="9" ht="33.75" customHeight="1">
      <c r="B9" s="292" t="s">
        <v>356</v>
      </c>
      <c r="C9" s="285"/>
      <c r="D9" s="292" t="s">
        <v>356</v>
      </c>
      <c r="E9" s="285"/>
      <c r="F9" s="292" t="s">
        <v>356</v>
      </c>
      <c r="G9" s="285"/>
      <c r="H9" s="285"/>
      <c r="I9" s="292" t="s">
        <v>356</v>
      </c>
      <c r="J9" s="285"/>
      <c r="K9" s="292" t="s">
        <v>356</v>
      </c>
      <c r="L9" s="285"/>
      <c r="M9" s="292" t="s">
        <v>356</v>
      </c>
      <c r="N9" s="285"/>
      <c r="O9" s="285"/>
      <c r="P9" s="292" t="s">
        <v>356</v>
      </c>
      <c r="Q9" s="285"/>
      <c r="R9" s="293" t="s">
        <v>356</v>
      </c>
      <c r="S9" s="294"/>
      <c r="T9" s="293" t="s">
        <v>356</v>
      </c>
      <c r="U9" s="294"/>
      <c r="V9" s="294"/>
      <c r="W9" s="293" t="s">
        <v>356</v>
      </c>
      <c r="X9" s="294"/>
      <c r="Y9" s="293" t="s">
        <v>356</v>
      </c>
      <c r="Z9" s="294"/>
      <c r="AA9" s="293" t="s">
        <v>356</v>
      </c>
      <c r="AB9" s="294"/>
      <c r="AC9" s="294"/>
      <c r="AD9" s="293" t="s">
        <v>356</v>
      </c>
      <c r="AE9" s="294"/>
      <c r="AF9" s="293" t="s">
        <v>356</v>
      </c>
      <c r="AG9" s="294"/>
      <c r="AH9" s="293" t="s">
        <v>356</v>
      </c>
    </row>
    <row r="10" ht="33.75" customHeight="1">
      <c r="B10" s="285"/>
      <c r="C10" s="292" t="s">
        <v>47</v>
      </c>
      <c r="D10" s="285"/>
      <c r="E10" s="285"/>
      <c r="F10" s="285"/>
      <c r="G10" s="285"/>
      <c r="H10" s="285"/>
      <c r="I10" s="285"/>
      <c r="J10" s="292" t="s">
        <v>47</v>
      </c>
      <c r="K10" s="285"/>
      <c r="L10" s="285"/>
      <c r="M10" s="285"/>
      <c r="N10" s="285"/>
      <c r="O10" s="285"/>
      <c r="P10" s="285"/>
      <c r="Q10" s="292" t="s">
        <v>47</v>
      </c>
      <c r="R10" s="285"/>
      <c r="S10" s="285"/>
      <c r="T10" s="285"/>
      <c r="U10" s="285"/>
      <c r="V10" s="285"/>
      <c r="W10" s="285"/>
      <c r="X10" s="292" t="s">
        <v>47</v>
      </c>
      <c r="Y10" s="285"/>
      <c r="Z10" s="285"/>
      <c r="AA10" s="285"/>
      <c r="AB10" s="285"/>
      <c r="AC10" s="285"/>
      <c r="AD10" s="285"/>
      <c r="AE10" s="292" t="s">
        <v>47</v>
      </c>
      <c r="AF10" s="285"/>
      <c r="AG10" s="285"/>
      <c r="AH10" s="285"/>
    </row>
    <row r="11" ht="33.75" customHeight="1">
      <c r="B11" s="285"/>
      <c r="C11" s="285"/>
      <c r="E11" s="295" t="s">
        <v>48</v>
      </c>
      <c r="F11" s="285"/>
      <c r="G11" s="285"/>
      <c r="H11" s="285"/>
      <c r="I11" s="285"/>
      <c r="J11" s="285"/>
      <c r="K11" s="285"/>
      <c r="L11" s="285"/>
      <c r="M11" s="285"/>
      <c r="N11" s="295" t="s">
        <v>48</v>
      </c>
      <c r="O11" s="285"/>
      <c r="P11" s="285"/>
      <c r="Q11" s="285"/>
      <c r="R11" s="285"/>
      <c r="S11" s="285"/>
      <c r="T11" s="285"/>
      <c r="U11" s="295" t="s">
        <v>48</v>
      </c>
      <c r="V11" s="285"/>
      <c r="W11" s="285"/>
      <c r="X11" s="285"/>
      <c r="Y11" s="285"/>
      <c r="Z11" s="285"/>
      <c r="AA11" s="285"/>
      <c r="AB11" s="295" t="s">
        <v>48</v>
      </c>
      <c r="AC11" s="285"/>
      <c r="AD11" s="285"/>
      <c r="AE11" s="285"/>
      <c r="AF11" s="285"/>
      <c r="AG11" s="285"/>
      <c r="AH11" s="285"/>
    </row>
    <row r="12" ht="33.75" customHeight="1">
      <c r="B12" s="285"/>
      <c r="C12" s="296" t="s">
        <v>49</v>
      </c>
      <c r="D12" s="285"/>
      <c r="E12" s="296" t="s">
        <v>49</v>
      </c>
      <c r="F12" s="285"/>
      <c r="G12" s="296" t="s">
        <v>49</v>
      </c>
      <c r="H12" s="296" t="s">
        <v>49</v>
      </c>
      <c r="I12" s="285"/>
      <c r="J12" s="296" t="s">
        <v>49</v>
      </c>
      <c r="K12" s="285"/>
      <c r="L12" s="296" t="s">
        <v>49</v>
      </c>
      <c r="M12" s="285"/>
      <c r="N12" s="296" t="s">
        <v>49</v>
      </c>
      <c r="O12" s="296" t="s">
        <v>49</v>
      </c>
      <c r="P12" s="285"/>
      <c r="Q12" s="296" t="s">
        <v>49</v>
      </c>
      <c r="R12" s="285"/>
      <c r="S12" s="296" t="s">
        <v>49</v>
      </c>
      <c r="T12" s="285"/>
      <c r="U12" s="296" t="s">
        <v>49</v>
      </c>
      <c r="V12" s="296" t="s">
        <v>49</v>
      </c>
      <c r="W12" s="285"/>
      <c r="X12" s="296" t="s">
        <v>49</v>
      </c>
      <c r="Y12" s="285"/>
      <c r="Z12" s="296" t="s">
        <v>49</v>
      </c>
      <c r="AA12" s="285"/>
      <c r="AB12" s="296" t="s">
        <v>49</v>
      </c>
      <c r="AC12" s="296" t="s">
        <v>49</v>
      </c>
      <c r="AD12" s="285"/>
      <c r="AE12" s="296" t="s">
        <v>49</v>
      </c>
      <c r="AF12" s="285"/>
      <c r="AG12" s="296" t="s">
        <v>49</v>
      </c>
      <c r="AH12" s="285"/>
    </row>
    <row r="13" ht="33.75" customHeight="1">
      <c r="B13" s="285"/>
      <c r="C13" s="285"/>
      <c r="D13" s="285"/>
      <c r="E13" s="295" t="s">
        <v>50</v>
      </c>
      <c r="F13" s="285"/>
      <c r="G13" s="285"/>
      <c r="H13" s="285"/>
      <c r="I13" s="285"/>
      <c r="J13" s="285"/>
      <c r="K13" s="285"/>
      <c r="L13" s="285"/>
      <c r="M13" s="285"/>
      <c r="N13" s="295" t="s">
        <v>50</v>
      </c>
      <c r="O13" s="285"/>
      <c r="P13" s="285"/>
      <c r="Q13" s="285"/>
      <c r="R13" s="285"/>
      <c r="S13" s="285"/>
      <c r="T13" s="285"/>
      <c r="U13" s="295" t="s">
        <v>50</v>
      </c>
      <c r="V13" s="285"/>
      <c r="W13" s="285"/>
      <c r="X13" s="285"/>
      <c r="Y13" s="285"/>
      <c r="Z13" s="285"/>
      <c r="AA13" s="285"/>
      <c r="AB13" s="295" t="s">
        <v>50</v>
      </c>
      <c r="AC13" s="285"/>
      <c r="AD13" s="285"/>
      <c r="AE13" s="285"/>
      <c r="AF13" s="285"/>
      <c r="AG13" s="285"/>
      <c r="AH13" s="285"/>
    </row>
    <row r="14" ht="33.75" customHeight="1">
      <c r="B14" s="285"/>
      <c r="C14" s="285"/>
      <c r="D14" s="285"/>
      <c r="E14" s="285"/>
      <c r="F14" s="295" t="s">
        <v>51</v>
      </c>
      <c r="G14" s="285"/>
      <c r="H14" s="285"/>
      <c r="I14" s="285"/>
      <c r="J14" s="285"/>
      <c r="K14" s="285"/>
      <c r="L14" s="285"/>
      <c r="M14" s="285"/>
      <c r="N14" s="285"/>
      <c r="O14" s="295" t="s">
        <v>51</v>
      </c>
      <c r="P14" s="285"/>
      <c r="Q14" s="285"/>
      <c r="R14" s="285"/>
      <c r="S14" s="285"/>
      <c r="T14" s="285"/>
      <c r="U14" s="285"/>
      <c r="V14" s="295" t="s">
        <v>51</v>
      </c>
      <c r="W14" s="285"/>
      <c r="X14" s="285"/>
      <c r="Y14" s="285"/>
      <c r="Z14" s="285"/>
      <c r="AA14" s="285"/>
      <c r="AB14" s="285"/>
      <c r="AC14" s="295" t="s">
        <v>51</v>
      </c>
      <c r="AD14" s="285"/>
      <c r="AE14" s="285"/>
      <c r="AF14" s="285"/>
      <c r="AG14" s="285"/>
      <c r="AH14" s="285"/>
    </row>
    <row r="15" ht="33.75" customHeight="1">
      <c r="B15" s="285"/>
      <c r="C15" s="285"/>
      <c r="D15" s="295" t="s">
        <v>43</v>
      </c>
      <c r="E15" s="287"/>
      <c r="F15" s="287"/>
      <c r="G15" s="287"/>
      <c r="H15" s="287"/>
      <c r="I15" s="287"/>
      <c r="J15" s="288"/>
      <c r="K15" s="285"/>
      <c r="L15" s="285"/>
      <c r="M15" s="285"/>
      <c r="N15" s="285"/>
      <c r="O15" s="285"/>
      <c r="P15" s="285"/>
      <c r="Q15" s="285"/>
      <c r="R15" s="295" t="s">
        <v>43</v>
      </c>
      <c r="S15" s="287"/>
      <c r="T15" s="287"/>
      <c r="U15" s="287"/>
      <c r="V15" s="287"/>
      <c r="W15" s="287"/>
      <c r="X15" s="288"/>
      <c r="Y15" s="285"/>
      <c r="Z15" s="285"/>
      <c r="AA15" s="285"/>
      <c r="AB15" s="285"/>
      <c r="AC15" s="285"/>
      <c r="AD15" s="285"/>
      <c r="AE15" s="285"/>
      <c r="AF15" s="295" t="s">
        <v>43</v>
      </c>
      <c r="AG15" s="287"/>
      <c r="AH15" s="287"/>
    </row>
    <row r="16" ht="33.75" customHeight="1">
      <c r="B16" s="291" t="s">
        <v>33</v>
      </c>
      <c r="C16" s="287"/>
      <c r="D16" s="287"/>
      <c r="E16" s="287"/>
      <c r="F16" s="288"/>
      <c r="G16" s="291" t="s">
        <v>33</v>
      </c>
      <c r="H16" s="287"/>
      <c r="I16" s="287"/>
      <c r="J16" s="287"/>
      <c r="K16" s="287"/>
      <c r="L16" s="287"/>
      <c r="M16" s="288"/>
      <c r="N16" s="291" t="s">
        <v>33</v>
      </c>
      <c r="O16" s="287"/>
      <c r="P16" s="287"/>
      <c r="Q16" s="287"/>
      <c r="R16" s="287"/>
      <c r="S16" s="287"/>
      <c r="T16" s="288"/>
      <c r="U16" s="291" t="s">
        <v>33</v>
      </c>
      <c r="V16" s="287"/>
      <c r="W16" s="287"/>
      <c r="X16" s="287"/>
      <c r="Y16" s="287"/>
      <c r="Z16" s="287"/>
      <c r="AA16" s="288"/>
      <c r="AB16" s="291" t="s">
        <v>33</v>
      </c>
      <c r="AC16" s="287"/>
      <c r="AD16" s="287"/>
      <c r="AE16" s="287"/>
      <c r="AF16" s="287"/>
      <c r="AG16" s="287"/>
      <c r="AH16" s="288"/>
    </row>
    <row r="17" ht="33.75" customHeight="1">
      <c r="B17" s="295" t="s">
        <v>34</v>
      </c>
      <c r="C17" s="287"/>
      <c r="D17" s="288"/>
      <c r="E17" s="285"/>
      <c r="F17" s="285"/>
      <c r="G17" s="285"/>
      <c r="H17" s="295" t="s">
        <v>35</v>
      </c>
      <c r="I17" s="287"/>
      <c r="J17" s="287"/>
      <c r="K17" s="288"/>
      <c r="L17" s="285"/>
      <c r="M17" s="285"/>
      <c r="N17" s="285"/>
      <c r="O17" s="295" t="s">
        <v>34</v>
      </c>
      <c r="P17" s="287"/>
      <c r="Q17" s="287"/>
      <c r="R17" s="288"/>
      <c r="S17" s="285"/>
      <c r="T17" s="285"/>
      <c r="U17" s="285"/>
      <c r="V17" s="295" t="s">
        <v>36</v>
      </c>
      <c r="W17" s="287"/>
      <c r="X17" s="287"/>
      <c r="Y17" s="288"/>
      <c r="Z17" s="285"/>
      <c r="AA17" s="285"/>
      <c r="AB17" s="285"/>
      <c r="AC17" s="295" t="s">
        <v>34</v>
      </c>
      <c r="AD17" s="287"/>
      <c r="AE17" s="287"/>
      <c r="AF17" s="288"/>
      <c r="AG17" s="285"/>
      <c r="AH17" s="285"/>
    </row>
    <row r="18" ht="33.75" customHeight="1"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</row>
    <row r="19" ht="33.75" customHeight="1">
      <c r="B19" s="297" t="s">
        <v>32</v>
      </c>
      <c r="C19" s="288"/>
      <c r="D19" s="285"/>
      <c r="E19" s="285"/>
      <c r="F19" s="285"/>
      <c r="G19" s="285"/>
      <c r="H19" s="285"/>
      <c r="I19" s="285"/>
      <c r="J19" s="285"/>
      <c r="K19" s="297" t="s">
        <v>32</v>
      </c>
      <c r="L19" s="287"/>
      <c r="M19" s="287"/>
      <c r="N19" s="287"/>
      <c r="O19" s="287"/>
      <c r="P19" s="287"/>
      <c r="Q19" s="288"/>
      <c r="R19" s="285"/>
      <c r="S19" s="285"/>
      <c r="T19" s="285"/>
      <c r="U19" s="285"/>
      <c r="V19" s="285"/>
      <c r="W19" s="285"/>
      <c r="X19" s="285"/>
      <c r="Y19" s="297" t="s">
        <v>32</v>
      </c>
      <c r="Z19" s="287"/>
      <c r="AA19" s="287"/>
      <c r="AB19" s="287"/>
      <c r="AC19" s="287"/>
      <c r="AD19" s="287"/>
      <c r="AE19" s="288"/>
      <c r="AF19" s="285"/>
      <c r="AG19" s="285"/>
      <c r="AH19" s="285"/>
    </row>
    <row r="20" ht="33.75" customHeight="1">
      <c r="B20" s="285"/>
      <c r="C20" s="285"/>
      <c r="D20" s="285"/>
      <c r="E20" s="295" t="s">
        <v>44</v>
      </c>
      <c r="F20" s="287"/>
      <c r="G20" s="287"/>
      <c r="H20" s="285"/>
      <c r="I20" s="285"/>
      <c r="J20" s="285"/>
      <c r="K20" s="285"/>
      <c r="L20" s="295" t="s">
        <v>44</v>
      </c>
      <c r="M20" s="287"/>
      <c r="N20" s="287"/>
      <c r="O20" s="285"/>
      <c r="P20" s="285"/>
      <c r="Q20" s="285"/>
      <c r="R20" s="285"/>
      <c r="S20" s="295" t="s">
        <v>44</v>
      </c>
      <c r="T20" s="287"/>
      <c r="U20" s="287"/>
      <c r="V20" s="285"/>
      <c r="W20" s="285"/>
      <c r="X20" s="285"/>
      <c r="Y20" s="285"/>
      <c r="Z20" s="295" t="s">
        <v>44</v>
      </c>
      <c r="AA20" s="287"/>
      <c r="AB20" s="287"/>
      <c r="AC20" s="285"/>
      <c r="AD20" s="285"/>
      <c r="AE20" s="285"/>
      <c r="AF20" s="285"/>
      <c r="AG20" s="295" t="s">
        <v>44</v>
      </c>
      <c r="AH20" s="287"/>
    </row>
    <row r="21" ht="33.75" customHeight="1">
      <c r="B21" s="296" t="s">
        <v>52</v>
      </c>
      <c r="C21" s="296" t="s">
        <v>52</v>
      </c>
      <c r="D21" s="296" t="s">
        <v>52</v>
      </c>
      <c r="E21" s="296" t="s">
        <v>52</v>
      </c>
      <c r="F21" s="296" t="s">
        <v>52</v>
      </c>
      <c r="G21" s="296" t="s">
        <v>52</v>
      </c>
      <c r="H21" s="296" t="s">
        <v>52</v>
      </c>
      <c r="I21" s="296" t="s">
        <v>52</v>
      </c>
      <c r="J21" s="296" t="s">
        <v>52</v>
      </c>
      <c r="K21" s="296" t="s">
        <v>52</v>
      </c>
      <c r="L21" s="296" t="s">
        <v>52</v>
      </c>
      <c r="M21" s="296" t="s">
        <v>52</v>
      </c>
      <c r="N21" s="296" t="s">
        <v>52</v>
      </c>
      <c r="O21" s="296" t="s">
        <v>52</v>
      </c>
      <c r="P21" s="296" t="s">
        <v>52</v>
      </c>
      <c r="Q21" s="296" t="s">
        <v>52</v>
      </c>
      <c r="R21" s="296" t="s">
        <v>52</v>
      </c>
      <c r="S21" s="296" t="s">
        <v>52</v>
      </c>
      <c r="T21" s="296" t="s">
        <v>52</v>
      </c>
      <c r="U21" s="296" t="s">
        <v>52</v>
      </c>
      <c r="V21" s="296" t="s">
        <v>52</v>
      </c>
      <c r="W21" s="296" t="s">
        <v>52</v>
      </c>
      <c r="X21" s="296" t="s">
        <v>52</v>
      </c>
      <c r="Y21" s="296" t="s">
        <v>52</v>
      </c>
      <c r="Z21" s="296" t="s">
        <v>52</v>
      </c>
      <c r="AA21" s="296" t="s">
        <v>52</v>
      </c>
      <c r="AB21" s="296" t="s">
        <v>52</v>
      </c>
      <c r="AC21" s="296" t="s">
        <v>52</v>
      </c>
      <c r="AD21" s="296" t="s">
        <v>52</v>
      </c>
      <c r="AE21" s="296" t="s">
        <v>52</v>
      </c>
      <c r="AF21" s="296" t="s">
        <v>52</v>
      </c>
      <c r="AG21" s="296" t="s">
        <v>52</v>
      </c>
      <c r="AH21" s="296" t="s">
        <v>52</v>
      </c>
    </row>
    <row r="22"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</row>
    <row r="23">
      <c r="B23" s="298" t="s">
        <v>38</v>
      </c>
      <c r="C23" s="287"/>
      <c r="D23" s="287"/>
      <c r="E23" s="287"/>
      <c r="F23" s="288"/>
      <c r="G23" s="298" t="s">
        <v>38</v>
      </c>
      <c r="H23" s="287"/>
      <c r="I23" s="287"/>
      <c r="J23" s="287"/>
      <c r="K23" s="287"/>
      <c r="L23" s="287"/>
      <c r="M23" s="288"/>
      <c r="N23" s="298" t="s">
        <v>38</v>
      </c>
      <c r="O23" s="287"/>
      <c r="P23" s="287"/>
      <c r="Q23" s="287"/>
      <c r="R23" s="287"/>
      <c r="S23" s="287"/>
      <c r="T23" s="288"/>
      <c r="U23" s="298" t="s">
        <v>38</v>
      </c>
      <c r="V23" s="287"/>
      <c r="W23" s="287"/>
      <c r="X23" s="287"/>
      <c r="Y23" s="287"/>
      <c r="Z23" s="287"/>
      <c r="AA23" s="288"/>
      <c r="AB23" s="298" t="s">
        <v>38</v>
      </c>
      <c r="AC23" s="287"/>
      <c r="AD23" s="287"/>
      <c r="AE23" s="287"/>
      <c r="AF23" s="287"/>
      <c r="AG23" s="287"/>
      <c r="AH23" s="288"/>
    </row>
    <row r="24">
      <c r="B24" s="285"/>
      <c r="C24" s="285"/>
      <c r="D24" s="298" t="s">
        <v>37</v>
      </c>
      <c r="E24" s="287"/>
      <c r="F24" s="288"/>
      <c r="G24" s="285"/>
      <c r="H24" s="285"/>
      <c r="I24" s="285"/>
      <c r="J24" s="285"/>
      <c r="K24" s="298" t="s">
        <v>37</v>
      </c>
      <c r="L24" s="287"/>
      <c r="M24" s="288"/>
      <c r="N24" s="285"/>
      <c r="O24" s="285"/>
      <c r="P24" s="285"/>
      <c r="Q24" s="285"/>
      <c r="R24" s="298" t="s">
        <v>37</v>
      </c>
      <c r="S24" s="287"/>
      <c r="T24" s="288"/>
      <c r="U24" s="285"/>
      <c r="V24" s="285"/>
      <c r="W24" s="285"/>
      <c r="X24" s="285"/>
      <c r="Y24" s="298" t="s">
        <v>37</v>
      </c>
      <c r="Z24" s="287"/>
      <c r="AA24" s="288"/>
      <c r="AB24" s="285"/>
      <c r="AC24" s="285"/>
      <c r="AD24" s="285"/>
      <c r="AE24" s="285"/>
      <c r="AF24" s="298" t="s">
        <v>37</v>
      </c>
      <c r="AG24" s="287"/>
      <c r="AH24" s="288"/>
    </row>
    <row r="25">
      <c r="B25" s="285"/>
      <c r="C25" s="285"/>
      <c r="D25" s="285"/>
      <c r="E25" s="298" t="s">
        <v>45</v>
      </c>
      <c r="F25" s="288"/>
      <c r="G25" s="285"/>
      <c r="H25" s="285"/>
      <c r="I25" s="285"/>
      <c r="J25" s="285"/>
      <c r="K25" s="285"/>
      <c r="L25" s="298" t="s">
        <v>45</v>
      </c>
      <c r="M25" s="288"/>
      <c r="N25" s="285"/>
      <c r="O25" s="285"/>
      <c r="P25" s="285"/>
      <c r="Q25" s="285"/>
      <c r="R25" s="285"/>
      <c r="S25" s="298" t="s">
        <v>45</v>
      </c>
      <c r="T25" s="288"/>
      <c r="U25" s="285"/>
      <c r="V25" s="285"/>
      <c r="W25" s="285"/>
      <c r="X25" s="285"/>
      <c r="Y25" s="285"/>
      <c r="Z25" s="298" t="s">
        <v>45</v>
      </c>
      <c r="AA25" s="288"/>
      <c r="AB25" s="285"/>
      <c r="AC25" s="285"/>
      <c r="AD25" s="285"/>
      <c r="AE25" s="285"/>
      <c r="AF25" s="285"/>
      <c r="AG25" s="298" t="s">
        <v>45</v>
      </c>
      <c r="AH25" s="288"/>
    </row>
    <row r="29"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285"/>
      <c r="C2" s="285"/>
      <c r="D2" s="286" t="s">
        <v>347</v>
      </c>
      <c r="E2" s="287"/>
      <c r="F2" s="288"/>
      <c r="G2" s="285"/>
      <c r="H2" s="285"/>
      <c r="I2" s="285"/>
      <c r="J2" s="285"/>
      <c r="K2" s="286" t="s">
        <v>347</v>
      </c>
      <c r="L2" s="287"/>
      <c r="M2" s="288"/>
      <c r="N2" s="285"/>
      <c r="O2" s="285"/>
      <c r="P2" s="285"/>
      <c r="Q2" s="285"/>
      <c r="R2" s="286" t="s">
        <v>347</v>
      </c>
      <c r="S2" s="287"/>
      <c r="T2" s="288"/>
      <c r="U2" s="285"/>
      <c r="V2" s="285"/>
      <c r="W2" s="285"/>
      <c r="X2" s="285"/>
      <c r="Y2" s="286" t="s">
        <v>347</v>
      </c>
      <c r="Z2" s="287"/>
      <c r="AA2" s="288"/>
      <c r="AB2" s="285"/>
      <c r="AC2" s="285"/>
      <c r="AD2" s="285"/>
      <c r="AE2" s="285"/>
      <c r="AF2" s="286" t="s">
        <v>347</v>
      </c>
      <c r="AG2" s="287"/>
      <c r="AH2" s="288"/>
    </row>
    <row r="3">
      <c r="B3" s="289" t="s">
        <v>348</v>
      </c>
      <c r="C3" s="289" t="s">
        <v>349</v>
      </c>
      <c r="D3" s="289" t="s">
        <v>350</v>
      </c>
      <c r="E3" s="289" t="s">
        <v>351</v>
      </c>
      <c r="F3" s="289" t="s">
        <v>352</v>
      </c>
      <c r="G3" s="289" t="s">
        <v>353</v>
      </c>
      <c r="H3" s="289" t="s">
        <v>354</v>
      </c>
      <c r="I3" s="289" t="s">
        <v>348</v>
      </c>
      <c r="J3" s="289" t="s">
        <v>349</v>
      </c>
      <c r="K3" s="289" t="s">
        <v>350</v>
      </c>
      <c r="L3" s="289" t="s">
        <v>351</v>
      </c>
      <c r="M3" s="289" t="s">
        <v>352</v>
      </c>
      <c r="N3" s="289" t="s">
        <v>353</v>
      </c>
      <c r="O3" s="289" t="s">
        <v>354</v>
      </c>
      <c r="P3" s="289" t="s">
        <v>348</v>
      </c>
      <c r="Q3" s="289" t="s">
        <v>349</v>
      </c>
      <c r="R3" s="289" t="s">
        <v>350</v>
      </c>
      <c r="S3" s="289" t="s">
        <v>351</v>
      </c>
      <c r="T3" s="289" t="s">
        <v>352</v>
      </c>
      <c r="U3" s="289" t="s">
        <v>353</v>
      </c>
      <c r="V3" s="289" t="s">
        <v>354</v>
      </c>
      <c r="W3" s="289" t="s">
        <v>348</v>
      </c>
      <c r="X3" s="289" t="s">
        <v>349</v>
      </c>
      <c r="Y3" s="289" t="s">
        <v>350</v>
      </c>
      <c r="Z3" s="289" t="s">
        <v>351</v>
      </c>
      <c r="AA3" s="289" t="s">
        <v>352</v>
      </c>
      <c r="AB3" s="289" t="s">
        <v>353</v>
      </c>
      <c r="AC3" s="289" t="s">
        <v>354</v>
      </c>
      <c r="AD3" s="289" t="s">
        <v>348</v>
      </c>
      <c r="AE3" s="289" t="s">
        <v>355</v>
      </c>
      <c r="AF3" s="289" t="s">
        <v>350</v>
      </c>
      <c r="AG3" s="289" t="s">
        <v>351</v>
      </c>
      <c r="AH3" s="289" t="s">
        <v>352</v>
      </c>
    </row>
    <row r="4">
      <c r="B4" s="290">
        <v>1.0</v>
      </c>
      <c r="C4" s="290">
        <v>2.0</v>
      </c>
      <c r="D4" s="290">
        <v>3.0</v>
      </c>
      <c r="E4" s="290">
        <v>4.0</v>
      </c>
      <c r="F4" s="290">
        <v>5.0</v>
      </c>
      <c r="G4" s="290">
        <v>6.0</v>
      </c>
      <c r="H4" s="290">
        <v>7.0</v>
      </c>
      <c r="I4" s="290">
        <v>8.0</v>
      </c>
      <c r="J4" s="290">
        <v>9.0</v>
      </c>
      <c r="K4" s="290">
        <v>10.0</v>
      </c>
      <c r="L4" s="290">
        <v>11.0</v>
      </c>
      <c r="M4" s="290">
        <v>12.0</v>
      </c>
      <c r="N4" s="290">
        <v>13.0</v>
      </c>
      <c r="O4" s="290">
        <v>14.0</v>
      </c>
      <c r="P4" s="290">
        <v>15.0</v>
      </c>
      <c r="Q4" s="290">
        <v>16.0</v>
      </c>
      <c r="R4" s="290">
        <v>17.0</v>
      </c>
      <c r="S4" s="290">
        <v>18.0</v>
      </c>
      <c r="T4" s="290">
        <v>19.0</v>
      </c>
      <c r="U4" s="290">
        <v>20.0</v>
      </c>
      <c r="V4" s="290">
        <v>21.0</v>
      </c>
      <c r="W4" s="290">
        <v>22.0</v>
      </c>
      <c r="X4" s="290">
        <v>23.0</v>
      </c>
      <c r="Y4" s="290">
        <v>24.0</v>
      </c>
      <c r="Z4" s="290">
        <v>25.0</v>
      </c>
      <c r="AA4" s="290">
        <v>26.0</v>
      </c>
      <c r="AB4" s="290">
        <v>27.0</v>
      </c>
      <c r="AC4" s="290">
        <v>28.0</v>
      </c>
      <c r="AD4" s="290">
        <v>29.0</v>
      </c>
      <c r="AE4" s="290">
        <v>30.0</v>
      </c>
      <c r="AF4" s="290">
        <v>1.0</v>
      </c>
      <c r="AG4" s="290">
        <v>2.0</v>
      </c>
      <c r="AH4" s="290">
        <v>3.0</v>
      </c>
    </row>
    <row r="5">
      <c r="B5" s="291" t="s">
        <v>39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8"/>
      <c r="AF5" s="291" t="s">
        <v>39</v>
      </c>
      <c r="AG5" s="287"/>
      <c r="AH5" s="288"/>
    </row>
    <row r="6">
      <c r="B6" s="285"/>
      <c r="C6" s="285"/>
      <c r="D6" s="291" t="s">
        <v>42</v>
      </c>
      <c r="E6" s="287"/>
      <c r="F6" s="288"/>
      <c r="G6" s="285"/>
      <c r="H6" s="285"/>
      <c r="I6" s="285"/>
      <c r="J6" s="285"/>
      <c r="K6" s="291" t="s">
        <v>42</v>
      </c>
      <c r="L6" s="287"/>
      <c r="M6" s="288"/>
      <c r="N6" s="285"/>
      <c r="O6" s="285"/>
      <c r="P6" s="285"/>
      <c r="Q6" s="285"/>
      <c r="R6" s="291" t="s">
        <v>42</v>
      </c>
      <c r="S6" s="287"/>
      <c r="T6" s="288"/>
      <c r="U6" s="285"/>
      <c r="V6" s="285"/>
      <c r="W6" s="285"/>
      <c r="X6" s="285"/>
      <c r="Y6" s="291" t="s">
        <v>42</v>
      </c>
      <c r="Z6" s="287"/>
      <c r="AA6" s="288"/>
      <c r="AB6" s="285"/>
      <c r="AC6" s="285"/>
      <c r="AD6" s="285"/>
      <c r="AE6" s="285"/>
      <c r="AF6" s="291" t="s">
        <v>42</v>
      </c>
      <c r="AG6" s="287"/>
      <c r="AH6" s="288"/>
    </row>
    <row r="7">
      <c r="B7" s="291" t="s">
        <v>40</v>
      </c>
      <c r="C7" s="288"/>
      <c r="D7" s="285"/>
      <c r="E7" s="285"/>
      <c r="F7" s="285"/>
      <c r="G7" s="291" t="s">
        <v>40</v>
      </c>
      <c r="H7" s="287"/>
      <c r="I7" s="287"/>
      <c r="J7" s="288"/>
      <c r="K7" s="285"/>
      <c r="L7" s="285"/>
      <c r="M7" s="285"/>
      <c r="N7" s="291" t="s">
        <v>40</v>
      </c>
      <c r="O7" s="287"/>
      <c r="P7" s="287"/>
      <c r="Q7" s="288"/>
      <c r="R7" s="285"/>
      <c r="S7" s="285"/>
      <c r="T7" s="285"/>
      <c r="U7" s="291" t="s">
        <v>40</v>
      </c>
      <c r="V7" s="287"/>
      <c r="W7" s="287"/>
      <c r="X7" s="288"/>
      <c r="Y7" s="285"/>
      <c r="Z7" s="285"/>
      <c r="AA7" s="285"/>
      <c r="AB7" s="291" t="s">
        <v>40</v>
      </c>
      <c r="AC7" s="287"/>
      <c r="AD7" s="287"/>
      <c r="AE7" s="288"/>
      <c r="AF7" s="285"/>
      <c r="AG7" s="285"/>
      <c r="AH7" s="285"/>
    </row>
    <row r="8">
      <c r="B8" s="291" t="s">
        <v>41</v>
      </c>
      <c r="C8" s="287"/>
      <c r="D8" s="287"/>
      <c r="E8" s="287"/>
      <c r="F8" s="288"/>
      <c r="G8" s="291" t="s">
        <v>41</v>
      </c>
      <c r="H8" s="287"/>
      <c r="I8" s="287"/>
      <c r="J8" s="287"/>
      <c r="K8" s="287"/>
      <c r="L8" s="287"/>
      <c r="M8" s="288"/>
      <c r="N8" s="291" t="s">
        <v>41</v>
      </c>
      <c r="O8" s="287"/>
      <c r="P8" s="287"/>
      <c r="Q8" s="287"/>
      <c r="R8" s="287"/>
      <c r="S8" s="287"/>
      <c r="T8" s="288"/>
      <c r="U8" s="291" t="s">
        <v>41</v>
      </c>
      <c r="V8" s="287"/>
      <c r="W8" s="287"/>
      <c r="X8" s="287"/>
      <c r="Y8" s="287"/>
      <c r="Z8" s="287"/>
      <c r="AA8" s="288"/>
      <c r="AB8" s="291" t="s">
        <v>41</v>
      </c>
      <c r="AC8" s="287"/>
      <c r="AD8" s="287"/>
      <c r="AE8" s="287"/>
      <c r="AF8" s="287"/>
      <c r="AG8" s="287"/>
      <c r="AH8" s="288"/>
    </row>
    <row r="9" ht="36.0" customHeight="1">
      <c r="B9" s="285"/>
      <c r="C9" s="285"/>
      <c r="D9" s="292" t="s">
        <v>356</v>
      </c>
      <c r="E9" s="292" t="s">
        <v>356</v>
      </c>
      <c r="F9" s="292" t="s">
        <v>356</v>
      </c>
      <c r="G9" s="285"/>
      <c r="H9" s="285"/>
      <c r="I9" s="285"/>
      <c r="J9" s="285"/>
      <c r="K9" s="292" t="s">
        <v>356</v>
      </c>
      <c r="L9" s="292" t="s">
        <v>356</v>
      </c>
      <c r="M9" s="292" t="s">
        <v>356</v>
      </c>
      <c r="N9" s="285"/>
      <c r="O9" s="285"/>
      <c r="P9" s="285"/>
      <c r="Q9" s="285"/>
      <c r="R9" s="292" t="s">
        <v>356</v>
      </c>
      <c r="S9" s="292" t="s">
        <v>356</v>
      </c>
      <c r="T9" s="292" t="s">
        <v>356</v>
      </c>
      <c r="U9" s="285"/>
      <c r="V9" s="285"/>
      <c r="W9" s="285"/>
      <c r="X9" s="285"/>
      <c r="Y9" s="292" t="s">
        <v>356</v>
      </c>
      <c r="Z9" s="292" t="s">
        <v>356</v>
      </c>
      <c r="AA9" s="292" t="s">
        <v>356</v>
      </c>
      <c r="AB9" s="285"/>
      <c r="AC9" s="285"/>
      <c r="AD9" s="285"/>
      <c r="AE9" s="285"/>
      <c r="AF9" s="292" t="s">
        <v>356</v>
      </c>
      <c r="AG9" s="292" t="s">
        <v>356</v>
      </c>
      <c r="AH9" s="292" t="s">
        <v>356</v>
      </c>
    </row>
    <row r="10" ht="36.0" customHeight="1">
      <c r="B10" s="285"/>
      <c r="C10" s="285"/>
      <c r="D10" s="285"/>
      <c r="E10" s="285"/>
      <c r="F10" s="285"/>
      <c r="G10" s="295" t="s">
        <v>47</v>
      </c>
      <c r="H10" s="288"/>
      <c r="I10" s="295" t="s">
        <v>47</v>
      </c>
      <c r="J10" s="288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</row>
    <row r="11" ht="36.0" customHeight="1"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95" t="s">
        <v>48</v>
      </c>
      <c r="O11" s="288"/>
      <c r="P11" s="295" t="s">
        <v>48</v>
      </c>
      <c r="Q11" s="288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</row>
    <row r="12" ht="36.0" customHeight="1">
      <c r="B12" s="296" t="s">
        <v>49</v>
      </c>
      <c r="C12" s="296" t="s">
        <v>49</v>
      </c>
      <c r="D12" s="285"/>
      <c r="E12" s="285"/>
      <c r="F12" s="285"/>
      <c r="G12" s="296" t="s">
        <v>49</v>
      </c>
      <c r="H12" s="296" t="s">
        <v>49</v>
      </c>
      <c r="I12" s="296" t="s">
        <v>49</v>
      </c>
      <c r="J12" s="296" t="s">
        <v>49</v>
      </c>
      <c r="K12" s="285"/>
      <c r="L12" s="285"/>
      <c r="M12" s="285"/>
      <c r="N12" s="296" t="s">
        <v>49</v>
      </c>
      <c r="O12" s="296" t="s">
        <v>49</v>
      </c>
      <c r="P12" s="296" t="s">
        <v>49</v>
      </c>
      <c r="Q12" s="296" t="s">
        <v>49</v>
      </c>
      <c r="R12" s="285"/>
      <c r="S12" s="285"/>
      <c r="T12" s="285"/>
      <c r="U12" s="296" t="s">
        <v>49</v>
      </c>
      <c r="V12" s="296" t="s">
        <v>49</v>
      </c>
      <c r="W12" s="296" t="s">
        <v>49</v>
      </c>
      <c r="X12" s="296" t="s">
        <v>49</v>
      </c>
      <c r="Y12" s="285"/>
      <c r="Z12" s="285"/>
      <c r="AA12" s="285"/>
      <c r="AB12" s="296" t="s">
        <v>49</v>
      </c>
      <c r="AC12" s="296" t="s">
        <v>49</v>
      </c>
      <c r="AD12" s="296" t="s">
        <v>49</v>
      </c>
      <c r="AE12" s="296" t="s">
        <v>49</v>
      </c>
      <c r="AF12" s="285"/>
      <c r="AG12" s="285"/>
      <c r="AH12" s="285"/>
    </row>
    <row r="13" ht="36.0" customHeight="1">
      <c r="B13" s="285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95" t="s">
        <v>50</v>
      </c>
      <c r="V13" s="288"/>
      <c r="W13" s="295" t="s">
        <v>50</v>
      </c>
      <c r="X13" s="288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</row>
    <row r="14" ht="36.0" customHeight="1">
      <c r="B14" s="295" t="s">
        <v>51</v>
      </c>
      <c r="C14" s="288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95" t="s">
        <v>51</v>
      </c>
      <c r="AC14" s="288"/>
      <c r="AD14" s="295" t="s">
        <v>51</v>
      </c>
      <c r="AE14" s="288"/>
      <c r="AF14" s="285"/>
      <c r="AG14" s="285"/>
      <c r="AH14" s="285"/>
    </row>
    <row r="15" ht="36.0" customHeight="1">
      <c r="B15" s="285"/>
      <c r="C15" s="285"/>
      <c r="D15" s="295" t="s">
        <v>43</v>
      </c>
      <c r="E15" s="287"/>
      <c r="F15" s="288"/>
      <c r="G15" s="285"/>
      <c r="H15" s="285"/>
      <c r="I15" s="285"/>
      <c r="J15" s="285"/>
      <c r="K15" s="295" t="s">
        <v>43</v>
      </c>
      <c r="L15" s="287"/>
      <c r="M15" s="288"/>
      <c r="N15" s="285"/>
      <c r="O15" s="285"/>
      <c r="P15" s="285"/>
      <c r="Q15" s="285"/>
      <c r="R15" s="295" t="s">
        <v>43</v>
      </c>
      <c r="S15" s="287"/>
      <c r="T15" s="288"/>
      <c r="U15" s="285"/>
      <c r="V15" s="285"/>
      <c r="W15" s="285"/>
      <c r="X15" s="285"/>
      <c r="Y15" s="295" t="s">
        <v>43</v>
      </c>
      <c r="Z15" s="287"/>
      <c r="AA15" s="288"/>
      <c r="AB15" s="285"/>
      <c r="AC15" s="285"/>
      <c r="AD15" s="285"/>
      <c r="AE15" s="285"/>
      <c r="AF15" s="295" t="s">
        <v>43</v>
      </c>
      <c r="AG15" s="287"/>
      <c r="AH15" s="288"/>
    </row>
    <row r="16" ht="36.0" customHeight="1">
      <c r="B16" s="291" t="s">
        <v>33</v>
      </c>
      <c r="C16" s="287"/>
      <c r="D16" s="287"/>
      <c r="E16" s="287"/>
      <c r="F16" s="288"/>
      <c r="G16" s="291" t="s">
        <v>33</v>
      </c>
      <c r="H16" s="287"/>
      <c r="I16" s="287"/>
      <c r="J16" s="287"/>
      <c r="K16" s="287"/>
      <c r="L16" s="287"/>
      <c r="M16" s="288"/>
      <c r="N16" s="291" t="s">
        <v>33</v>
      </c>
      <c r="O16" s="287"/>
      <c r="P16" s="287"/>
      <c r="Q16" s="287"/>
      <c r="R16" s="287"/>
      <c r="S16" s="287"/>
      <c r="T16" s="288"/>
      <c r="U16" s="291" t="s">
        <v>33</v>
      </c>
      <c r="V16" s="287"/>
      <c r="W16" s="287"/>
      <c r="X16" s="287"/>
      <c r="Y16" s="287"/>
      <c r="Z16" s="287"/>
      <c r="AA16" s="288"/>
      <c r="AB16" s="291" t="s">
        <v>33</v>
      </c>
      <c r="AC16" s="287"/>
      <c r="AD16" s="287"/>
      <c r="AE16" s="287"/>
      <c r="AF16" s="287"/>
      <c r="AG16" s="287"/>
      <c r="AH16" s="288"/>
    </row>
    <row r="17" ht="36.0" customHeight="1">
      <c r="B17" s="285"/>
      <c r="C17" s="285"/>
      <c r="D17" s="295" t="s">
        <v>357</v>
      </c>
      <c r="E17" s="287"/>
      <c r="F17" s="288"/>
      <c r="G17" s="285"/>
      <c r="H17" s="285"/>
      <c r="I17" s="285"/>
      <c r="J17" s="285"/>
      <c r="K17" s="295" t="s">
        <v>36</v>
      </c>
      <c r="L17" s="287"/>
      <c r="M17" s="288"/>
      <c r="N17" s="285"/>
      <c r="O17" s="285"/>
      <c r="P17" s="285"/>
      <c r="Q17" s="285"/>
      <c r="R17" s="295" t="s">
        <v>34</v>
      </c>
      <c r="S17" s="287"/>
      <c r="T17" s="288"/>
      <c r="U17" s="285"/>
      <c r="V17" s="285"/>
      <c r="W17" s="285"/>
      <c r="X17" s="285"/>
      <c r="Y17" s="295" t="s">
        <v>35</v>
      </c>
      <c r="Z17" s="287"/>
      <c r="AA17" s="288"/>
      <c r="AB17" s="285"/>
      <c r="AC17" s="285"/>
      <c r="AD17" s="285"/>
      <c r="AE17" s="285"/>
      <c r="AF17" s="295" t="s">
        <v>357</v>
      </c>
      <c r="AG17" s="287"/>
      <c r="AH17" s="288"/>
    </row>
    <row r="18" ht="36.0" customHeight="1">
      <c r="B18" s="297" t="s">
        <v>54</v>
      </c>
      <c r="C18" s="288"/>
      <c r="D18" s="285"/>
      <c r="E18" s="285"/>
      <c r="F18" s="285"/>
      <c r="G18" s="297" t="s">
        <v>54</v>
      </c>
      <c r="H18" s="287"/>
      <c r="I18" s="287"/>
      <c r="J18" s="288"/>
      <c r="K18" s="285"/>
      <c r="L18" s="285"/>
      <c r="M18" s="285"/>
      <c r="N18" s="297" t="s">
        <v>54</v>
      </c>
      <c r="O18" s="287"/>
      <c r="P18" s="287"/>
      <c r="Q18" s="288"/>
      <c r="R18" s="285"/>
      <c r="S18" s="285"/>
      <c r="T18" s="285"/>
      <c r="U18" s="297" t="s">
        <v>54</v>
      </c>
      <c r="V18" s="287"/>
      <c r="W18" s="287"/>
      <c r="X18" s="288"/>
      <c r="Y18" s="285"/>
      <c r="Z18" s="285"/>
      <c r="AA18" s="285"/>
      <c r="AB18" s="297" t="s">
        <v>54</v>
      </c>
      <c r="AC18" s="287"/>
      <c r="AD18" s="287"/>
      <c r="AE18" s="288"/>
      <c r="AF18" s="285"/>
      <c r="AG18" s="285"/>
      <c r="AH18" s="285"/>
    </row>
    <row r="19" ht="36.0" customHeight="1">
      <c r="B19" s="285"/>
      <c r="C19" s="285"/>
      <c r="D19" s="299" t="s">
        <v>32</v>
      </c>
      <c r="E19" s="299" t="s">
        <v>32</v>
      </c>
      <c r="F19" s="299" t="s">
        <v>32</v>
      </c>
      <c r="G19" s="285"/>
      <c r="H19" s="285"/>
      <c r="I19" s="285"/>
      <c r="J19" s="285"/>
      <c r="K19" s="299" t="s">
        <v>32</v>
      </c>
      <c r="L19" s="299" t="s">
        <v>32</v>
      </c>
      <c r="M19" s="299" t="s">
        <v>32</v>
      </c>
      <c r="N19" s="285"/>
      <c r="O19" s="285"/>
      <c r="P19" s="285"/>
      <c r="Q19" s="285"/>
      <c r="R19" s="299" t="s">
        <v>32</v>
      </c>
      <c r="S19" s="299" t="s">
        <v>32</v>
      </c>
      <c r="T19" s="299" t="s">
        <v>32</v>
      </c>
      <c r="U19" s="285"/>
      <c r="V19" s="285"/>
      <c r="W19" s="285"/>
      <c r="X19" s="285"/>
      <c r="Y19" s="299" t="s">
        <v>32</v>
      </c>
      <c r="Z19" s="299" t="s">
        <v>32</v>
      </c>
      <c r="AA19" s="299" t="s">
        <v>32</v>
      </c>
      <c r="AB19" s="285"/>
      <c r="AC19" s="285"/>
      <c r="AD19" s="285"/>
      <c r="AE19" s="285"/>
      <c r="AF19" s="299" t="s">
        <v>32</v>
      </c>
      <c r="AG19" s="299" t="s">
        <v>32</v>
      </c>
      <c r="AH19" s="299" t="s">
        <v>32</v>
      </c>
    </row>
    <row r="20" ht="36.0" customHeight="1">
      <c r="B20" s="295" t="s">
        <v>44</v>
      </c>
      <c r="C20" s="288"/>
      <c r="D20" s="300"/>
      <c r="E20" s="287"/>
      <c r="F20" s="288"/>
      <c r="G20" s="295" t="s">
        <v>44</v>
      </c>
      <c r="H20" s="287"/>
      <c r="I20" s="287"/>
      <c r="J20" s="288"/>
      <c r="K20" s="300"/>
      <c r="L20" s="287"/>
      <c r="M20" s="288"/>
      <c r="N20" s="295" t="s">
        <v>44</v>
      </c>
      <c r="O20" s="287"/>
      <c r="P20" s="287"/>
      <c r="Q20" s="288"/>
      <c r="R20" s="300"/>
      <c r="S20" s="287"/>
      <c r="T20" s="288"/>
      <c r="U20" s="295" t="s">
        <v>44</v>
      </c>
      <c r="V20" s="287"/>
      <c r="W20" s="287"/>
      <c r="X20" s="288"/>
      <c r="Y20" s="300"/>
      <c r="Z20" s="287"/>
      <c r="AA20" s="288"/>
      <c r="AB20" s="295" t="s">
        <v>44</v>
      </c>
      <c r="AC20" s="287"/>
      <c r="AD20" s="287"/>
      <c r="AE20" s="288"/>
      <c r="AF20" s="300"/>
      <c r="AG20" s="287"/>
      <c r="AH20" s="288"/>
    </row>
    <row r="21" ht="36.0" customHeight="1">
      <c r="B21" s="296" t="s">
        <v>52</v>
      </c>
      <c r="C21" s="296" t="s">
        <v>52</v>
      </c>
      <c r="D21" s="301" t="s">
        <v>52</v>
      </c>
      <c r="E21" s="301" t="s">
        <v>52</v>
      </c>
      <c r="F21" s="301" t="s">
        <v>52</v>
      </c>
      <c r="G21" s="296" t="s">
        <v>52</v>
      </c>
      <c r="H21" s="296" t="s">
        <v>52</v>
      </c>
      <c r="I21" s="296" t="s">
        <v>52</v>
      </c>
      <c r="J21" s="296" t="s">
        <v>52</v>
      </c>
      <c r="K21" s="301" t="s">
        <v>52</v>
      </c>
      <c r="L21" s="301" t="s">
        <v>52</v>
      </c>
      <c r="M21" s="301" t="s">
        <v>52</v>
      </c>
      <c r="N21" s="296" t="s">
        <v>52</v>
      </c>
      <c r="O21" s="296" t="s">
        <v>52</v>
      </c>
      <c r="P21" s="296" t="s">
        <v>52</v>
      </c>
      <c r="Q21" s="296" t="s">
        <v>52</v>
      </c>
      <c r="R21" s="301" t="s">
        <v>52</v>
      </c>
      <c r="S21" s="301" t="s">
        <v>52</v>
      </c>
      <c r="T21" s="301" t="s">
        <v>52</v>
      </c>
      <c r="U21" s="296" t="s">
        <v>52</v>
      </c>
      <c r="V21" s="296" t="s">
        <v>52</v>
      </c>
      <c r="W21" s="296" t="s">
        <v>52</v>
      </c>
      <c r="X21" s="296" t="s">
        <v>52</v>
      </c>
      <c r="Y21" s="301" t="s">
        <v>52</v>
      </c>
      <c r="Z21" s="301" t="s">
        <v>52</v>
      </c>
      <c r="AA21" s="301" t="s">
        <v>52</v>
      </c>
      <c r="AB21" s="296" t="s">
        <v>52</v>
      </c>
      <c r="AC21" s="296" t="s">
        <v>52</v>
      </c>
      <c r="AD21" s="296" t="s">
        <v>52</v>
      </c>
      <c r="AE21" s="296" t="s">
        <v>52</v>
      </c>
      <c r="AF21" s="301" t="s">
        <v>52</v>
      </c>
      <c r="AG21" s="301" t="s">
        <v>52</v>
      </c>
      <c r="AH21" s="301" t="s">
        <v>52</v>
      </c>
    </row>
    <row r="22"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</row>
    <row r="23">
      <c r="B23" s="298" t="s">
        <v>38</v>
      </c>
      <c r="C23" s="287"/>
      <c r="D23" s="287"/>
      <c r="E23" s="287"/>
      <c r="F23" s="288"/>
      <c r="G23" s="298" t="s">
        <v>38</v>
      </c>
      <c r="H23" s="287"/>
      <c r="I23" s="287"/>
      <c r="J23" s="287"/>
      <c r="K23" s="287"/>
      <c r="L23" s="287"/>
      <c r="M23" s="288"/>
      <c r="N23" s="298" t="s">
        <v>38</v>
      </c>
      <c r="O23" s="287"/>
      <c r="P23" s="287"/>
      <c r="Q23" s="287"/>
      <c r="R23" s="287"/>
      <c r="S23" s="287"/>
      <c r="T23" s="288"/>
      <c r="U23" s="298" t="s">
        <v>38</v>
      </c>
      <c r="V23" s="287"/>
      <c r="W23" s="287"/>
      <c r="X23" s="287"/>
      <c r="Y23" s="287"/>
      <c r="Z23" s="287"/>
      <c r="AA23" s="288"/>
      <c r="AB23" s="298" t="s">
        <v>38</v>
      </c>
      <c r="AC23" s="287"/>
      <c r="AD23" s="287"/>
      <c r="AE23" s="287"/>
      <c r="AF23" s="287"/>
      <c r="AG23" s="287"/>
      <c r="AH23" s="288"/>
    </row>
    <row r="24">
      <c r="B24" s="285"/>
      <c r="C24" s="285"/>
      <c r="D24" s="298" t="s">
        <v>37</v>
      </c>
      <c r="E24" s="287"/>
      <c r="F24" s="288"/>
      <c r="G24" s="285"/>
      <c r="H24" s="285"/>
      <c r="I24" s="285"/>
      <c r="J24" s="285"/>
      <c r="K24" s="298" t="s">
        <v>37</v>
      </c>
      <c r="L24" s="287"/>
      <c r="M24" s="288"/>
      <c r="N24" s="285"/>
      <c r="O24" s="285"/>
      <c r="P24" s="285"/>
      <c r="Q24" s="285"/>
      <c r="R24" s="298" t="s">
        <v>37</v>
      </c>
      <c r="S24" s="287"/>
      <c r="T24" s="288"/>
      <c r="U24" s="285"/>
      <c r="V24" s="285"/>
      <c r="W24" s="285"/>
      <c r="X24" s="285"/>
      <c r="Y24" s="298" t="s">
        <v>37</v>
      </c>
      <c r="Z24" s="287"/>
      <c r="AA24" s="288"/>
      <c r="AB24" s="285"/>
      <c r="AC24" s="285"/>
      <c r="AD24" s="285"/>
      <c r="AE24" s="285"/>
      <c r="AF24" s="298" t="s">
        <v>37</v>
      </c>
      <c r="AG24" s="287"/>
      <c r="AH24" s="288"/>
    </row>
    <row r="25">
      <c r="B25" s="285"/>
      <c r="C25" s="285"/>
      <c r="D25" s="285"/>
      <c r="E25" s="298" t="s">
        <v>45</v>
      </c>
      <c r="F25" s="288"/>
      <c r="G25" s="285"/>
      <c r="H25" s="285"/>
      <c r="I25" s="285"/>
      <c r="J25" s="285"/>
      <c r="K25" s="285"/>
      <c r="L25" s="298" t="s">
        <v>45</v>
      </c>
      <c r="M25" s="288"/>
      <c r="N25" s="285"/>
      <c r="O25" s="285"/>
      <c r="P25" s="285"/>
      <c r="Q25" s="285"/>
      <c r="R25" s="285"/>
      <c r="S25" s="298" t="s">
        <v>45</v>
      </c>
      <c r="T25" s="288"/>
      <c r="U25" s="285"/>
      <c r="V25" s="285"/>
      <c r="W25" s="285"/>
      <c r="X25" s="285"/>
      <c r="Y25" s="285"/>
      <c r="Z25" s="298" t="s">
        <v>45</v>
      </c>
      <c r="AA25" s="288"/>
      <c r="AB25" s="285"/>
      <c r="AC25" s="285"/>
      <c r="AD25" s="285"/>
      <c r="AE25" s="285"/>
      <c r="AF25" s="285"/>
      <c r="AG25" s="298" t="s">
        <v>45</v>
      </c>
      <c r="AH25" s="288"/>
    </row>
    <row r="28">
      <c r="B28" s="241" t="s">
        <v>358</v>
      </c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</row>
    <row r="30">
      <c r="B30" s="241" t="s">
        <v>359</v>
      </c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</row>
    <row r="31">
      <c r="A31" s="302" t="s">
        <v>360</v>
      </c>
      <c r="B31" s="281">
        <f>COUNT_COLORED_MERGED(cal_curr!B5:B25)</f>
        <v>9</v>
      </c>
      <c r="C31" s="281">
        <f>COUNT_COLORED_MERGED(cal_curr!C5:C25)</f>
        <v>10</v>
      </c>
      <c r="D31" s="281">
        <f>COUNT_COLORED_MERGED(cal_curr!D5:D25)</f>
        <v>10</v>
      </c>
      <c r="E31" s="281">
        <f>COUNT_COLORED_MERGED(cal_curr!E5:E25)</f>
        <v>13</v>
      </c>
      <c r="F31" s="281">
        <f>COUNT_COLORED_MERGED(cal_curr!F5:F25)</f>
        <v>12</v>
      </c>
      <c r="G31" s="281">
        <f>COUNT_COLORED_MERGED(cal_curr!G5:G25)</f>
        <v>9</v>
      </c>
      <c r="H31" s="281">
        <f>COUNT_COLORED_MERGED(cal_curr!H5:H25)</f>
        <v>9</v>
      </c>
      <c r="I31" s="281">
        <f>COUNT_COLORED_MERGED(cal_curr!I5:I25)</f>
        <v>9</v>
      </c>
      <c r="J31" s="281">
        <f>COUNT_COLORED_MERGED(cal_curr!J5:J25)</f>
        <v>10</v>
      </c>
      <c r="K31" s="281">
        <f>COUNT_COLORED_MERGED(cal_curr!K5:K25)</f>
        <v>10</v>
      </c>
      <c r="L31" s="281">
        <f>COUNT_COLORED_MERGED(cal_curr!L5:L25)</f>
        <v>11</v>
      </c>
      <c r="M31" s="281">
        <f>COUNT_COLORED_MERGED(cal_curr!M5:M25)</f>
        <v>11</v>
      </c>
      <c r="N31" s="281">
        <f>COUNT_COLORED_MERGED(cal_curr!N5:N25)</f>
        <v>11</v>
      </c>
      <c r="O31" s="281">
        <f>COUNT_COLORED_MERGED(cal_curr!O5:O25)</f>
        <v>10</v>
      </c>
      <c r="P31" s="281">
        <f>COUNT_COLORED_MERGED(cal_curr!P5:P25)</f>
        <v>9</v>
      </c>
      <c r="Q31" s="281">
        <f>COUNT_COLORED_MERGED(cal_curr!Q5:Q25)</f>
        <v>10</v>
      </c>
      <c r="R31" s="281">
        <f>COUNT_COLORED_MERGED(cal_curr!R5:R25)</f>
        <v>10</v>
      </c>
      <c r="S31" s="281">
        <f>COUNT_COLORED_MERGED(cal_curr!S5:S25)</f>
        <v>11</v>
      </c>
      <c r="T31" s="281">
        <f>COUNT_COLORED_MERGED(cal_curr!T5:T25)</f>
        <v>11</v>
      </c>
      <c r="U31" s="281">
        <f>COUNT_COLORED_MERGED(cal_curr!U5:U25)</f>
        <v>11</v>
      </c>
      <c r="V31" s="281">
        <f>COUNT_COLORED_MERGED(cal_curr!V5:V25)</f>
        <v>10</v>
      </c>
      <c r="W31" s="281">
        <f>COUNT_COLORED_MERGED(cal_curr!W5:W25)</f>
        <v>9</v>
      </c>
      <c r="X31" s="281">
        <f>COUNT_COLORED_MERGED(cal_curr!X5:X25)</f>
        <v>10</v>
      </c>
      <c r="Y31" s="281">
        <f>COUNT_COLORED_MERGED(cal_curr!Y5:Y25)</f>
        <v>10</v>
      </c>
      <c r="Z31" s="281">
        <f>COUNT_COLORED_MERGED(cal_curr!Z5:Z25)</f>
        <v>11</v>
      </c>
      <c r="AA31" s="281">
        <f>COUNT_COLORED_MERGED(cal_curr!AA5:AA25)</f>
        <v>11</v>
      </c>
      <c r="AB31" s="281">
        <f>COUNT_COLORED_MERGED(cal_curr!AB5:AB25)</f>
        <v>11</v>
      </c>
      <c r="AC31" s="281">
        <f>COUNT_COLORED_MERGED(cal_curr!AC5:AC25)</f>
        <v>10</v>
      </c>
      <c r="AD31" s="281">
        <f>COUNT_COLORED_MERGED(cal_curr!AD5:AD25)</f>
        <v>9</v>
      </c>
      <c r="AE31" s="281">
        <f>COUNT_COLORED_MERGED(cal_curr!AE5:AE25)</f>
        <v>10</v>
      </c>
      <c r="AF31" s="281">
        <f>COUNT_COLORED_MERGED(cal_curr!AF5:AF25)</f>
        <v>10</v>
      </c>
      <c r="AG31" s="281">
        <f>COUNT_COLORED_MERGED(cal_curr!AG5:AG25)</f>
        <v>11</v>
      </c>
      <c r="AH31" s="281">
        <f>COUNT_COLORED_MERGED(cal_curr!AH5:AH25)</f>
        <v>11</v>
      </c>
    </row>
    <row r="32">
      <c r="A32" s="302" t="s">
        <v>361</v>
      </c>
      <c r="B32" s="303">
        <f t="shared" ref="B32:AH32" si="1">COUNT_COLORED_MERGED(B5:B25)</f>
        <v>10</v>
      </c>
      <c r="C32" s="303">
        <f t="shared" si="1"/>
        <v>10</v>
      </c>
      <c r="D32" s="303">
        <f t="shared" si="1"/>
        <v>10</v>
      </c>
      <c r="E32" s="303">
        <f t="shared" si="1"/>
        <v>11</v>
      </c>
      <c r="F32" s="303">
        <f t="shared" si="1"/>
        <v>11</v>
      </c>
      <c r="G32" s="303">
        <f t="shared" si="1"/>
        <v>10</v>
      </c>
      <c r="H32" s="303">
        <f t="shared" si="1"/>
        <v>10</v>
      </c>
      <c r="I32" s="303">
        <f t="shared" si="1"/>
        <v>10</v>
      </c>
      <c r="J32" s="303">
        <f t="shared" si="1"/>
        <v>10</v>
      </c>
      <c r="K32" s="303">
        <f t="shared" si="1"/>
        <v>10</v>
      </c>
      <c r="L32" s="303">
        <f t="shared" si="1"/>
        <v>11</v>
      </c>
      <c r="M32" s="303">
        <f t="shared" si="1"/>
        <v>11</v>
      </c>
      <c r="N32" s="303">
        <f t="shared" si="1"/>
        <v>10</v>
      </c>
      <c r="O32" s="303">
        <f t="shared" si="1"/>
        <v>10</v>
      </c>
      <c r="P32" s="303">
        <f t="shared" si="1"/>
        <v>10</v>
      </c>
      <c r="Q32" s="303">
        <f t="shared" si="1"/>
        <v>10</v>
      </c>
      <c r="R32" s="303">
        <f t="shared" si="1"/>
        <v>10</v>
      </c>
      <c r="S32" s="303">
        <f t="shared" si="1"/>
        <v>11</v>
      </c>
      <c r="T32" s="303">
        <f t="shared" si="1"/>
        <v>11</v>
      </c>
      <c r="U32" s="303">
        <f t="shared" si="1"/>
        <v>10</v>
      </c>
      <c r="V32" s="303">
        <f t="shared" si="1"/>
        <v>10</v>
      </c>
      <c r="W32" s="303">
        <f t="shared" si="1"/>
        <v>10</v>
      </c>
      <c r="X32" s="303">
        <f t="shared" si="1"/>
        <v>10</v>
      </c>
      <c r="Y32" s="303">
        <f t="shared" si="1"/>
        <v>10</v>
      </c>
      <c r="Z32" s="303">
        <f t="shared" si="1"/>
        <v>11</v>
      </c>
      <c r="AA32" s="303">
        <f t="shared" si="1"/>
        <v>11</v>
      </c>
      <c r="AB32" s="303">
        <f t="shared" si="1"/>
        <v>10</v>
      </c>
      <c r="AC32" s="303">
        <f t="shared" si="1"/>
        <v>10</v>
      </c>
      <c r="AD32" s="303">
        <f t="shared" si="1"/>
        <v>10</v>
      </c>
      <c r="AE32" s="303">
        <f t="shared" si="1"/>
        <v>10</v>
      </c>
      <c r="AF32" s="303">
        <f t="shared" si="1"/>
        <v>10</v>
      </c>
      <c r="AG32" s="303">
        <f t="shared" si="1"/>
        <v>11</v>
      </c>
      <c r="AH32" s="303">
        <f t="shared" si="1"/>
        <v>11</v>
      </c>
    </row>
    <row r="33">
      <c r="A33" s="302" t="s">
        <v>362</v>
      </c>
      <c r="B33" s="304">
        <f t="shared" ref="B33:AH33" si="2">(B32-B31)/B31</f>
        <v>0.1111111111</v>
      </c>
      <c r="C33" s="304">
        <f t="shared" si="2"/>
        <v>0</v>
      </c>
      <c r="D33" s="304">
        <f t="shared" si="2"/>
        <v>0</v>
      </c>
      <c r="E33" s="304">
        <f t="shared" si="2"/>
        <v>-0.1538461538</v>
      </c>
      <c r="F33" s="304">
        <f t="shared" si="2"/>
        <v>-0.08333333333</v>
      </c>
      <c r="G33" s="304">
        <f t="shared" si="2"/>
        <v>0.1111111111</v>
      </c>
      <c r="H33" s="304">
        <f t="shared" si="2"/>
        <v>0.1111111111</v>
      </c>
      <c r="I33" s="304">
        <f t="shared" si="2"/>
        <v>0.1111111111</v>
      </c>
      <c r="J33" s="304">
        <f t="shared" si="2"/>
        <v>0</v>
      </c>
      <c r="K33" s="304">
        <f t="shared" si="2"/>
        <v>0</v>
      </c>
      <c r="L33" s="304">
        <f t="shared" si="2"/>
        <v>0</v>
      </c>
      <c r="M33" s="304">
        <f t="shared" si="2"/>
        <v>0</v>
      </c>
      <c r="N33" s="304">
        <f t="shared" si="2"/>
        <v>-0.09090909091</v>
      </c>
      <c r="O33" s="304">
        <f t="shared" si="2"/>
        <v>0</v>
      </c>
      <c r="P33" s="304">
        <f t="shared" si="2"/>
        <v>0.1111111111</v>
      </c>
      <c r="Q33" s="304">
        <f t="shared" si="2"/>
        <v>0</v>
      </c>
      <c r="R33" s="304">
        <f t="shared" si="2"/>
        <v>0</v>
      </c>
      <c r="S33" s="304">
        <f t="shared" si="2"/>
        <v>0</v>
      </c>
      <c r="T33" s="304">
        <f t="shared" si="2"/>
        <v>0</v>
      </c>
      <c r="U33" s="304">
        <f t="shared" si="2"/>
        <v>-0.09090909091</v>
      </c>
      <c r="V33" s="304">
        <f t="shared" si="2"/>
        <v>0</v>
      </c>
      <c r="W33" s="304">
        <f t="shared" si="2"/>
        <v>0.1111111111</v>
      </c>
      <c r="X33" s="304">
        <f t="shared" si="2"/>
        <v>0</v>
      </c>
      <c r="Y33" s="304">
        <f t="shared" si="2"/>
        <v>0</v>
      </c>
      <c r="Z33" s="304">
        <f t="shared" si="2"/>
        <v>0</v>
      </c>
      <c r="AA33" s="304">
        <f t="shared" si="2"/>
        <v>0</v>
      </c>
      <c r="AB33" s="304">
        <f t="shared" si="2"/>
        <v>-0.09090909091</v>
      </c>
      <c r="AC33" s="304">
        <f t="shared" si="2"/>
        <v>0</v>
      </c>
      <c r="AD33" s="304">
        <f t="shared" si="2"/>
        <v>0.1111111111</v>
      </c>
      <c r="AE33" s="304">
        <f t="shared" si="2"/>
        <v>0</v>
      </c>
      <c r="AF33" s="304">
        <f t="shared" si="2"/>
        <v>0</v>
      </c>
      <c r="AG33" s="304">
        <f t="shared" si="2"/>
        <v>0</v>
      </c>
      <c r="AH33" s="304">
        <f t="shared" si="2"/>
        <v>0</v>
      </c>
    </row>
    <row r="34">
      <c r="B34" s="279"/>
    </row>
    <row r="35">
      <c r="B35" s="241" t="s">
        <v>363</v>
      </c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</row>
    <row r="36">
      <c r="E36" s="305" t="s">
        <v>360</v>
      </c>
      <c r="H36" s="305" t="s">
        <v>361</v>
      </c>
      <c r="K36" s="305" t="s">
        <v>362</v>
      </c>
    </row>
    <row r="37">
      <c r="A37" s="306"/>
      <c r="B37" s="306"/>
      <c r="C37" s="307" t="s">
        <v>364</v>
      </c>
      <c r="E37" s="307" t="s">
        <v>365</v>
      </c>
      <c r="F37" s="307" t="s">
        <v>366</v>
      </c>
      <c r="H37" s="307" t="s">
        <v>365</v>
      </c>
      <c r="I37" s="307" t="s">
        <v>366</v>
      </c>
      <c r="K37" s="307" t="s">
        <v>365</v>
      </c>
      <c r="L37" s="307" t="s">
        <v>366</v>
      </c>
      <c r="M37" s="306"/>
      <c r="N37" s="306"/>
      <c r="AH37" s="306"/>
      <c r="AI37" s="306"/>
    </row>
    <row r="38">
      <c r="C38" s="308" t="s">
        <v>367</v>
      </c>
      <c r="D38" s="281"/>
      <c r="E38" s="246" t="str">
        <f>ECOGAINS_CAL_COUNTS(sim_refresh!$A$1)</f>
        <v/>
      </c>
      <c r="F38" s="246" t="s">
        <v>368</v>
      </c>
      <c r="G38" s="281" t="s">
        <v>368</v>
      </c>
      <c r="H38" s="246" t="s">
        <v>368</v>
      </c>
      <c r="I38" s="246" t="s">
        <v>368</v>
      </c>
      <c r="J38" s="281" t="s">
        <v>368</v>
      </c>
      <c r="K38" s="246" t="s">
        <v>368</v>
      </c>
      <c r="L38" s="309" t="str">
        <f t="shared" ref="L38:L60" si="3">iferror((F38-I38)/F38, "")</f>
        <v/>
      </c>
      <c r="M38" s="281"/>
    </row>
    <row r="39">
      <c r="C39" s="308" t="s">
        <v>312</v>
      </c>
      <c r="D39" s="281"/>
      <c r="E39" s="246">
        <v>4.0</v>
      </c>
      <c r="F39" s="246">
        <v>4.0</v>
      </c>
      <c r="G39" s="281" t="s">
        <v>368</v>
      </c>
      <c r="H39" s="246">
        <v>2.0</v>
      </c>
      <c r="I39" s="246">
        <v>4.0</v>
      </c>
      <c r="J39" s="281" t="s">
        <v>368</v>
      </c>
      <c r="K39" s="246" t="s">
        <v>369</v>
      </c>
      <c r="L39" s="309">
        <f t="shared" si="3"/>
        <v>0</v>
      </c>
      <c r="M39" s="281"/>
    </row>
    <row r="40">
      <c r="C40" s="308" t="s">
        <v>189</v>
      </c>
      <c r="D40" s="281"/>
      <c r="E40" s="246">
        <v>1.0</v>
      </c>
      <c r="F40" s="246">
        <v>4.0</v>
      </c>
      <c r="G40" s="281" t="s">
        <v>368</v>
      </c>
      <c r="H40" s="246">
        <v>1.0</v>
      </c>
      <c r="I40" s="246">
        <v>3.0</v>
      </c>
      <c r="J40" s="281" t="s">
        <v>368</v>
      </c>
      <c r="K40" s="246" t="s">
        <v>370</v>
      </c>
      <c r="L40" s="309">
        <f t="shared" si="3"/>
        <v>0.25</v>
      </c>
      <c r="M40" s="281"/>
    </row>
    <row r="41">
      <c r="C41" s="308" t="s">
        <v>311</v>
      </c>
      <c r="D41" s="281"/>
      <c r="E41" s="246">
        <v>5.0</v>
      </c>
      <c r="F41" s="246">
        <v>5.0</v>
      </c>
      <c r="G41" s="281" t="s">
        <v>368</v>
      </c>
      <c r="H41" s="246">
        <v>2.0</v>
      </c>
      <c r="I41" s="246">
        <v>4.0</v>
      </c>
      <c r="J41" s="281" t="s">
        <v>368</v>
      </c>
      <c r="K41" s="246" t="s">
        <v>371</v>
      </c>
      <c r="L41" s="309">
        <f t="shared" si="3"/>
        <v>0.2</v>
      </c>
      <c r="M41" s="281"/>
    </row>
    <row r="42">
      <c r="C42" s="308" t="s">
        <v>372</v>
      </c>
      <c r="D42" s="281"/>
      <c r="E42" s="246" t="s">
        <v>368</v>
      </c>
      <c r="F42" s="246" t="s">
        <v>368</v>
      </c>
      <c r="G42" s="281" t="s">
        <v>368</v>
      </c>
      <c r="H42" s="246" t="s">
        <v>368</v>
      </c>
      <c r="I42" s="246" t="s">
        <v>368</v>
      </c>
      <c r="J42" s="281" t="s">
        <v>368</v>
      </c>
      <c r="K42" s="246" t="s">
        <v>368</v>
      </c>
      <c r="L42" s="309" t="str">
        <f t="shared" si="3"/>
        <v/>
      </c>
      <c r="M42" s="281"/>
    </row>
    <row r="43">
      <c r="C43" s="308" t="s">
        <v>373</v>
      </c>
      <c r="D43" s="281"/>
      <c r="E43" s="246" t="s">
        <v>368</v>
      </c>
      <c r="F43" s="246" t="s">
        <v>368</v>
      </c>
      <c r="G43" s="281" t="s">
        <v>368</v>
      </c>
      <c r="H43" s="246" t="s">
        <v>368</v>
      </c>
      <c r="I43" s="246" t="s">
        <v>368</v>
      </c>
      <c r="J43" s="281" t="s">
        <v>368</v>
      </c>
      <c r="K43" s="246" t="s">
        <v>368</v>
      </c>
      <c r="L43" s="309" t="str">
        <f t="shared" si="3"/>
        <v/>
      </c>
      <c r="M43" s="281"/>
    </row>
    <row r="44">
      <c r="C44" s="308" t="s">
        <v>374</v>
      </c>
      <c r="D44" s="281"/>
      <c r="E44" s="246">
        <v>33.0</v>
      </c>
      <c r="F44" s="246">
        <v>33.0</v>
      </c>
      <c r="G44" s="281" t="s">
        <v>368</v>
      </c>
      <c r="H44" s="246">
        <v>33.0</v>
      </c>
      <c r="I44" s="246">
        <v>33.0</v>
      </c>
      <c r="J44" s="281" t="s">
        <v>368</v>
      </c>
      <c r="K44" s="246" t="s">
        <v>370</v>
      </c>
      <c r="L44" s="309">
        <f t="shared" si="3"/>
        <v>0</v>
      </c>
      <c r="M44" s="281"/>
    </row>
    <row r="45">
      <c r="C45" s="308" t="s">
        <v>49</v>
      </c>
      <c r="D45" s="281"/>
      <c r="E45" s="246">
        <v>18.0</v>
      </c>
      <c r="F45" s="246">
        <v>18.0</v>
      </c>
      <c r="G45" s="281" t="s">
        <v>368</v>
      </c>
      <c r="H45" s="246">
        <v>18.0</v>
      </c>
      <c r="I45" s="246">
        <v>18.0</v>
      </c>
      <c r="J45" s="281" t="s">
        <v>368</v>
      </c>
      <c r="K45" s="246" t="s">
        <v>370</v>
      </c>
      <c r="L45" s="309">
        <f t="shared" si="3"/>
        <v>0</v>
      </c>
      <c r="M45" s="281"/>
    </row>
    <row r="46">
      <c r="C46" s="308" t="s">
        <v>44</v>
      </c>
      <c r="D46" s="281"/>
      <c r="E46" s="246">
        <v>5.0</v>
      </c>
      <c r="F46" s="246">
        <v>14.0</v>
      </c>
      <c r="G46" s="281" t="s">
        <v>368</v>
      </c>
      <c r="H46" s="246">
        <v>5.0</v>
      </c>
      <c r="I46" s="246">
        <v>18.0</v>
      </c>
      <c r="J46" s="281" t="s">
        <v>368</v>
      </c>
      <c r="K46" s="246" t="s">
        <v>370</v>
      </c>
      <c r="L46" s="309">
        <f t="shared" si="3"/>
        <v>-0.2857142857</v>
      </c>
      <c r="M46" s="281"/>
    </row>
    <row r="47">
      <c r="C47" s="308" t="s">
        <v>375</v>
      </c>
      <c r="D47" s="281"/>
      <c r="E47" s="246">
        <v>3.0</v>
      </c>
      <c r="F47" s="246">
        <v>11.0</v>
      </c>
      <c r="G47" s="281" t="s">
        <v>368</v>
      </c>
      <c r="H47" s="246">
        <v>3.0</v>
      </c>
      <c r="I47" s="246">
        <v>9.0</v>
      </c>
      <c r="J47" s="281" t="s">
        <v>368</v>
      </c>
      <c r="K47" s="246" t="s">
        <v>370</v>
      </c>
      <c r="L47" s="309">
        <f t="shared" si="3"/>
        <v>0.1818181818</v>
      </c>
      <c r="M47" s="281"/>
    </row>
    <row r="48">
      <c r="C48" s="308" t="s">
        <v>43</v>
      </c>
      <c r="D48" s="281"/>
      <c r="E48" s="246">
        <v>3.0</v>
      </c>
      <c r="F48" s="246">
        <v>17.0</v>
      </c>
      <c r="G48" s="281" t="s">
        <v>368</v>
      </c>
      <c r="H48" s="246">
        <v>5.0</v>
      </c>
      <c r="I48" s="246">
        <v>15.0</v>
      </c>
      <c r="J48" s="281" t="s">
        <v>368</v>
      </c>
      <c r="K48" s="246" t="s">
        <v>376</v>
      </c>
      <c r="L48" s="309">
        <f t="shared" si="3"/>
        <v>0.1176470588</v>
      </c>
      <c r="M48" s="281"/>
    </row>
    <row r="49">
      <c r="C49" s="308" t="s">
        <v>50</v>
      </c>
      <c r="D49" s="281"/>
      <c r="E49" s="246">
        <v>4.0</v>
      </c>
      <c r="F49" s="246">
        <v>4.0</v>
      </c>
      <c r="G49" s="281" t="s">
        <v>368</v>
      </c>
      <c r="H49" s="246">
        <v>2.0</v>
      </c>
      <c r="I49" s="246">
        <v>4.0</v>
      </c>
      <c r="J49" s="281" t="s">
        <v>368</v>
      </c>
      <c r="K49" s="246" t="s">
        <v>369</v>
      </c>
      <c r="L49" s="309">
        <f t="shared" si="3"/>
        <v>0</v>
      </c>
      <c r="M49" s="281"/>
    </row>
    <row r="50">
      <c r="C50" s="308" t="s">
        <v>377</v>
      </c>
      <c r="D50" s="281"/>
      <c r="E50" s="246" t="s">
        <v>368</v>
      </c>
      <c r="F50" s="246" t="s">
        <v>368</v>
      </c>
      <c r="G50" s="281" t="s">
        <v>368</v>
      </c>
      <c r="H50" s="246" t="s">
        <v>368</v>
      </c>
      <c r="I50" s="246" t="s">
        <v>368</v>
      </c>
      <c r="J50" s="281" t="s">
        <v>368</v>
      </c>
      <c r="K50" s="246" t="s">
        <v>368</v>
      </c>
      <c r="L50" s="309" t="str">
        <f t="shared" si="3"/>
        <v/>
      </c>
      <c r="M50" s="281"/>
    </row>
    <row r="51">
      <c r="C51" s="308" t="s">
        <v>35</v>
      </c>
      <c r="D51" s="281"/>
      <c r="E51" s="246">
        <v>1.0</v>
      </c>
      <c r="F51" s="246">
        <v>4.0</v>
      </c>
      <c r="G51" s="281" t="s">
        <v>368</v>
      </c>
      <c r="H51" s="246">
        <v>1.0</v>
      </c>
      <c r="I51" s="246">
        <v>3.0</v>
      </c>
      <c r="J51" s="281" t="s">
        <v>368</v>
      </c>
      <c r="K51" s="246" t="s">
        <v>370</v>
      </c>
      <c r="L51" s="309">
        <f t="shared" si="3"/>
        <v>0.25</v>
      </c>
      <c r="M51" s="281"/>
    </row>
    <row r="52">
      <c r="C52" s="308" t="s">
        <v>310</v>
      </c>
      <c r="D52" s="281"/>
      <c r="E52" s="246">
        <v>4.0</v>
      </c>
      <c r="F52" s="246">
        <v>4.0</v>
      </c>
      <c r="G52" s="281" t="s">
        <v>368</v>
      </c>
      <c r="H52" s="246">
        <v>3.0</v>
      </c>
      <c r="I52" s="246">
        <v>6.0</v>
      </c>
      <c r="J52" s="281" t="s">
        <v>368</v>
      </c>
      <c r="K52" s="246" t="s">
        <v>378</v>
      </c>
      <c r="L52" s="309">
        <f t="shared" si="3"/>
        <v>-0.5</v>
      </c>
      <c r="M52" s="281"/>
    </row>
    <row r="53">
      <c r="C53" s="308" t="s">
        <v>134</v>
      </c>
      <c r="D53" s="281"/>
      <c r="E53" s="246">
        <v>0.0</v>
      </c>
      <c r="F53" s="246">
        <v>0.0</v>
      </c>
      <c r="G53" s="281" t="s">
        <v>368</v>
      </c>
      <c r="H53" s="246">
        <v>0.0</v>
      </c>
      <c r="I53" s="246">
        <v>0.0</v>
      </c>
      <c r="J53" s="281" t="s">
        <v>368</v>
      </c>
      <c r="K53" s="246" t="s">
        <v>368</v>
      </c>
      <c r="L53" s="309" t="str">
        <f t="shared" si="3"/>
        <v/>
      </c>
      <c r="M53" s="281"/>
    </row>
    <row r="54">
      <c r="C54" s="308" t="s">
        <v>379</v>
      </c>
      <c r="D54" s="281"/>
      <c r="E54" s="246" t="s">
        <v>368</v>
      </c>
      <c r="F54" s="246" t="s">
        <v>368</v>
      </c>
      <c r="G54" s="281" t="s">
        <v>368</v>
      </c>
      <c r="H54" s="246" t="s">
        <v>368</v>
      </c>
      <c r="I54" s="246" t="s">
        <v>368</v>
      </c>
      <c r="J54" s="281" t="s">
        <v>368</v>
      </c>
      <c r="K54" s="246" t="s">
        <v>368</v>
      </c>
      <c r="L54" s="309" t="str">
        <f t="shared" si="3"/>
        <v/>
      </c>
      <c r="M54" s="281"/>
    </row>
    <row r="55">
      <c r="C55" s="308" t="s">
        <v>380</v>
      </c>
      <c r="D55" s="281"/>
      <c r="E55" s="246" t="s">
        <v>368</v>
      </c>
      <c r="F55" s="246" t="s">
        <v>368</v>
      </c>
      <c r="G55" s="281" t="s">
        <v>368</v>
      </c>
      <c r="H55" s="246" t="s">
        <v>368</v>
      </c>
      <c r="I55" s="246" t="s">
        <v>368</v>
      </c>
      <c r="J55" s="281" t="s">
        <v>368</v>
      </c>
      <c r="K55" s="246" t="s">
        <v>368</v>
      </c>
      <c r="L55" s="309" t="str">
        <f t="shared" si="3"/>
        <v/>
      </c>
      <c r="M55" s="281"/>
    </row>
    <row r="56">
      <c r="C56" s="308" t="s">
        <v>32</v>
      </c>
      <c r="D56" s="281"/>
      <c r="E56" s="246">
        <v>3.0</v>
      </c>
      <c r="F56" s="246">
        <v>16.0</v>
      </c>
      <c r="G56" s="281" t="s">
        <v>368</v>
      </c>
      <c r="H56" s="246">
        <v>15.0</v>
      </c>
      <c r="I56" s="246">
        <v>15.0</v>
      </c>
      <c r="J56" s="281" t="s">
        <v>368</v>
      </c>
      <c r="K56" s="246" t="s">
        <v>381</v>
      </c>
      <c r="L56" s="309">
        <f t="shared" si="3"/>
        <v>0.0625</v>
      </c>
      <c r="M56" s="281"/>
    </row>
    <row r="57">
      <c r="C57" s="308" t="s">
        <v>40</v>
      </c>
      <c r="D57" s="281"/>
      <c r="E57" s="246" t="s">
        <v>368</v>
      </c>
      <c r="F57" s="246" t="s">
        <v>368</v>
      </c>
      <c r="G57" s="281" t="s">
        <v>368</v>
      </c>
      <c r="H57" s="246" t="s">
        <v>368</v>
      </c>
      <c r="I57" s="246" t="s">
        <v>368</v>
      </c>
      <c r="J57" s="281" t="s">
        <v>368</v>
      </c>
      <c r="K57" s="246" t="s">
        <v>368</v>
      </c>
      <c r="L57" s="309" t="str">
        <f t="shared" si="3"/>
        <v/>
      </c>
      <c r="M57" s="281"/>
    </row>
    <row r="58">
      <c r="C58" s="308" t="s">
        <v>42</v>
      </c>
      <c r="D58" s="281"/>
      <c r="E58" s="246" t="s">
        <v>368</v>
      </c>
      <c r="F58" s="246" t="s">
        <v>368</v>
      </c>
      <c r="G58" s="281" t="s">
        <v>368</v>
      </c>
      <c r="H58" s="246" t="s">
        <v>368</v>
      </c>
      <c r="I58" s="246" t="s">
        <v>368</v>
      </c>
      <c r="J58" s="281" t="s">
        <v>368</v>
      </c>
      <c r="K58" s="246" t="s">
        <v>368</v>
      </c>
      <c r="L58" s="309" t="str">
        <f t="shared" si="3"/>
        <v/>
      </c>
      <c r="M58" s="281"/>
    </row>
    <row r="59">
      <c r="C59" s="308" t="s">
        <v>46</v>
      </c>
      <c r="D59" s="281"/>
      <c r="E59" s="246">
        <v>15.0</v>
      </c>
      <c r="F59" s="246">
        <v>15.0</v>
      </c>
      <c r="G59" s="281" t="s">
        <v>368</v>
      </c>
      <c r="H59" s="246">
        <v>15.0</v>
      </c>
      <c r="I59" s="246">
        <v>15.0</v>
      </c>
      <c r="J59" s="281" t="s">
        <v>368</v>
      </c>
      <c r="K59" s="246" t="s">
        <v>370</v>
      </c>
      <c r="L59" s="309">
        <f t="shared" si="3"/>
        <v>0</v>
      </c>
      <c r="M59" s="281"/>
    </row>
    <row r="60">
      <c r="C60" s="308" t="s">
        <v>382</v>
      </c>
      <c r="D60" s="281"/>
      <c r="E60" s="246" t="s">
        <v>368</v>
      </c>
      <c r="F60" s="246" t="s">
        <v>368</v>
      </c>
      <c r="G60" s="281" t="s">
        <v>368</v>
      </c>
      <c r="H60" s="246" t="s">
        <v>368</v>
      </c>
      <c r="I60" s="246" t="s">
        <v>368</v>
      </c>
      <c r="J60" s="281" t="s">
        <v>368</v>
      </c>
      <c r="K60" s="246" t="s">
        <v>368</v>
      </c>
      <c r="L60" s="309" t="str">
        <f t="shared" si="3"/>
        <v/>
      </c>
      <c r="M60" s="281"/>
    </row>
    <row r="61">
      <c r="C61" s="308" t="s">
        <v>54</v>
      </c>
      <c r="D61" s="281"/>
      <c r="E61" s="246">
        <v>0.0</v>
      </c>
      <c r="F61" s="246">
        <v>0.0</v>
      </c>
      <c r="G61" s="281" t="s">
        <v>368</v>
      </c>
      <c r="H61" s="246">
        <v>5.0</v>
      </c>
      <c r="I61" s="246">
        <v>18.0</v>
      </c>
      <c r="J61" s="281" t="s">
        <v>368</v>
      </c>
      <c r="K61" s="246" t="s">
        <v>361</v>
      </c>
      <c r="L61" s="246" t="s">
        <v>361</v>
      </c>
      <c r="M61" s="281"/>
    </row>
    <row r="62">
      <c r="C62" s="308" t="s">
        <v>383</v>
      </c>
      <c r="D62" s="281"/>
      <c r="E62" s="246" t="s">
        <v>368</v>
      </c>
      <c r="F62" s="246" t="s">
        <v>368</v>
      </c>
      <c r="G62" s="281" t="s">
        <v>368</v>
      </c>
      <c r="H62" s="246" t="s">
        <v>368</v>
      </c>
      <c r="I62" s="246" t="s">
        <v>368</v>
      </c>
      <c r="J62" s="281" t="s">
        <v>368</v>
      </c>
      <c r="K62" s="246" t="s">
        <v>368</v>
      </c>
      <c r="L62" s="246"/>
      <c r="M62" s="281"/>
    </row>
    <row r="63">
      <c r="D63" s="281"/>
      <c r="E63" s="281"/>
      <c r="F63" s="281"/>
      <c r="G63" s="281"/>
      <c r="H63" s="281"/>
      <c r="I63" s="281"/>
      <c r="J63" s="281"/>
      <c r="K63" s="281"/>
      <c r="L63" s="281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6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69" t="s">
        <v>114</v>
      </c>
      <c r="C2" s="269"/>
      <c r="E2" s="5" t="s">
        <v>384</v>
      </c>
    </row>
    <row r="3">
      <c r="B3" s="310" t="s">
        <v>385</v>
      </c>
      <c r="C3" s="271"/>
    </row>
    <row r="4">
      <c r="B4" s="310" t="s">
        <v>386</v>
      </c>
      <c r="C4" s="272"/>
    </row>
    <row r="5">
      <c r="B5" s="310" t="s">
        <v>387</v>
      </c>
      <c r="C5" s="311"/>
    </row>
    <row r="7">
      <c r="G7" s="279" t="s">
        <v>388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V7" s="5"/>
      <c r="W7" s="279" t="s">
        <v>389</v>
      </c>
    </row>
    <row r="8" ht="120.75" customHeight="1">
      <c r="C8" s="249" t="s">
        <v>390</v>
      </c>
      <c r="D8" s="121" t="s">
        <v>391</v>
      </c>
      <c r="E8" s="121" t="s">
        <v>392</v>
      </c>
      <c r="F8" s="249" t="s">
        <v>393</v>
      </c>
      <c r="G8" s="312" t="s">
        <v>82</v>
      </c>
      <c r="H8" s="312" t="s">
        <v>68</v>
      </c>
      <c r="I8" s="312" t="s">
        <v>103</v>
      </c>
      <c r="J8" s="312" t="s">
        <v>69</v>
      </c>
      <c r="K8" s="312" t="s">
        <v>70</v>
      </c>
      <c r="L8" s="312" t="s">
        <v>71</v>
      </c>
      <c r="M8" s="312" t="s">
        <v>72</v>
      </c>
      <c r="N8" s="312" t="s">
        <v>73</v>
      </c>
      <c r="O8" s="312" t="s">
        <v>74</v>
      </c>
      <c r="P8" s="312" t="s">
        <v>75</v>
      </c>
      <c r="Q8" s="312" t="s">
        <v>76</v>
      </c>
      <c r="R8" s="312" t="s">
        <v>77</v>
      </c>
      <c r="S8" s="312" t="s">
        <v>78</v>
      </c>
      <c r="U8" s="121" t="s">
        <v>394</v>
      </c>
      <c r="W8" s="193" t="s">
        <v>367</v>
      </c>
      <c r="X8" s="193" t="s">
        <v>312</v>
      </c>
      <c r="Y8" s="193" t="s">
        <v>189</v>
      </c>
      <c r="Z8" s="193" t="s">
        <v>311</v>
      </c>
      <c r="AA8" s="193" t="s">
        <v>372</v>
      </c>
      <c r="AB8" s="193" t="s">
        <v>373</v>
      </c>
      <c r="AC8" s="193" t="s">
        <v>374</v>
      </c>
      <c r="AD8" s="193" t="s">
        <v>49</v>
      </c>
      <c r="AE8" s="193" t="s">
        <v>44</v>
      </c>
      <c r="AF8" s="193" t="s">
        <v>375</v>
      </c>
      <c r="AG8" s="193" t="s">
        <v>43</v>
      </c>
      <c r="AH8" s="193" t="s">
        <v>377</v>
      </c>
      <c r="AI8" s="193" t="s">
        <v>35</v>
      </c>
      <c r="AJ8" s="193" t="s">
        <v>310</v>
      </c>
      <c r="AK8" s="193" t="s">
        <v>134</v>
      </c>
      <c r="AL8" s="193" t="s">
        <v>380</v>
      </c>
      <c r="AM8" s="193" t="s">
        <v>32</v>
      </c>
      <c r="AN8" s="193" t="s">
        <v>40</v>
      </c>
      <c r="AO8" s="193" t="s">
        <v>42</v>
      </c>
      <c r="AP8" s="193" t="s">
        <v>46</v>
      </c>
      <c r="AQ8" s="193" t="s">
        <v>382</v>
      </c>
      <c r="AR8" s="193" t="s">
        <v>54</v>
      </c>
      <c r="AS8" s="193" t="s">
        <v>383</v>
      </c>
    </row>
    <row r="9">
      <c r="C9" s="5">
        <v>1.0</v>
      </c>
      <c r="D9" s="5">
        <v>100.0</v>
      </c>
      <c r="E9" s="303" t="s">
        <v>395</v>
      </c>
      <c r="F9" s="303">
        <v>12.0</v>
      </c>
      <c r="G9" s="303">
        <v>100.0</v>
      </c>
      <c r="H9" s="303">
        <v>50.0</v>
      </c>
      <c r="I9" s="303">
        <v>0.0</v>
      </c>
      <c r="J9" s="303">
        <v>12.0</v>
      </c>
      <c r="K9" s="303">
        <v>5.0</v>
      </c>
      <c r="L9" s="303">
        <v>2.0</v>
      </c>
      <c r="M9" s="303">
        <v>5.0</v>
      </c>
      <c r="N9" s="303">
        <v>4.0</v>
      </c>
      <c r="O9" s="303">
        <v>3.0</v>
      </c>
      <c r="P9" s="303">
        <v>0.0</v>
      </c>
      <c r="Q9" s="303">
        <v>0.0</v>
      </c>
      <c r="R9" s="303">
        <v>0.0</v>
      </c>
      <c r="S9" s="303">
        <v>0.0</v>
      </c>
      <c r="T9" s="281"/>
      <c r="U9" s="303" t="s">
        <v>396</v>
      </c>
      <c r="V9" s="281"/>
      <c r="W9" s="303">
        <v>0.0</v>
      </c>
      <c r="X9" s="303">
        <v>0.0</v>
      </c>
      <c r="Y9" s="303">
        <v>0.0</v>
      </c>
      <c r="Z9" s="303">
        <v>0.0</v>
      </c>
      <c r="AA9" s="303">
        <v>0.0</v>
      </c>
      <c r="AB9" s="303">
        <v>0.0</v>
      </c>
      <c r="AC9" s="303">
        <v>0.0</v>
      </c>
      <c r="AD9" s="303">
        <v>0.0</v>
      </c>
      <c r="AE9" s="303">
        <v>0.0</v>
      </c>
      <c r="AF9" s="303">
        <v>0.0</v>
      </c>
      <c r="AG9" s="303">
        <v>0.0</v>
      </c>
      <c r="AH9" s="303">
        <v>0.0</v>
      </c>
      <c r="AI9" s="303">
        <v>0.0</v>
      </c>
      <c r="AJ9" s="303">
        <v>0.0</v>
      </c>
      <c r="AK9" s="303">
        <v>0.0</v>
      </c>
      <c r="AL9" s="303">
        <v>0.0</v>
      </c>
      <c r="AM9" s="303">
        <v>0.0</v>
      </c>
      <c r="AN9" s="303">
        <v>0.0</v>
      </c>
      <c r="AO9" s="303">
        <v>0.0</v>
      </c>
      <c r="AP9" s="303">
        <v>0.0</v>
      </c>
      <c r="AQ9" s="303">
        <v>0.0</v>
      </c>
      <c r="AR9" s="303">
        <v>0.0</v>
      </c>
      <c r="AS9" s="303">
        <v>0.0</v>
      </c>
    </row>
    <row r="10">
      <c r="C10" s="5">
        <v>2.0</v>
      </c>
      <c r="D10" s="5">
        <v>101.0</v>
      </c>
      <c r="E10" s="303" t="s">
        <v>395</v>
      </c>
      <c r="F10" s="303">
        <v>13.0</v>
      </c>
      <c r="G10" s="303">
        <v>0.0</v>
      </c>
      <c r="H10" s="303">
        <v>50.0</v>
      </c>
      <c r="I10" s="303">
        <v>0.0</v>
      </c>
      <c r="J10" s="303">
        <v>13.0</v>
      </c>
      <c r="K10" s="303">
        <v>4.0</v>
      </c>
      <c r="L10" s="303">
        <v>2.0</v>
      </c>
      <c r="M10" s="303">
        <v>5.0</v>
      </c>
      <c r="N10" s="303">
        <v>4.0</v>
      </c>
      <c r="O10" s="303">
        <v>3.0</v>
      </c>
      <c r="P10" s="303">
        <v>0.0</v>
      </c>
      <c r="Q10" s="303">
        <v>0.0</v>
      </c>
      <c r="R10" s="303">
        <v>0.0</v>
      </c>
      <c r="S10" s="303">
        <v>0.0</v>
      </c>
      <c r="T10" s="281"/>
      <c r="U10" s="303" t="s">
        <v>397</v>
      </c>
      <c r="V10" s="281"/>
      <c r="W10" s="303">
        <v>0.0</v>
      </c>
      <c r="X10" s="303">
        <v>0.0</v>
      </c>
      <c r="Y10" s="303">
        <v>0.0</v>
      </c>
      <c r="Z10" s="303">
        <v>0.0</v>
      </c>
      <c r="AA10" s="303">
        <v>0.0</v>
      </c>
      <c r="AB10" s="303">
        <v>0.0</v>
      </c>
      <c r="AC10" s="313" t="s">
        <v>398</v>
      </c>
      <c r="AD10" s="303">
        <v>0.0</v>
      </c>
      <c r="AE10" s="303">
        <v>0.0</v>
      </c>
      <c r="AF10" s="303">
        <v>0.0</v>
      </c>
      <c r="AG10" s="303">
        <v>0.0</v>
      </c>
      <c r="AH10" s="303">
        <v>0.0</v>
      </c>
      <c r="AI10" s="303">
        <v>0.0</v>
      </c>
      <c r="AJ10" s="303">
        <v>0.0</v>
      </c>
      <c r="AK10" s="303">
        <v>0.0</v>
      </c>
      <c r="AL10" s="303">
        <v>0.0</v>
      </c>
      <c r="AM10" s="303">
        <v>0.0</v>
      </c>
      <c r="AN10" s="303">
        <v>0.0</v>
      </c>
      <c r="AO10" s="303">
        <v>0.0</v>
      </c>
      <c r="AP10" s="303">
        <v>0.0</v>
      </c>
      <c r="AQ10" s="303">
        <v>0.0</v>
      </c>
      <c r="AR10" s="303">
        <v>0.0</v>
      </c>
      <c r="AS10" s="303">
        <v>0.0</v>
      </c>
    </row>
  </sheetData>
  <conditionalFormatting sqref="B2:B5 C2:C4">
    <cfRule type="expression" dxfId="7" priority="1">
      <formula>ISFORMULA(B2)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14" t="s">
        <v>399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6"/>
    </row>
    <row r="2" ht="12.75" customHeight="1">
      <c r="A2" s="317" t="s">
        <v>400</v>
      </c>
      <c r="B2" s="318" t="s">
        <v>401</v>
      </c>
      <c r="C2" s="317" t="s">
        <v>402</v>
      </c>
      <c r="D2" s="317"/>
      <c r="E2" s="319" t="s">
        <v>403</v>
      </c>
      <c r="F2" s="317"/>
      <c r="G2" s="317"/>
      <c r="H2" s="317"/>
      <c r="I2" s="317"/>
      <c r="J2" s="317"/>
      <c r="K2" s="317"/>
      <c r="L2" s="317"/>
      <c r="M2" s="317"/>
      <c r="N2" s="317"/>
    </row>
    <row r="3" ht="12.75" customHeight="1">
      <c r="A3" s="320" t="s">
        <v>310</v>
      </c>
      <c r="B3" s="321">
        <v>13.0</v>
      </c>
      <c r="C3" s="322" t="s">
        <v>404</v>
      </c>
      <c r="D3" s="322"/>
      <c r="E3" s="323" t="s">
        <v>405</v>
      </c>
      <c r="F3" s="322"/>
      <c r="G3" s="322"/>
      <c r="H3" s="322"/>
      <c r="I3" s="322"/>
      <c r="J3" s="324"/>
      <c r="K3" s="322"/>
      <c r="L3" s="322"/>
      <c r="M3" s="322"/>
      <c r="N3" s="322"/>
    </row>
    <row r="4" ht="12.75" customHeight="1">
      <c r="A4" s="320" t="s">
        <v>311</v>
      </c>
      <c r="B4" s="321">
        <v>12.0</v>
      </c>
      <c r="C4" s="322" t="s">
        <v>404</v>
      </c>
      <c r="D4" s="322"/>
      <c r="E4" s="323" t="s">
        <v>406</v>
      </c>
      <c r="F4" s="322"/>
      <c r="G4" s="322"/>
      <c r="H4" s="322"/>
      <c r="I4" s="322"/>
      <c r="J4" s="324"/>
      <c r="K4" s="322"/>
      <c r="L4" s="322"/>
      <c r="M4" s="322"/>
      <c r="N4" s="322"/>
    </row>
    <row r="5" ht="12.75" customHeight="1">
      <c r="A5" s="320" t="s">
        <v>312</v>
      </c>
      <c r="B5" s="321">
        <v>12.0</v>
      </c>
      <c r="C5" s="322" t="s">
        <v>404</v>
      </c>
      <c r="D5" s="322"/>
      <c r="E5" s="323" t="s">
        <v>407</v>
      </c>
      <c r="F5" s="322"/>
      <c r="G5" s="322"/>
      <c r="H5" s="322"/>
      <c r="I5" s="322"/>
      <c r="J5" s="324"/>
      <c r="K5" s="322"/>
      <c r="L5" s="322"/>
      <c r="M5" s="322"/>
      <c r="N5" s="322"/>
    </row>
    <row r="6" ht="12.75" customHeight="1">
      <c r="A6" s="325" t="s">
        <v>46</v>
      </c>
      <c r="B6" s="321">
        <v>12.0</v>
      </c>
      <c r="C6" s="322" t="s">
        <v>404</v>
      </c>
      <c r="D6" s="322"/>
      <c r="E6" s="323" t="s">
        <v>408</v>
      </c>
      <c r="F6" s="322"/>
      <c r="G6" s="322"/>
      <c r="H6" s="322"/>
      <c r="I6" s="322"/>
      <c r="J6" s="324"/>
      <c r="K6" s="322"/>
      <c r="L6" s="322"/>
      <c r="M6" s="322"/>
      <c r="N6" s="322"/>
    </row>
    <row r="7" ht="12.75" customHeight="1">
      <c r="A7" s="320" t="s">
        <v>380</v>
      </c>
      <c r="B7" s="326">
        <v>49.0</v>
      </c>
      <c r="C7" s="322" t="s">
        <v>409</v>
      </c>
      <c r="D7" s="322"/>
      <c r="E7" s="327" t="s">
        <v>410</v>
      </c>
      <c r="F7" s="322"/>
      <c r="G7" s="322"/>
      <c r="H7" s="322"/>
      <c r="I7" s="322"/>
      <c r="J7" s="324"/>
      <c r="K7" s="322"/>
      <c r="L7" s="322"/>
      <c r="M7" s="322"/>
      <c r="N7" s="322"/>
    </row>
    <row r="8" ht="12.75" customHeight="1">
      <c r="A8" s="320" t="s">
        <v>411</v>
      </c>
      <c r="B8" s="326">
        <v>49.0</v>
      </c>
      <c r="C8" s="322" t="s">
        <v>409</v>
      </c>
      <c r="D8" s="322"/>
      <c r="E8" s="327" t="s">
        <v>410</v>
      </c>
      <c r="F8" s="322"/>
      <c r="G8" s="322"/>
      <c r="H8" s="322"/>
      <c r="I8" s="322"/>
      <c r="J8" s="324"/>
      <c r="K8" s="322"/>
      <c r="L8" s="322"/>
      <c r="M8" s="322"/>
      <c r="N8" s="322"/>
    </row>
    <row r="9" ht="12.75" customHeight="1">
      <c r="A9" s="320" t="s">
        <v>412</v>
      </c>
      <c r="B9" s="321">
        <v>12.0</v>
      </c>
      <c r="C9" s="322" t="s">
        <v>404</v>
      </c>
      <c r="D9" s="322"/>
      <c r="E9" s="327" t="s">
        <v>413</v>
      </c>
      <c r="F9" s="322"/>
      <c r="G9" s="322"/>
      <c r="H9" s="322"/>
      <c r="I9" s="322"/>
      <c r="J9" s="324"/>
      <c r="K9" s="322"/>
      <c r="L9" s="322"/>
      <c r="M9" s="322"/>
      <c r="N9" s="322"/>
    </row>
    <row r="10" ht="12.75" customHeight="1">
      <c r="A10" s="325" t="s">
        <v>189</v>
      </c>
      <c r="B10" s="321">
        <v>13.0</v>
      </c>
      <c r="C10" s="322" t="s">
        <v>404</v>
      </c>
      <c r="D10" s="322"/>
      <c r="E10" s="327" t="s">
        <v>414</v>
      </c>
      <c r="F10" s="322"/>
      <c r="G10" s="322"/>
      <c r="H10" s="322"/>
      <c r="I10" s="322"/>
      <c r="J10" s="324"/>
      <c r="K10" s="322"/>
      <c r="L10" s="322"/>
      <c r="M10" s="322"/>
      <c r="N10" s="322"/>
    </row>
    <row r="11" ht="12.75" customHeight="1">
      <c r="A11" s="320" t="s">
        <v>375</v>
      </c>
      <c r="B11" s="321">
        <v>15.0</v>
      </c>
      <c r="C11" s="322" t="s">
        <v>404</v>
      </c>
      <c r="D11" s="322"/>
      <c r="E11" s="327" t="s">
        <v>415</v>
      </c>
      <c r="F11" s="322"/>
      <c r="G11" s="322"/>
      <c r="H11" s="322"/>
      <c r="I11" s="322"/>
      <c r="J11" s="324"/>
      <c r="K11" s="322"/>
      <c r="L11" s="322"/>
      <c r="M11" s="322"/>
      <c r="N11" s="322"/>
    </row>
    <row r="12" ht="12.75" customHeight="1">
      <c r="A12" s="320" t="s">
        <v>416</v>
      </c>
      <c r="B12" s="321">
        <v>16.0</v>
      </c>
      <c r="C12" s="322" t="s">
        <v>404</v>
      </c>
      <c r="D12" s="322"/>
      <c r="E12" s="327" t="s">
        <v>417</v>
      </c>
      <c r="F12" s="322"/>
      <c r="G12" s="322"/>
      <c r="H12" s="322"/>
      <c r="I12" s="322"/>
      <c r="J12" s="324"/>
      <c r="K12" s="322"/>
      <c r="L12" s="322"/>
      <c r="M12" s="322"/>
      <c r="N12" s="322"/>
    </row>
    <row r="13" ht="12.75" customHeight="1">
      <c r="A13" s="320" t="s">
        <v>43</v>
      </c>
      <c r="B13" s="321">
        <v>21.0</v>
      </c>
      <c r="C13" s="322" t="s">
        <v>404</v>
      </c>
      <c r="D13" s="322"/>
      <c r="E13" s="327" t="s">
        <v>418</v>
      </c>
      <c r="F13" s="322"/>
      <c r="G13" s="322"/>
      <c r="H13" s="322"/>
      <c r="I13" s="322"/>
      <c r="J13" s="324"/>
      <c r="K13" s="322"/>
      <c r="L13" s="322"/>
      <c r="M13" s="322"/>
      <c r="N13" s="322"/>
    </row>
    <row r="14" ht="12.75" customHeight="1">
      <c r="A14" s="320" t="s">
        <v>374</v>
      </c>
      <c r="B14" s="321">
        <v>49.0</v>
      </c>
      <c r="C14" s="322" t="s">
        <v>404</v>
      </c>
      <c r="D14" s="322"/>
      <c r="E14" s="327" t="s">
        <v>410</v>
      </c>
      <c r="F14" s="322"/>
      <c r="G14" s="322"/>
      <c r="H14" s="322"/>
      <c r="I14" s="322"/>
      <c r="J14" s="324"/>
      <c r="K14" s="322"/>
      <c r="L14" s="322"/>
      <c r="M14" s="322"/>
      <c r="N14" s="322"/>
    </row>
    <row r="15" ht="12.75" customHeight="1">
      <c r="A15" s="325" t="s">
        <v>32</v>
      </c>
      <c r="B15" s="321">
        <v>3.0</v>
      </c>
      <c r="C15" s="322" t="s">
        <v>404</v>
      </c>
      <c r="D15" s="322"/>
      <c r="E15" s="327" t="s">
        <v>419</v>
      </c>
      <c r="F15" s="322"/>
      <c r="G15" s="322"/>
      <c r="H15" s="322"/>
      <c r="I15" s="322"/>
      <c r="J15" s="324"/>
      <c r="K15" s="322"/>
      <c r="L15" s="322"/>
      <c r="M15" s="322"/>
      <c r="N15" s="322"/>
    </row>
    <row r="16" ht="12.75" customHeight="1">
      <c r="A16" s="320" t="s">
        <v>134</v>
      </c>
      <c r="B16" s="321">
        <v>28.0</v>
      </c>
      <c r="C16" s="322" t="s">
        <v>404</v>
      </c>
      <c r="D16" s="322"/>
      <c r="E16" s="327" t="s">
        <v>420</v>
      </c>
      <c r="F16" s="322"/>
      <c r="G16" s="322"/>
      <c r="H16" s="322"/>
      <c r="I16" s="322"/>
      <c r="J16" s="324"/>
      <c r="K16" s="322"/>
      <c r="L16" s="322"/>
      <c r="M16" s="322"/>
      <c r="N16" s="322"/>
    </row>
    <row r="17" ht="12.75" customHeight="1">
      <c r="A17" s="320" t="s">
        <v>421</v>
      </c>
      <c r="B17" s="326">
        <v>49.0</v>
      </c>
      <c r="C17" s="322" t="s">
        <v>409</v>
      </c>
      <c r="D17" s="322"/>
      <c r="E17" s="327" t="s">
        <v>410</v>
      </c>
      <c r="F17" s="322"/>
      <c r="G17" s="322"/>
      <c r="H17" s="322"/>
      <c r="I17" s="322"/>
      <c r="J17" s="324"/>
      <c r="K17" s="322"/>
      <c r="L17" s="322"/>
      <c r="M17" s="322"/>
      <c r="N17" s="322"/>
    </row>
    <row r="18" ht="12.75" customHeight="1">
      <c r="A18" s="320" t="s">
        <v>49</v>
      </c>
      <c r="B18" s="321">
        <v>24.0</v>
      </c>
      <c r="C18" s="322" t="s">
        <v>404</v>
      </c>
      <c r="D18" s="322"/>
      <c r="E18" s="327" t="s">
        <v>422</v>
      </c>
      <c r="F18" s="322"/>
      <c r="G18" s="322"/>
      <c r="H18" s="322"/>
      <c r="I18" s="322"/>
      <c r="J18" s="324"/>
      <c r="K18" s="322"/>
      <c r="L18" s="322"/>
      <c r="M18" s="322"/>
      <c r="N18" s="322"/>
    </row>
    <row r="19" ht="12.75" customHeight="1">
      <c r="A19" s="325" t="s">
        <v>40</v>
      </c>
      <c r="B19" s="326">
        <v>49.0</v>
      </c>
      <c r="C19" s="322" t="s">
        <v>404</v>
      </c>
      <c r="D19" s="322"/>
      <c r="E19" s="327" t="s">
        <v>410</v>
      </c>
      <c r="F19" s="322"/>
      <c r="G19" s="322"/>
      <c r="H19" s="322"/>
      <c r="I19" s="322"/>
      <c r="J19" s="324"/>
      <c r="K19" s="322"/>
      <c r="L19" s="322"/>
      <c r="M19" s="322"/>
      <c r="N19" s="322"/>
    </row>
    <row r="20" ht="12.75" customHeight="1">
      <c r="A20" s="325" t="s">
        <v>42</v>
      </c>
      <c r="B20" s="326">
        <v>49.0</v>
      </c>
      <c r="C20" s="322" t="s">
        <v>404</v>
      </c>
      <c r="D20" s="322"/>
      <c r="E20" s="327" t="s">
        <v>410</v>
      </c>
      <c r="F20" s="322"/>
      <c r="G20" s="322"/>
      <c r="H20" s="322"/>
      <c r="I20" s="322"/>
      <c r="J20" s="324"/>
      <c r="K20" s="322"/>
      <c r="L20" s="322"/>
      <c r="M20" s="322"/>
      <c r="N20" s="322"/>
    </row>
    <row r="21" ht="12.75" customHeight="1">
      <c r="A21" s="325" t="s">
        <v>373</v>
      </c>
      <c r="B21" s="326">
        <v>49.0</v>
      </c>
      <c r="C21" s="322" t="s">
        <v>423</v>
      </c>
      <c r="D21" s="322"/>
      <c r="E21" s="327" t="s">
        <v>410</v>
      </c>
      <c r="F21" s="322"/>
      <c r="G21" s="322"/>
      <c r="H21" s="322"/>
      <c r="I21" s="322"/>
      <c r="J21" s="324"/>
      <c r="K21" s="322"/>
      <c r="L21" s="322"/>
      <c r="M21" s="322"/>
      <c r="N21" s="322"/>
    </row>
    <row r="22" ht="12.75" customHeight="1"/>
    <row r="23" ht="12.75" customHeight="1">
      <c r="A23" s="328" t="s">
        <v>424</v>
      </c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30"/>
    </row>
    <row r="24" ht="12.75" customHeight="1">
      <c r="A24" s="331" t="s">
        <v>425</v>
      </c>
      <c r="B24" s="317" t="s">
        <v>400</v>
      </c>
      <c r="C24" s="319" t="s">
        <v>105</v>
      </c>
      <c r="D24" s="319" t="s">
        <v>106</v>
      </c>
      <c r="E24" s="319" t="s">
        <v>107</v>
      </c>
      <c r="F24" s="319" t="s">
        <v>108</v>
      </c>
      <c r="G24" s="319" t="s">
        <v>109</v>
      </c>
      <c r="H24" s="319" t="s">
        <v>110</v>
      </c>
      <c r="I24" s="319" t="s">
        <v>426</v>
      </c>
      <c r="J24" s="319" t="s">
        <v>427</v>
      </c>
      <c r="K24" s="319" t="s">
        <v>428</v>
      </c>
      <c r="L24" s="319" t="s">
        <v>429</v>
      </c>
      <c r="M24" s="319" t="s">
        <v>430</v>
      </c>
      <c r="N24" s="319" t="s">
        <v>431</v>
      </c>
      <c r="O24" s="318" t="s">
        <v>432</v>
      </c>
    </row>
    <row r="25" ht="12.75" customHeight="1">
      <c r="A25" s="325" t="s">
        <v>433</v>
      </c>
      <c r="B25" s="320" t="s">
        <v>310</v>
      </c>
      <c r="C25" s="332" t="s">
        <v>434</v>
      </c>
      <c r="D25" s="332" t="s">
        <v>434</v>
      </c>
      <c r="E25" s="333">
        <v>0.25</v>
      </c>
      <c r="F25" s="332" t="s">
        <v>434</v>
      </c>
      <c r="G25" s="332" t="s">
        <v>434</v>
      </c>
      <c r="H25" s="332" t="s">
        <v>434</v>
      </c>
      <c r="I25" s="334" t="str">
        <f t="shared" ref="I25:N25" si="1">iferror(C25*$B$3, "-")</f>
        <v>-</v>
      </c>
      <c r="J25" s="334" t="str">
        <f t="shared" si="1"/>
        <v>-</v>
      </c>
      <c r="K25" s="334">
        <f t="shared" si="1"/>
        <v>3.25</v>
      </c>
      <c r="L25" s="334" t="str">
        <f t="shared" si="1"/>
        <v>-</v>
      </c>
      <c r="M25" s="334" t="str">
        <f t="shared" si="1"/>
        <v>-</v>
      </c>
      <c r="N25" s="334" t="str">
        <f t="shared" si="1"/>
        <v>-</v>
      </c>
      <c r="O25" s="335">
        <f t="shared" ref="O25:O138" si="3">SUM(I25:N25)</f>
        <v>3.25</v>
      </c>
    </row>
    <row r="26" ht="12.75" customHeight="1">
      <c r="A26" s="325" t="s">
        <v>433</v>
      </c>
      <c r="B26" s="320" t="s">
        <v>311</v>
      </c>
      <c r="C26" s="336" t="s">
        <v>434</v>
      </c>
      <c r="D26" s="336" t="s">
        <v>434</v>
      </c>
      <c r="E26" s="337">
        <v>0.25</v>
      </c>
      <c r="F26" s="336" t="s">
        <v>434</v>
      </c>
      <c r="G26" s="336" t="s">
        <v>434</v>
      </c>
      <c r="H26" s="336" t="s">
        <v>434</v>
      </c>
      <c r="I26" s="334" t="str">
        <f t="shared" ref="I26:N26" si="2">iferror(C26*$B$4, "-")</f>
        <v>-</v>
      </c>
      <c r="J26" s="334" t="str">
        <f t="shared" si="2"/>
        <v>-</v>
      </c>
      <c r="K26" s="334">
        <f t="shared" si="2"/>
        <v>3</v>
      </c>
      <c r="L26" s="334" t="str">
        <f t="shared" si="2"/>
        <v>-</v>
      </c>
      <c r="M26" s="334" t="str">
        <f t="shared" si="2"/>
        <v>-</v>
      </c>
      <c r="N26" s="334" t="str">
        <f t="shared" si="2"/>
        <v>-</v>
      </c>
      <c r="O26" s="335">
        <f t="shared" si="3"/>
        <v>3</v>
      </c>
    </row>
    <row r="27" ht="12.75" customHeight="1">
      <c r="A27" s="325" t="s">
        <v>433</v>
      </c>
      <c r="B27" s="320" t="s">
        <v>312</v>
      </c>
      <c r="C27" s="336" t="s">
        <v>434</v>
      </c>
      <c r="D27" s="336" t="s">
        <v>434</v>
      </c>
      <c r="E27" s="337">
        <v>0.25</v>
      </c>
      <c r="F27" s="336" t="s">
        <v>434</v>
      </c>
      <c r="G27" s="336" t="s">
        <v>434</v>
      </c>
      <c r="H27" s="336" t="s">
        <v>434</v>
      </c>
      <c r="I27" s="334" t="str">
        <f t="shared" ref="I27:N27" si="4">iferror(C27*$B$5, "-")</f>
        <v>-</v>
      </c>
      <c r="J27" s="334" t="str">
        <f t="shared" si="4"/>
        <v>-</v>
      </c>
      <c r="K27" s="334">
        <f t="shared" si="4"/>
        <v>3</v>
      </c>
      <c r="L27" s="334" t="str">
        <f t="shared" si="4"/>
        <v>-</v>
      </c>
      <c r="M27" s="334" t="str">
        <f t="shared" si="4"/>
        <v>-</v>
      </c>
      <c r="N27" s="334" t="str">
        <f t="shared" si="4"/>
        <v>-</v>
      </c>
      <c r="O27" s="335">
        <f t="shared" si="3"/>
        <v>3</v>
      </c>
    </row>
    <row r="28" ht="12.75" customHeight="1">
      <c r="A28" s="325" t="s">
        <v>433</v>
      </c>
      <c r="B28" s="325" t="s">
        <v>46</v>
      </c>
      <c r="C28" s="336" t="s">
        <v>434</v>
      </c>
      <c r="D28" s="336" t="s">
        <v>434</v>
      </c>
      <c r="E28" s="337">
        <v>0.25</v>
      </c>
      <c r="F28" s="336" t="s">
        <v>434</v>
      </c>
      <c r="G28" s="336" t="s">
        <v>434</v>
      </c>
      <c r="H28" s="336" t="s">
        <v>434</v>
      </c>
      <c r="I28" s="334" t="str">
        <f t="shared" ref="I28:N28" si="5">iferror(C28*$B$6, "-")</f>
        <v>-</v>
      </c>
      <c r="J28" s="334" t="str">
        <f t="shared" si="5"/>
        <v>-</v>
      </c>
      <c r="K28" s="334">
        <f t="shared" si="5"/>
        <v>3</v>
      </c>
      <c r="L28" s="334" t="str">
        <f t="shared" si="5"/>
        <v>-</v>
      </c>
      <c r="M28" s="334" t="str">
        <f t="shared" si="5"/>
        <v>-</v>
      </c>
      <c r="N28" s="334" t="str">
        <f t="shared" si="5"/>
        <v>-</v>
      </c>
      <c r="O28" s="335">
        <f t="shared" si="3"/>
        <v>3</v>
      </c>
    </row>
    <row r="29" ht="12.75" customHeight="1">
      <c r="A29" s="325" t="s">
        <v>433</v>
      </c>
      <c r="B29" s="320" t="s">
        <v>380</v>
      </c>
      <c r="C29" s="337">
        <v>0.25</v>
      </c>
      <c r="D29" s="336" t="s">
        <v>434</v>
      </c>
      <c r="E29" s="337">
        <v>0.25</v>
      </c>
      <c r="F29" s="337">
        <v>0.25</v>
      </c>
      <c r="G29" s="336" t="s">
        <v>434</v>
      </c>
      <c r="H29" s="336" t="s">
        <v>434</v>
      </c>
      <c r="I29" s="334">
        <f t="shared" ref="I29:N29" si="6">iferror(C29*$B$7, "-")</f>
        <v>12.25</v>
      </c>
      <c r="J29" s="334" t="str">
        <f t="shared" si="6"/>
        <v>-</v>
      </c>
      <c r="K29" s="334">
        <f t="shared" si="6"/>
        <v>12.25</v>
      </c>
      <c r="L29" s="334">
        <f t="shared" si="6"/>
        <v>12.25</v>
      </c>
      <c r="M29" s="334" t="str">
        <f t="shared" si="6"/>
        <v>-</v>
      </c>
      <c r="N29" s="334" t="str">
        <f t="shared" si="6"/>
        <v>-</v>
      </c>
      <c r="O29" s="335">
        <f t="shared" si="3"/>
        <v>36.75</v>
      </c>
    </row>
    <row r="30" ht="12.75" customHeight="1">
      <c r="A30" s="325" t="s">
        <v>433</v>
      </c>
      <c r="B30" s="320" t="s">
        <v>411</v>
      </c>
      <c r="C30" s="336" t="s">
        <v>434</v>
      </c>
      <c r="D30" s="336" t="s">
        <v>434</v>
      </c>
      <c r="E30" s="336" t="s">
        <v>434</v>
      </c>
      <c r="F30" s="337">
        <v>0.25</v>
      </c>
      <c r="G30" s="337">
        <v>0.25</v>
      </c>
      <c r="H30" s="336" t="s">
        <v>434</v>
      </c>
      <c r="I30" s="334" t="str">
        <f t="shared" ref="I30:N30" si="7">iferror(C30*$B$8, "-")</f>
        <v>-</v>
      </c>
      <c r="J30" s="334" t="str">
        <f t="shared" si="7"/>
        <v>-</v>
      </c>
      <c r="K30" s="334" t="str">
        <f t="shared" si="7"/>
        <v>-</v>
      </c>
      <c r="L30" s="334">
        <f t="shared" si="7"/>
        <v>12.25</v>
      </c>
      <c r="M30" s="334">
        <f t="shared" si="7"/>
        <v>12.25</v>
      </c>
      <c r="N30" s="334" t="str">
        <f t="shared" si="7"/>
        <v>-</v>
      </c>
      <c r="O30" s="335">
        <f t="shared" si="3"/>
        <v>24.5</v>
      </c>
    </row>
    <row r="31" ht="12.75" customHeight="1">
      <c r="A31" s="325" t="s">
        <v>433</v>
      </c>
      <c r="B31" s="320" t="s">
        <v>412</v>
      </c>
      <c r="C31" s="336" t="s">
        <v>434</v>
      </c>
      <c r="D31" s="337">
        <v>0.25</v>
      </c>
      <c r="E31" s="336" t="s">
        <v>434</v>
      </c>
      <c r="F31" s="336" t="s">
        <v>434</v>
      </c>
      <c r="G31" s="336" t="s">
        <v>434</v>
      </c>
      <c r="H31" s="336" t="s">
        <v>434</v>
      </c>
      <c r="I31" s="334" t="str">
        <f t="shared" ref="I31:N31" si="8">iferror(C31*$B$9, "-")</f>
        <v>-</v>
      </c>
      <c r="J31" s="334">
        <f t="shared" si="8"/>
        <v>3</v>
      </c>
      <c r="K31" s="334" t="str">
        <f t="shared" si="8"/>
        <v>-</v>
      </c>
      <c r="L31" s="334" t="str">
        <f t="shared" si="8"/>
        <v>-</v>
      </c>
      <c r="M31" s="334" t="str">
        <f t="shared" si="8"/>
        <v>-</v>
      </c>
      <c r="N31" s="334" t="str">
        <f t="shared" si="8"/>
        <v>-</v>
      </c>
      <c r="O31" s="335">
        <f t="shared" si="3"/>
        <v>3</v>
      </c>
    </row>
    <row r="32" ht="12.75" customHeight="1">
      <c r="A32" s="325" t="s">
        <v>433</v>
      </c>
      <c r="B32" s="325" t="s">
        <v>189</v>
      </c>
      <c r="C32" s="336" t="s">
        <v>434</v>
      </c>
      <c r="D32" s="337">
        <v>0.25</v>
      </c>
      <c r="E32" s="336" t="s">
        <v>434</v>
      </c>
      <c r="F32" s="336" t="s">
        <v>434</v>
      </c>
      <c r="G32" s="336" t="s">
        <v>434</v>
      </c>
      <c r="H32" s="336" t="s">
        <v>434</v>
      </c>
      <c r="I32" s="334" t="str">
        <f t="shared" ref="I32:N32" si="9">iferror(C32*$B$10, "-")</f>
        <v>-</v>
      </c>
      <c r="J32" s="334">
        <f t="shared" si="9"/>
        <v>3.25</v>
      </c>
      <c r="K32" s="334" t="str">
        <f t="shared" si="9"/>
        <v>-</v>
      </c>
      <c r="L32" s="334" t="str">
        <f t="shared" si="9"/>
        <v>-</v>
      </c>
      <c r="M32" s="334" t="str">
        <f t="shared" si="9"/>
        <v>-</v>
      </c>
      <c r="N32" s="334" t="str">
        <f t="shared" si="9"/>
        <v>-</v>
      </c>
      <c r="O32" s="335">
        <f t="shared" si="3"/>
        <v>3.25</v>
      </c>
    </row>
    <row r="33" ht="12.75" customHeight="1">
      <c r="A33" s="325" t="s">
        <v>433</v>
      </c>
      <c r="B33" s="320" t="s">
        <v>375</v>
      </c>
      <c r="C33" s="336" t="s">
        <v>434</v>
      </c>
      <c r="D33" s="337">
        <v>0.25</v>
      </c>
      <c r="E33" s="336" t="s">
        <v>434</v>
      </c>
      <c r="F33" s="336" t="s">
        <v>434</v>
      </c>
      <c r="G33" s="336" t="s">
        <v>434</v>
      </c>
      <c r="H33" s="336" t="s">
        <v>434</v>
      </c>
      <c r="I33" s="334" t="str">
        <f t="shared" ref="I33:N33" si="10">iferror(C33*$B$11, "-")</f>
        <v>-</v>
      </c>
      <c r="J33" s="334">
        <f t="shared" si="10"/>
        <v>3.75</v>
      </c>
      <c r="K33" s="334" t="str">
        <f t="shared" si="10"/>
        <v>-</v>
      </c>
      <c r="L33" s="334" t="str">
        <f t="shared" si="10"/>
        <v>-</v>
      </c>
      <c r="M33" s="334" t="str">
        <f t="shared" si="10"/>
        <v>-</v>
      </c>
      <c r="N33" s="334" t="str">
        <f t="shared" si="10"/>
        <v>-</v>
      </c>
      <c r="O33" s="335">
        <f t="shared" si="3"/>
        <v>3.75</v>
      </c>
    </row>
    <row r="34" ht="12.75" customHeight="1">
      <c r="A34" s="325" t="s">
        <v>433</v>
      </c>
      <c r="B34" s="320" t="s">
        <v>416</v>
      </c>
      <c r="C34" s="336" t="s">
        <v>434</v>
      </c>
      <c r="D34" s="337">
        <v>0.25</v>
      </c>
      <c r="E34" s="336" t="s">
        <v>434</v>
      </c>
      <c r="F34" s="336" t="s">
        <v>434</v>
      </c>
      <c r="G34" s="336" t="s">
        <v>434</v>
      </c>
      <c r="H34" s="336" t="s">
        <v>434</v>
      </c>
      <c r="I34" s="334" t="str">
        <f t="shared" ref="I34:N34" si="11">iferror(C34*$B$12, "-")</f>
        <v>-</v>
      </c>
      <c r="J34" s="334">
        <f t="shared" si="11"/>
        <v>4</v>
      </c>
      <c r="K34" s="334" t="str">
        <f t="shared" si="11"/>
        <v>-</v>
      </c>
      <c r="L34" s="334" t="str">
        <f t="shared" si="11"/>
        <v>-</v>
      </c>
      <c r="M34" s="334" t="str">
        <f t="shared" si="11"/>
        <v>-</v>
      </c>
      <c r="N34" s="334" t="str">
        <f t="shared" si="11"/>
        <v>-</v>
      </c>
      <c r="O34" s="335">
        <f t="shared" si="3"/>
        <v>4</v>
      </c>
    </row>
    <row r="35" ht="12.75" customHeight="1">
      <c r="A35" s="325" t="s">
        <v>433</v>
      </c>
      <c r="B35" s="320" t="s">
        <v>43</v>
      </c>
      <c r="C35" s="336" t="s">
        <v>434</v>
      </c>
      <c r="D35" s="336" t="s">
        <v>434</v>
      </c>
      <c r="E35" s="336" t="s">
        <v>434</v>
      </c>
      <c r="F35" s="336" t="s">
        <v>434</v>
      </c>
      <c r="G35" s="336" t="s">
        <v>434</v>
      </c>
      <c r="H35" s="336" t="s">
        <v>434</v>
      </c>
      <c r="I35" s="334" t="str">
        <f t="shared" ref="I35:N35" si="12">iferror(C35*$B$13, "-")</f>
        <v>-</v>
      </c>
      <c r="J35" s="334" t="str">
        <f t="shared" si="12"/>
        <v>-</v>
      </c>
      <c r="K35" s="334" t="str">
        <f t="shared" si="12"/>
        <v>-</v>
      </c>
      <c r="L35" s="334" t="str">
        <f t="shared" si="12"/>
        <v>-</v>
      </c>
      <c r="M35" s="334" t="str">
        <f t="shared" si="12"/>
        <v>-</v>
      </c>
      <c r="N35" s="334" t="str">
        <f t="shared" si="12"/>
        <v>-</v>
      </c>
      <c r="O35" s="335">
        <f t="shared" si="3"/>
        <v>0</v>
      </c>
    </row>
    <row r="36" ht="12.75" customHeight="1">
      <c r="A36" s="325" t="s">
        <v>433</v>
      </c>
      <c r="B36" s="320" t="s">
        <v>374</v>
      </c>
      <c r="C36" s="336" t="s">
        <v>434</v>
      </c>
      <c r="D36" s="336" t="s">
        <v>434</v>
      </c>
      <c r="E36" s="336" t="s">
        <v>434</v>
      </c>
      <c r="F36" s="336" t="s">
        <v>434</v>
      </c>
      <c r="G36" s="336" t="s">
        <v>434</v>
      </c>
      <c r="H36" s="336" t="s">
        <v>434</v>
      </c>
      <c r="I36" s="334" t="str">
        <f t="shared" ref="I36:N36" si="13">iferror(C36*$B$14, "-")</f>
        <v>-</v>
      </c>
      <c r="J36" s="334" t="str">
        <f t="shared" si="13"/>
        <v>-</v>
      </c>
      <c r="K36" s="334" t="str">
        <f t="shared" si="13"/>
        <v>-</v>
      </c>
      <c r="L36" s="334" t="str">
        <f t="shared" si="13"/>
        <v>-</v>
      </c>
      <c r="M36" s="334" t="str">
        <f t="shared" si="13"/>
        <v>-</v>
      </c>
      <c r="N36" s="334" t="str">
        <f t="shared" si="13"/>
        <v>-</v>
      </c>
      <c r="O36" s="335">
        <f t="shared" si="3"/>
        <v>0</v>
      </c>
    </row>
    <row r="37" ht="12.75" customHeight="1">
      <c r="A37" s="325" t="s">
        <v>433</v>
      </c>
      <c r="B37" s="325" t="s">
        <v>32</v>
      </c>
      <c r="C37" s="336" t="s">
        <v>434</v>
      </c>
      <c r="D37" s="337">
        <v>0.25</v>
      </c>
      <c r="E37" s="336" t="s">
        <v>434</v>
      </c>
      <c r="F37" s="336" t="s">
        <v>434</v>
      </c>
      <c r="G37" s="336" t="s">
        <v>434</v>
      </c>
      <c r="H37" s="336" t="s">
        <v>434</v>
      </c>
      <c r="I37" s="334" t="str">
        <f t="shared" ref="I37:N37" si="14">iferror(C37*$B$15, "-")</f>
        <v>-</v>
      </c>
      <c r="J37" s="334">
        <f t="shared" si="14"/>
        <v>0.75</v>
      </c>
      <c r="K37" s="334" t="str">
        <f t="shared" si="14"/>
        <v>-</v>
      </c>
      <c r="L37" s="334" t="str">
        <f t="shared" si="14"/>
        <v>-</v>
      </c>
      <c r="M37" s="334" t="str">
        <f t="shared" si="14"/>
        <v>-</v>
      </c>
      <c r="N37" s="334" t="str">
        <f t="shared" si="14"/>
        <v>-</v>
      </c>
      <c r="O37" s="335">
        <f t="shared" si="3"/>
        <v>0.75</v>
      </c>
    </row>
    <row r="38" ht="12.75" customHeight="1">
      <c r="A38" s="325" t="s">
        <v>433</v>
      </c>
      <c r="B38" s="320" t="s">
        <v>134</v>
      </c>
      <c r="C38" s="336" t="s">
        <v>434</v>
      </c>
      <c r="D38" s="336" t="s">
        <v>434</v>
      </c>
      <c r="E38" s="336" t="s">
        <v>434</v>
      </c>
      <c r="F38" s="336" t="s">
        <v>434</v>
      </c>
      <c r="G38" s="336" t="s">
        <v>434</v>
      </c>
      <c r="H38" s="336" t="s">
        <v>434</v>
      </c>
      <c r="I38" s="334" t="str">
        <f t="shared" ref="I38:N38" si="15">iferror(C38*$B$16, "-")</f>
        <v>-</v>
      </c>
      <c r="J38" s="334" t="str">
        <f t="shared" si="15"/>
        <v>-</v>
      </c>
      <c r="K38" s="334" t="str">
        <f t="shared" si="15"/>
        <v>-</v>
      </c>
      <c r="L38" s="334" t="str">
        <f t="shared" si="15"/>
        <v>-</v>
      </c>
      <c r="M38" s="334" t="str">
        <f t="shared" si="15"/>
        <v>-</v>
      </c>
      <c r="N38" s="334" t="str">
        <f t="shared" si="15"/>
        <v>-</v>
      </c>
      <c r="O38" s="335">
        <f t="shared" si="3"/>
        <v>0</v>
      </c>
    </row>
    <row r="39" ht="12.75" customHeight="1">
      <c r="A39" s="325" t="s">
        <v>433</v>
      </c>
      <c r="B39" s="320" t="s">
        <v>421</v>
      </c>
      <c r="C39" s="336" t="s">
        <v>434</v>
      </c>
      <c r="D39" s="336" t="s">
        <v>434</v>
      </c>
      <c r="E39" s="336" t="s">
        <v>434</v>
      </c>
      <c r="F39" s="336" t="s">
        <v>434</v>
      </c>
      <c r="G39" s="336" t="s">
        <v>434</v>
      </c>
      <c r="H39" s="336" t="s">
        <v>434</v>
      </c>
      <c r="I39" s="334" t="str">
        <f t="shared" ref="I39:N39" si="16">iferror(C39*$B$17, "-")</f>
        <v>-</v>
      </c>
      <c r="J39" s="334" t="str">
        <f t="shared" si="16"/>
        <v>-</v>
      </c>
      <c r="K39" s="334" t="str">
        <f t="shared" si="16"/>
        <v>-</v>
      </c>
      <c r="L39" s="334" t="str">
        <f t="shared" si="16"/>
        <v>-</v>
      </c>
      <c r="M39" s="334" t="str">
        <f t="shared" si="16"/>
        <v>-</v>
      </c>
      <c r="N39" s="334" t="str">
        <f t="shared" si="16"/>
        <v>-</v>
      </c>
      <c r="O39" s="335">
        <f t="shared" si="3"/>
        <v>0</v>
      </c>
    </row>
    <row r="40" ht="12.75" customHeight="1">
      <c r="A40" s="325" t="s">
        <v>433</v>
      </c>
      <c r="B40" s="338" t="s">
        <v>49</v>
      </c>
      <c r="C40" s="337">
        <v>0.25</v>
      </c>
      <c r="D40" s="339" t="s">
        <v>434</v>
      </c>
      <c r="E40" s="339" t="s">
        <v>434</v>
      </c>
      <c r="F40" s="339" t="s">
        <v>434</v>
      </c>
      <c r="G40" s="339" t="s">
        <v>434</v>
      </c>
      <c r="H40" s="339" t="s">
        <v>434</v>
      </c>
      <c r="I40" s="334">
        <f t="shared" ref="I40:N40" si="17">iferror(C40*$B$18, "-")</f>
        <v>6</v>
      </c>
      <c r="J40" s="334" t="str">
        <f t="shared" si="17"/>
        <v>-</v>
      </c>
      <c r="K40" s="334" t="str">
        <f t="shared" si="17"/>
        <v>-</v>
      </c>
      <c r="L40" s="334" t="str">
        <f t="shared" si="17"/>
        <v>-</v>
      </c>
      <c r="M40" s="334" t="str">
        <f t="shared" si="17"/>
        <v>-</v>
      </c>
      <c r="N40" s="334" t="str">
        <f t="shared" si="17"/>
        <v>-</v>
      </c>
      <c r="O40" s="334">
        <f t="shared" si="3"/>
        <v>6</v>
      </c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0"/>
      <c r="AM40" s="340"/>
      <c r="AN40" s="340"/>
      <c r="AO40" s="340"/>
      <c r="AP40" s="340"/>
      <c r="AQ40" s="340"/>
      <c r="AR40" s="340"/>
      <c r="AS40" s="340"/>
      <c r="AT40" s="340"/>
    </row>
    <row r="41" ht="12.75" customHeight="1">
      <c r="A41" s="325" t="s">
        <v>433</v>
      </c>
      <c r="B41" s="325" t="s">
        <v>40</v>
      </c>
      <c r="C41" s="337">
        <v>0.25</v>
      </c>
      <c r="D41" s="339" t="s">
        <v>434</v>
      </c>
      <c r="E41" s="337">
        <v>0.25</v>
      </c>
      <c r="F41" s="339" t="s">
        <v>434</v>
      </c>
      <c r="G41" s="339" t="s">
        <v>434</v>
      </c>
      <c r="H41" s="339" t="s">
        <v>434</v>
      </c>
      <c r="I41" s="334">
        <f t="shared" ref="I41:N41" si="18">iferror(C41*$B$19, "-")</f>
        <v>12.25</v>
      </c>
      <c r="J41" s="334" t="str">
        <f t="shared" si="18"/>
        <v>-</v>
      </c>
      <c r="K41" s="334">
        <f t="shared" si="18"/>
        <v>12.25</v>
      </c>
      <c r="L41" s="334" t="str">
        <f t="shared" si="18"/>
        <v>-</v>
      </c>
      <c r="M41" s="334" t="str">
        <f t="shared" si="18"/>
        <v>-</v>
      </c>
      <c r="N41" s="334" t="str">
        <f t="shared" si="18"/>
        <v>-</v>
      </c>
      <c r="O41" s="334">
        <f t="shared" si="3"/>
        <v>24.5</v>
      </c>
    </row>
    <row r="42" ht="12.75" customHeight="1">
      <c r="A42" s="325" t="s">
        <v>433</v>
      </c>
      <c r="B42" s="325" t="s">
        <v>42</v>
      </c>
      <c r="C42" s="337">
        <v>0.25</v>
      </c>
      <c r="D42" s="339" t="s">
        <v>434</v>
      </c>
      <c r="E42" s="337">
        <v>0.25</v>
      </c>
      <c r="F42" s="339" t="s">
        <v>434</v>
      </c>
      <c r="G42" s="339" t="s">
        <v>434</v>
      </c>
      <c r="H42" s="339" t="s">
        <v>434</v>
      </c>
      <c r="I42" s="334">
        <f t="shared" ref="I42:N42" si="19">iferror(C42*$B$20, "-")</f>
        <v>12.25</v>
      </c>
      <c r="J42" s="334" t="str">
        <f t="shared" si="19"/>
        <v>-</v>
      </c>
      <c r="K42" s="334">
        <f t="shared" si="19"/>
        <v>12.25</v>
      </c>
      <c r="L42" s="334" t="str">
        <f t="shared" si="19"/>
        <v>-</v>
      </c>
      <c r="M42" s="334" t="str">
        <f t="shared" si="19"/>
        <v>-</v>
      </c>
      <c r="N42" s="334" t="str">
        <f t="shared" si="19"/>
        <v>-</v>
      </c>
      <c r="O42" s="334">
        <f t="shared" si="3"/>
        <v>24.5</v>
      </c>
    </row>
    <row r="43" ht="12.75" customHeight="1">
      <c r="A43" s="341" t="s">
        <v>433</v>
      </c>
      <c r="B43" s="341" t="s">
        <v>373</v>
      </c>
      <c r="C43" s="342" t="s">
        <v>434</v>
      </c>
      <c r="D43" s="342" t="s">
        <v>434</v>
      </c>
      <c r="E43" s="342" t="s">
        <v>434</v>
      </c>
      <c r="F43" s="342" t="s">
        <v>434</v>
      </c>
      <c r="G43" s="342" t="s">
        <v>434</v>
      </c>
      <c r="H43" s="342" t="s">
        <v>434</v>
      </c>
      <c r="I43" s="343" t="str">
        <f t="shared" ref="I43:N43" si="20">iferror(C43*$B$21, "-")</f>
        <v>-</v>
      </c>
      <c r="J43" s="343" t="str">
        <f t="shared" si="20"/>
        <v>-</v>
      </c>
      <c r="K43" s="343" t="str">
        <f t="shared" si="20"/>
        <v>-</v>
      </c>
      <c r="L43" s="343" t="str">
        <f t="shared" si="20"/>
        <v>-</v>
      </c>
      <c r="M43" s="343" t="str">
        <f t="shared" si="20"/>
        <v>-</v>
      </c>
      <c r="N43" s="343" t="str">
        <f t="shared" si="20"/>
        <v>-</v>
      </c>
      <c r="O43" s="344">
        <f t="shared" si="3"/>
        <v>0</v>
      </c>
    </row>
    <row r="44" ht="12.75" customHeight="1">
      <c r="A44" s="325" t="s">
        <v>435</v>
      </c>
      <c r="B44" s="320" t="s">
        <v>310</v>
      </c>
      <c r="C44" s="332" t="s">
        <v>434</v>
      </c>
      <c r="D44" s="332" t="s">
        <v>434</v>
      </c>
      <c r="E44" s="333">
        <v>0.25</v>
      </c>
      <c r="F44" s="332" t="s">
        <v>434</v>
      </c>
      <c r="G44" s="332" t="s">
        <v>434</v>
      </c>
      <c r="H44" s="332" t="s">
        <v>434</v>
      </c>
      <c r="I44" s="334" t="str">
        <f t="shared" ref="I44:N44" si="21">iferror(C44*$B$3, "-")</f>
        <v>-</v>
      </c>
      <c r="J44" s="334" t="str">
        <f t="shared" si="21"/>
        <v>-</v>
      </c>
      <c r="K44" s="334">
        <f t="shared" si="21"/>
        <v>3.25</v>
      </c>
      <c r="L44" s="334" t="str">
        <f t="shared" si="21"/>
        <v>-</v>
      </c>
      <c r="M44" s="334" t="str">
        <f t="shared" si="21"/>
        <v>-</v>
      </c>
      <c r="N44" s="334" t="str">
        <f t="shared" si="21"/>
        <v>-</v>
      </c>
      <c r="O44" s="345">
        <f t="shared" si="3"/>
        <v>3.25</v>
      </c>
    </row>
    <row r="45" ht="12.75" customHeight="1">
      <c r="A45" s="325" t="s">
        <v>435</v>
      </c>
      <c r="B45" s="320" t="s">
        <v>311</v>
      </c>
      <c r="C45" s="336" t="s">
        <v>434</v>
      </c>
      <c r="D45" s="336" t="s">
        <v>434</v>
      </c>
      <c r="E45" s="337">
        <v>0.25</v>
      </c>
      <c r="F45" s="336" t="s">
        <v>434</v>
      </c>
      <c r="G45" s="336" t="s">
        <v>434</v>
      </c>
      <c r="H45" s="336" t="s">
        <v>434</v>
      </c>
      <c r="I45" s="334" t="str">
        <f t="shared" ref="I45:N45" si="22">iferror(C45*$B$4, "-")</f>
        <v>-</v>
      </c>
      <c r="J45" s="334" t="str">
        <f t="shared" si="22"/>
        <v>-</v>
      </c>
      <c r="K45" s="334">
        <f t="shared" si="22"/>
        <v>3</v>
      </c>
      <c r="L45" s="334" t="str">
        <f t="shared" si="22"/>
        <v>-</v>
      </c>
      <c r="M45" s="334" t="str">
        <f t="shared" si="22"/>
        <v>-</v>
      </c>
      <c r="N45" s="334" t="str">
        <f t="shared" si="22"/>
        <v>-</v>
      </c>
      <c r="O45" s="335">
        <f t="shared" si="3"/>
        <v>3</v>
      </c>
    </row>
    <row r="46" ht="12.75" customHeight="1">
      <c r="A46" s="325" t="s">
        <v>435</v>
      </c>
      <c r="B46" s="320" t="s">
        <v>312</v>
      </c>
      <c r="C46" s="336" t="s">
        <v>434</v>
      </c>
      <c r="D46" s="336" t="s">
        <v>434</v>
      </c>
      <c r="E46" s="337">
        <v>0.25</v>
      </c>
      <c r="F46" s="336" t="s">
        <v>434</v>
      </c>
      <c r="G46" s="336" t="s">
        <v>434</v>
      </c>
      <c r="H46" s="336" t="s">
        <v>434</v>
      </c>
      <c r="I46" s="334" t="str">
        <f t="shared" ref="I46:N46" si="23">iferror(C46*$B$5, "-")</f>
        <v>-</v>
      </c>
      <c r="J46" s="334" t="str">
        <f t="shared" si="23"/>
        <v>-</v>
      </c>
      <c r="K46" s="334">
        <f t="shared" si="23"/>
        <v>3</v>
      </c>
      <c r="L46" s="334" t="str">
        <f t="shared" si="23"/>
        <v>-</v>
      </c>
      <c r="M46" s="334" t="str">
        <f t="shared" si="23"/>
        <v>-</v>
      </c>
      <c r="N46" s="334" t="str">
        <f t="shared" si="23"/>
        <v>-</v>
      </c>
      <c r="O46" s="335">
        <f t="shared" si="3"/>
        <v>3</v>
      </c>
    </row>
    <row r="47" ht="12.75" customHeight="1">
      <c r="A47" s="325" t="s">
        <v>435</v>
      </c>
      <c r="B47" s="325" t="s">
        <v>46</v>
      </c>
      <c r="C47" s="336" t="s">
        <v>434</v>
      </c>
      <c r="D47" s="336" t="s">
        <v>434</v>
      </c>
      <c r="E47" s="337">
        <v>0.25</v>
      </c>
      <c r="F47" s="336" t="s">
        <v>434</v>
      </c>
      <c r="G47" s="336" t="s">
        <v>434</v>
      </c>
      <c r="H47" s="336" t="s">
        <v>434</v>
      </c>
      <c r="I47" s="334" t="str">
        <f t="shared" ref="I47:N47" si="24">iferror(C47*$B$6, "-")</f>
        <v>-</v>
      </c>
      <c r="J47" s="334" t="str">
        <f t="shared" si="24"/>
        <v>-</v>
      </c>
      <c r="K47" s="334">
        <f t="shared" si="24"/>
        <v>3</v>
      </c>
      <c r="L47" s="334" t="str">
        <f t="shared" si="24"/>
        <v>-</v>
      </c>
      <c r="M47" s="334" t="str">
        <f t="shared" si="24"/>
        <v>-</v>
      </c>
      <c r="N47" s="334" t="str">
        <f t="shared" si="24"/>
        <v>-</v>
      </c>
      <c r="O47" s="335">
        <f t="shared" si="3"/>
        <v>3</v>
      </c>
    </row>
    <row r="48" ht="12.75" customHeight="1">
      <c r="A48" s="325" t="s">
        <v>435</v>
      </c>
      <c r="B48" s="320" t="s">
        <v>380</v>
      </c>
      <c r="C48" s="337">
        <v>0.25</v>
      </c>
      <c r="D48" s="336" t="s">
        <v>434</v>
      </c>
      <c r="E48" s="337">
        <v>0.25</v>
      </c>
      <c r="F48" s="337">
        <v>0.25</v>
      </c>
      <c r="G48" s="336" t="s">
        <v>434</v>
      </c>
      <c r="H48" s="336" t="s">
        <v>434</v>
      </c>
      <c r="I48" s="334">
        <f t="shared" ref="I48:N48" si="25">iferror(C48*$B$7, "-")</f>
        <v>12.25</v>
      </c>
      <c r="J48" s="334" t="str">
        <f t="shared" si="25"/>
        <v>-</v>
      </c>
      <c r="K48" s="334">
        <f t="shared" si="25"/>
        <v>12.25</v>
      </c>
      <c r="L48" s="334">
        <f t="shared" si="25"/>
        <v>12.25</v>
      </c>
      <c r="M48" s="334" t="str">
        <f t="shared" si="25"/>
        <v>-</v>
      </c>
      <c r="N48" s="334" t="str">
        <f t="shared" si="25"/>
        <v>-</v>
      </c>
      <c r="O48" s="335">
        <f t="shared" si="3"/>
        <v>36.75</v>
      </c>
    </row>
    <row r="49" ht="12.75" customHeight="1">
      <c r="A49" s="325" t="s">
        <v>435</v>
      </c>
      <c r="B49" s="320" t="s">
        <v>411</v>
      </c>
      <c r="C49" s="336" t="s">
        <v>434</v>
      </c>
      <c r="D49" s="336" t="s">
        <v>434</v>
      </c>
      <c r="E49" s="336" t="s">
        <v>434</v>
      </c>
      <c r="F49" s="337">
        <v>0.25</v>
      </c>
      <c r="G49" s="337">
        <v>0.25</v>
      </c>
      <c r="H49" s="336" t="s">
        <v>434</v>
      </c>
      <c r="I49" s="334" t="str">
        <f t="shared" ref="I49:N49" si="26">iferror(C49*$B$8, "-")</f>
        <v>-</v>
      </c>
      <c r="J49" s="334" t="str">
        <f t="shared" si="26"/>
        <v>-</v>
      </c>
      <c r="K49" s="334" t="str">
        <f t="shared" si="26"/>
        <v>-</v>
      </c>
      <c r="L49" s="334">
        <f t="shared" si="26"/>
        <v>12.25</v>
      </c>
      <c r="M49" s="334">
        <f t="shared" si="26"/>
        <v>12.25</v>
      </c>
      <c r="N49" s="334" t="str">
        <f t="shared" si="26"/>
        <v>-</v>
      </c>
      <c r="O49" s="335">
        <f t="shared" si="3"/>
        <v>24.5</v>
      </c>
    </row>
    <row r="50" ht="12.75" customHeight="1">
      <c r="A50" s="325" t="s">
        <v>435</v>
      </c>
      <c r="B50" s="320" t="s">
        <v>412</v>
      </c>
      <c r="C50" s="336" t="s">
        <v>434</v>
      </c>
      <c r="D50" s="337">
        <v>0.25</v>
      </c>
      <c r="E50" s="336" t="s">
        <v>434</v>
      </c>
      <c r="F50" s="336" t="s">
        <v>434</v>
      </c>
      <c r="G50" s="336" t="s">
        <v>434</v>
      </c>
      <c r="H50" s="336" t="s">
        <v>434</v>
      </c>
      <c r="I50" s="334" t="str">
        <f t="shared" ref="I50:N50" si="27">iferror(C50*$B$9, "-")</f>
        <v>-</v>
      </c>
      <c r="J50" s="334">
        <f t="shared" si="27"/>
        <v>3</v>
      </c>
      <c r="K50" s="334" t="str">
        <f t="shared" si="27"/>
        <v>-</v>
      </c>
      <c r="L50" s="334" t="str">
        <f t="shared" si="27"/>
        <v>-</v>
      </c>
      <c r="M50" s="334" t="str">
        <f t="shared" si="27"/>
        <v>-</v>
      </c>
      <c r="N50" s="334" t="str">
        <f t="shared" si="27"/>
        <v>-</v>
      </c>
      <c r="O50" s="335">
        <f t="shared" si="3"/>
        <v>3</v>
      </c>
    </row>
    <row r="51" ht="12.75" customHeight="1">
      <c r="A51" s="325" t="s">
        <v>435</v>
      </c>
      <c r="B51" s="325" t="s">
        <v>189</v>
      </c>
      <c r="C51" s="336" t="s">
        <v>434</v>
      </c>
      <c r="D51" s="337">
        <v>0.25</v>
      </c>
      <c r="E51" s="336" t="s">
        <v>434</v>
      </c>
      <c r="F51" s="336" t="s">
        <v>434</v>
      </c>
      <c r="G51" s="336" t="s">
        <v>434</v>
      </c>
      <c r="H51" s="336" t="s">
        <v>434</v>
      </c>
      <c r="I51" s="334" t="str">
        <f t="shared" ref="I51:N51" si="28">iferror(C51*$B$10, "-")</f>
        <v>-</v>
      </c>
      <c r="J51" s="334">
        <f t="shared" si="28"/>
        <v>3.25</v>
      </c>
      <c r="K51" s="334" t="str">
        <f t="shared" si="28"/>
        <v>-</v>
      </c>
      <c r="L51" s="334" t="str">
        <f t="shared" si="28"/>
        <v>-</v>
      </c>
      <c r="M51" s="334" t="str">
        <f t="shared" si="28"/>
        <v>-</v>
      </c>
      <c r="N51" s="334" t="str">
        <f t="shared" si="28"/>
        <v>-</v>
      </c>
      <c r="O51" s="335">
        <f t="shared" si="3"/>
        <v>3.25</v>
      </c>
    </row>
    <row r="52" ht="12.75" customHeight="1">
      <c r="A52" s="325" t="s">
        <v>435</v>
      </c>
      <c r="B52" s="320" t="s">
        <v>375</v>
      </c>
      <c r="C52" s="336" t="s">
        <v>434</v>
      </c>
      <c r="D52" s="337">
        <v>0.25</v>
      </c>
      <c r="E52" s="336" t="s">
        <v>434</v>
      </c>
      <c r="F52" s="336" t="s">
        <v>434</v>
      </c>
      <c r="G52" s="336" t="s">
        <v>434</v>
      </c>
      <c r="H52" s="336" t="s">
        <v>434</v>
      </c>
      <c r="I52" s="334" t="str">
        <f t="shared" ref="I52:N52" si="29">iferror(C52*$B$11, "-")</f>
        <v>-</v>
      </c>
      <c r="J52" s="334">
        <f t="shared" si="29"/>
        <v>3.75</v>
      </c>
      <c r="K52" s="334" t="str">
        <f t="shared" si="29"/>
        <v>-</v>
      </c>
      <c r="L52" s="334" t="str">
        <f t="shared" si="29"/>
        <v>-</v>
      </c>
      <c r="M52" s="334" t="str">
        <f t="shared" si="29"/>
        <v>-</v>
      </c>
      <c r="N52" s="334" t="str">
        <f t="shared" si="29"/>
        <v>-</v>
      </c>
      <c r="O52" s="335">
        <f t="shared" si="3"/>
        <v>3.75</v>
      </c>
    </row>
    <row r="53" ht="12.75" customHeight="1">
      <c r="A53" s="325" t="s">
        <v>435</v>
      </c>
      <c r="B53" s="320" t="s">
        <v>416</v>
      </c>
      <c r="C53" s="336" t="s">
        <v>434</v>
      </c>
      <c r="D53" s="337">
        <v>0.25</v>
      </c>
      <c r="E53" s="336" t="s">
        <v>434</v>
      </c>
      <c r="F53" s="336" t="s">
        <v>434</v>
      </c>
      <c r="G53" s="336" t="s">
        <v>434</v>
      </c>
      <c r="H53" s="336" t="s">
        <v>434</v>
      </c>
      <c r="I53" s="334" t="str">
        <f t="shared" ref="I53:N53" si="30">iferror(C53*$B$12, "-")</f>
        <v>-</v>
      </c>
      <c r="J53" s="334">
        <f t="shared" si="30"/>
        <v>4</v>
      </c>
      <c r="K53" s="334" t="str">
        <f t="shared" si="30"/>
        <v>-</v>
      </c>
      <c r="L53" s="334" t="str">
        <f t="shared" si="30"/>
        <v>-</v>
      </c>
      <c r="M53" s="334" t="str">
        <f t="shared" si="30"/>
        <v>-</v>
      </c>
      <c r="N53" s="334" t="str">
        <f t="shared" si="30"/>
        <v>-</v>
      </c>
      <c r="O53" s="335">
        <f t="shared" si="3"/>
        <v>4</v>
      </c>
    </row>
    <row r="54" ht="12.75" customHeight="1">
      <c r="A54" s="325" t="s">
        <v>435</v>
      </c>
      <c r="B54" s="320" t="s">
        <v>43</v>
      </c>
      <c r="C54" s="336" t="s">
        <v>434</v>
      </c>
      <c r="D54" s="336" t="s">
        <v>434</v>
      </c>
      <c r="E54" s="336" t="s">
        <v>434</v>
      </c>
      <c r="F54" s="336" t="s">
        <v>434</v>
      </c>
      <c r="G54" s="336" t="s">
        <v>434</v>
      </c>
      <c r="H54" s="336" t="s">
        <v>434</v>
      </c>
      <c r="I54" s="334" t="str">
        <f t="shared" ref="I54:N54" si="31">iferror(C54*$B$13, "-")</f>
        <v>-</v>
      </c>
      <c r="J54" s="334" t="str">
        <f t="shared" si="31"/>
        <v>-</v>
      </c>
      <c r="K54" s="334" t="str">
        <f t="shared" si="31"/>
        <v>-</v>
      </c>
      <c r="L54" s="334" t="str">
        <f t="shared" si="31"/>
        <v>-</v>
      </c>
      <c r="M54" s="334" t="str">
        <f t="shared" si="31"/>
        <v>-</v>
      </c>
      <c r="N54" s="334" t="str">
        <f t="shared" si="31"/>
        <v>-</v>
      </c>
      <c r="O54" s="335">
        <f t="shared" si="3"/>
        <v>0</v>
      </c>
    </row>
    <row r="55" ht="12.75" customHeight="1">
      <c r="A55" s="325" t="s">
        <v>435</v>
      </c>
      <c r="B55" s="320" t="s">
        <v>374</v>
      </c>
      <c r="C55" s="336" t="s">
        <v>434</v>
      </c>
      <c r="D55" s="336" t="s">
        <v>434</v>
      </c>
      <c r="E55" s="336" t="s">
        <v>434</v>
      </c>
      <c r="F55" s="336" t="s">
        <v>434</v>
      </c>
      <c r="G55" s="336" t="s">
        <v>434</v>
      </c>
      <c r="H55" s="336" t="s">
        <v>434</v>
      </c>
      <c r="I55" s="334" t="str">
        <f t="shared" ref="I55:N55" si="32">iferror(C55*$B$14, "-")</f>
        <v>-</v>
      </c>
      <c r="J55" s="334" t="str">
        <f t="shared" si="32"/>
        <v>-</v>
      </c>
      <c r="K55" s="334" t="str">
        <f t="shared" si="32"/>
        <v>-</v>
      </c>
      <c r="L55" s="334" t="str">
        <f t="shared" si="32"/>
        <v>-</v>
      </c>
      <c r="M55" s="334" t="str">
        <f t="shared" si="32"/>
        <v>-</v>
      </c>
      <c r="N55" s="334" t="str">
        <f t="shared" si="32"/>
        <v>-</v>
      </c>
      <c r="O55" s="335">
        <f t="shared" si="3"/>
        <v>0</v>
      </c>
    </row>
    <row r="56" ht="12.75" customHeight="1">
      <c r="A56" s="325" t="s">
        <v>435</v>
      </c>
      <c r="B56" s="325" t="s">
        <v>32</v>
      </c>
      <c r="C56" s="336" t="s">
        <v>434</v>
      </c>
      <c r="D56" s="337">
        <v>0.25</v>
      </c>
      <c r="E56" s="336" t="s">
        <v>434</v>
      </c>
      <c r="F56" s="336" t="s">
        <v>434</v>
      </c>
      <c r="G56" s="336" t="s">
        <v>434</v>
      </c>
      <c r="H56" s="336" t="s">
        <v>434</v>
      </c>
      <c r="I56" s="334" t="str">
        <f t="shared" ref="I56:N56" si="33">iferror(C56*$B$15, "-")</f>
        <v>-</v>
      </c>
      <c r="J56" s="334">
        <f t="shared" si="33"/>
        <v>0.75</v>
      </c>
      <c r="K56" s="334" t="str">
        <f t="shared" si="33"/>
        <v>-</v>
      </c>
      <c r="L56" s="334" t="str">
        <f t="shared" si="33"/>
        <v>-</v>
      </c>
      <c r="M56" s="334" t="str">
        <f t="shared" si="33"/>
        <v>-</v>
      </c>
      <c r="N56" s="334" t="str">
        <f t="shared" si="33"/>
        <v>-</v>
      </c>
      <c r="O56" s="335">
        <f t="shared" si="3"/>
        <v>0.75</v>
      </c>
    </row>
    <row r="57" ht="12.75" customHeight="1">
      <c r="A57" s="325" t="s">
        <v>435</v>
      </c>
      <c r="B57" s="320" t="s">
        <v>134</v>
      </c>
      <c r="C57" s="336" t="s">
        <v>434</v>
      </c>
      <c r="D57" s="336" t="s">
        <v>434</v>
      </c>
      <c r="E57" s="336" t="s">
        <v>434</v>
      </c>
      <c r="F57" s="336" t="s">
        <v>434</v>
      </c>
      <c r="G57" s="336" t="s">
        <v>434</v>
      </c>
      <c r="H57" s="336" t="s">
        <v>434</v>
      </c>
      <c r="I57" s="334" t="str">
        <f t="shared" ref="I57:N57" si="34">iferror(C57*$B$16, "-")</f>
        <v>-</v>
      </c>
      <c r="J57" s="334" t="str">
        <f t="shared" si="34"/>
        <v>-</v>
      </c>
      <c r="K57" s="334" t="str">
        <f t="shared" si="34"/>
        <v>-</v>
      </c>
      <c r="L57" s="334" t="str">
        <f t="shared" si="34"/>
        <v>-</v>
      </c>
      <c r="M57" s="334" t="str">
        <f t="shared" si="34"/>
        <v>-</v>
      </c>
      <c r="N57" s="334" t="str">
        <f t="shared" si="34"/>
        <v>-</v>
      </c>
      <c r="O57" s="335">
        <f t="shared" si="3"/>
        <v>0</v>
      </c>
    </row>
    <row r="58" ht="12.75" customHeight="1">
      <c r="A58" s="325" t="s">
        <v>435</v>
      </c>
      <c r="B58" s="320" t="s">
        <v>421</v>
      </c>
      <c r="C58" s="336" t="s">
        <v>434</v>
      </c>
      <c r="D58" s="336" t="s">
        <v>434</v>
      </c>
      <c r="E58" s="336" t="s">
        <v>434</v>
      </c>
      <c r="F58" s="336" t="s">
        <v>434</v>
      </c>
      <c r="G58" s="336" t="s">
        <v>434</v>
      </c>
      <c r="H58" s="336" t="s">
        <v>434</v>
      </c>
      <c r="I58" s="334" t="str">
        <f t="shared" ref="I58:N58" si="35">iferror(C58*$B$17, "-")</f>
        <v>-</v>
      </c>
      <c r="J58" s="334" t="str">
        <f t="shared" si="35"/>
        <v>-</v>
      </c>
      <c r="K58" s="334" t="str">
        <f t="shared" si="35"/>
        <v>-</v>
      </c>
      <c r="L58" s="334" t="str">
        <f t="shared" si="35"/>
        <v>-</v>
      </c>
      <c r="M58" s="334" t="str">
        <f t="shared" si="35"/>
        <v>-</v>
      </c>
      <c r="N58" s="334" t="str">
        <f t="shared" si="35"/>
        <v>-</v>
      </c>
      <c r="O58" s="335">
        <f t="shared" si="3"/>
        <v>0</v>
      </c>
    </row>
    <row r="59" ht="12.75" customHeight="1">
      <c r="A59" s="325" t="s">
        <v>435</v>
      </c>
      <c r="B59" s="338" t="s">
        <v>49</v>
      </c>
      <c r="C59" s="337">
        <v>0.25</v>
      </c>
      <c r="D59" s="339" t="s">
        <v>434</v>
      </c>
      <c r="E59" s="339" t="s">
        <v>434</v>
      </c>
      <c r="F59" s="339" t="s">
        <v>434</v>
      </c>
      <c r="G59" s="339" t="s">
        <v>434</v>
      </c>
      <c r="H59" s="339" t="s">
        <v>434</v>
      </c>
      <c r="I59" s="334">
        <f t="shared" ref="I59:N59" si="36">iferror(C59*$B$18, "-")</f>
        <v>6</v>
      </c>
      <c r="J59" s="334" t="str">
        <f t="shared" si="36"/>
        <v>-</v>
      </c>
      <c r="K59" s="334" t="str">
        <f t="shared" si="36"/>
        <v>-</v>
      </c>
      <c r="L59" s="334" t="str">
        <f t="shared" si="36"/>
        <v>-</v>
      </c>
      <c r="M59" s="334" t="str">
        <f t="shared" si="36"/>
        <v>-</v>
      </c>
      <c r="N59" s="334" t="str">
        <f t="shared" si="36"/>
        <v>-</v>
      </c>
      <c r="O59" s="334">
        <f t="shared" si="3"/>
        <v>6</v>
      </c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</row>
    <row r="60" ht="12.75" customHeight="1">
      <c r="A60" s="325" t="s">
        <v>435</v>
      </c>
      <c r="B60" s="325" t="s">
        <v>40</v>
      </c>
      <c r="C60" s="337">
        <v>0.25</v>
      </c>
      <c r="D60" s="339" t="s">
        <v>434</v>
      </c>
      <c r="E60" s="337">
        <v>0.25</v>
      </c>
      <c r="F60" s="339" t="s">
        <v>434</v>
      </c>
      <c r="G60" s="339" t="s">
        <v>434</v>
      </c>
      <c r="H60" s="339" t="s">
        <v>434</v>
      </c>
      <c r="I60" s="334">
        <f t="shared" ref="I60:N60" si="37">iferror(C60*$B$19, "-")</f>
        <v>12.25</v>
      </c>
      <c r="J60" s="334" t="str">
        <f t="shared" si="37"/>
        <v>-</v>
      </c>
      <c r="K60" s="334">
        <f t="shared" si="37"/>
        <v>12.25</v>
      </c>
      <c r="L60" s="334" t="str">
        <f t="shared" si="37"/>
        <v>-</v>
      </c>
      <c r="M60" s="334" t="str">
        <f t="shared" si="37"/>
        <v>-</v>
      </c>
      <c r="N60" s="334" t="str">
        <f t="shared" si="37"/>
        <v>-</v>
      </c>
      <c r="O60" s="334">
        <f t="shared" si="3"/>
        <v>24.5</v>
      </c>
    </row>
    <row r="61" ht="12.75" customHeight="1">
      <c r="A61" s="325" t="s">
        <v>435</v>
      </c>
      <c r="B61" s="325" t="s">
        <v>42</v>
      </c>
      <c r="C61" s="337">
        <v>0.25</v>
      </c>
      <c r="D61" s="339" t="s">
        <v>434</v>
      </c>
      <c r="E61" s="337">
        <v>0.25</v>
      </c>
      <c r="F61" s="339" t="s">
        <v>434</v>
      </c>
      <c r="G61" s="339" t="s">
        <v>434</v>
      </c>
      <c r="H61" s="339" t="s">
        <v>434</v>
      </c>
      <c r="I61" s="334">
        <f t="shared" ref="I61:N61" si="38">iferror(C61*$B$20, "-")</f>
        <v>12.25</v>
      </c>
      <c r="J61" s="334" t="str">
        <f t="shared" si="38"/>
        <v>-</v>
      </c>
      <c r="K61" s="334">
        <f t="shared" si="38"/>
        <v>12.25</v>
      </c>
      <c r="L61" s="334" t="str">
        <f t="shared" si="38"/>
        <v>-</v>
      </c>
      <c r="M61" s="334" t="str">
        <f t="shared" si="38"/>
        <v>-</v>
      </c>
      <c r="N61" s="334" t="str">
        <f t="shared" si="38"/>
        <v>-</v>
      </c>
      <c r="O61" s="334">
        <f t="shared" si="3"/>
        <v>24.5</v>
      </c>
    </row>
    <row r="62" ht="12.75" customHeight="1">
      <c r="A62" s="341" t="s">
        <v>435</v>
      </c>
      <c r="B62" s="341" t="s">
        <v>373</v>
      </c>
      <c r="C62" s="342" t="s">
        <v>434</v>
      </c>
      <c r="D62" s="342" t="s">
        <v>434</v>
      </c>
      <c r="E62" s="342" t="s">
        <v>434</v>
      </c>
      <c r="F62" s="342" t="s">
        <v>434</v>
      </c>
      <c r="G62" s="342" t="s">
        <v>434</v>
      </c>
      <c r="H62" s="342" t="s">
        <v>434</v>
      </c>
      <c r="I62" s="343" t="str">
        <f t="shared" ref="I62:N62" si="39">iferror(C62*$B$21, "-")</f>
        <v>-</v>
      </c>
      <c r="J62" s="343" t="str">
        <f t="shared" si="39"/>
        <v>-</v>
      </c>
      <c r="K62" s="343" t="str">
        <f t="shared" si="39"/>
        <v>-</v>
      </c>
      <c r="L62" s="343" t="str">
        <f t="shared" si="39"/>
        <v>-</v>
      </c>
      <c r="M62" s="343" t="str">
        <f t="shared" si="39"/>
        <v>-</v>
      </c>
      <c r="N62" s="343" t="str">
        <f t="shared" si="39"/>
        <v>-</v>
      </c>
      <c r="O62" s="344">
        <f t="shared" si="3"/>
        <v>0</v>
      </c>
    </row>
    <row r="63" ht="12.75" customHeight="1">
      <c r="A63" s="325" t="s">
        <v>436</v>
      </c>
      <c r="B63" s="320" t="s">
        <v>310</v>
      </c>
      <c r="C63" s="332" t="s">
        <v>434</v>
      </c>
      <c r="D63" s="332" t="s">
        <v>434</v>
      </c>
      <c r="E63" s="333">
        <v>0.25</v>
      </c>
      <c r="F63" s="332" t="s">
        <v>434</v>
      </c>
      <c r="G63" s="332" t="s">
        <v>434</v>
      </c>
      <c r="H63" s="332" t="s">
        <v>434</v>
      </c>
      <c r="I63" s="334" t="str">
        <f t="shared" ref="I63:N63" si="40">iferror(C63*$B$3, "-")</f>
        <v>-</v>
      </c>
      <c r="J63" s="334" t="str">
        <f t="shared" si="40"/>
        <v>-</v>
      </c>
      <c r="K63" s="334">
        <f t="shared" si="40"/>
        <v>3.25</v>
      </c>
      <c r="L63" s="334" t="str">
        <f t="shared" si="40"/>
        <v>-</v>
      </c>
      <c r="M63" s="334" t="str">
        <f t="shared" si="40"/>
        <v>-</v>
      </c>
      <c r="N63" s="334" t="str">
        <f t="shared" si="40"/>
        <v>-</v>
      </c>
      <c r="O63" s="345">
        <f t="shared" si="3"/>
        <v>3.25</v>
      </c>
    </row>
    <row r="64" ht="12.75" customHeight="1">
      <c r="A64" s="325" t="s">
        <v>436</v>
      </c>
      <c r="B64" s="320" t="s">
        <v>311</v>
      </c>
      <c r="C64" s="336" t="s">
        <v>434</v>
      </c>
      <c r="D64" s="336" t="s">
        <v>434</v>
      </c>
      <c r="E64" s="337">
        <v>0.25</v>
      </c>
      <c r="F64" s="336" t="s">
        <v>434</v>
      </c>
      <c r="G64" s="336" t="s">
        <v>434</v>
      </c>
      <c r="H64" s="336" t="s">
        <v>434</v>
      </c>
      <c r="I64" s="334" t="str">
        <f t="shared" ref="I64:N64" si="41">iferror(C64*$B$4, "-")</f>
        <v>-</v>
      </c>
      <c r="J64" s="334" t="str">
        <f t="shared" si="41"/>
        <v>-</v>
      </c>
      <c r="K64" s="334">
        <f t="shared" si="41"/>
        <v>3</v>
      </c>
      <c r="L64" s="334" t="str">
        <f t="shared" si="41"/>
        <v>-</v>
      </c>
      <c r="M64" s="334" t="str">
        <f t="shared" si="41"/>
        <v>-</v>
      </c>
      <c r="N64" s="334" t="str">
        <f t="shared" si="41"/>
        <v>-</v>
      </c>
      <c r="O64" s="335">
        <f t="shared" si="3"/>
        <v>3</v>
      </c>
    </row>
    <row r="65" ht="12.75" customHeight="1">
      <c r="A65" s="325" t="s">
        <v>436</v>
      </c>
      <c r="B65" s="320" t="s">
        <v>312</v>
      </c>
      <c r="C65" s="336" t="s">
        <v>434</v>
      </c>
      <c r="D65" s="336" t="s">
        <v>434</v>
      </c>
      <c r="E65" s="337">
        <v>0.25</v>
      </c>
      <c r="F65" s="336" t="s">
        <v>434</v>
      </c>
      <c r="G65" s="336" t="s">
        <v>434</v>
      </c>
      <c r="H65" s="336" t="s">
        <v>434</v>
      </c>
      <c r="I65" s="334" t="str">
        <f t="shared" ref="I65:N65" si="42">iferror(C65*$B$5, "-")</f>
        <v>-</v>
      </c>
      <c r="J65" s="334" t="str">
        <f t="shared" si="42"/>
        <v>-</v>
      </c>
      <c r="K65" s="334">
        <f t="shared" si="42"/>
        <v>3</v>
      </c>
      <c r="L65" s="334" t="str">
        <f t="shared" si="42"/>
        <v>-</v>
      </c>
      <c r="M65" s="334" t="str">
        <f t="shared" si="42"/>
        <v>-</v>
      </c>
      <c r="N65" s="334" t="str">
        <f t="shared" si="42"/>
        <v>-</v>
      </c>
      <c r="O65" s="335">
        <f t="shared" si="3"/>
        <v>3</v>
      </c>
    </row>
    <row r="66" ht="12.75" customHeight="1">
      <c r="A66" s="325" t="s">
        <v>436</v>
      </c>
      <c r="B66" s="325" t="s">
        <v>46</v>
      </c>
      <c r="C66" s="336" t="s">
        <v>434</v>
      </c>
      <c r="D66" s="336" t="s">
        <v>434</v>
      </c>
      <c r="E66" s="337">
        <v>0.25</v>
      </c>
      <c r="F66" s="336" t="s">
        <v>434</v>
      </c>
      <c r="G66" s="336" t="s">
        <v>434</v>
      </c>
      <c r="H66" s="336" t="s">
        <v>434</v>
      </c>
      <c r="I66" s="334" t="str">
        <f t="shared" ref="I66:N66" si="43">iferror(C66*$B$6, "-")</f>
        <v>-</v>
      </c>
      <c r="J66" s="334" t="str">
        <f t="shared" si="43"/>
        <v>-</v>
      </c>
      <c r="K66" s="334">
        <f t="shared" si="43"/>
        <v>3</v>
      </c>
      <c r="L66" s="334" t="str">
        <f t="shared" si="43"/>
        <v>-</v>
      </c>
      <c r="M66" s="334" t="str">
        <f t="shared" si="43"/>
        <v>-</v>
      </c>
      <c r="N66" s="334" t="str">
        <f t="shared" si="43"/>
        <v>-</v>
      </c>
      <c r="O66" s="335">
        <f t="shared" si="3"/>
        <v>3</v>
      </c>
    </row>
    <row r="67" ht="12.75" customHeight="1">
      <c r="A67" s="325" t="s">
        <v>436</v>
      </c>
      <c r="B67" s="320" t="s">
        <v>380</v>
      </c>
      <c r="C67" s="337">
        <v>0.25</v>
      </c>
      <c r="D67" s="336" t="s">
        <v>434</v>
      </c>
      <c r="E67" s="337">
        <v>0.25</v>
      </c>
      <c r="F67" s="337">
        <v>0.25</v>
      </c>
      <c r="G67" s="336" t="s">
        <v>434</v>
      </c>
      <c r="H67" s="336" t="s">
        <v>434</v>
      </c>
      <c r="I67" s="334">
        <f t="shared" ref="I67:N67" si="44">iferror(C67*$B$7, "-")</f>
        <v>12.25</v>
      </c>
      <c r="J67" s="334" t="str">
        <f t="shared" si="44"/>
        <v>-</v>
      </c>
      <c r="K67" s="334">
        <f t="shared" si="44"/>
        <v>12.25</v>
      </c>
      <c r="L67" s="334">
        <f t="shared" si="44"/>
        <v>12.25</v>
      </c>
      <c r="M67" s="334" t="str">
        <f t="shared" si="44"/>
        <v>-</v>
      </c>
      <c r="N67" s="334" t="str">
        <f t="shared" si="44"/>
        <v>-</v>
      </c>
      <c r="O67" s="335">
        <f t="shared" si="3"/>
        <v>36.75</v>
      </c>
    </row>
    <row r="68" ht="12.75" customHeight="1">
      <c r="A68" s="325" t="s">
        <v>436</v>
      </c>
      <c r="B68" s="320" t="s">
        <v>411</v>
      </c>
      <c r="C68" s="336" t="s">
        <v>434</v>
      </c>
      <c r="D68" s="336" t="s">
        <v>434</v>
      </c>
      <c r="E68" s="336" t="s">
        <v>434</v>
      </c>
      <c r="F68" s="337">
        <v>0.25</v>
      </c>
      <c r="G68" s="337">
        <v>0.25</v>
      </c>
      <c r="H68" s="336" t="s">
        <v>434</v>
      </c>
      <c r="I68" s="334" t="str">
        <f t="shared" ref="I68:N68" si="45">iferror(C68*$B$8, "-")</f>
        <v>-</v>
      </c>
      <c r="J68" s="334" t="str">
        <f t="shared" si="45"/>
        <v>-</v>
      </c>
      <c r="K68" s="334" t="str">
        <f t="shared" si="45"/>
        <v>-</v>
      </c>
      <c r="L68" s="334">
        <f t="shared" si="45"/>
        <v>12.25</v>
      </c>
      <c r="M68" s="334">
        <f t="shared" si="45"/>
        <v>12.25</v>
      </c>
      <c r="N68" s="334" t="str">
        <f t="shared" si="45"/>
        <v>-</v>
      </c>
      <c r="O68" s="335">
        <f t="shared" si="3"/>
        <v>24.5</v>
      </c>
    </row>
    <row r="69" ht="12.75" customHeight="1">
      <c r="A69" s="325" t="s">
        <v>436</v>
      </c>
      <c r="B69" s="320" t="s">
        <v>412</v>
      </c>
      <c r="C69" s="336" t="s">
        <v>434</v>
      </c>
      <c r="D69" s="337">
        <v>0.25</v>
      </c>
      <c r="E69" s="336" t="s">
        <v>434</v>
      </c>
      <c r="F69" s="336" t="s">
        <v>434</v>
      </c>
      <c r="G69" s="336" t="s">
        <v>434</v>
      </c>
      <c r="H69" s="336" t="s">
        <v>434</v>
      </c>
      <c r="I69" s="334" t="str">
        <f t="shared" ref="I69:N69" si="46">iferror(C69*$B$9, "-")</f>
        <v>-</v>
      </c>
      <c r="J69" s="334">
        <f t="shared" si="46"/>
        <v>3</v>
      </c>
      <c r="K69" s="334" t="str">
        <f t="shared" si="46"/>
        <v>-</v>
      </c>
      <c r="L69" s="334" t="str">
        <f t="shared" si="46"/>
        <v>-</v>
      </c>
      <c r="M69" s="334" t="str">
        <f t="shared" si="46"/>
        <v>-</v>
      </c>
      <c r="N69" s="334" t="str">
        <f t="shared" si="46"/>
        <v>-</v>
      </c>
      <c r="O69" s="335">
        <f t="shared" si="3"/>
        <v>3</v>
      </c>
    </row>
    <row r="70" ht="12.75" customHeight="1">
      <c r="A70" s="325" t="s">
        <v>436</v>
      </c>
      <c r="B70" s="325" t="s">
        <v>189</v>
      </c>
      <c r="C70" s="336" t="s">
        <v>434</v>
      </c>
      <c r="D70" s="337">
        <v>0.25</v>
      </c>
      <c r="E70" s="336" t="s">
        <v>434</v>
      </c>
      <c r="F70" s="336" t="s">
        <v>434</v>
      </c>
      <c r="G70" s="336" t="s">
        <v>434</v>
      </c>
      <c r="H70" s="336" t="s">
        <v>434</v>
      </c>
      <c r="I70" s="334" t="str">
        <f t="shared" ref="I70:N70" si="47">iferror(C70*$B$10, "-")</f>
        <v>-</v>
      </c>
      <c r="J70" s="334">
        <f t="shared" si="47"/>
        <v>3.25</v>
      </c>
      <c r="K70" s="334" t="str">
        <f t="shared" si="47"/>
        <v>-</v>
      </c>
      <c r="L70" s="334" t="str">
        <f t="shared" si="47"/>
        <v>-</v>
      </c>
      <c r="M70" s="334" t="str">
        <f t="shared" si="47"/>
        <v>-</v>
      </c>
      <c r="N70" s="334" t="str">
        <f t="shared" si="47"/>
        <v>-</v>
      </c>
      <c r="O70" s="335">
        <f t="shared" si="3"/>
        <v>3.25</v>
      </c>
    </row>
    <row r="71" ht="12.75" customHeight="1">
      <c r="A71" s="325" t="s">
        <v>436</v>
      </c>
      <c r="B71" s="320" t="s">
        <v>375</v>
      </c>
      <c r="C71" s="336" t="s">
        <v>434</v>
      </c>
      <c r="D71" s="337">
        <v>0.25</v>
      </c>
      <c r="E71" s="336" t="s">
        <v>434</v>
      </c>
      <c r="F71" s="336" t="s">
        <v>434</v>
      </c>
      <c r="G71" s="336" t="s">
        <v>434</v>
      </c>
      <c r="H71" s="336" t="s">
        <v>434</v>
      </c>
      <c r="I71" s="334" t="str">
        <f t="shared" ref="I71:N71" si="48">iferror(C71*$B$11, "-")</f>
        <v>-</v>
      </c>
      <c r="J71" s="334">
        <f t="shared" si="48"/>
        <v>3.75</v>
      </c>
      <c r="K71" s="334" t="str">
        <f t="shared" si="48"/>
        <v>-</v>
      </c>
      <c r="L71" s="334" t="str">
        <f t="shared" si="48"/>
        <v>-</v>
      </c>
      <c r="M71" s="334" t="str">
        <f t="shared" si="48"/>
        <v>-</v>
      </c>
      <c r="N71" s="334" t="str">
        <f t="shared" si="48"/>
        <v>-</v>
      </c>
      <c r="O71" s="335">
        <f t="shared" si="3"/>
        <v>3.75</v>
      </c>
    </row>
    <row r="72" ht="12.75" customHeight="1">
      <c r="A72" s="325" t="s">
        <v>436</v>
      </c>
      <c r="B72" s="320" t="s">
        <v>416</v>
      </c>
      <c r="C72" s="336" t="s">
        <v>434</v>
      </c>
      <c r="D72" s="337">
        <v>0.25</v>
      </c>
      <c r="E72" s="336" t="s">
        <v>434</v>
      </c>
      <c r="F72" s="336" t="s">
        <v>434</v>
      </c>
      <c r="G72" s="336" t="s">
        <v>434</v>
      </c>
      <c r="H72" s="336" t="s">
        <v>434</v>
      </c>
      <c r="I72" s="334" t="str">
        <f t="shared" ref="I72:N72" si="49">iferror(C72*$B$12, "-")</f>
        <v>-</v>
      </c>
      <c r="J72" s="334">
        <f t="shared" si="49"/>
        <v>4</v>
      </c>
      <c r="K72" s="334" t="str">
        <f t="shared" si="49"/>
        <v>-</v>
      </c>
      <c r="L72" s="334" t="str">
        <f t="shared" si="49"/>
        <v>-</v>
      </c>
      <c r="M72" s="334" t="str">
        <f t="shared" si="49"/>
        <v>-</v>
      </c>
      <c r="N72" s="334" t="str">
        <f t="shared" si="49"/>
        <v>-</v>
      </c>
      <c r="O72" s="335">
        <f t="shared" si="3"/>
        <v>4</v>
      </c>
    </row>
    <row r="73" ht="12.75" customHeight="1">
      <c r="A73" s="325" t="s">
        <v>436</v>
      </c>
      <c r="B73" s="320" t="s">
        <v>43</v>
      </c>
      <c r="C73" s="336" t="s">
        <v>434</v>
      </c>
      <c r="D73" s="336" t="s">
        <v>434</v>
      </c>
      <c r="E73" s="336" t="s">
        <v>434</v>
      </c>
      <c r="F73" s="336" t="s">
        <v>434</v>
      </c>
      <c r="G73" s="336" t="s">
        <v>434</v>
      </c>
      <c r="H73" s="336" t="s">
        <v>434</v>
      </c>
      <c r="I73" s="334" t="str">
        <f t="shared" ref="I73:N73" si="50">iferror(C73*$B$13, "-")</f>
        <v>-</v>
      </c>
      <c r="J73" s="334" t="str">
        <f t="shared" si="50"/>
        <v>-</v>
      </c>
      <c r="K73" s="334" t="str">
        <f t="shared" si="50"/>
        <v>-</v>
      </c>
      <c r="L73" s="334" t="str">
        <f t="shared" si="50"/>
        <v>-</v>
      </c>
      <c r="M73" s="334" t="str">
        <f t="shared" si="50"/>
        <v>-</v>
      </c>
      <c r="N73" s="334" t="str">
        <f t="shared" si="50"/>
        <v>-</v>
      </c>
      <c r="O73" s="335">
        <f t="shared" si="3"/>
        <v>0</v>
      </c>
    </row>
    <row r="74" ht="12.75" customHeight="1">
      <c r="A74" s="325" t="s">
        <v>436</v>
      </c>
      <c r="B74" s="320" t="s">
        <v>374</v>
      </c>
      <c r="C74" s="336" t="s">
        <v>434</v>
      </c>
      <c r="D74" s="336" t="s">
        <v>434</v>
      </c>
      <c r="E74" s="336" t="s">
        <v>434</v>
      </c>
      <c r="F74" s="336" t="s">
        <v>434</v>
      </c>
      <c r="G74" s="336" t="s">
        <v>434</v>
      </c>
      <c r="H74" s="336" t="s">
        <v>434</v>
      </c>
      <c r="I74" s="334" t="str">
        <f t="shared" ref="I74:N74" si="51">iferror(C74*$B$14, "-")</f>
        <v>-</v>
      </c>
      <c r="J74" s="334" t="str">
        <f t="shared" si="51"/>
        <v>-</v>
      </c>
      <c r="K74" s="334" t="str">
        <f t="shared" si="51"/>
        <v>-</v>
      </c>
      <c r="L74" s="334" t="str">
        <f t="shared" si="51"/>
        <v>-</v>
      </c>
      <c r="M74" s="334" t="str">
        <f t="shared" si="51"/>
        <v>-</v>
      </c>
      <c r="N74" s="334" t="str">
        <f t="shared" si="51"/>
        <v>-</v>
      </c>
      <c r="O74" s="335">
        <f t="shared" si="3"/>
        <v>0</v>
      </c>
    </row>
    <row r="75" ht="12.75" customHeight="1">
      <c r="A75" s="325" t="s">
        <v>436</v>
      </c>
      <c r="B75" s="325" t="s">
        <v>32</v>
      </c>
      <c r="C75" s="336" t="s">
        <v>434</v>
      </c>
      <c r="D75" s="337">
        <v>0.25</v>
      </c>
      <c r="E75" s="336" t="s">
        <v>434</v>
      </c>
      <c r="F75" s="336" t="s">
        <v>434</v>
      </c>
      <c r="G75" s="336" t="s">
        <v>434</v>
      </c>
      <c r="H75" s="336" t="s">
        <v>434</v>
      </c>
      <c r="I75" s="334" t="str">
        <f t="shared" ref="I75:N75" si="52">iferror(C75*$B$15, "-")</f>
        <v>-</v>
      </c>
      <c r="J75" s="334">
        <f t="shared" si="52"/>
        <v>0.75</v>
      </c>
      <c r="K75" s="334" t="str">
        <f t="shared" si="52"/>
        <v>-</v>
      </c>
      <c r="L75" s="334" t="str">
        <f t="shared" si="52"/>
        <v>-</v>
      </c>
      <c r="M75" s="334" t="str">
        <f t="shared" si="52"/>
        <v>-</v>
      </c>
      <c r="N75" s="334" t="str">
        <f t="shared" si="52"/>
        <v>-</v>
      </c>
      <c r="O75" s="335">
        <f t="shared" si="3"/>
        <v>0.75</v>
      </c>
    </row>
    <row r="76" ht="12.75" customHeight="1">
      <c r="A76" s="325" t="s">
        <v>436</v>
      </c>
      <c r="B76" s="320" t="s">
        <v>134</v>
      </c>
      <c r="C76" s="336" t="s">
        <v>434</v>
      </c>
      <c r="D76" s="336" t="s">
        <v>434</v>
      </c>
      <c r="E76" s="336" t="s">
        <v>434</v>
      </c>
      <c r="F76" s="336" t="s">
        <v>434</v>
      </c>
      <c r="G76" s="336" t="s">
        <v>434</v>
      </c>
      <c r="H76" s="336" t="s">
        <v>434</v>
      </c>
      <c r="I76" s="334" t="str">
        <f t="shared" ref="I76:N76" si="53">iferror(C76*$B$16, "-")</f>
        <v>-</v>
      </c>
      <c r="J76" s="334" t="str">
        <f t="shared" si="53"/>
        <v>-</v>
      </c>
      <c r="K76" s="334" t="str">
        <f t="shared" si="53"/>
        <v>-</v>
      </c>
      <c r="L76" s="334" t="str">
        <f t="shared" si="53"/>
        <v>-</v>
      </c>
      <c r="M76" s="334" t="str">
        <f t="shared" si="53"/>
        <v>-</v>
      </c>
      <c r="N76" s="334" t="str">
        <f t="shared" si="53"/>
        <v>-</v>
      </c>
      <c r="O76" s="335">
        <f t="shared" si="3"/>
        <v>0</v>
      </c>
    </row>
    <row r="77" ht="12.75" customHeight="1">
      <c r="A77" s="325" t="s">
        <v>436</v>
      </c>
      <c r="B77" s="320" t="s">
        <v>421</v>
      </c>
      <c r="C77" s="336" t="s">
        <v>434</v>
      </c>
      <c r="D77" s="336" t="s">
        <v>434</v>
      </c>
      <c r="E77" s="336" t="s">
        <v>434</v>
      </c>
      <c r="F77" s="336" t="s">
        <v>434</v>
      </c>
      <c r="G77" s="336" t="s">
        <v>434</v>
      </c>
      <c r="H77" s="336" t="s">
        <v>434</v>
      </c>
      <c r="I77" s="334" t="str">
        <f t="shared" ref="I77:N77" si="54">iferror(C77*$B$17, "-")</f>
        <v>-</v>
      </c>
      <c r="J77" s="334" t="str">
        <f t="shared" si="54"/>
        <v>-</v>
      </c>
      <c r="K77" s="334" t="str">
        <f t="shared" si="54"/>
        <v>-</v>
      </c>
      <c r="L77" s="334" t="str">
        <f t="shared" si="54"/>
        <v>-</v>
      </c>
      <c r="M77" s="334" t="str">
        <f t="shared" si="54"/>
        <v>-</v>
      </c>
      <c r="N77" s="334" t="str">
        <f t="shared" si="54"/>
        <v>-</v>
      </c>
      <c r="O77" s="335">
        <f t="shared" si="3"/>
        <v>0</v>
      </c>
    </row>
    <row r="78" ht="12.75" customHeight="1">
      <c r="A78" s="325" t="s">
        <v>436</v>
      </c>
      <c r="B78" s="338" t="s">
        <v>49</v>
      </c>
      <c r="C78" s="337">
        <v>0.25</v>
      </c>
      <c r="D78" s="339" t="s">
        <v>434</v>
      </c>
      <c r="E78" s="339" t="s">
        <v>434</v>
      </c>
      <c r="F78" s="339" t="s">
        <v>434</v>
      </c>
      <c r="G78" s="339" t="s">
        <v>434</v>
      </c>
      <c r="H78" s="339" t="s">
        <v>434</v>
      </c>
      <c r="I78" s="334">
        <f t="shared" ref="I78:N78" si="55">iferror(C78*$B$18, "-")</f>
        <v>6</v>
      </c>
      <c r="J78" s="334" t="str">
        <f t="shared" si="55"/>
        <v>-</v>
      </c>
      <c r="K78" s="334" t="str">
        <f t="shared" si="55"/>
        <v>-</v>
      </c>
      <c r="L78" s="334" t="str">
        <f t="shared" si="55"/>
        <v>-</v>
      </c>
      <c r="M78" s="334" t="str">
        <f t="shared" si="55"/>
        <v>-</v>
      </c>
      <c r="N78" s="334" t="str">
        <f t="shared" si="55"/>
        <v>-</v>
      </c>
      <c r="O78" s="334">
        <f t="shared" si="3"/>
        <v>6</v>
      </c>
    </row>
    <row r="79" ht="12.75" customHeight="1">
      <c r="A79" s="325" t="s">
        <v>436</v>
      </c>
      <c r="B79" s="325" t="s">
        <v>40</v>
      </c>
      <c r="C79" s="337">
        <v>0.25</v>
      </c>
      <c r="D79" s="339" t="s">
        <v>434</v>
      </c>
      <c r="E79" s="337">
        <v>0.25</v>
      </c>
      <c r="F79" s="339" t="s">
        <v>434</v>
      </c>
      <c r="G79" s="339" t="s">
        <v>434</v>
      </c>
      <c r="H79" s="339" t="s">
        <v>434</v>
      </c>
      <c r="I79" s="334">
        <f t="shared" ref="I79:N79" si="56">iferror(C79*$B$19, "-")</f>
        <v>12.25</v>
      </c>
      <c r="J79" s="334" t="str">
        <f t="shared" si="56"/>
        <v>-</v>
      </c>
      <c r="K79" s="334">
        <f t="shared" si="56"/>
        <v>12.25</v>
      </c>
      <c r="L79" s="334" t="str">
        <f t="shared" si="56"/>
        <v>-</v>
      </c>
      <c r="M79" s="334" t="str">
        <f t="shared" si="56"/>
        <v>-</v>
      </c>
      <c r="N79" s="334" t="str">
        <f t="shared" si="56"/>
        <v>-</v>
      </c>
      <c r="O79" s="334">
        <f t="shared" si="3"/>
        <v>24.5</v>
      </c>
    </row>
    <row r="80" ht="12.75" customHeight="1">
      <c r="A80" s="325" t="s">
        <v>436</v>
      </c>
      <c r="B80" s="325" t="s">
        <v>42</v>
      </c>
      <c r="C80" s="337">
        <v>0.25</v>
      </c>
      <c r="D80" s="339" t="s">
        <v>434</v>
      </c>
      <c r="E80" s="337">
        <v>0.25</v>
      </c>
      <c r="F80" s="339" t="s">
        <v>434</v>
      </c>
      <c r="G80" s="339" t="s">
        <v>434</v>
      </c>
      <c r="H80" s="339" t="s">
        <v>434</v>
      </c>
      <c r="I80" s="334">
        <f t="shared" ref="I80:N80" si="57">iferror(C80*$B$20, "-")</f>
        <v>12.25</v>
      </c>
      <c r="J80" s="334" t="str">
        <f t="shared" si="57"/>
        <v>-</v>
      </c>
      <c r="K80" s="334">
        <f t="shared" si="57"/>
        <v>12.25</v>
      </c>
      <c r="L80" s="334" t="str">
        <f t="shared" si="57"/>
        <v>-</v>
      </c>
      <c r="M80" s="334" t="str">
        <f t="shared" si="57"/>
        <v>-</v>
      </c>
      <c r="N80" s="334" t="str">
        <f t="shared" si="57"/>
        <v>-</v>
      </c>
      <c r="O80" s="334">
        <f t="shared" si="3"/>
        <v>24.5</v>
      </c>
    </row>
    <row r="81" ht="12.75" customHeight="1">
      <c r="A81" s="341" t="s">
        <v>436</v>
      </c>
      <c r="B81" s="341" t="s">
        <v>373</v>
      </c>
      <c r="C81" s="342" t="s">
        <v>434</v>
      </c>
      <c r="D81" s="342" t="s">
        <v>434</v>
      </c>
      <c r="E81" s="342" t="s">
        <v>434</v>
      </c>
      <c r="F81" s="342" t="s">
        <v>434</v>
      </c>
      <c r="G81" s="342" t="s">
        <v>434</v>
      </c>
      <c r="H81" s="342" t="s">
        <v>434</v>
      </c>
      <c r="I81" s="343" t="str">
        <f t="shared" ref="I81:N81" si="58">iferror(C81*$B$21, "-")</f>
        <v>-</v>
      </c>
      <c r="J81" s="343" t="str">
        <f t="shared" si="58"/>
        <v>-</v>
      </c>
      <c r="K81" s="343" t="str">
        <f t="shared" si="58"/>
        <v>-</v>
      </c>
      <c r="L81" s="343" t="str">
        <f t="shared" si="58"/>
        <v>-</v>
      </c>
      <c r="M81" s="343" t="str">
        <f t="shared" si="58"/>
        <v>-</v>
      </c>
      <c r="N81" s="343" t="str">
        <f t="shared" si="58"/>
        <v>-</v>
      </c>
      <c r="O81" s="344">
        <f t="shared" si="3"/>
        <v>0</v>
      </c>
    </row>
    <row r="82" ht="12.75" customHeight="1">
      <c r="A82" s="325" t="s">
        <v>437</v>
      </c>
      <c r="B82" s="320" t="s">
        <v>310</v>
      </c>
      <c r="C82" s="332" t="s">
        <v>434</v>
      </c>
      <c r="D82" s="332" t="s">
        <v>434</v>
      </c>
      <c r="E82" s="333">
        <v>0.25</v>
      </c>
      <c r="F82" s="332" t="s">
        <v>434</v>
      </c>
      <c r="G82" s="332" t="s">
        <v>434</v>
      </c>
      <c r="H82" s="332" t="s">
        <v>434</v>
      </c>
      <c r="I82" s="334" t="str">
        <f t="shared" ref="I82:N82" si="59">iferror(C82*$B$3, "-")</f>
        <v>-</v>
      </c>
      <c r="J82" s="334" t="str">
        <f t="shared" si="59"/>
        <v>-</v>
      </c>
      <c r="K82" s="334">
        <f t="shared" si="59"/>
        <v>3.25</v>
      </c>
      <c r="L82" s="334" t="str">
        <f t="shared" si="59"/>
        <v>-</v>
      </c>
      <c r="M82" s="334" t="str">
        <f t="shared" si="59"/>
        <v>-</v>
      </c>
      <c r="N82" s="334" t="str">
        <f t="shared" si="59"/>
        <v>-</v>
      </c>
      <c r="O82" s="345">
        <f t="shared" si="3"/>
        <v>3.25</v>
      </c>
    </row>
    <row r="83" ht="12.75" customHeight="1">
      <c r="A83" s="325" t="s">
        <v>437</v>
      </c>
      <c r="B83" s="320" t="s">
        <v>311</v>
      </c>
      <c r="C83" s="336" t="s">
        <v>434</v>
      </c>
      <c r="D83" s="336" t="s">
        <v>434</v>
      </c>
      <c r="E83" s="337">
        <v>0.25</v>
      </c>
      <c r="F83" s="336" t="s">
        <v>434</v>
      </c>
      <c r="G83" s="336" t="s">
        <v>434</v>
      </c>
      <c r="H83" s="336" t="s">
        <v>434</v>
      </c>
      <c r="I83" s="334" t="str">
        <f t="shared" ref="I83:N83" si="60">iferror(C83*$B$4, "-")</f>
        <v>-</v>
      </c>
      <c r="J83" s="334" t="str">
        <f t="shared" si="60"/>
        <v>-</v>
      </c>
      <c r="K83" s="334">
        <f t="shared" si="60"/>
        <v>3</v>
      </c>
      <c r="L83" s="334" t="str">
        <f t="shared" si="60"/>
        <v>-</v>
      </c>
      <c r="M83" s="334" t="str">
        <f t="shared" si="60"/>
        <v>-</v>
      </c>
      <c r="N83" s="334" t="str">
        <f t="shared" si="60"/>
        <v>-</v>
      </c>
      <c r="O83" s="335">
        <f t="shared" si="3"/>
        <v>3</v>
      </c>
    </row>
    <row r="84" ht="12.75" customHeight="1">
      <c r="A84" s="325" t="s">
        <v>437</v>
      </c>
      <c r="B84" s="320" t="s">
        <v>312</v>
      </c>
      <c r="C84" s="336" t="s">
        <v>434</v>
      </c>
      <c r="D84" s="336" t="s">
        <v>434</v>
      </c>
      <c r="E84" s="337">
        <v>0.25</v>
      </c>
      <c r="F84" s="336" t="s">
        <v>434</v>
      </c>
      <c r="G84" s="336" t="s">
        <v>434</v>
      </c>
      <c r="H84" s="336" t="s">
        <v>434</v>
      </c>
      <c r="I84" s="334" t="str">
        <f t="shared" ref="I84:N84" si="61">iferror(C84*$B$5, "-")</f>
        <v>-</v>
      </c>
      <c r="J84" s="334" t="str">
        <f t="shared" si="61"/>
        <v>-</v>
      </c>
      <c r="K84" s="334">
        <f t="shared" si="61"/>
        <v>3</v>
      </c>
      <c r="L84" s="334" t="str">
        <f t="shared" si="61"/>
        <v>-</v>
      </c>
      <c r="M84" s="334" t="str">
        <f t="shared" si="61"/>
        <v>-</v>
      </c>
      <c r="N84" s="334" t="str">
        <f t="shared" si="61"/>
        <v>-</v>
      </c>
      <c r="O84" s="335">
        <f t="shared" si="3"/>
        <v>3</v>
      </c>
    </row>
    <row r="85" ht="12.75" customHeight="1">
      <c r="A85" s="325" t="s">
        <v>437</v>
      </c>
      <c r="B85" s="325" t="s">
        <v>46</v>
      </c>
      <c r="C85" s="336" t="s">
        <v>434</v>
      </c>
      <c r="D85" s="336" t="s">
        <v>434</v>
      </c>
      <c r="E85" s="337">
        <v>0.25</v>
      </c>
      <c r="F85" s="336" t="s">
        <v>434</v>
      </c>
      <c r="G85" s="336" t="s">
        <v>434</v>
      </c>
      <c r="H85" s="336" t="s">
        <v>434</v>
      </c>
      <c r="I85" s="334" t="str">
        <f t="shared" ref="I85:N85" si="62">iferror(C85*$B$6, "-")</f>
        <v>-</v>
      </c>
      <c r="J85" s="334" t="str">
        <f t="shared" si="62"/>
        <v>-</v>
      </c>
      <c r="K85" s="334">
        <f t="shared" si="62"/>
        <v>3</v>
      </c>
      <c r="L85" s="334" t="str">
        <f t="shared" si="62"/>
        <v>-</v>
      </c>
      <c r="M85" s="334" t="str">
        <f t="shared" si="62"/>
        <v>-</v>
      </c>
      <c r="N85" s="334" t="str">
        <f t="shared" si="62"/>
        <v>-</v>
      </c>
      <c r="O85" s="335">
        <f t="shared" si="3"/>
        <v>3</v>
      </c>
    </row>
    <row r="86" ht="12.75" customHeight="1">
      <c r="A86" s="325" t="s">
        <v>437</v>
      </c>
      <c r="B86" s="320" t="s">
        <v>380</v>
      </c>
      <c r="C86" s="337">
        <v>0.25</v>
      </c>
      <c r="D86" s="336" t="s">
        <v>434</v>
      </c>
      <c r="E86" s="337">
        <v>0.25</v>
      </c>
      <c r="F86" s="337">
        <v>0.25</v>
      </c>
      <c r="G86" s="336" t="s">
        <v>434</v>
      </c>
      <c r="H86" s="336" t="s">
        <v>434</v>
      </c>
      <c r="I86" s="334">
        <f t="shared" ref="I86:N86" si="63">iferror(C86*$B$7, "-")</f>
        <v>12.25</v>
      </c>
      <c r="J86" s="334" t="str">
        <f t="shared" si="63"/>
        <v>-</v>
      </c>
      <c r="K86" s="334">
        <f t="shared" si="63"/>
        <v>12.25</v>
      </c>
      <c r="L86" s="334">
        <f t="shared" si="63"/>
        <v>12.25</v>
      </c>
      <c r="M86" s="334" t="str">
        <f t="shared" si="63"/>
        <v>-</v>
      </c>
      <c r="N86" s="334" t="str">
        <f t="shared" si="63"/>
        <v>-</v>
      </c>
      <c r="O86" s="335">
        <f t="shared" si="3"/>
        <v>36.75</v>
      </c>
    </row>
    <row r="87" ht="12.75" customHeight="1">
      <c r="A87" s="325" t="s">
        <v>437</v>
      </c>
      <c r="B87" s="320" t="s">
        <v>411</v>
      </c>
      <c r="C87" s="336" t="s">
        <v>434</v>
      </c>
      <c r="D87" s="336" t="s">
        <v>434</v>
      </c>
      <c r="E87" s="336" t="s">
        <v>434</v>
      </c>
      <c r="F87" s="337">
        <v>0.25</v>
      </c>
      <c r="G87" s="337">
        <v>0.25</v>
      </c>
      <c r="H87" s="336" t="s">
        <v>434</v>
      </c>
      <c r="I87" s="334" t="str">
        <f t="shared" ref="I87:N87" si="64">iferror(C87*$B$8, "-")</f>
        <v>-</v>
      </c>
      <c r="J87" s="334" t="str">
        <f t="shared" si="64"/>
        <v>-</v>
      </c>
      <c r="K87" s="334" t="str">
        <f t="shared" si="64"/>
        <v>-</v>
      </c>
      <c r="L87" s="334">
        <f t="shared" si="64"/>
        <v>12.25</v>
      </c>
      <c r="M87" s="334">
        <f t="shared" si="64"/>
        <v>12.25</v>
      </c>
      <c r="N87" s="334" t="str">
        <f t="shared" si="64"/>
        <v>-</v>
      </c>
      <c r="O87" s="335">
        <f t="shared" si="3"/>
        <v>24.5</v>
      </c>
    </row>
    <row r="88" ht="12.75" customHeight="1">
      <c r="A88" s="325" t="s">
        <v>437</v>
      </c>
      <c r="B88" s="320" t="s">
        <v>412</v>
      </c>
      <c r="C88" s="336" t="s">
        <v>434</v>
      </c>
      <c r="D88" s="337">
        <v>0.25</v>
      </c>
      <c r="E88" s="336" t="s">
        <v>434</v>
      </c>
      <c r="F88" s="336" t="s">
        <v>434</v>
      </c>
      <c r="G88" s="336" t="s">
        <v>434</v>
      </c>
      <c r="H88" s="336" t="s">
        <v>434</v>
      </c>
      <c r="I88" s="334" t="str">
        <f t="shared" ref="I88:N88" si="65">iferror(C88*$B$9, "-")</f>
        <v>-</v>
      </c>
      <c r="J88" s="334">
        <f t="shared" si="65"/>
        <v>3</v>
      </c>
      <c r="K88" s="334" t="str">
        <f t="shared" si="65"/>
        <v>-</v>
      </c>
      <c r="L88" s="334" t="str">
        <f t="shared" si="65"/>
        <v>-</v>
      </c>
      <c r="M88" s="334" t="str">
        <f t="shared" si="65"/>
        <v>-</v>
      </c>
      <c r="N88" s="334" t="str">
        <f t="shared" si="65"/>
        <v>-</v>
      </c>
      <c r="O88" s="335">
        <f t="shared" si="3"/>
        <v>3</v>
      </c>
    </row>
    <row r="89" ht="12.75" customHeight="1">
      <c r="A89" s="325" t="s">
        <v>437</v>
      </c>
      <c r="B89" s="325" t="s">
        <v>189</v>
      </c>
      <c r="C89" s="336" t="s">
        <v>434</v>
      </c>
      <c r="D89" s="337">
        <v>0.25</v>
      </c>
      <c r="E89" s="336" t="s">
        <v>434</v>
      </c>
      <c r="F89" s="336" t="s">
        <v>434</v>
      </c>
      <c r="G89" s="336" t="s">
        <v>434</v>
      </c>
      <c r="H89" s="336" t="s">
        <v>434</v>
      </c>
      <c r="I89" s="334" t="str">
        <f t="shared" ref="I89:N89" si="66">iferror(C89*$B$10, "-")</f>
        <v>-</v>
      </c>
      <c r="J89" s="334">
        <f t="shared" si="66"/>
        <v>3.25</v>
      </c>
      <c r="K89" s="334" t="str">
        <f t="shared" si="66"/>
        <v>-</v>
      </c>
      <c r="L89" s="334" t="str">
        <f t="shared" si="66"/>
        <v>-</v>
      </c>
      <c r="M89" s="334" t="str">
        <f t="shared" si="66"/>
        <v>-</v>
      </c>
      <c r="N89" s="334" t="str">
        <f t="shared" si="66"/>
        <v>-</v>
      </c>
      <c r="O89" s="335">
        <f t="shared" si="3"/>
        <v>3.25</v>
      </c>
    </row>
    <row r="90" ht="12.75" customHeight="1">
      <c r="A90" s="325" t="s">
        <v>437</v>
      </c>
      <c r="B90" s="320" t="s">
        <v>375</v>
      </c>
      <c r="C90" s="336" t="s">
        <v>434</v>
      </c>
      <c r="D90" s="337">
        <v>0.25</v>
      </c>
      <c r="E90" s="336" t="s">
        <v>434</v>
      </c>
      <c r="F90" s="336" t="s">
        <v>434</v>
      </c>
      <c r="G90" s="336" t="s">
        <v>434</v>
      </c>
      <c r="H90" s="336" t="s">
        <v>434</v>
      </c>
      <c r="I90" s="334" t="str">
        <f t="shared" ref="I90:N90" si="67">iferror(C90*$B$11, "-")</f>
        <v>-</v>
      </c>
      <c r="J90" s="334">
        <f t="shared" si="67"/>
        <v>3.75</v>
      </c>
      <c r="K90" s="334" t="str">
        <f t="shared" si="67"/>
        <v>-</v>
      </c>
      <c r="L90" s="334" t="str">
        <f t="shared" si="67"/>
        <v>-</v>
      </c>
      <c r="M90" s="334" t="str">
        <f t="shared" si="67"/>
        <v>-</v>
      </c>
      <c r="N90" s="334" t="str">
        <f t="shared" si="67"/>
        <v>-</v>
      </c>
      <c r="O90" s="335">
        <f t="shared" si="3"/>
        <v>3.75</v>
      </c>
    </row>
    <row r="91" ht="12.75" customHeight="1">
      <c r="A91" s="325" t="s">
        <v>437</v>
      </c>
      <c r="B91" s="320" t="s">
        <v>416</v>
      </c>
      <c r="C91" s="336" t="s">
        <v>434</v>
      </c>
      <c r="D91" s="337">
        <v>0.25</v>
      </c>
      <c r="E91" s="336" t="s">
        <v>434</v>
      </c>
      <c r="F91" s="336" t="s">
        <v>434</v>
      </c>
      <c r="G91" s="336" t="s">
        <v>434</v>
      </c>
      <c r="H91" s="336" t="s">
        <v>434</v>
      </c>
      <c r="I91" s="334" t="str">
        <f t="shared" ref="I91:N91" si="68">iferror(C91*$B$12, "-")</f>
        <v>-</v>
      </c>
      <c r="J91" s="334">
        <f t="shared" si="68"/>
        <v>4</v>
      </c>
      <c r="K91" s="334" t="str">
        <f t="shared" si="68"/>
        <v>-</v>
      </c>
      <c r="L91" s="334" t="str">
        <f t="shared" si="68"/>
        <v>-</v>
      </c>
      <c r="M91" s="334" t="str">
        <f t="shared" si="68"/>
        <v>-</v>
      </c>
      <c r="N91" s="334" t="str">
        <f t="shared" si="68"/>
        <v>-</v>
      </c>
      <c r="O91" s="335">
        <f t="shared" si="3"/>
        <v>4</v>
      </c>
    </row>
    <row r="92" ht="12.75" customHeight="1">
      <c r="A92" s="325" t="s">
        <v>437</v>
      </c>
      <c r="B92" s="320" t="s">
        <v>43</v>
      </c>
      <c r="C92" s="336" t="s">
        <v>434</v>
      </c>
      <c r="D92" s="336" t="s">
        <v>434</v>
      </c>
      <c r="E92" s="336" t="s">
        <v>434</v>
      </c>
      <c r="F92" s="336" t="s">
        <v>434</v>
      </c>
      <c r="G92" s="336" t="s">
        <v>434</v>
      </c>
      <c r="H92" s="336" t="s">
        <v>434</v>
      </c>
      <c r="I92" s="334" t="str">
        <f t="shared" ref="I92:N92" si="69">iferror(C92*$B$13, "-")</f>
        <v>-</v>
      </c>
      <c r="J92" s="334" t="str">
        <f t="shared" si="69"/>
        <v>-</v>
      </c>
      <c r="K92" s="334" t="str">
        <f t="shared" si="69"/>
        <v>-</v>
      </c>
      <c r="L92" s="334" t="str">
        <f t="shared" si="69"/>
        <v>-</v>
      </c>
      <c r="M92" s="334" t="str">
        <f t="shared" si="69"/>
        <v>-</v>
      </c>
      <c r="N92" s="334" t="str">
        <f t="shared" si="69"/>
        <v>-</v>
      </c>
      <c r="O92" s="335">
        <f t="shared" si="3"/>
        <v>0</v>
      </c>
    </row>
    <row r="93" ht="12.75" customHeight="1">
      <c r="A93" s="325" t="s">
        <v>437</v>
      </c>
      <c r="B93" s="320" t="s">
        <v>374</v>
      </c>
      <c r="C93" s="336" t="s">
        <v>434</v>
      </c>
      <c r="D93" s="336" t="s">
        <v>434</v>
      </c>
      <c r="E93" s="336" t="s">
        <v>434</v>
      </c>
      <c r="F93" s="336" t="s">
        <v>434</v>
      </c>
      <c r="G93" s="336" t="s">
        <v>434</v>
      </c>
      <c r="H93" s="336" t="s">
        <v>434</v>
      </c>
      <c r="I93" s="334" t="str">
        <f t="shared" ref="I93:N93" si="70">iferror(C93*$B$14, "-")</f>
        <v>-</v>
      </c>
      <c r="J93" s="334" t="str">
        <f t="shared" si="70"/>
        <v>-</v>
      </c>
      <c r="K93" s="334" t="str">
        <f t="shared" si="70"/>
        <v>-</v>
      </c>
      <c r="L93" s="334" t="str">
        <f t="shared" si="70"/>
        <v>-</v>
      </c>
      <c r="M93" s="334" t="str">
        <f t="shared" si="70"/>
        <v>-</v>
      </c>
      <c r="N93" s="334" t="str">
        <f t="shared" si="70"/>
        <v>-</v>
      </c>
      <c r="O93" s="335">
        <f t="shared" si="3"/>
        <v>0</v>
      </c>
    </row>
    <row r="94" ht="12.75" customHeight="1">
      <c r="A94" s="325" t="s">
        <v>437</v>
      </c>
      <c r="B94" s="325" t="s">
        <v>32</v>
      </c>
      <c r="C94" s="336" t="s">
        <v>434</v>
      </c>
      <c r="D94" s="337">
        <v>0.25</v>
      </c>
      <c r="E94" s="336" t="s">
        <v>434</v>
      </c>
      <c r="F94" s="336" t="s">
        <v>434</v>
      </c>
      <c r="G94" s="336" t="s">
        <v>434</v>
      </c>
      <c r="H94" s="336" t="s">
        <v>434</v>
      </c>
      <c r="I94" s="334" t="str">
        <f t="shared" ref="I94:N94" si="71">iferror(C94*$B$15, "-")</f>
        <v>-</v>
      </c>
      <c r="J94" s="334">
        <f t="shared" si="71"/>
        <v>0.75</v>
      </c>
      <c r="K94" s="334" t="str">
        <f t="shared" si="71"/>
        <v>-</v>
      </c>
      <c r="L94" s="334" t="str">
        <f t="shared" si="71"/>
        <v>-</v>
      </c>
      <c r="M94" s="334" t="str">
        <f t="shared" si="71"/>
        <v>-</v>
      </c>
      <c r="N94" s="334" t="str">
        <f t="shared" si="71"/>
        <v>-</v>
      </c>
      <c r="O94" s="335">
        <f t="shared" si="3"/>
        <v>0.75</v>
      </c>
    </row>
    <row r="95" ht="12.75" customHeight="1">
      <c r="A95" s="325" t="s">
        <v>437</v>
      </c>
      <c r="B95" s="320" t="s">
        <v>134</v>
      </c>
      <c r="C95" s="336" t="s">
        <v>434</v>
      </c>
      <c r="D95" s="336" t="s">
        <v>434</v>
      </c>
      <c r="E95" s="336" t="s">
        <v>434</v>
      </c>
      <c r="F95" s="336" t="s">
        <v>434</v>
      </c>
      <c r="G95" s="336" t="s">
        <v>434</v>
      </c>
      <c r="H95" s="336" t="s">
        <v>434</v>
      </c>
      <c r="I95" s="334" t="str">
        <f t="shared" ref="I95:N95" si="72">iferror(C95*$B$16, "-")</f>
        <v>-</v>
      </c>
      <c r="J95" s="334" t="str">
        <f t="shared" si="72"/>
        <v>-</v>
      </c>
      <c r="K95" s="334" t="str">
        <f t="shared" si="72"/>
        <v>-</v>
      </c>
      <c r="L95" s="334" t="str">
        <f t="shared" si="72"/>
        <v>-</v>
      </c>
      <c r="M95" s="334" t="str">
        <f t="shared" si="72"/>
        <v>-</v>
      </c>
      <c r="N95" s="334" t="str">
        <f t="shared" si="72"/>
        <v>-</v>
      </c>
      <c r="O95" s="335">
        <f t="shared" si="3"/>
        <v>0</v>
      </c>
    </row>
    <row r="96" ht="12.75" customHeight="1">
      <c r="A96" s="325" t="s">
        <v>437</v>
      </c>
      <c r="B96" s="320" t="s">
        <v>421</v>
      </c>
      <c r="C96" s="336" t="s">
        <v>434</v>
      </c>
      <c r="D96" s="336" t="s">
        <v>434</v>
      </c>
      <c r="E96" s="336" t="s">
        <v>434</v>
      </c>
      <c r="F96" s="336" t="s">
        <v>434</v>
      </c>
      <c r="G96" s="336" t="s">
        <v>434</v>
      </c>
      <c r="H96" s="336" t="s">
        <v>434</v>
      </c>
      <c r="I96" s="334" t="str">
        <f t="shared" ref="I96:N96" si="73">iferror(C96*$B$17, "-")</f>
        <v>-</v>
      </c>
      <c r="J96" s="334" t="str">
        <f t="shared" si="73"/>
        <v>-</v>
      </c>
      <c r="K96" s="334" t="str">
        <f t="shared" si="73"/>
        <v>-</v>
      </c>
      <c r="L96" s="334" t="str">
        <f t="shared" si="73"/>
        <v>-</v>
      </c>
      <c r="M96" s="334" t="str">
        <f t="shared" si="73"/>
        <v>-</v>
      </c>
      <c r="N96" s="334" t="str">
        <f t="shared" si="73"/>
        <v>-</v>
      </c>
      <c r="O96" s="335">
        <f t="shared" si="3"/>
        <v>0</v>
      </c>
    </row>
    <row r="97" ht="12.75" customHeight="1">
      <c r="A97" s="325" t="s">
        <v>437</v>
      </c>
      <c r="B97" s="338" t="s">
        <v>49</v>
      </c>
      <c r="C97" s="337">
        <v>0.25</v>
      </c>
      <c r="D97" s="339" t="s">
        <v>434</v>
      </c>
      <c r="E97" s="339" t="s">
        <v>434</v>
      </c>
      <c r="F97" s="339" t="s">
        <v>434</v>
      </c>
      <c r="G97" s="339" t="s">
        <v>434</v>
      </c>
      <c r="H97" s="339" t="s">
        <v>434</v>
      </c>
      <c r="I97" s="334">
        <f t="shared" ref="I97:N97" si="74">iferror(C97*$B$18, "-")</f>
        <v>6</v>
      </c>
      <c r="J97" s="334" t="str">
        <f t="shared" si="74"/>
        <v>-</v>
      </c>
      <c r="K97" s="334" t="str">
        <f t="shared" si="74"/>
        <v>-</v>
      </c>
      <c r="L97" s="334" t="str">
        <f t="shared" si="74"/>
        <v>-</v>
      </c>
      <c r="M97" s="334" t="str">
        <f t="shared" si="74"/>
        <v>-</v>
      </c>
      <c r="N97" s="334" t="str">
        <f t="shared" si="74"/>
        <v>-</v>
      </c>
      <c r="O97" s="334">
        <f t="shared" si="3"/>
        <v>6</v>
      </c>
    </row>
    <row r="98" ht="12.75" customHeight="1">
      <c r="A98" s="325" t="s">
        <v>437</v>
      </c>
      <c r="B98" s="325" t="s">
        <v>40</v>
      </c>
      <c r="C98" s="337">
        <v>0.25</v>
      </c>
      <c r="D98" s="339" t="s">
        <v>434</v>
      </c>
      <c r="E98" s="337">
        <v>0.25</v>
      </c>
      <c r="F98" s="339" t="s">
        <v>434</v>
      </c>
      <c r="G98" s="339" t="s">
        <v>434</v>
      </c>
      <c r="H98" s="339" t="s">
        <v>434</v>
      </c>
      <c r="I98" s="334">
        <f t="shared" ref="I98:N98" si="75">iferror(C98*$B$19, "-")</f>
        <v>12.25</v>
      </c>
      <c r="J98" s="334" t="str">
        <f t="shared" si="75"/>
        <v>-</v>
      </c>
      <c r="K98" s="334">
        <f t="shared" si="75"/>
        <v>12.25</v>
      </c>
      <c r="L98" s="334" t="str">
        <f t="shared" si="75"/>
        <v>-</v>
      </c>
      <c r="M98" s="334" t="str">
        <f t="shared" si="75"/>
        <v>-</v>
      </c>
      <c r="N98" s="334" t="str">
        <f t="shared" si="75"/>
        <v>-</v>
      </c>
      <c r="O98" s="334">
        <f t="shared" si="3"/>
        <v>24.5</v>
      </c>
    </row>
    <row r="99" ht="12.75" customHeight="1">
      <c r="A99" s="325" t="s">
        <v>437</v>
      </c>
      <c r="B99" s="325" t="s">
        <v>42</v>
      </c>
      <c r="C99" s="337">
        <v>0.25</v>
      </c>
      <c r="D99" s="339" t="s">
        <v>434</v>
      </c>
      <c r="E99" s="337">
        <v>0.25</v>
      </c>
      <c r="F99" s="339" t="s">
        <v>434</v>
      </c>
      <c r="G99" s="339" t="s">
        <v>434</v>
      </c>
      <c r="H99" s="339" t="s">
        <v>434</v>
      </c>
      <c r="I99" s="334">
        <f t="shared" ref="I99:N99" si="76">iferror(C99*$B$20, "-")</f>
        <v>12.25</v>
      </c>
      <c r="J99" s="334" t="str">
        <f t="shared" si="76"/>
        <v>-</v>
      </c>
      <c r="K99" s="334">
        <f t="shared" si="76"/>
        <v>12.25</v>
      </c>
      <c r="L99" s="334" t="str">
        <f t="shared" si="76"/>
        <v>-</v>
      </c>
      <c r="M99" s="334" t="str">
        <f t="shared" si="76"/>
        <v>-</v>
      </c>
      <c r="N99" s="334" t="str">
        <f t="shared" si="76"/>
        <v>-</v>
      </c>
      <c r="O99" s="334">
        <f t="shared" si="3"/>
        <v>24.5</v>
      </c>
    </row>
    <row r="100" ht="12.75" customHeight="1">
      <c r="A100" s="341" t="s">
        <v>437</v>
      </c>
      <c r="B100" s="341" t="s">
        <v>373</v>
      </c>
      <c r="C100" s="342" t="s">
        <v>434</v>
      </c>
      <c r="D100" s="342" t="s">
        <v>434</v>
      </c>
      <c r="E100" s="342" t="s">
        <v>434</v>
      </c>
      <c r="F100" s="342" t="s">
        <v>434</v>
      </c>
      <c r="G100" s="342" t="s">
        <v>434</v>
      </c>
      <c r="H100" s="342" t="s">
        <v>434</v>
      </c>
      <c r="I100" s="343" t="str">
        <f t="shared" ref="I100:N100" si="77">iferror(C100*$B$21, "-")</f>
        <v>-</v>
      </c>
      <c r="J100" s="343" t="str">
        <f t="shared" si="77"/>
        <v>-</v>
      </c>
      <c r="K100" s="343" t="str">
        <f t="shared" si="77"/>
        <v>-</v>
      </c>
      <c r="L100" s="343" t="str">
        <f t="shared" si="77"/>
        <v>-</v>
      </c>
      <c r="M100" s="343" t="str">
        <f t="shared" si="77"/>
        <v>-</v>
      </c>
      <c r="N100" s="343" t="str">
        <f t="shared" si="77"/>
        <v>-</v>
      </c>
      <c r="O100" s="344">
        <f t="shared" si="3"/>
        <v>0</v>
      </c>
    </row>
    <row r="101" ht="12.75" customHeight="1">
      <c r="A101" s="325" t="s">
        <v>438</v>
      </c>
      <c r="B101" s="320" t="s">
        <v>310</v>
      </c>
      <c r="C101" s="332" t="s">
        <v>434</v>
      </c>
      <c r="D101" s="332" t="s">
        <v>434</v>
      </c>
      <c r="E101" s="333">
        <v>0.25</v>
      </c>
      <c r="F101" s="332" t="s">
        <v>434</v>
      </c>
      <c r="G101" s="332" t="s">
        <v>434</v>
      </c>
      <c r="H101" s="332" t="s">
        <v>434</v>
      </c>
      <c r="I101" s="334" t="str">
        <f t="shared" ref="I101:N101" si="78">iferror(C101*$B$3, "-")</f>
        <v>-</v>
      </c>
      <c r="J101" s="334" t="str">
        <f t="shared" si="78"/>
        <v>-</v>
      </c>
      <c r="K101" s="334">
        <f t="shared" si="78"/>
        <v>3.25</v>
      </c>
      <c r="L101" s="334" t="str">
        <f t="shared" si="78"/>
        <v>-</v>
      </c>
      <c r="M101" s="334" t="str">
        <f t="shared" si="78"/>
        <v>-</v>
      </c>
      <c r="N101" s="334" t="str">
        <f t="shared" si="78"/>
        <v>-</v>
      </c>
      <c r="O101" s="345">
        <f t="shared" si="3"/>
        <v>3.25</v>
      </c>
    </row>
    <row r="102" ht="12.75" customHeight="1">
      <c r="A102" s="325" t="s">
        <v>438</v>
      </c>
      <c r="B102" s="320" t="s">
        <v>311</v>
      </c>
      <c r="C102" s="336" t="s">
        <v>434</v>
      </c>
      <c r="D102" s="336" t="s">
        <v>434</v>
      </c>
      <c r="E102" s="337">
        <v>0.25</v>
      </c>
      <c r="F102" s="336" t="s">
        <v>434</v>
      </c>
      <c r="G102" s="336" t="s">
        <v>434</v>
      </c>
      <c r="H102" s="336" t="s">
        <v>434</v>
      </c>
      <c r="I102" s="334" t="str">
        <f t="shared" ref="I102:N102" si="79">iferror(C102*$B$4, "-")</f>
        <v>-</v>
      </c>
      <c r="J102" s="334" t="str">
        <f t="shared" si="79"/>
        <v>-</v>
      </c>
      <c r="K102" s="334">
        <f t="shared" si="79"/>
        <v>3</v>
      </c>
      <c r="L102" s="334" t="str">
        <f t="shared" si="79"/>
        <v>-</v>
      </c>
      <c r="M102" s="334" t="str">
        <f t="shared" si="79"/>
        <v>-</v>
      </c>
      <c r="N102" s="334" t="str">
        <f t="shared" si="79"/>
        <v>-</v>
      </c>
      <c r="O102" s="335">
        <f t="shared" si="3"/>
        <v>3</v>
      </c>
    </row>
    <row r="103" ht="12.75" customHeight="1">
      <c r="A103" s="325" t="s">
        <v>438</v>
      </c>
      <c r="B103" s="320" t="s">
        <v>312</v>
      </c>
      <c r="C103" s="336" t="s">
        <v>434</v>
      </c>
      <c r="D103" s="336" t="s">
        <v>434</v>
      </c>
      <c r="E103" s="337">
        <v>0.25</v>
      </c>
      <c r="F103" s="336" t="s">
        <v>434</v>
      </c>
      <c r="G103" s="336" t="s">
        <v>434</v>
      </c>
      <c r="H103" s="336" t="s">
        <v>434</v>
      </c>
      <c r="I103" s="334" t="str">
        <f t="shared" ref="I103:N103" si="80">iferror(C103*$B$5, "-")</f>
        <v>-</v>
      </c>
      <c r="J103" s="334" t="str">
        <f t="shared" si="80"/>
        <v>-</v>
      </c>
      <c r="K103" s="334">
        <f t="shared" si="80"/>
        <v>3</v>
      </c>
      <c r="L103" s="334" t="str">
        <f t="shared" si="80"/>
        <v>-</v>
      </c>
      <c r="M103" s="334" t="str">
        <f t="shared" si="80"/>
        <v>-</v>
      </c>
      <c r="N103" s="334" t="str">
        <f t="shared" si="80"/>
        <v>-</v>
      </c>
      <c r="O103" s="335">
        <f t="shared" si="3"/>
        <v>3</v>
      </c>
    </row>
    <row r="104" ht="12.75" customHeight="1">
      <c r="A104" s="325" t="s">
        <v>438</v>
      </c>
      <c r="B104" s="325" t="s">
        <v>46</v>
      </c>
      <c r="C104" s="336" t="s">
        <v>434</v>
      </c>
      <c r="D104" s="336" t="s">
        <v>434</v>
      </c>
      <c r="E104" s="337">
        <v>0.25</v>
      </c>
      <c r="F104" s="336" t="s">
        <v>434</v>
      </c>
      <c r="G104" s="336" t="s">
        <v>434</v>
      </c>
      <c r="H104" s="336" t="s">
        <v>434</v>
      </c>
      <c r="I104" s="334" t="str">
        <f t="shared" ref="I104:N104" si="81">iferror(C104*$B$6, "-")</f>
        <v>-</v>
      </c>
      <c r="J104" s="334" t="str">
        <f t="shared" si="81"/>
        <v>-</v>
      </c>
      <c r="K104" s="334">
        <f t="shared" si="81"/>
        <v>3</v>
      </c>
      <c r="L104" s="334" t="str">
        <f t="shared" si="81"/>
        <v>-</v>
      </c>
      <c r="M104" s="334" t="str">
        <f t="shared" si="81"/>
        <v>-</v>
      </c>
      <c r="N104" s="334" t="str">
        <f t="shared" si="81"/>
        <v>-</v>
      </c>
      <c r="O104" s="335">
        <f t="shared" si="3"/>
        <v>3</v>
      </c>
    </row>
    <row r="105" ht="12.75" customHeight="1">
      <c r="A105" s="325" t="s">
        <v>438</v>
      </c>
      <c r="B105" s="320" t="s">
        <v>380</v>
      </c>
      <c r="C105" s="337">
        <v>0.25</v>
      </c>
      <c r="D105" s="336" t="s">
        <v>434</v>
      </c>
      <c r="E105" s="337">
        <v>0.25</v>
      </c>
      <c r="F105" s="337">
        <v>0.25</v>
      </c>
      <c r="G105" s="336" t="s">
        <v>434</v>
      </c>
      <c r="H105" s="336" t="s">
        <v>434</v>
      </c>
      <c r="I105" s="334">
        <f t="shared" ref="I105:N105" si="82">iferror(C105*$B$7, "-")</f>
        <v>12.25</v>
      </c>
      <c r="J105" s="334" t="str">
        <f t="shared" si="82"/>
        <v>-</v>
      </c>
      <c r="K105" s="334">
        <f t="shared" si="82"/>
        <v>12.25</v>
      </c>
      <c r="L105" s="334">
        <f t="shared" si="82"/>
        <v>12.25</v>
      </c>
      <c r="M105" s="334" t="str">
        <f t="shared" si="82"/>
        <v>-</v>
      </c>
      <c r="N105" s="334" t="str">
        <f t="shared" si="82"/>
        <v>-</v>
      </c>
      <c r="O105" s="335">
        <f t="shared" si="3"/>
        <v>36.75</v>
      </c>
    </row>
    <row r="106" ht="12.75" customHeight="1">
      <c r="A106" s="325" t="s">
        <v>438</v>
      </c>
      <c r="B106" s="320" t="s">
        <v>411</v>
      </c>
      <c r="C106" s="336" t="s">
        <v>434</v>
      </c>
      <c r="D106" s="336" t="s">
        <v>434</v>
      </c>
      <c r="E106" s="336" t="s">
        <v>434</v>
      </c>
      <c r="F106" s="337">
        <v>0.25</v>
      </c>
      <c r="G106" s="337">
        <v>0.25</v>
      </c>
      <c r="H106" s="336" t="s">
        <v>434</v>
      </c>
      <c r="I106" s="334" t="str">
        <f t="shared" ref="I106:N106" si="83">iferror(C106*$B$8, "-")</f>
        <v>-</v>
      </c>
      <c r="J106" s="334" t="str">
        <f t="shared" si="83"/>
        <v>-</v>
      </c>
      <c r="K106" s="334" t="str">
        <f t="shared" si="83"/>
        <v>-</v>
      </c>
      <c r="L106" s="334">
        <f t="shared" si="83"/>
        <v>12.25</v>
      </c>
      <c r="M106" s="334">
        <f t="shared" si="83"/>
        <v>12.25</v>
      </c>
      <c r="N106" s="334" t="str">
        <f t="shared" si="83"/>
        <v>-</v>
      </c>
      <c r="O106" s="335">
        <f t="shared" si="3"/>
        <v>24.5</v>
      </c>
    </row>
    <row r="107" ht="12.75" customHeight="1">
      <c r="A107" s="325" t="s">
        <v>438</v>
      </c>
      <c r="B107" s="320" t="s">
        <v>412</v>
      </c>
      <c r="C107" s="336" t="s">
        <v>434</v>
      </c>
      <c r="D107" s="337">
        <v>0.25</v>
      </c>
      <c r="E107" s="336" t="s">
        <v>434</v>
      </c>
      <c r="F107" s="336" t="s">
        <v>434</v>
      </c>
      <c r="G107" s="336" t="s">
        <v>434</v>
      </c>
      <c r="H107" s="336" t="s">
        <v>434</v>
      </c>
      <c r="I107" s="334" t="str">
        <f t="shared" ref="I107:N107" si="84">iferror(C107*$B$9, "-")</f>
        <v>-</v>
      </c>
      <c r="J107" s="334">
        <f t="shared" si="84"/>
        <v>3</v>
      </c>
      <c r="K107" s="334" t="str">
        <f t="shared" si="84"/>
        <v>-</v>
      </c>
      <c r="L107" s="334" t="str">
        <f t="shared" si="84"/>
        <v>-</v>
      </c>
      <c r="M107" s="334" t="str">
        <f t="shared" si="84"/>
        <v>-</v>
      </c>
      <c r="N107" s="334" t="str">
        <f t="shared" si="84"/>
        <v>-</v>
      </c>
      <c r="O107" s="335">
        <f t="shared" si="3"/>
        <v>3</v>
      </c>
    </row>
    <row r="108" ht="12.75" customHeight="1">
      <c r="A108" s="325" t="s">
        <v>438</v>
      </c>
      <c r="B108" s="325" t="s">
        <v>189</v>
      </c>
      <c r="C108" s="336" t="s">
        <v>434</v>
      </c>
      <c r="D108" s="337">
        <v>0.25</v>
      </c>
      <c r="E108" s="336" t="s">
        <v>434</v>
      </c>
      <c r="F108" s="336" t="s">
        <v>434</v>
      </c>
      <c r="G108" s="336" t="s">
        <v>434</v>
      </c>
      <c r="H108" s="336" t="s">
        <v>434</v>
      </c>
      <c r="I108" s="334" t="str">
        <f t="shared" ref="I108:N108" si="85">iferror(C108*$B$10, "-")</f>
        <v>-</v>
      </c>
      <c r="J108" s="334">
        <f t="shared" si="85"/>
        <v>3.25</v>
      </c>
      <c r="K108" s="334" t="str">
        <f t="shared" si="85"/>
        <v>-</v>
      </c>
      <c r="L108" s="334" t="str">
        <f t="shared" si="85"/>
        <v>-</v>
      </c>
      <c r="M108" s="334" t="str">
        <f t="shared" si="85"/>
        <v>-</v>
      </c>
      <c r="N108" s="334" t="str">
        <f t="shared" si="85"/>
        <v>-</v>
      </c>
      <c r="O108" s="335">
        <f t="shared" si="3"/>
        <v>3.25</v>
      </c>
    </row>
    <row r="109" ht="12.75" customHeight="1">
      <c r="A109" s="325" t="s">
        <v>438</v>
      </c>
      <c r="B109" s="320" t="s">
        <v>375</v>
      </c>
      <c r="C109" s="336" t="s">
        <v>434</v>
      </c>
      <c r="D109" s="337">
        <v>0.25</v>
      </c>
      <c r="E109" s="336" t="s">
        <v>434</v>
      </c>
      <c r="F109" s="336" t="s">
        <v>434</v>
      </c>
      <c r="G109" s="336" t="s">
        <v>434</v>
      </c>
      <c r="H109" s="336" t="s">
        <v>434</v>
      </c>
      <c r="I109" s="334" t="str">
        <f t="shared" ref="I109:N109" si="86">iferror(C109*$B$11, "-")</f>
        <v>-</v>
      </c>
      <c r="J109" s="334">
        <f t="shared" si="86"/>
        <v>3.75</v>
      </c>
      <c r="K109" s="334" t="str">
        <f t="shared" si="86"/>
        <v>-</v>
      </c>
      <c r="L109" s="334" t="str">
        <f t="shared" si="86"/>
        <v>-</v>
      </c>
      <c r="M109" s="334" t="str">
        <f t="shared" si="86"/>
        <v>-</v>
      </c>
      <c r="N109" s="334" t="str">
        <f t="shared" si="86"/>
        <v>-</v>
      </c>
      <c r="O109" s="335">
        <f t="shared" si="3"/>
        <v>3.75</v>
      </c>
    </row>
    <row r="110" ht="12.75" customHeight="1">
      <c r="A110" s="325" t="s">
        <v>438</v>
      </c>
      <c r="B110" s="320" t="s">
        <v>416</v>
      </c>
      <c r="C110" s="336" t="s">
        <v>434</v>
      </c>
      <c r="D110" s="337">
        <v>0.25</v>
      </c>
      <c r="E110" s="336" t="s">
        <v>434</v>
      </c>
      <c r="F110" s="336" t="s">
        <v>434</v>
      </c>
      <c r="G110" s="336" t="s">
        <v>434</v>
      </c>
      <c r="H110" s="336" t="s">
        <v>434</v>
      </c>
      <c r="I110" s="334" t="str">
        <f t="shared" ref="I110:N110" si="87">iferror(C110*$B$12, "-")</f>
        <v>-</v>
      </c>
      <c r="J110" s="334">
        <f t="shared" si="87"/>
        <v>4</v>
      </c>
      <c r="K110" s="334" t="str">
        <f t="shared" si="87"/>
        <v>-</v>
      </c>
      <c r="L110" s="334" t="str">
        <f t="shared" si="87"/>
        <v>-</v>
      </c>
      <c r="M110" s="334" t="str">
        <f t="shared" si="87"/>
        <v>-</v>
      </c>
      <c r="N110" s="334" t="str">
        <f t="shared" si="87"/>
        <v>-</v>
      </c>
      <c r="O110" s="335">
        <f t="shared" si="3"/>
        <v>4</v>
      </c>
    </row>
    <row r="111" ht="12.75" customHeight="1">
      <c r="A111" s="325" t="s">
        <v>438</v>
      </c>
      <c r="B111" s="320" t="s">
        <v>43</v>
      </c>
      <c r="C111" s="336" t="s">
        <v>434</v>
      </c>
      <c r="D111" s="336" t="s">
        <v>434</v>
      </c>
      <c r="E111" s="336" t="s">
        <v>434</v>
      </c>
      <c r="F111" s="336" t="s">
        <v>434</v>
      </c>
      <c r="G111" s="336" t="s">
        <v>434</v>
      </c>
      <c r="H111" s="336" t="s">
        <v>434</v>
      </c>
      <c r="I111" s="334" t="str">
        <f t="shared" ref="I111:N111" si="88">iferror(C111*$B$13, "-")</f>
        <v>-</v>
      </c>
      <c r="J111" s="334" t="str">
        <f t="shared" si="88"/>
        <v>-</v>
      </c>
      <c r="K111" s="334" t="str">
        <f t="shared" si="88"/>
        <v>-</v>
      </c>
      <c r="L111" s="334" t="str">
        <f t="shared" si="88"/>
        <v>-</v>
      </c>
      <c r="M111" s="334" t="str">
        <f t="shared" si="88"/>
        <v>-</v>
      </c>
      <c r="N111" s="334" t="str">
        <f t="shared" si="88"/>
        <v>-</v>
      </c>
      <c r="O111" s="335">
        <f t="shared" si="3"/>
        <v>0</v>
      </c>
    </row>
    <row r="112" ht="12.75" customHeight="1">
      <c r="A112" s="325" t="s">
        <v>438</v>
      </c>
      <c r="B112" s="320" t="s">
        <v>374</v>
      </c>
      <c r="C112" s="336" t="s">
        <v>434</v>
      </c>
      <c r="D112" s="336" t="s">
        <v>434</v>
      </c>
      <c r="E112" s="336" t="s">
        <v>434</v>
      </c>
      <c r="F112" s="336" t="s">
        <v>434</v>
      </c>
      <c r="G112" s="336" t="s">
        <v>434</v>
      </c>
      <c r="H112" s="336" t="s">
        <v>434</v>
      </c>
      <c r="I112" s="334" t="str">
        <f t="shared" ref="I112:N112" si="89">iferror(C112*$B$14, "-")</f>
        <v>-</v>
      </c>
      <c r="J112" s="334" t="str">
        <f t="shared" si="89"/>
        <v>-</v>
      </c>
      <c r="K112" s="334" t="str">
        <f t="shared" si="89"/>
        <v>-</v>
      </c>
      <c r="L112" s="334" t="str">
        <f t="shared" si="89"/>
        <v>-</v>
      </c>
      <c r="M112" s="334" t="str">
        <f t="shared" si="89"/>
        <v>-</v>
      </c>
      <c r="N112" s="334" t="str">
        <f t="shared" si="89"/>
        <v>-</v>
      </c>
      <c r="O112" s="335">
        <f t="shared" si="3"/>
        <v>0</v>
      </c>
    </row>
    <row r="113" ht="12.75" customHeight="1">
      <c r="A113" s="325" t="s">
        <v>438</v>
      </c>
      <c r="B113" s="325" t="s">
        <v>32</v>
      </c>
      <c r="C113" s="336" t="s">
        <v>434</v>
      </c>
      <c r="D113" s="337">
        <v>0.25</v>
      </c>
      <c r="E113" s="336" t="s">
        <v>434</v>
      </c>
      <c r="F113" s="336" t="s">
        <v>434</v>
      </c>
      <c r="G113" s="336" t="s">
        <v>434</v>
      </c>
      <c r="H113" s="336" t="s">
        <v>434</v>
      </c>
      <c r="I113" s="334" t="str">
        <f t="shared" ref="I113:N113" si="90">iferror(C113*$B$15, "-")</f>
        <v>-</v>
      </c>
      <c r="J113" s="334">
        <f t="shared" si="90"/>
        <v>0.75</v>
      </c>
      <c r="K113" s="334" t="str">
        <f t="shared" si="90"/>
        <v>-</v>
      </c>
      <c r="L113" s="334" t="str">
        <f t="shared" si="90"/>
        <v>-</v>
      </c>
      <c r="M113" s="334" t="str">
        <f t="shared" si="90"/>
        <v>-</v>
      </c>
      <c r="N113" s="334" t="str">
        <f t="shared" si="90"/>
        <v>-</v>
      </c>
      <c r="O113" s="335">
        <f t="shared" si="3"/>
        <v>0.75</v>
      </c>
    </row>
    <row r="114" ht="12.75" customHeight="1">
      <c r="A114" s="325" t="s">
        <v>438</v>
      </c>
      <c r="B114" s="320" t="s">
        <v>134</v>
      </c>
      <c r="C114" s="336" t="s">
        <v>434</v>
      </c>
      <c r="D114" s="336" t="s">
        <v>434</v>
      </c>
      <c r="E114" s="336" t="s">
        <v>434</v>
      </c>
      <c r="F114" s="336" t="s">
        <v>434</v>
      </c>
      <c r="G114" s="336" t="s">
        <v>434</v>
      </c>
      <c r="H114" s="336" t="s">
        <v>434</v>
      </c>
      <c r="I114" s="334" t="str">
        <f t="shared" ref="I114:N114" si="91">iferror(C114*$B$16, "-")</f>
        <v>-</v>
      </c>
      <c r="J114" s="334" t="str">
        <f t="shared" si="91"/>
        <v>-</v>
      </c>
      <c r="K114" s="334" t="str">
        <f t="shared" si="91"/>
        <v>-</v>
      </c>
      <c r="L114" s="334" t="str">
        <f t="shared" si="91"/>
        <v>-</v>
      </c>
      <c r="M114" s="334" t="str">
        <f t="shared" si="91"/>
        <v>-</v>
      </c>
      <c r="N114" s="334" t="str">
        <f t="shared" si="91"/>
        <v>-</v>
      </c>
      <c r="O114" s="335">
        <f t="shared" si="3"/>
        <v>0</v>
      </c>
    </row>
    <row r="115" ht="12.75" customHeight="1">
      <c r="A115" s="325" t="s">
        <v>438</v>
      </c>
      <c r="B115" s="320" t="s">
        <v>421</v>
      </c>
      <c r="C115" s="336" t="s">
        <v>434</v>
      </c>
      <c r="D115" s="336" t="s">
        <v>434</v>
      </c>
      <c r="E115" s="336" t="s">
        <v>434</v>
      </c>
      <c r="F115" s="336" t="s">
        <v>434</v>
      </c>
      <c r="G115" s="336" t="s">
        <v>434</v>
      </c>
      <c r="H115" s="336" t="s">
        <v>434</v>
      </c>
      <c r="I115" s="334" t="str">
        <f t="shared" ref="I115:N115" si="92">iferror(C115*$B$17, "-")</f>
        <v>-</v>
      </c>
      <c r="J115" s="334" t="str">
        <f t="shared" si="92"/>
        <v>-</v>
      </c>
      <c r="K115" s="334" t="str">
        <f t="shared" si="92"/>
        <v>-</v>
      </c>
      <c r="L115" s="334" t="str">
        <f t="shared" si="92"/>
        <v>-</v>
      </c>
      <c r="M115" s="334" t="str">
        <f t="shared" si="92"/>
        <v>-</v>
      </c>
      <c r="N115" s="334" t="str">
        <f t="shared" si="92"/>
        <v>-</v>
      </c>
      <c r="O115" s="335">
        <f t="shared" si="3"/>
        <v>0</v>
      </c>
    </row>
    <row r="116" ht="12.75" customHeight="1">
      <c r="A116" s="325" t="s">
        <v>438</v>
      </c>
      <c r="B116" s="338" t="s">
        <v>49</v>
      </c>
      <c r="C116" s="337">
        <v>0.25</v>
      </c>
      <c r="D116" s="339" t="s">
        <v>434</v>
      </c>
      <c r="E116" s="339" t="s">
        <v>434</v>
      </c>
      <c r="F116" s="339" t="s">
        <v>434</v>
      </c>
      <c r="G116" s="339" t="s">
        <v>434</v>
      </c>
      <c r="H116" s="339" t="s">
        <v>434</v>
      </c>
      <c r="I116" s="334">
        <f t="shared" ref="I116:N116" si="93">iferror(C116*$B$18, "-")</f>
        <v>6</v>
      </c>
      <c r="J116" s="334" t="str">
        <f t="shared" si="93"/>
        <v>-</v>
      </c>
      <c r="K116" s="334" t="str">
        <f t="shared" si="93"/>
        <v>-</v>
      </c>
      <c r="L116" s="334" t="str">
        <f t="shared" si="93"/>
        <v>-</v>
      </c>
      <c r="M116" s="334" t="str">
        <f t="shared" si="93"/>
        <v>-</v>
      </c>
      <c r="N116" s="334" t="str">
        <f t="shared" si="93"/>
        <v>-</v>
      </c>
      <c r="O116" s="334">
        <f t="shared" si="3"/>
        <v>6</v>
      </c>
    </row>
    <row r="117" ht="12.75" customHeight="1">
      <c r="A117" s="325" t="s">
        <v>438</v>
      </c>
      <c r="B117" s="325" t="s">
        <v>40</v>
      </c>
      <c r="C117" s="337">
        <v>0.25</v>
      </c>
      <c r="D117" s="339" t="s">
        <v>434</v>
      </c>
      <c r="E117" s="337">
        <v>0.25</v>
      </c>
      <c r="F117" s="339" t="s">
        <v>434</v>
      </c>
      <c r="G117" s="339" t="s">
        <v>434</v>
      </c>
      <c r="H117" s="339" t="s">
        <v>434</v>
      </c>
      <c r="I117" s="334">
        <f t="shared" ref="I117:N117" si="94">iferror(C117*$B$19, "-")</f>
        <v>12.25</v>
      </c>
      <c r="J117" s="334" t="str">
        <f t="shared" si="94"/>
        <v>-</v>
      </c>
      <c r="K117" s="334">
        <f t="shared" si="94"/>
        <v>12.25</v>
      </c>
      <c r="L117" s="334" t="str">
        <f t="shared" si="94"/>
        <v>-</v>
      </c>
      <c r="M117" s="334" t="str">
        <f t="shared" si="94"/>
        <v>-</v>
      </c>
      <c r="N117" s="334" t="str">
        <f t="shared" si="94"/>
        <v>-</v>
      </c>
      <c r="O117" s="334">
        <f t="shared" si="3"/>
        <v>24.5</v>
      </c>
    </row>
    <row r="118" ht="12.75" customHeight="1">
      <c r="A118" s="325" t="s">
        <v>438</v>
      </c>
      <c r="B118" s="325" t="s">
        <v>42</v>
      </c>
      <c r="C118" s="337">
        <v>0.25</v>
      </c>
      <c r="D118" s="339" t="s">
        <v>434</v>
      </c>
      <c r="E118" s="337">
        <v>0.25</v>
      </c>
      <c r="F118" s="339" t="s">
        <v>434</v>
      </c>
      <c r="G118" s="339" t="s">
        <v>434</v>
      </c>
      <c r="H118" s="339" t="s">
        <v>434</v>
      </c>
      <c r="I118" s="334">
        <f t="shared" ref="I118:N118" si="95">iferror(C118*$B$20, "-")</f>
        <v>12.25</v>
      </c>
      <c r="J118" s="334" t="str">
        <f t="shared" si="95"/>
        <v>-</v>
      </c>
      <c r="K118" s="334">
        <f t="shared" si="95"/>
        <v>12.25</v>
      </c>
      <c r="L118" s="334" t="str">
        <f t="shared" si="95"/>
        <v>-</v>
      </c>
      <c r="M118" s="334" t="str">
        <f t="shared" si="95"/>
        <v>-</v>
      </c>
      <c r="N118" s="334" t="str">
        <f t="shared" si="95"/>
        <v>-</v>
      </c>
      <c r="O118" s="334">
        <f t="shared" si="3"/>
        <v>24.5</v>
      </c>
    </row>
    <row r="119" ht="12.75" customHeight="1">
      <c r="A119" s="341" t="s">
        <v>438</v>
      </c>
      <c r="B119" s="341" t="s">
        <v>373</v>
      </c>
      <c r="C119" s="342" t="s">
        <v>434</v>
      </c>
      <c r="D119" s="342" t="s">
        <v>434</v>
      </c>
      <c r="E119" s="342" t="s">
        <v>434</v>
      </c>
      <c r="F119" s="342" t="s">
        <v>434</v>
      </c>
      <c r="G119" s="342" t="s">
        <v>434</v>
      </c>
      <c r="H119" s="342" t="s">
        <v>434</v>
      </c>
      <c r="I119" s="343" t="str">
        <f t="shared" ref="I119:N119" si="96">iferror(C119*$B$21, "-")</f>
        <v>-</v>
      </c>
      <c r="J119" s="343" t="str">
        <f t="shared" si="96"/>
        <v>-</v>
      </c>
      <c r="K119" s="343" t="str">
        <f t="shared" si="96"/>
        <v>-</v>
      </c>
      <c r="L119" s="343" t="str">
        <f t="shared" si="96"/>
        <v>-</v>
      </c>
      <c r="M119" s="343" t="str">
        <f t="shared" si="96"/>
        <v>-</v>
      </c>
      <c r="N119" s="343" t="str">
        <f t="shared" si="96"/>
        <v>-</v>
      </c>
      <c r="O119" s="344">
        <f t="shared" si="3"/>
        <v>0</v>
      </c>
    </row>
    <row r="120" ht="12.75" customHeight="1">
      <c r="A120" s="325" t="s">
        <v>439</v>
      </c>
      <c r="B120" s="320" t="s">
        <v>310</v>
      </c>
      <c r="C120" s="332" t="s">
        <v>434</v>
      </c>
      <c r="D120" s="332" t="s">
        <v>434</v>
      </c>
      <c r="E120" s="333">
        <v>0.25</v>
      </c>
      <c r="F120" s="332" t="s">
        <v>434</v>
      </c>
      <c r="G120" s="332" t="s">
        <v>434</v>
      </c>
      <c r="H120" s="332" t="s">
        <v>434</v>
      </c>
      <c r="I120" s="334" t="str">
        <f t="shared" ref="I120:N120" si="97">iferror(C120*$B$3, "-")</f>
        <v>-</v>
      </c>
      <c r="J120" s="334" t="str">
        <f t="shared" si="97"/>
        <v>-</v>
      </c>
      <c r="K120" s="334">
        <f t="shared" si="97"/>
        <v>3.25</v>
      </c>
      <c r="L120" s="334" t="str">
        <f t="shared" si="97"/>
        <v>-</v>
      </c>
      <c r="M120" s="334" t="str">
        <f t="shared" si="97"/>
        <v>-</v>
      </c>
      <c r="N120" s="334" t="str">
        <f t="shared" si="97"/>
        <v>-</v>
      </c>
      <c r="O120" s="345">
        <f t="shared" si="3"/>
        <v>3.25</v>
      </c>
    </row>
    <row r="121" ht="12.75" customHeight="1">
      <c r="A121" s="325" t="s">
        <v>439</v>
      </c>
      <c r="B121" s="320" t="s">
        <v>311</v>
      </c>
      <c r="C121" s="336" t="s">
        <v>434</v>
      </c>
      <c r="D121" s="336" t="s">
        <v>434</v>
      </c>
      <c r="E121" s="337">
        <v>0.25</v>
      </c>
      <c r="F121" s="336" t="s">
        <v>434</v>
      </c>
      <c r="G121" s="336" t="s">
        <v>434</v>
      </c>
      <c r="H121" s="336" t="s">
        <v>434</v>
      </c>
      <c r="I121" s="334" t="str">
        <f t="shared" ref="I121:N121" si="98">iferror(C121*$B$4, "-")</f>
        <v>-</v>
      </c>
      <c r="J121" s="334" t="str">
        <f t="shared" si="98"/>
        <v>-</v>
      </c>
      <c r="K121" s="334">
        <f t="shared" si="98"/>
        <v>3</v>
      </c>
      <c r="L121" s="334" t="str">
        <f t="shared" si="98"/>
        <v>-</v>
      </c>
      <c r="M121" s="334" t="str">
        <f t="shared" si="98"/>
        <v>-</v>
      </c>
      <c r="N121" s="334" t="str">
        <f t="shared" si="98"/>
        <v>-</v>
      </c>
      <c r="O121" s="335">
        <f t="shared" si="3"/>
        <v>3</v>
      </c>
    </row>
    <row r="122" ht="12.75" customHeight="1">
      <c r="A122" s="325" t="s">
        <v>439</v>
      </c>
      <c r="B122" s="320" t="s">
        <v>312</v>
      </c>
      <c r="C122" s="336" t="s">
        <v>434</v>
      </c>
      <c r="D122" s="336" t="s">
        <v>434</v>
      </c>
      <c r="E122" s="337">
        <v>0.25</v>
      </c>
      <c r="F122" s="336" t="s">
        <v>434</v>
      </c>
      <c r="G122" s="336" t="s">
        <v>434</v>
      </c>
      <c r="H122" s="336" t="s">
        <v>434</v>
      </c>
      <c r="I122" s="334" t="str">
        <f t="shared" ref="I122:N122" si="99">iferror(C122*$B$5, "-")</f>
        <v>-</v>
      </c>
      <c r="J122" s="334" t="str">
        <f t="shared" si="99"/>
        <v>-</v>
      </c>
      <c r="K122" s="334">
        <f t="shared" si="99"/>
        <v>3</v>
      </c>
      <c r="L122" s="334" t="str">
        <f t="shared" si="99"/>
        <v>-</v>
      </c>
      <c r="M122" s="334" t="str">
        <f t="shared" si="99"/>
        <v>-</v>
      </c>
      <c r="N122" s="334" t="str">
        <f t="shared" si="99"/>
        <v>-</v>
      </c>
      <c r="O122" s="335">
        <f t="shared" si="3"/>
        <v>3</v>
      </c>
    </row>
    <row r="123" ht="12.75" customHeight="1">
      <c r="A123" s="325" t="s">
        <v>439</v>
      </c>
      <c r="B123" s="325" t="s">
        <v>46</v>
      </c>
      <c r="C123" s="336" t="s">
        <v>434</v>
      </c>
      <c r="D123" s="336" t="s">
        <v>434</v>
      </c>
      <c r="E123" s="337">
        <v>0.25</v>
      </c>
      <c r="F123" s="336" t="s">
        <v>434</v>
      </c>
      <c r="G123" s="336" t="s">
        <v>434</v>
      </c>
      <c r="H123" s="336" t="s">
        <v>434</v>
      </c>
      <c r="I123" s="334" t="str">
        <f t="shared" ref="I123:N123" si="100">iferror(C123*$B$6, "-")</f>
        <v>-</v>
      </c>
      <c r="J123" s="334" t="str">
        <f t="shared" si="100"/>
        <v>-</v>
      </c>
      <c r="K123" s="334">
        <f t="shared" si="100"/>
        <v>3</v>
      </c>
      <c r="L123" s="334" t="str">
        <f t="shared" si="100"/>
        <v>-</v>
      </c>
      <c r="M123" s="334" t="str">
        <f t="shared" si="100"/>
        <v>-</v>
      </c>
      <c r="N123" s="334" t="str">
        <f t="shared" si="100"/>
        <v>-</v>
      </c>
      <c r="O123" s="335">
        <f t="shared" si="3"/>
        <v>3</v>
      </c>
    </row>
    <row r="124" ht="12.75" customHeight="1">
      <c r="A124" s="325" t="s">
        <v>439</v>
      </c>
      <c r="B124" s="320" t="s">
        <v>380</v>
      </c>
      <c r="C124" s="337">
        <v>0.25</v>
      </c>
      <c r="D124" s="336" t="s">
        <v>434</v>
      </c>
      <c r="E124" s="337">
        <v>0.25</v>
      </c>
      <c r="F124" s="337">
        <v>0.25</v>
      </c>
      <c r="G124" s="336" t="s">
        <v>434</v>
      </c>
      <c r="H124" s="336" t="s">
        <v>434</v>
      </c>
      <c r="I124" s="334">
        <f t="shared" ref="I124:N124" si="101">iferror(C124*$B$7, "-")</f>
        <v>12.25</v>
      </c>
      <c r="J124" s="334" t="str">
        <f t="shared" si="101"/>
        <v>-</v>
      </c>
      <c r="K124" s="334">
        <f t="shared" si="101"/>
        <v>12.25</v>
      </c>
      <c r="L124" s="334">
        <f t="shared" si="101"/>
        <v>12.25</v>
      </c>
      <c r="M124" s="334" t="str">
        <f t="shared" si="101"/>
        <v>-</v>
      </c>
      <c r="N124" s="334" t="str">
        <f t="shared" si="101"/>
        <v>-</v>
      </c>
      <c r="O124" s="335">
        <f t="shared" si="3"/>
        <v>36.75</v>
      </c>
    </row>
    <row r="125" ht="12.75" customHeight="1">
      <c r="A125" s="325" t="s">
        <v>439</v>
      </c>
      <c r="B125" s="320" t="s">
        <v>411</v>
      </c>
      <c r="C125" s="336" t="s">
        <v>434</v>
      </c>
      <c r="D125" s="336" t="s">
        <v>434</v>
      </c>
      <c r="E125" s="336" t="s">
        <v>434</v>
      </c>
      <c r="F125" s="337">
        <v>0.25</v>
      </c>
      <c r="G125" s="337">
        <v>0.25</v>
      </c>
      <c r="H125" s="336" t="s">
        <v>434</v>
      </c>
      <c r="I125" s="334" t="str">
        <f t="shared" ref="I125:N125" si="102">iferror(C125*$B$8, "-")</f>
        <v>-</v>
      </c>
      <c r="J125" s="334" t="str">
        <f t="shared" si="102"/>
        <v>-</v>
      </c>
      <c r="K125" s="334" t="str">
        <f t="shared" si="102"/>
        <v>-</v>
      </c>
      <c r="L125" s="334">
        <f t="shared" si="102"/>
        <v>12.25</v>
      </c>
      <c r="M125" s="334">
        <f t="shared" si="102"/>
        <v>12.25</v>
      </c>
      <c r="N125" s="334" t="str">
        <f t="shared" si="102"/>
        <v>-</v>
      </c>
      <c r="O125" s="335">
        <f t="shared" si="3"/>
        <v>24.5</v>
      </c>
    </row>
    <row r="126" ht="12.75" customHeight="1">
      <c r="A126" s="325" t="s">
        <v>439</v>
      </c>
      <c r="B126" s="320" t="s">
        <v>412</v>
      </c>
      <c r="C126" s="336" t="s">
        <v>434</v>
      </c>
      <c r="D126" s="337">
        <v>0.25</v>
      </c>
      <c r="E126" s="336" t="s">
        <v>434</v>
      </c>
      <c r="F126" s="336" t="s">
        <v>434</v>
      </c>
      <c r="G126" s="336" t="s">
        <v>434</v>
      </c>
      <c r="H126" s="336" t="s">
        <v>434</v>
      </c>
      <c r="I126" s="334" t="str">
        <f t="shared" ref="I126:N126" si="103">iferror(C126*$B$9, "-")</f>
        <v>-</v>
      </c>
      <c r="J126" s="334">
        <f t="shared" si="103"/>
        <v>3</v>
      </c>
      <c r="K126" s="334" t="str">
        <f t="shared" si="103"/>
        <v>-</v>
      </c>
      <c r="L126" s="334" t="str">
        <f t="shared" si="103"/>
        <v>-</v>
      </c>
      <c r="M126" s="334" t="str">
        <f t="shared" si="103"/>
        <v>-</v>
      </c>
      <c r="N126" s="334" t="str">
        <f t="shared" si="103"/>
        <v>-</v>
      </c>
      <c r="O126" s="335">
        <f t="shared" si="3"/>
        <v>3</v>
      </c>
    </row>
    <row r="127" ht="12.75" customHeight="1">
      <c r="A127" s="325" t="s">
        <v>439</v>
      </c>
      <c r="B127" s="325" t="s">
        <v>189</v>
      </c>
      <c r="C127" s="336" t="s">
        <v>434</v>
      </c>
      <c r="D127" s="337">
        <v>0.25</v>
      </c>
      <c r="E127" s="336" t="s">
        <v>434</v>
      </c>
      <c r="F127" s="336" t="s">
        <v>434</v>
      </c>
      <c r="G127" s="336" t="s">
        <v>434</v>
      </c>
      <c r="H127" s="336" t="s">
        <v>434</v>
      </c>
      <c r="I127" s="334" t="str">
        <f t="shared" ref="I127:N127" si="104">iferror(C127*$B$10, "-")</f>
        <v>-</v>
      </c>
      <c r="J127" s="334">
        <f t="shared" si="104"/>
        <v>3.25</v>
      </c>
      <c r="K127" s="334" t="str">
        <f t="shared" si="104"/>
        <v>-</v>
      </c>
      <c r="L127" s="334" t="str">
        <f t="shared" si="104"/>
        <v>-</v>
      </c>
      <c r="M127" s="334" t="str">
        <f t="shared" si="104"/>
        <v>-</v>
      </c>
      <c r="N127" s="334" t="str">
        <f t="shared" si="104"/>
        <v>-</v>
      </c>
      <c r="O127" s="335">
        <f t="shared" si="3"/>
        <v>3.25</v>
      </c>
    </row>
    <row r="128" ht="12.75" customHeight="1">
      <c r="A128" s="325" t="s">
        <v>439</v>
      </c>
      <c r="B128" s="320" t="s">
        <v>375</v>
      </c>
      <c r="C128" s="336" t="s">
        <v>434</v>
      </c>
      <c r="D128" s="337">
        <v>0.25</v>
      </c>
      <c r="E128" s="336" t="s">
        <v>434</v>
      </c>
      <c r="F128" s="336" t="s">
        <v>434</v>
      </c>
      <c r="G128" s="336" t="s">
        <v>434</v>
      </c>
      <c r="H128" s="336" t="s">
        <v>434</v>
      </c>
      <c r="I128" s="334" t="str">
        <f t="shared" ref="I128:N128" si="105">iferror(C128*$B$11, "-")</f>
        <v>-</v>
      </c>
      <c r="J128" s="334">
        <f t="shared" si="105"/>
        <v>3.75</v>
      </c>
      <c r="K128" s="334" t="str">
        <f t="shared" si="105"/>
        <v>-</v>
      </c>
      <c r="L128" s="334" t="str">
        <f t="shared" si="105"/>
        <v>-</v>
      </c>
      <c r="M128" s="334" t="str">
        <f t="shared" si="105"/>
        <v>-</v>
      </c>
      <c r="N128" s="334" t="str">
        <f t="shared" si="105"/>
        <v>-</v>
      </c>
      <c r="O128" s="335">
        <f t="shared" si="3"/>
        <v>3.75</v>
      </c>
    </row>
    <row r="129" ht="12.75" customHeight="1">
      <c r="A129" s="325" t="s">
        <v>439</v>
      </c>
      <c r="B129" s="320" t="s">
        <v>416</v>
      </c>
      <c r="C129" s="336" t="s">
        <v>434</v>
      </c>
      <c r="D129" s="337">
        <v>0.25</v>
      </c>
      <c r="E129" s="336" t="s">
        <v>434</v>
      </c>
      <c r="F129" s="336" t="s">
        <v>434</v>
      </c>
      <c r="G129" s="336" t="s">
        <v>434</v>
      </c>
      <c r="H129" s="336" t="s">
        <v>434</v>
      </c>
      <c r="I129" s="334" t="str">
        <f t="shared" ref="I129:N129" si="106">iferror(C129*$B$12, "-")</f>
        <v>-</v>
      </c>
      <c r="J129" s="334">
        <f t="shared" si="106"/>
        <v>4</v>
      </c>
      <c r="K129" s="334" t="str">
        <f t="shared" si="106"/>
        <v>-</v>
      </c>
      <c r="L129" s="334" t="str">
        <f t="shared" si="106"/>
        <v>-</v>
      </c>
      <c r="M129" s="334" t="str">
        <f t="shared" si="106"/>
        <v>-</v>
      </c>
      <c r="N129" s="334" t="str">
        <f t="shared" si="106"/>
        <v>-</v>
      </c>
      <c r="O129" s="335">
        <f t="shared" si="3"/>
        <v>4</v>
      </c>
    </row>
    <row r="130" ht="12.75" customHeight="1">
      <c r="A130" s="325" t="s">
        <v>439</v>
      </c>
      <c r="B130" s="320" t="s">
        <v>43</v>
      </c>
      <c r="C130" s="336" t="s">
        <v>434</v>
      </c>
      <c r="D130" s="336" t="s">
        <v>434</v>
      </c>
      <c r="E130" s="336" t="s">
        <v>434</v>
      </c>
      <c r="F130" s="336" t="s">
        <v>434</v>
      </c>
      <c r="G130" s="336" t="s">
        <v>434</v>
      </c>
      <c r="H130" s="336" t="s">
        <v>434</v>
      </c>
      <c r="I130" s="334" t="str">
        <f t="shared" ref="I130:N130" si="107">iferror(C130*$B$13, "-")</f>
        <v>-</v>
      </c>
      <c r="J130" s="334" t="str">
        <f t="shared" si="107"/>
        <v>-</v>
      </c>
      <c r="K130" s="334" t="str">
        <f t="shared" si="107"/>
        <v>-</v>
      </c>
      <c r="L130" s="334" t="str">
        <f t="shared" si="107"/>
        <v>-</v>
      </c>
      <c r="M130" s="334" t="str">
        <f t="shared" si="107"/>
        <v>-</v>
      </c>
      <c r="N130" s="334" t="str">
        <f t="shared" si="107"/>
        <v>-</v>
      </c>
      <c r="O130" s="335">
        <f t="shared" si="3"/>
        <v>0</v>
      </c>
    </row>
    <row r="131" ht="12.75" customHeight="1">
      <c r="A131" s="325" t="s">
        <v>439</v>
      </c>
      <c r="B131" s="320" t="s">
        <v>374</v>
      </c>
      <c r="C131" s="336" t="s">
        <v>434</v>
      </c>
      <c r="D131" s="336" t="s">
        <v>434</v>
      </c>
      <c r="E131" s="336" t="s">
        <v>434</v>
      </c>
      <c r="F131" s="336" t="s">
        <v>434</v>
      </c>
      <c r="G131" s="336" t="s">
        <v>434</v>
      </c>
      <c r="H131" s="336" t="s">
        <v>434</v>
      </c>
      <c r="I131" s="334" t="str">
        <f t="shared" ref="I131:N131" si="108">iferror(C131*$B$14, "-")</f>
        <v>-</v>
      </c>
      <c r="J131" s="334" t="str">
        <f t="shared" si="108"/>
        <v>-</v>
      </c>
      <c r="K131" s="334" t="str">
        <f t="shared" si="108"/>
        <v>-</v>
      </c>
      <c r="L131" s="334" t="str">
        <f t="shared" si="108"/>
        <v>-</v>
      </c>
      <c r="M131" s="334" t="str">
        <f t="shared" si="108"/>
        <v>-</v>
      </c>
      <c r="N131" s="334" t="str">
        <f t="shared" si="108"/>
        <v>-</v>
      </c>
      <c r="O131" s="335">
        <f t="shared" si="3"/>
        <v>0</v>
      </c>
    </row>
    <row r="132" ht="12.75" customHeight="1">
      <c r="A132" s="325" t="s">
        <v>439</v>
      </c>
      <c r="B132" s="325" t="s">
        <v>32</v>
      </c>
      <c r="C132" s="336" t="s">
        <v>434</v>
      </c>
      <c r="D132" s="337">
        <v>0.25</v>
      </c>
      <c r="E132" s="336" t="s">
        <v>434</v>
      </c>
      <c r="F132" s="336" t="s">
        <v>434</v>
      </c>
      <c r="G132" s="336" t="s">
        <v>434</v>
      </c>
      <c r="H132" s="336" t="s">
        <v>434</v>
      </c>
      <c r="I132" s="334" t="str">
        <f t="shared" ref="I132:N132" si="109">iferror(C132*$B$15, "-")</f>
        <v>-</v>
      </c>
      <c r="J132" s="334">
        <f t="shared" si="109"/>
        <v>0.75</v>
      </c>
      <c r="K132" s="334" t="str">
        <f t="shared" si="109"/>
        <v>-</v>
      </c>
      <c r="L132" s="334" t="str">
        <f t="shared" si="109"/>
        <v>-</v>
      </c>
      <c r="M132" s="334" t="str">
        <f t="shared" si="109"/>
        <v>-</v>
      </c>
      <c r="N132" s="334" t="str">
        <f t="shared" si="109"/>
        <v>-</v>
      </c>
      <c r="O132" s="335">
        <f t="shared" si="3"/>
        <v>0.75</v>
      </c>
    </row>
    <row r="133" ht="12.75" customHeight="1">
      <c r="A133" s="325" t="s">
        <v>439</v>
      </c>
      <c r="B133" s="320" t="s">
        <v>134</v>
      </c>
      <c r="C133" s="336" t="s">
        <v>434</v>
      </c>
      <c r="D133" s="336" t="s">
        <v>434</v>
      </c>
      <c r="E133" s="336" t="s">
        <v>434</v>
      </c>
      <c r="F133" s="336" t="s">
        <v>434</v>
      </c>
      <c r="G133" s="336" t="s">
        <v>434</v>
      </c>
      <c r="H133" s="336" t="s">
        <v>434</v>
      </c>
      <c r="I133" s="334" t="str">
        <f t="shared" ref="I133:N133" si="110">iferror(C133*$B$16, "-")</f>
        <v>-</v>
      </c>
      <c r="J133" s="334" t="str">
        <f t="shared" si="110"/>
        <v>-</v>
      </c>
      <c r="K133" s="334" t="str">
        <f t="shared" si="110"/>
        <v>-</v>
      </c>
      <c r="L133" s="334" t="str">
        <f t="shared" si="110"/>
        <v>-</v>
      </c>
      <c r="M133" s="334" t="str">
        <f t="shared" si="110"/>
        <v>-</v>
      </c>
      <c r="N133" s="334" t="str">
        <f t="shared" si="110"/>
        <v>-</v>
      </c>
      <c r="O133" s="335">
        <f t="shared" si="3"/>
        <v>0</v>
      </c>
    </row>
    <row r="134" ht="12.75" customHeight="1">
      <c r="A134" s="325" t="s">
        <v>439</v>
      </c>
      <c r="B134" s="320" t="s">
        <v>421</v>
      </c>
      <c r="C134" s="336" t="s">
        <v>434</v>
      </c>
      <c r="D134" s="336" t="s">
        <v>434</v>
      </c>
      <c r="E134" s="336" t="s">
        <v>434</v>
      </c>
      <c r="F134" s="336" t="s">
        <v>434</v>
      </c>
      <c r="G134" s="336" t="s">
        <v>434</v>
      </c>
      <c r="H134" s="336" t="s">
        <v>434</v>
      </c>
      <c r="I134" s="334" t="str">
        <f t="shared" ref="I134:N134" si="111">iferror(C134*$B$17, "-")</f>
        <v>-</v>
      </c>
      <c r="J134" s="334" t="str">
        <f t="shared" si="111"/>
        <v>-</v>
      </c>
      <c r="K134" s="334" t="str">
        <f t="shared" si="111"/>
        <v>-</v>
      </c>
      <c r="L134" s="334" t="str">
        <f t="shared" si="111"/>
        <v>-</v>
      </c>
      <c r="M134" s="334" t="str">
        <f t="shared" si="111"/>
        <v>-</v>
      </c>
      <c r="N134" s="334" t="str">
        <f t="shared" si="111"/>
        <v>-</v>
      </c>
      <c r="O134" s="335">
        <f t="shared" si="3"/>
        <v>0</v>
      </c>
    </row>
    <row r="135" ht="12.75" customHeight="1">
      <c r="A135" s="325" t="s">
        <v>439</v>
      </c>
      <c r="B135" s="338" t="s">
        <v>49</v>
      </c>
      <c r="C135" s="337">
        <v>0.25</v>
      </c>
      <c r="D135" s="339" t="s">
        <v>434</v>
      </c>
      <c r="E135" s="339" t="s">
        <v>434</v>
      </c>
      <c r="F135" s="339" t="s">
        <v>434</v>
      </c>
      <c r="G135" s="339" t="s">
        <v>434</v>
      </c>
      <c r="H135" s="339" t="s">
        <v>434</v>
      </c>
      <c r="I135" s="334">
        <f t="shared" ref="I135:N135" si="112">iferror(C135*$B$18, "-")</f>
        <v>6</v>
      </c>
      <c r="J135" s="334" t="str">
        <f t="shared" si="112"/>
        <v>-</v>
      </c>
      <c r="K135" s="334" t="str">
        <f t="shared" si="112"/>
        <v>-</v>
      </c>
      <c r="L135" s="334" t="str">
        <f t="shared" si="112"/>
        <v>-</v>
      </c>
      <c r="M135" s="334" t="str">
        <f t="shared" si="112"/>
        <v>-</v>
      </c>
      <c r="N135" s="334" t="str">
        <f t="shared" si="112"/>
        <v>-</v>
      </c>
      <c r="O135" s="334">
        <f t="shared" si="3"/>
        <v>6</v>
      </c>
    </row>
    <row r="136" ht="12.75" customHeight="1">
      <c r="A136" s="325" t="s">
        <v>439</v>
      </c>
      <c r="B136" s="325" t="s">
        <v>40</v>
      </c>
      <c r="C136" s="337">
        <v>0.25</v>
      </c>
      <c r="D136" s="339" t="s">
        <v>434</v>
      </c>
      <c r="E136" s="337">
        <v>0.25</v>
      </c>
      <c r="F136" s="339" t="s">
        <v>434</v>
      </c>
      <c r="G136" s="339" t="s">
        <v>434</v>
      </c>
      <c r="H136" s="339" t="s">
        <v>434</v>
      </c>
      <c r="I136" s="334">
        <f t="shared" ref="I136:N136" si="113">iferror(C136*$B$19, "-")</f>
        <v>12.25</v>
      </c>
      <c r="J136" s="334" t="str">
        <f t="shared" si="113"/>
        <v>-</v>
      </c>
      <c r="K136" s="334">
        <f t="shared" si="113"/>
        <v>12.25</v>
      </c>
      <c r="L136" s="334" t="str">
        <f t="shared" si="113"/>
        <v>-</v>
      </c>
      <c r="M136" s="334" t="str">
        <f t="shared" si="113"/>
        <v>-</v>
      </c>
      <c r="N136" s="334" t="str">
        <f t="shared" si="113"/>
        <v>-</v>
      </c>
      <c r="O136" s="334">
        <f t="shared" si="3"/>
        <v>24.5</v>
      </c>
    </row>
    <row r="137" ht="12.75" customHeight="1">
      <c r="A137" s="325" t="s">
        <v>439</v>
      </c>
      <c r="B137" s="325" t="s">
        <v>42</v>
      </c>
      <c r="C137" s="337">
        <v>0.25</v>
      </c>
      <c r="D137" s="339" t="s">
        <v>434</v>
      </c>
      <c r="E137" s="337">
        <v>0.25</v>
      </c>
      <c r="F137" s="339" t="s">
        <v>434</v>
      </c>
      <c r="G137" s="339" t="s">
        <v>434</v>
      </c>
      <c r="H137" s="339" t="s">
        <v>434</v>
      </c>
      <c r="I137" s="334">
        <f t="shared" ref="I137:N137" si="114">iferror(C137*$B$20, "-")</f>
        <v>12.25</v>
      </c>
      <c r="J137" s="334" t="str">
        <f t="shared" si="114"/>
        <v>-</v>
      </c>
      <c r="K137" s="334">
        <f t="shared" si="114"/>
        <v>12.25</v>
      </c>
      <c r="L137" s="334" t="str">
        <f t="shared" si="114"/>
        <v>-</v>
      </c>
      <c r="M137" s="334" t="str">
        <f t="shared" si="114"/>
        <v>-</v>
      </c>
      <c r="N137" s="334" t="str">
        <f t="shared" si="114"/>
        <v>-</v>
      </c>
      <c r="O137" s="334">
        <f t="shared" si="3"/>
        <v>24.5</v>
      </c>
    </row>
    <row r="138" ht="12.75" customHeight="1">
      <c r="A138" s="325" t="s">
        <v>439</v>
      </c>
      <c r="B138" s="325" t="s">
        <v>373</v>
      </c>
      <c r="C138" s="342" t="s">
        <v>434</v>
      </c>
      <c r="D138" s="342" t="s">
        <v>434</v>
      </c>
      <c r="E138" s="342" t="s">
        <v>434</v>
      </c>
      <c r="F138" s="342" t="s">
        <v>434</v>
      </c>
      <c r="G138" s="342" t="s">
        <v>434</v>
      </c>
      <c r="H138" s="342" t="s">
        <v>434</v>
      </c>
      <c r="I138" s="343" t="str">
        <f t="shared" ref="I138:N138" si="115">iferror(C138*$B$21, "-")</f>
        <v>-</v>
      </c>
      <c r="J138" s="343" t="str">
        <f t="shared" si="115"/>
        <v>-</v>
      </c>
      <c r="K138" s="343" t="str">
        <f t="shared" si="115"/>
        <v>-</v>
      </c>
      <c r="L138" s="343" t="str">
        <f t="shared" si="115"/>
        <v>-</v>
      </c>
      <c r="M138" s="343" t="str">
        <f t="shared" si="115"/>
        <v>-</v>
      </c>
      <c r="N138" s="343" t="str">
        <f t="shared" si="115"/>
        <v>-</v>
      </c>
      <c r="O138" s="335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14" t="s">
        <v>440</v>
      </c>
    </row>
    <row r="2" ht="12.75" customHeight="1">
      <c r="A2" s="317" t="s">
        <v>441</v>
      </c>
      <c r="B2" s="318" t="s">
        <v>442</v>
      </c>
    </row>
    <row r="3" ht="12.75" customHeight="1">
      <c r="A3" s="320" t="s">
        <v>443</v>
      </c>
      <c r="B3" s="346">
        <v>72.0</v>
      </c>
      <c r="C3" s="347" t="s">
        <v>444</v>
      </c>
    </row>
    <row r="4" ht="12.75" customHeight="1">
      <c r="A4" s="320" t="s">
        <v>445</v>
      </c>
      <c r="B4" s="346">
        <v>8.0</v>
      </c>
      <c r="C4" s="347" t="s">
        <v>444</v>
      </c>
    </row>
    <row r="5" ht="12.75" customHeight="1">
      <c r="A5" s="320" t="s">
        <v>446</v>
      </c>
      <c r="B5" s="346">
        <v>9.0</v>
      </c>
      <c r="C5" s="347" t="s">
        <v>444</v>
      </c>
    </row>
    <row r="6" ht="12.75" customHeight="1">
      <c r="A6" s="320" t="s">
        <v>447</v>
      </c>
      <c r="B6" s="321">
        <v>29.0</v>
      </c>
      <c r="C6" s="347" t="s">
        <v>444</v>
      </c>
    </row>
    <row r="7" ht="12.75" customHeight="1">
      <c r="A7" s="320" t="s">
        <v>448</v>
      </c>
      <c r="B7" s="346">
        <v>3.0</v>
      </c>
      <c r="C7" s="347" t="s">
        <v>444</v>
      </c>
    </row>
    <row r="8" ht="12.75" customHeight="1"/>
    <row r="9" ht="12.75" customHeight="1">
      <c r="A9" s="314" t="s">
        <v>449</v>
      </c>
    </row>
    <row r="10" ht="12.75" customHeight="1">
      <c r="A10" s="317" t="s">
        <v>450</v>
      </c>
      <c r="B10" s="318" t="s">
        <v>451</v>
      </c>
    </row>
    <row r="11" ht="12.75" customHeight="1">
      <c r="A11" s="320" t="s">
        <v>452</v>
      </c>
      <c r="B11" s="346">
        <v>1.0</v>
      </c>
    </row>
    <row r="12" ht="12.75" customHeight="1">
      <c r="A12" s="320" t="s">
        <v>453</v>
      </c>
      <c r="B12" s="346">
        <v>2.0</v>
      </c>
    </row>
    <row r="13" ht="12.75" customHeight="1">
      <c r="A13" s="320" t="s">
        <v>454</v>
      </c>
      <c r="B13" s="346">
        <v>3.0</v>
      </c>
    </row>
    <row r="14" ht="12.75" customHeight="1">
      <c r="A14" s="320" t="s">
        <v>455</v>
      </c>
      <c r="B14" s="346">
        <v>4.0</v>
      </c>
    </row>
    <row r="15" ht="12.75" customHeight="1">
      <c r="A15" s="320" t="s">
        <v>456</v>
      </c>
      <c r="B15" s="346">
        <v>5.0</v>
      </c>
    </row>
    <row r="16" ht="12.75" customHeight="1">
      <c r="A16" s="320" t="s">
        <v>457</v>
      </c>
      <c r="B16" s="346">
        <v>6.0</v>
      </c>
    </row>
    <row r="17" ht="12.75" customHeight="1"/>
    <row r="18" ht="12.75" customHeight="1">
      <c r="A18" s="314" t="s">
        <v>458</v>
      </c>
    </row>
    <row r="19" ht="12.75" customHeight="1">
      <c r="A19" s="317" t="s">
        <v>459</v>
      </c>
      <c r="B19" s="318" t="s">
        <v>460</v>
      </c>
      <c r="C19" s="318" t="s">
        <v>452</v>
      </c>
      <c r="D19" s="318" t="s">
        <v>453</v>
      </c>
      <c r="E19" s="318" t="s">
        <v>454</v>
      </c>
      <c r="F19" s="318" t="s">
        <v>455</v>
      </c>
      <c r="G19" s="318" t="s">
        <v>456</v>
      </c>
      <c r="H19" s="318" t="s">
        <v>457</v>
      </c>
      <c r="I19" s="318" t="s">
        <v>461</v>
      </c>
    </row>
    <row r="20" ht="12.75" customHeight="1">
      <c r="A20" s="320" t="s">
        <v>462</v>
      </c>
      <c r="B20" s="346">
        <v>2.0</v>
      </c>
      <c r="C20" s="348">
        <v>0.37</v>
      </c>
      <c r="D20" s="349">
        <v>0.29</v>
      </c>
      <c r="E20" s="349">
        <v>0.2</v>
      </c>
      <c r="F20" s="349">
        <v>0.1</v>
      </c>
      <c r="G20" s="349">
        <v>0.04</v>
      </c>
      <c r="H20" s="348">
        <v>0.0</v>
      </c>
      <c r="I20" s="350">
        <f t="shared" ref="I20:I25" si="1">SUM(C20:H20)</f>
        <v>1</v>
      </c>
    </row>
    <row r="21" ht="12.75" customHeight="1">
      <c r="A21" s="320" t="s">
        <v>463</v>
      </c>
      <c r="B21" s="346">
        <v>3.0</v>
      </c>
      <c r="C21" s="348">
        <v>0.34</v>
      </c>
      <c r="D21" s="349">
        <v>0.26</v>
      </c>
      <c r="E21" s="349">
        <v>0.19</v>
      </c>
      <c r="F21" s="349">
        <v>0.14</v>
      </c>
      <c r="G21" s="349">
        <v>0.07</v>
      </c>
      <c r="H21" s="348">
        <v>0.0</v>
      </c>
      <c r="I21" s="350">
        <f t="shared" si="1"/>
        <v>1</v>
      </c>
    </row>
    <row r="22" ht="12.75" customHeight="1">
      <c r="A22" s="320" t="s">
        <v>464</v>
      </c>
      <c r="B22" s="346">
        <v>4.0</v>
      </c>
      <c r="C22" s="348">
        <v>0.32</v>
      </c>
      <c r="D22" s="349">
        <v>0.24</v>
      </c>
      <c r="E22" s="349">
        <v>0.18</v>
      </c>
      <c r="F22" s="349">
        <v>0.16</v>
      </c>
      <c r="G22" s="349">
        <v>0.1</v>
      </c>
      <c r="H22" s="348">
        <v>0.0</v>
      </c>
      <c r="I22" s="350">
        <f t="shared" si="1"/>
        <v>1</v>
      </c>
    </row>
    <row r="23" ht="12.75" customHeight="1">
      <c r="A23" s="320" t="s">
        <v>465</v>
      </c>
      <c r="B23" s="346">
        <v>5.0</v>
      </c>
      <c r="C23" s="348">
        <v>0.31</v>
      </c>
      <c r="D23" s="349">
        <v>0.22</v>
      </c>
      <c r="E23" s="349">
        <v>0.17</v>
      </c>
      <c r="F23" s="349">
        <v>0.18</v>
      </c>
      <c r="G23" s="348">
        <v>0.12</v>
      </c>
      <c r="H23" s="348">
        <v>0.0</v>
      </c>
      <c r="I23" s="350">
        <f t="shared" si="1"/>
        <v>1</v>
      </c>
    </row>
    <row r="24" ht="12.75" customHeight="1">
      <c r="A24" s="320" t="s">
        <v>466</v>
      </c>
      <c r="B24" s="346">
        <v>6.0</v>
      </c>
      <c r="C24" s="348">
        <v>0.285</v>
      </c>
      <c r="D24" s="349">
        <v>0.2</v>
      </c>
      <c r="E24" s="349">
        <v>0.16</v>
      </c>
      <c r="F24" s="349">
        <v>0.2</v>
      </c>
      <c r="G24" s="348">
        <v>0.155</v>
      </c>
      <c r="H24" s="348">
        <v>0.0</v>
      </c>
      <c r="I24" s="350">
        <f t="shared" si="1"/>
        <v>1</v>
      </c>
    </row>
    <row r="25" ht="12.75" customHeight="1">
      <c r="A25" s="325" t="s">
        <v>467</v>
      </c>
      <c r="B25" s="321">
        <v>7.0</v>
      </c>
      <c r="C25" s="348">
        <v>0.26</v>
      </c>
      <c r="D25" s="349">
        <v>0.18</v>
      </c>
      <c r="E25" s="349">
        <v>0.15</v>
      </c>
      <c r="F25" s="349">
        <v>0.22</v>
      </c>
      <c r="G25" s="349">
        <v>0.19</v>
      </c>
      <c r="H25" s="348">
        <v>0.0</v>
      </c>
      <c r="I25" s="350">
        <f t="shared" si="1"/>
        <v>1</v>
      </c>
    </row>
    <row r="26" ht="12.75" customHeight="1">
      <c r="A26" s="351" t="s">
        <v>468</v>
      </c>
    </row>
    <row r="27" ht="12.75" customHeight="1"/>
    <row r="28" ht="12.75" customHeight="1">
      <c r="A28" s="352" t="s">
        <v>469</v>
      </c>
    </row>
    <row r="29" ht="12.75" customHeight="1">
      <c r="A29" s="317" t="s">
        <v>459</v>
      </c>
      <c r="B29" s="319" t="s">
        <v>470</v>
      </c>
      <c r="C29" s="319" t="s">
        <v>471</v>
      </c>
    </row>
    <row r="30" ht="12.75" customHeight="1">
      <c r="A30" s="320" t="s">
        <v>462</v>
      </c>
      <c r="B30" s="346" t="s">
        <v>472</v>
      </c>
      <c r="C30" s="346" t="b">
        <v>0</v>
      </c>
    </row>
    <row r="31" ht="12.75" customHeight="1">
      <c r="A31" s="320" t="s">
        <v>463</v>
      </c>
      <c r="B31" s="346" t="s">
        <v>472</v>
      </c>
      <c r="C31" s="346" t="b">
        <v>0</v>
      </c>
    </row>
    <row r="32" ht="12.75" customHeight="1">
      <c r="A32" s="320" t="s">
        <v>464</v>
      </c>
      <c r="B32" s="346" t="s">
        <v>472</v>
      </c>
      <c r="C32" s="346" t="b">
        <v>0</v>
      </c>
    </row>
    <row r="33" ht="12.75" customHeight="1">
      <c r="A33" s="320" t="s">
        <v>465</v>
      </c>
      <c r="B33" s="346" t="s">
        <v>472</v>
      </c>
      <c r="C33" s="346" t="b">
        <v>0</v>
      </c>
    </row>
    <row r="34" ht="12.75" customHeight="1">
      <c r="A34" s="320" t="s">
        <v>466</v>
      </c>
      <c r="B34" s="346" t="s">
        <v>473</v>
      </c>
      <c r="C34" s="346" t="b">
        <v>0</v>
      </c>
    </row>
    <row r="35" ht="12.75" customHeight="1">
      <c r="A35" s="325" t="s">
        <v>467</v>
      </c>
      <c r="B35" s="346" t="s">
        <v>474</v>
      </c>
      <c r="C35" s="346" t="b">
        <v>1</v>
      </c>
    </row>
    <row r="36" ht="12.75" customHeight="1"/>
    <row r="37" ht="12.75" customHeight="1"/>
    <row r="38" ht="12.75" customHeight="1">
      <c r="A38" s="314" t="s">
        <v>475</v>
      </c>
    </row>
    <row r="39" ht="12.75" customHeight="1">
      <c r="A39" s="317" t="s">
        <v>476</v>
      </c>
      <c r="B39" s="318" t="s">
        <v>477</v>
      </c>
      <c r="C39" s="318" t="s">
        <v>478</v>
      </c>
    </row>
    <row r="40" ht="12.75" customHeight="1">
      <c r="A40" s="320" t="s">
        <v>479</v>
      </c>
      <c r="B40" s="346">
        <v>250.0</v>
      </c>
      <c r="C40" s="321" t="s">
        <v>462</v>
      </c>
    </row>
    <row r="41" ht="12.75" customHeight="1">
      <c r="A41" s="320" t="s">
        <v>480</v>
      </c>
      <c r="B41" s="346">
        <v>500.0</v>
      </c>
      <c r="C41" s="346" t="s">
        <v>465</v>
      </c>
    </row>
    <row r="42" ht="12.75" customHeight="1">
      <c r="A42" s="320" t="s">
        <v>457</v>
      </c>
      <c r="B42" s="346">
        <v>1000.0</v>
      </c>
      <c r="C42" s="346" t="s">
        <v>466</v>
      </c>
    </row>
    <row r="43" ht="12.75" customHeight="1"/>
    <row r="44" ht="12.75" customHeight="1">
      <c r="A44" s="352" t="s">
        <v>481</v>
      </c>
    </row>
    <row r="45" ht="12.75" customHeight="1">
      <c r="A45" s="317" t="s">
        <v>482</v>
      </c>
      <c r="B45" s="317" t="s">
        <v>483</v>
      </c>
    </row>
    <row r="46" ht="14.25" customHeight="1">
      <c r="A46" s="353" t="s">
        <v>452</v>
      </c>
      <c r="B46" s="346">
        <v>281.0</v>
      </c>
    </row>
    <row r="47" ht="12.75" customHeight="1">
      <c r="A47" s="353" t="s">
        <v>453</v>
      </c>
      <c r="B47" s="346">
        <v>215.0</v>
      </c>
    </row>
    <row r="48" ht="12.75" customHeight="1">
      <c r="A48" s="353" t="s">
        <v>454</v>
      </c>
      <c r="B48" s="346">
        <v>143.0</v>
      </c>
    </row>
    <row r="49" ht="12.75" customHeight="1">
      <c r="A49" s="353" t="s">
        <v>455</v>
      </c>
      <c r="B49" s="346">
        <v>112.0</v>
      </c>
    </row>
    <row r="50" ht="12.75" customHeight="1">
      <c r="A50" s="353" t="s">
        <v>456</v>
      </c>
      <c r="B50" s="346">
        <v>66.0</v>
      </c>
    </row>
    <row r="51" ht="12.75" customHeight="1">
      <c r="A51" s="353" t="s">
        <v>457</v>
      </c>
      <c r="B51" s="346">
        <v>0.0</v>
      </c>
    </row>
    <row r="52" ht="12.75" customHeight="1"/>
    <row r="53" ht="12.75" customHeight="1">
      <c r="A53" s="354" t="s">
        <v>484</v>
      </c>
    </row>
    <row r="54" ht="12.75" customHeight="1"/>
    <row r="55" ht="12.75" customHeight="1">
      <c r="A55" s="352" t="s">
        <v>485</v>
      </c>
      <c r="B55" s="355" t="s">
        <v>486</v>
      </c>
    </row>
    <row r="56" ht="34.5" customHeight="1">
      <c r="A56" s="331" t="s">
        <v>487</v>
      </c>
      <c r="B56" s="317" t="s">
        <v>82</v>
      </c>
      <c r="C56" s="317" t="s">
        <v>68</v>
      </c>
      <c r="D56" s="317" t="s">
        <v>103</v>
      </c>
      <c r="E56" s="317" t="s">
        <v>69</v>
      </c>
      <c r="F56" s="317" t="s">
        <v>70</v>
      </c>
      <c r="G56" s="317" t="s">
        <v>71</v>
      </c>
      <c r="H56" s="317" t="s">
        <v>72</v>
      </c>
      <c r="I56" s="317" t="s">
        <v>73</v>
      </c>
      <c r="J56" s="317" t="s">
        <v>74</v>
      </c>
      <c r="K56" s="317" t="s">
        <v>75</v>
      </c>
      <c r="L56" s="317" t="s">
        <v>76</v>
      </c>
      <c r="M56" s="317" t="s">
        <v>77</v>
      </c>
      <c r="N56" s="317" t="s">
        <v>78</v>
      </c>
      <c r="O56" s="317" t="s">
        <v>118</v>
      </c>
      <c r="P56" s="317" t="s">
        <v>104</v>
      </c>
      <c r="Q56" s="317" t="s">
        <v>105</v>
      </c>
      <c r="R56" s="317" t="s">
        <v>106</v>
      </c>
      <c r="S56" s="317" t="s">
        <v>107</v>
      </c>
      <c r="T56" s="317" t="s">
        <v>108</v>
      </c>
      <c r="U56" s="317" t="s">
        <v>109</v>
      </c>
      <c r="V56" s="317" t="s">
        <v>110</v>
      </c>
    </row>
    <row r="57" ht="12.75" customHeight="1">
      <c r="A57" s="353" t="str">
        <f t="array" ref="A57:A64">"Set "&amp;SEQUENCE($B$4,1)</f>
        <v>Set 1</v>
      </c>
      <c r="B57" s="321">
        <v>300.0</v>
      </c>
      <c r="C57" s="346">
        <v>0.0</v>
      </c>
      <c r="D57" s="346">
        <v>0.0</v>
      </c>
      <c r="E57" s="321">
        <v>2.0</v>
      </c>
      <c r="F57" s="346">
        <v>0.0</v>
      </c>
      <c r="G57" s="346">
        <v>0.0</v>
      </c>
      <c r="H57" s="346">
        <v>0.0</v>
      </c>
      <c r="I57" s="346">
        <v>0.0</v>
      </c>
      <c r="J57" s="346">
        <v>0.0</v>
      </c>
      <c r="K57" s="321">
        <v>30.0</v>
      </c>
      <c r="L57" s="346">
        <v>0.0</v>
      </c>
      <c r="M57" s="346">
        <v>0.0</v>
      </c>
      <c r="N57" s="346">
        <v>0.0</v>
      </c>
      <c r="O57" s="346">
        <v>0.0</v>
      </c>
      <c r="P57" s="346">
        <v>0.0</v>
      </c>
      <c r="Q57" s="346">
        <v>0.0</v>
      </c>
      <c r="R57" s="346">
        <v>0.0</v>
      </c>
      <c r="S57" s="346">
        <v>0.0</v>
      </c>
      <c r="T57" s="346">
        <v>0.0</v>
      </c>
      <c r="U57" s="346">
        <v>0.0</v>
      </c>
      <c r="V57" s="346">
        <v>0.0</v>
      </c>
    </row>
    <row r="58" ht="12.75" customHeight="1">
      <c r="A58" s="353" t="s">
        <v>488</v>
      </c>
      <c r="B58" s="321">
        <v>200.0</v>
      </c>
      <c r="C58" s="346">
        <v>0.0</v>
      </c>
      <c r="D58" s="346">
        <v>0.0</v>
      </c>
      <c r="E58" s="346">
        <v>0.0</v>
      </c>
      <c r="F58" s="321">
        <v>2.0</v>
      </c>
      <c r="G58" s="346">
        <v>0.0</v>
      </c>
      <c r="H58" s="346">
        <v>0.0</v>
      </c>
      <c r="I58" s="346">
        <v>0.0</v>
      </c>
      <c r="J58" s="346">
        <v>0.0</v>
      </c>
      <c r="K58" s="346">
        <v>0.0</v>
      </c>
      <c r="L58" s="346">
        <v>0.0</v>
      </c>
      <c r="M58" s="346">
        <v>0.0</v>
      </c>
      <c r="N58" s="346">
        <v>0.0</v>
      </c>
      <c r="O58" s="346">
        <v>0.0</v>
      </c>
      <c r="P58" s="346">
        <v>0.0</v>
      </c>
      <c r="Q58" s="346">
        <v>0.0</v>
      </c>
      <c r="R58" s="346">
        <v>0.0</v>
      </c>
      <c r="S58" s="346">
        <v>0.0</v>
      </c>
      <c r="T58" s="346">
        <v>0.0</v>
      </c>
      <c r="U58" s="346">
        <v>0.0</v>
      </c>
      <c r="V58" s="346">
        <v>0.0</v>
      </c>
    </row>
    <row r="59" ht="12.75" customHeight="1">
      <c r="A59" s="353" t="s">
        <v>489</v>
      </c>
      <c r="B59" s="321">
        <v>100.0</v>
      </c>
      <c r="C59" s="346">
        <v>0.0</v>
      </c>
      <c r="D59" s="346">
        <v>0.0</v>
      </c>
      <c r="E59" s="346">
        <v>0.0</v>
      </c>
      <c r="F59" s="346">
        <v>0.0</v>
      </c>
      <c r="G59" s="321">
        <v>2.0</v>
      </c>
      <c r="H59" s="346">
        <v>0.0</v>
      </c>
      <c r="I59" s="346">
        <v>0.0</v>
      </c>
      <c r="J59" s="346">
        <v>0.0</v>
      </c>
      <c r="K59" s="346">
        <v>0.0</v>
      </c>
      <c r="L59" s="346">
        <v>0.0</v>
      </c>
      <c r="M59" s="346">
        <v>0.0</v>
      </c>
      <c r="N59" s="346">
        <v>0.0</v>
      </c>
      <c r="O59" s="346">
        <v>0.0</v>
      </c>
      <c r="P59" s="346">
        <v>0.0</v>
      </c>
      <c r="Q59" s="346">
        <v>0.0</v>
      </c>
      <c r="R59" s="346">
        <v>0.0</v>
      </c>
      <c r="S59" s="346">
        <v>0.0</v>
      </c>
      <c r="T59" s="346">
        <v>0.0</v>
      </c>
      <c r="U59" s="346">
        <v>0.0</v>
      </c>
      <c r="V59" s="346">
        <v>0.0</v>
      </c>
    </row>
    <row r="60" ht="12.75" customHeight="1">
      <c r="A60" s="353" t="s">
        <v>490</v>
      </c>
      <c r="B60" s="346">
        <v>0.0</v>
      </c>
      <c r="C60" s="346">
        <v>0.0</v>
      </c>
      <c r="D60" s="346">
        <v>0.0</v>
      </c>
      <c r="E60" s="321">
        <v>1.0</v>
      </c>
      <c r="F60" s="346">
        <v>0.0</v>
      </c>
      <c r="G60" s="346">
        <v>0.0</v>
      </c>
      <c r="H60" s="346">
        <v>0.0</v>
      </c>
      <c r="I60" s="346">
        <v>0.0</v>
      </c>
      <c r="J60" s="346">
        <v>0.0</v>
      </c>
      <c r="K60" s="346">
        <v>0.0</v>
      </c>
      <c r="L60" s="346">
        <v>0.0</v>
      </c>
      <c r="M60" s="346">
        <v>0.0</v>
      </c>
      <c r="N60" s="346">
        <v>0.0</v>
      </c>
      <c r="O60" s="346">
        <v>0.0</v>
      </c>
      <c r="P60" s="346">
        <v>0.0</v>
      </c>
      <c r="Q60" s="346">
        <v>0.0</v>
      </c>
      <c r="R60" s="346">
        <v>0.0</v>
      </c>
      <c r="S60" s="346">
        <v>0.0</v>
      </c>
      <c r="T60" s="346">
        <v>0.0</v>
      </c>
      <c r="U60" s="346">
        <v>0.0</v>
      </c>
      <c r="V60" s="346">
        <v>0.0</v>
      </c>
    </row>
    <row r="61" ht="12.75" customHeight="1">
      <c r="A61" s="353" t="s">
        <v>491</v>
      </c>
      <c r="B61" s="346">
        <v>0.0</v>
      </c>
      <c r="C61" s="346">
        <v>0.0</v>
      </c>
      <c r="D61" s="346">
        <v>0.0</v>
      </c>
      <c r="E61" s="346">
        <v>0.0</v>
      </c>
      <c r="F61" s="321">
        <v>1.0</v>
      </c>
      <c r="G61" s="346">
        <v>0.0</v>
      </c>
      <c r="H61" s="346">
        <v>0.0</v>
      </c>
      <c r="I61" s="346">
        <v>0.0</v>
      </c>
      <c r="J61" s="346">
        <v>0.0</v>
      </c>
      <c r="K61" s="346">
        <v>0.0</v>
      </c>
      <c r="L61" s="346">
        <v>0.0</v>
      </c>
      <c r="M61" s="346">
        <v>0.0</v>
      </c>
      <c r="N61" s="346">
        <v>0.0</v>
      </c>
      <c r="O61" s="346">
        <v>0.0</v>
      </c>
      <c r="P61" s="346">
        <v>0.0</v>
      </c>
      <c r="Q61" s="346">
        <v>0.0</v>
      </c>
      <c r="R61" s="346">
        <v>0.0</v>
      </c>
      <c r="S61" s="346">
        <v>0.0</v>
      </c>
      <c r="T61" s="346">
        <v>0.0</v>
      </c>
      <c r="U61" s="346">
        <v>0.0</v>
      </c>
      <c r="V61" s="346">
        <v>0.0</v>
      </c>
    </row>
    <row r="62" ht="12.75" customHeight="1">
      <c r="A62" s="353" t="s">
        <v>492</v>
      </c>
      <c r="B62" s="346">
        <v>0.0</v>
      </c>
      <c r="C62" s="346">
        <v>0.0</v>
      </c>
      <c r="D62" s="346">
        <v>0.0</v>
      </c>
      <c r="E62" s="346">
        <v>0.0</v>
      </c>
      <c r="F62" s="346">
        <v>0.0</v>
      </c>
      <c r="G62" s="321">
        <v>1.0</v>
      </c>
      <c r="H62" s="346">
        <v>0.0</v>
      </c>
      <c r="I62" s="346">
        <v>0.0</v>
      </c>
      <c r="J62" s="346">
        <v>0.0</v>
      </c>
      <c r="K62" s="346">
        <v>0.0</v>
      </c>
      <c r="L62" s="346">
        <v>0.0</v>
      </c>
      <c r="M62" s="346">
        <v>0.0</v>
      </c>
      <c r="N62" s="346">
        <v>0.0</v>
      </c>
      <c r="O62" s="346">
        <v>0.0</v>
      </c>
      <c r="P62" s="346">
        <v>0.0</v>
      </c>
      <c r="Q62" s="346">
        <v>0.0</v>
      </c>
      <c r="R62" s="346">
        <v>0.0</v>
      </c>
      <c r="S62" s="346">
        <v>0.0</v>
      </c>
      <c r="T62" s="346">
        <v>0.0</v>
      </c>
      <c r="U62" s="346">
        <v>0.0</v>
      </c>
      <c r="V62" s="346">
        <v>0.0</v>
      </c>
    </row>
    <row r="63" ht="12.75" customHeight="1">
      <c r="A63" s="353" t="s">
        <v>493</v>
      </c>
      <c r="B63" s="346">
        <v>0.0</v>
      </c>
      <c r="C63" s="346">
        <v>0.0</v>
      </c>
      <c r="D63" s="346">
        <v>0.0</v>
      </c>
      <c r="E63" s="346">
        <v>0.0</v>
      </c>
      <c r="F63" s="346">
        <v>0.0</v>
      </c>
      <c r="G63" s="346">
        <v>0.0</v>
      </c>
      <c r="H63" s="321">
        <v>1.0</v>
      </c>
      <c r="I63" s="346">
        <v>0.0</v>
      </c>
      <c r="J63" s="346">
        <v>0.0</v>
      </c>
      <c r="K63" s="346">
        <v>0.0</v>
      </c>
      <c r="L63" s="346">
        <v>0.0</v>
      </c>
      <c r="M63" s="346">
        <v>0.0</v>
      </c>
      <c r="N63" s="346">
        <v>0.0</v>
      </c>
      <c r="O63" s="346">
        <v>0.0</v>
      </c>
      <c r="P63" s="346">
        <v>0.0</v>
      </c>
      <c r="Q63" s="346">
        <v>0.0</v>
      </c>
      <c r="R63" s="346">
        <v>0.0</v>
      </c>
      <c r="S63" s="346">
        <v>0.0</v>
      </c>
      <c r="T63" s="346">
        <v>0.0</v>
      </c>
      <c r="U63" s="346">
        <v>0.0</v>
      </c>
      <c r="V63" s="346">
        <v>0.0</v>
      </c>
    </row>
    <row r="64" ht="12.75" customHeight="1">
      <c r="A64" s="353" t="s">
        <v>494</v>
      </c>
      <c r="B64" s="346">
        <v>0.0</v>
      </c>
      <c r="C64" s="346">
        <v>0.0</v>
      </c>
      <c r="D64" s="346">
        <v>0.0</v>
      </c>
      <c r="E64" s="346">
        <v>0.0</v>
      </c>
      <c r="F64" s="346">
        <v>0.0</v>
      </c>
      <c r="G64" s="346">
        <v>0.0</v>
      </c>
      <c r="H64" s="346">
        <v>0.0</v>
      </c>
      <c r="I64" s="321">
        <v>1.0</v>
      </c>
      <c r="J64" s="346">
        <v>0.0</v>
      </c>
      <c r="K64" s="346">
        <v>0.0</v>
      </c>
      <c r="L64" s="346">
        <v>0.0</v>
      </c>
      <c r="M64" s="346">
        <v>0.0</v>
      </c>
      <c r="N64" s="346">
        <v>0.0</v>
      </c>
      <c r="O64" s="346">
        <v>0.0</v>
      </c>
      <c r="P64" s="346">
        <v>0.0</v>
      </c>
      <c r="Q64" s="346">
        <v>0.0</v>
      </c>
      <c r="R64" s="346">
        <v>0.0</v>
      </c>
      <c r="S64" s="346">
        <v>0.0</v>
      </c>
      <c r="T64" s="346">
        <v>0.0</v>
      </c>
      <c r="U64" s="346">
        <v>0.0</v>
      </c>
      <c r="V64" s="346">
        <v>0.0</v>
      </c>
    </row>
    <row r="65" ht="12.75" customHeight="1"/>
    <row r="66" ht="12.75" customHeight="1"/>
    <row r="67" ht="12.75" customHeight="1">
      <c r="A67" s="352" t="s">
        <v>495</v>
      </c>
    </row>
    <row r="68" ht="12.75" customHeight="1">
      <c r="A68" s="331" t="s">
        <v>496</v>
      </c>
      <c r="B68" s="317" t="s">
        <v>82</v>
      </c>
      <c r="C68" s="317" t="s">
        <v>68</v>
      </c>
      <c r="D68" s="317" t="s">
        <v>103</v>
      </c>
      <c r="E68" s="317" t="s">
        <v>69</v>
      </c>
      <c r="F68" s="317" t="s">
        <v>70</v>
      </c>
      <c r="G68" s="317" t="s">
        <v>71</v>
      </c>
      <c r="H68" s="317" t="s">
        <v>72</v>
      </c>
      <c r="I68" s="317" t="s">
        <v>73</v>
      </c>
      <c r="J68" s="317" t="s">
        <v>74</v>
      </c>
      <c r="K68" s="317" t="s">
        <v>75</v>
      </c>
      <c r="L68" s="317" t="s">
        <v>76</v>
      </c>
      <c r="M68" s="317" t="s">
        <v>77</v>
      </c>
      <c r="N68" s="317" t="s">
        <v>78</v>
      </c>
      <c r="O68" s="317" t="s">
        <v>118</v>
      </c>
      <c r="P68" s="317" t="s">
        <v>104</v>
      </c>
      <c r="Q68" s="317" t="s">
        <v>105</v>
      </c>
      <c r="R68" s="317" t="s">
        <v>106</v>
      </c>
      <c r="S68" s="317" t="s">
        <v>107</v>
      </c>
      <c r="T68" s="317" t="s">
        <v>108</v>
      </c>
      <c r="U68" s="317" t="s">
        <v>109</v>
      </c>
      <c r="V68" s="317" t="s">
        <v>110</v>
      </c>
    </row>
    <row r="69" ht="12.75" customHeight="1">
      <c r="A69" s="353" t="str">
        <f t="array" ref="A69:A71">"Album "&amp;SEQUENCE($B$7,1)</f>
        <v>Album 1</v>
      </c>
      <c r="B69" s="321">
        <v>500.0</v>
      </c>
      <c r="C69" s="346">
        <v>0.0</v>
      </c>
      <c r="D69" s="346">
        <v>0.0</v>
      </c>
      <c r="E69" s="321">
        <v>1.0</v>
      </c>
      <c r="F69" s="346">
        <v>0.0</v>
      </c>
      <c r="G69" s="346">
        <v>0.0</v>
      </c>
      <c r="H69" s="346">
        <v>0.0</v>
      </c>
      <c r="I69" s="346">
        <v>0.0</v>
      </c>
      <c r="J69" s="346">
        <v>0.0</v>
      </c>
      <c r="K69" s="346">
        <v>0.0</v>
      </c>
      <c r="L69" s="346">
        <v>0.0</v>
      </c>
      <c r="M69" s="346">
        <v>0.0</v>
      </c>
      <c r="N69" s="346">
        <v>0.0</v>
      </c>
      <c r="O69" s="346">
        <v>0.0</v>
      </c>
      <c r="P69" s="346">
        <v>0.0</v>
      </c>
      <c r="Q69" s="346">
        <v>0.0</v>
      </c>
      <c r="R69" s="346">
        <v>0.0</v>
      </c>
      <c r="S69" s="346">
        <v>0.0</v>
      </c>
      <c r="T69" s="346">
        <v>0.0</v>
      </c>
      <c r="U69" s="346">
        <v>0.0</v>
      </c>
      <c r="V69" s="346">
        <v>0.0</v>
      </c>
    </row>
    <row r="70" ht="12.75" customHeight="1">
      <c r="A70" s="353" t="s">
        <v>497</v>
      </c>
      <c r="B70" s="346">
        <v>0.0</v>
      </c>
      <c r="C70" s="321">
        <v>20.0</v>
      </c>
      <c r="D70" s="346">
        <v>0.0</v>
      </c>
      <c r="E70" s="346">
        <v>0.0</v>
      </c>
      <c r="F70" s="321">
        <v>1.0</v>
      </c>
      <c r="G70" s="346">
        <v>0.0</v>
      </c>
      <c r="H70" s="346">
        <v>0.0</v>
      </c>
      <c r="I70" s="346">
        <v>0.0</v>
      </c>
      <c r="J70" s="346">
        <v>0.0</v>
      </c>
      <c r="K70" s="346">
        <v>0.0</v>
      </c>
      <c r="L70" s="346">
        <v>0.0</v>
      </c>
      <c r="M70" s="346">
        <v>0.0</v>
      </c>
      <c r="N70" s="346">
        <v>0.0</v>
      </c>
      <c r="O70" s="346">
        <v>0.0</v>
      </c>
      <c r="P70" s="346">
        <v>0.0</v>
      </c>
      <c r="Q70" s="346">
        <v>0.0</v>
      </c>
      <c r="R70" s="346">
        <v>0.0</v>
      </c>
      <c r="S70" s="346">
        <v>0.0</v>
      </c>
      <c r="T70" s="346">
        <v>0.0</v>
      </c>
      <c r="U70" s="346">
        <v>0.0</v>
      </c>
      <c r="V70" s="346">
        <v>0.0</v>
      </c>
    </row>
    <row r="71" ht="12.75" customHeight="1">
      <c r="A71" s="353" t="s">
        <v>498</v>
      </c>
      <c r="B71" s="346">
        <v>0.0</v>
      </c>
      <c r="C71" s="346">
        <v>0.0</v>
      </c>
      <c r="D71" s="346">
        <v>0.0</v>
      </c>
      <c r="E71" s="346">
        <v>0.0</v>
      </c>
      <c r="F71" s="346">
        <v>0.0</v>
      </c>
      <c r="G71" s="321">
        <v>1.0</v>
      </c>
      <c r="H71" s="346">
        <v>0.0</v>
      </c>
      <c r="I71" s="346">
        <v>0.0</v>
      </c>
      <c r="J71" s="346">
        <v>0.0</v>
      </c>
      <c r="K71" s="346">
        <v>0.0</v>
      </c>
      <c r="L71" s="346">
        <v>0.0</v>
      </c>
      <c r="M71" s="346">
        <v>0.0</v>
      </c>
      <c r="N71" s="346">
        <v>0.0</v>
      </c>
      <c r="O71" s="346">
        <v>0.0</v>
      </c>
      <c r="P71" s="346">
        <v>0.0</v>
      </c>
      <c r="Q71" s="346">
        <v>0.0</v>
      </c>
      <c r="R71" s="346">
        <v>0.0</v>
      </c>
      <c r="S71" s="346">
        <v>0.0</v>
      </c>
      <c r="T71" s="346">
        <v>0.0</v>
      </c>
      <c r="U71" s="346">
        <v>0.0</v>
      </c>
      <c r="V71" s="346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14" t="s">
        <v>499</v>
      </c>
      <c r="I1" s="356" t="s">
        <v>500</v>
      </c>
      <c r="M1" s="357" t="s">
        <v>501</v>
      </c>
      <c r="N1" s="281"/>
      <c r="O1" s="358"/>
      <c r="Q1" s="359"/>
      <c r="R1" s="360"/>
      <c r="T1" s="357" t="s">
        <v>502</v>
      </c>
      <c r="U1" s="281"/>
      <c r="V1" s="360"/>
    </row>
    <row r="2" ht="12.75" customHeight="1">
      <c r="A2" s="317" t="s">
        <v>503</v>
      </c>
      <c r="B2" s="317" t="s">
        <v>504</v>
      </c>
      <c r="C2" s="318" t="s">
        <v>245</v>
      </c>
      <c r="D2" s="318" t="s">
        <v>246</v>
      </c>
      <c r="E2" s="318" t="s">
        <v>482</v>
      </c>
      <c r="I2" s="356" t="s">
        <v>505</v>
      </c>
      <c r="J2" s="356" t="s">
        <v>506</v>
      </c>
      <c r="K2" s="356" t="s">
        <v>507</v>
      </c>
      <c r="L2" s="281"/>
      <c r="M2" s="357" t="s">
        <v>505</v>
      </c>
      <c r="N2" s="356" t="s">
        <v>506</v>
      </c>
      <c r="O2" s="361" t="s">
        <v>508</v>
      </c>
      <c r="P2" s="356"/>
      <c r="Q2" s="357" t="s">
        <v>509</v>
      </c>
      <c r="R2" s="360"/>
      <c r="T2" s="357" t="s">
        <v>505</v>
      </c>
      <c r="U2" s="356" t="s">
        <v>506</v>
      </c>
      <c r="V2" s="362" t="s">
        <v>508</v>
      </c>
    </row>
    <row r="3" ht="12.75" customHeight="1">
      <c r="A3" s="320" t="s">
        <v>510</v>
      </c>
      <c r="B3" s="363" t="s">
        <v>511</v>
      </c>
      <c r="C3" s="346">
        <v>1.0</v>
      </c>
      <c r="D3" s="364" t="s">
        <v>512</v>
      </c>
      <c r="E3" s="346" t="s">
        <v>452</v>
      </c>
      <c r="H3" s="281"/>
      <c r="I3" s="365" t="str">
        <f t="shared" ref="I3:I11" si="1">B3&amp;" "&amp;E3</f>
        <v>Skull Isle - Compass 1★</v>
      </c>
      <c r="J3" s="366">
        <v>50.0</v>
      </c>
      <c r="K3" s="366">
        <v>10.0</v>
      </c>
      <c r="M3" s="359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81">
        <v>50.0</v>
      </c>
      <c r="O3" s="358">
        <v>0.02710027100271003</v>
      </c>
      <c r="Q3" s="367" t="s">
        <v>513</v>
      </c>
      <c r="R3" s="368">
        <v>35.0</v>
      </c>
      <c r="T3" s="359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#F7E")</f>
        <v>Skull Isle - Compass 1★ #F7E</v>
      </c>
      <c r="U3" s="281">
        <f>IFERROR(__xludf.DUMMYFUNCTION("""COMPUTED_VALUE"""),50.0)</f>
        <v>50</v>
      </c>
      <c r="V3" s="358">
        <f>IFERROR(__xludf.DUMMYFUNCTION("if(U3="""", """", U3/sum(filter($U$3:$U$1000, $U$3:$U$1000&lt;&gt;"""")))"),0.12987012987012986)</f>
        <v>0.1298701299</v>
      </c>
    </row>
    <row r="4" ht="12.75" customHeight="1">
      <c r="A4" s="320" t="s">
        <v>514</v>
      </c>
      <c r="B4" s="363" t="s">
        <v>515</v>
      </c>
      <c r="C4" s="346">
        <v>1.0</v>
      </c>
      <c r="D4" s="364" t="s">
        <v>512</v>
      </c>
      <c r="E4" s="346" t="s">
        <v>452</v>
      </c>
      <c r="H4" s="281"/>
      <c r="I4" s="365" t="str">
        <f t="shared" si="1"/>
        <v>Skull Isle - Map 1★</v>
      </c>
      <c r="J4" s="366">
        <v>50.0</v>
      </c>
      <c r="K4" s="366">
        <v>10.0</v>
      </c>
      <c r="M4" s="359" t="s">
        <v>516</v>
      </c>
      <c r="N4" s="281">
        <v>50.0</v>
      </c>
      <c r="O4" s="358">
        <v>0.02710027100271003</v>
      </c>
      <c r="Q4" s="359"/>
      <c r="R4" s="360"/>
      <c r="T4" s="359" t="str">
        <f>IFERROR(__xludf.DUMMYFUNCTION("""COMPUTED_VALUE"""),"Skull Isle - Compass 1★ #F9D")</f>
        <v>Skull Isle - Compass 1★ #F9D</v>
      </c>
      <c r="U4" s="281">
        <f>IFERROR(__xludf.DUMMYFUNCTION("""COMPUTED_VALUE"""),50.0)</f>
        <v>50</v>
      </c>
      <c r="V4" s="358">
        <f>IFERROR(__xludf.DUMMYFUNCTION("if(U4="""", """", U4/sum(filter($U$3:$U$1000, $U$3:$U$1000&lt;&gt;"""")))"),0.12987012987012986)</f>
        <v>0.1298701299</v>
      </c>
    </row>
    <row r="5" ht="12.75" customHeight="1">
      <c r="A5" s="320" t="s">
        <v>517</v>
      </c>
      <c r="B5" s="363" t="s">
        <v>518</v>
      </c>
      <c r="C5" s="346">
        <v>1.0</v>
      </c>
      <c r="D5" s="364" t="s">
        <v>512</v>
      </c>
      <c r="E5" s="346" t="s">
        <v>452</v>
      </c>
      <c r="H5" s="281"/>
      <c r="I5" s="365" t="str">
        <f t="shared" si="1"/>
        <v>Skull Isle - Spyglass 1★</v>
      </c>
      <c r="J5" s="366">
        <v>50.0</v>
      </c>
      <c r="K5" s="366">
        <v>10.0</v>
      </c>
      <c r="M5" s="359" t="s">
        <v>519</v>
      </c>
      <c r="N5" s="281">
        <v>50.0</v>
      </c>
      <c r="O5" s="358">
        <v>0.02710027100271003</v>
      </c>
      <c r="Q5" s="369" t="s">
        <v>520</v>
      </c>
      <c r="R5" s="360"/>
      <c r="T5" s="359" t="str">
        <f>IFERROR(__xludf.DUMMYFUNCTION("""COMPUTED_VALUE"""),"Skull Isle - Map 1★ #526")</f>
        <v>Skull Isle - Map 1★ #526</v>
      </c>
      <c r="U5" s="281">
        <f>IFERROR(__xludf.DUMMYFUNCTION("""COMPUTED_VALUE"""),50.0)</f>
        <v>50</v>
      </c>
      <c r="V5" s="358">
        <f>IFERROR(__xludf.DUMMYFUNCTION("if(U5="""", """", U5/sum(filter($U$3:$U$1000, $U$3:$U$1000&lt;&gt;"""")))"),0.12987012987012986)</f>
        <v>0.1298701299</v>
      </c>
    </row>
    <row r="6" ht="12.75" customHeight="1">
      <c r="A6" s="320" t="s">
        <v>521</v>
      </c>
      <c r="B6" s="363" t="s">
        <v>522</v>
      </c>
      <c r="C6" s="346">
        <v>1.0</v>
      </c>
      <c r="D6" s="364" t="s">
        <v>512</v>
      </c>
      <c r="E6" s="346" t="s">
        <v>452</v>
      </c>
      <c r="H6" s="281"/>
      <c r="I6" s="365" t="str">
        <f t="shared" si="1"/>
        <v>Skull Isle - Anchor 1★</v>
      </c>
      <c r="J6" s="366">
        <v>20.0</v>
      </c>
      <c r="K6" s="366">
        <v>5.0</v>
      </c>
      <c r="M6" s="359" t="s">
        <v>523</v>
      </c>
      <c r="N6" s="281">
        <v>50.0</v>
      </c>
      <c r="O6" s="358">
        <v>0.02710027100271003</v>
      </c>
      <c r="Q6" s="37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60">
        <f>IFERROR(__xludf.DUMMYFUNCTION("""COMPUTED_VALUE"""),29.0)</f>
        <v>29</v>
      </c>
      <c r="T6" s="359" t="str">
        <f>IFERROR(__xludf.DUMMYFUNCTION("""COMPUTED_VALUE"""),"Skull Isle - Spyglass 1★ #5C1")</f>
        <v>Skull Isle - Spyglass 1★ #5C1</v>
      </c>
      <c r="U6" s="281">
        <f>IFERROR(__xludf.DUMMYFUNCTION("""COMPUTED_VALUE"""),50.0)</f>
        <v>50</v>
      </c>
      <c r="V6" s="358">
        <f>IFERROR(__xludf.DUMMYFUNCTION("if(U6="""", """", U6/sum(filter($U$3:$U$1000, $U$3:$U$1000&lt;&gt;"""")))"),0.12987012987012986)</f>
        <v>0.1298701299</v>
      </c>
    </row>
    <row r="7" ht="12.75" customHeight="1">
      <c r="A7" s="320" t="s">
        <v>524</v>
      </c>
      <c r="B7" s="363" t="s">
        <v>525</v>
      </c>
      <c r="C7" s="346">
        <v>1.0</v>
      </c>
      <c r="D7" s="364" t="s">
        <v>512</v>
      </c>
      <c r="E7" s="346" t="s">
        <v>453</v>
      </c>
      <c r="H7" s="281"/>
      <c r="I7" s="365" t="str">
        <f t="shared" si="1"/>
        <v>Skull Isle - Helm 2★</v>
      </c>
      <c r="J7" s="366">
        <v>20.0</v>
      </c>
      <c r="K7" s="366">
        <v>5.0</v>
      </c>
      <c r="M7" s="359" t="s">
        <v>526</v>
      </c>
      <c r="N7" s="281">
        <v>50.0</v>
      </c>
      <c r="O7" s="358">
        <v>0.02710027100271003</v>
      </c>
      <c r="Q7" s="367" t="str">
        <f>IFERROR(__xludf.DUMMYFUNCTION("""COMPUTED_VALUE"""),"2★")</f>
        <v>2★</v>
      </c>
      <c r="R7" s="360">
        <f>IFERROR(__xludf.DUMMYFUNCTION("""COMPUTED_VALUE"""),4.0)</f>
        <v>4</v>
      </c>
      <c r="T7" s="359" t="str">
        <f>IFERROR(__xludf.DUMMYFUNCTION("""COMPUTED_VALUE"""),"Skull Isle - Anchor 1★ #B2B")</f>
        <v>Skull Isle - Anchor 1★ #B2B</v>
      </c>
      <c r="U7" s="281">
        <f>IFERROR(__xludf.DUMMYFUNCTION("""COMPUTED_VALUE"""),20.0)</f>
        <v>20</v>
      </c>
      <c r="V7" s="358">
        <f>IFERROR(__xludf.DUMMYFUNCTION("if(U7="""", """", U7/sum(filter($U$3:$U$1000, $U$3:$U$1000&lt;&gt;"""")))"),0.05194805194805195)</f>
        <v>0.05194805195</v>
      </c>
    </row>
    <row r="8" ht="12.75" customHeight="1">
      <c r="A8" s="320" t="s">
        <v>527</v>
      </c>
      <c r="B8" s="363" t="s">
        <v>528</v>
      </c>
      <c r="C8" s="346">
        <v>1.0</v>
      </c>
      <c r="D8" s="364" t="s">
        <v>512</v>
      </c>
      <c r="E8" s="346" t="s">
        <v>453</v>
      </c>
      <c r="H8" s="281"/>
      <c r="I8" s="365" t="str">
        <f t="shared" si="1"/>
        <v>Skull Isle - Cutlass 2★</v>
      </c>
      <c r="J8" s="366">
        <v>20.0</v>
      </c>
      <c r="K8" s="366">
        <v>5.0</v>
      </c>
      <c r="M8" s="359" t="s">
        <v>529</v>
      </c>
      <c r="N8" s="281">
        <v>50.0</v>
      </c>
      <c r="O8" s="358">
        <v>0.02710027100271003</v>
      </c>
      <c r="Q8" s="367" t="str">
        <f>IFERROR(__xludf.DUMMYFUNCTION("""COMPUTED_VALUE"""),"3★")</f>
        <v>3★</v>
      </c>
      <c r="R8" s="360">
        <f>IFERROR(__xludf.DUMMYFUNCTION("""COMPUTED_VALUE"""),2.0)</f>
        <v>2</v>
      </c>
      <c r="T8" s="359" t="str">
        <f>IFERROR(__xludf.DUMMYFUNCTION("""COMPUTED_VALUE"""),"Skull Isle - Anchor 1★ #B4A")</f>
        <v>Skull Isle - Anchor 1★ #B4A</v>
      </c>
      <c r="U8" s="281">
        <f>IFERROR(__xludf.DUMMYFUNCTION("""COMPUTED_VALUE"""),20.0)</f>
        <v>20</v>
      </c>
      <c r="V8" s="358">
        <f>IFERROR(__xludf.DUMMYFUNCTION("if(U8="""", """", U8/sum(filter($U$3:$U$1000, $U$3:$U$1000&lt;&gt;"""")))"),0.05194805194805195)</f>
        <v>0.05194805195</v>
      </c>
    </row>
    <row r="9" ht="12.75" customHeight="1">
      <c r="A9" s="320" t="s">
        <v>530</v>
      </c>
      <c r="B9" s="363" t="s">
        <v>531</v>
      </c>
      <c r="C9" s="346">
        <v>1.0</v>
      </c>
      <c r="D9" s="364" t="s">
        <v>512</v>
      </c>
      <c r="E9" s="346" t="s">
        <v>453</v>
      </c>
      <c r="I9" s="365" t="str">
        <f t="shared" si="1"/>
        <v>Skull Isle - Parrot 2★</v>
      </c>
      <c r="J9" s="366">
        <v>10.0</v>
      </c>
      <c r="K9" s="366">
        <v>2.0</v>
      </c>
      <c r="M9" s="359" t="s">
        <v>532</v>
      </c>
      <c r="N9" s="281">
        <v>50.0</v>
      </c>
      <c r="O9" s="358">
        <v>0.02710027100271003</v>
      </c>
      <c r="Q9" s="367"/>
      <c r="R9" s="360"/>
      <c r="T9" s="359" t="str">
        <f>IFERROR(__xludf.DUMMYFUNCTION("""COMPUTED_VALUE"""),"Skull Isle - Helm 2★ #B69")</f>
        <v>Skull Isle - Helm 2★ #B69</v>
      </c>
      <c r="U9" s="281">
        <f>IFERROR(__xludf.DUMMYFUNCTION("""COMPUTED_VALUE"""),20.0)</f>
        <v>20</v>
      </c>
      <c r="V9" s="358">
        <f>IFERROR(__xludf.DUMMYFUNCTION("if(U9="""", """", U9/sum(filter($U$3:$U$1000, $U$3:$U$1000&lt;&gt;"""")))"),0.05194805194805195)</f>
        <v>0.05194805195</v>
      </c>
    </row>
    <row r="10" ht="12.75" customHeight="1">
      <c r="A10" s="320" t="s">
        <v>533</v>
      </c>
      <c r="B10" s="363" t="s">
        <v>534</v>
      </c>
      <c r="C10" s="346">
        <v>1.0</v>
      </c>
      <c r="D10" s="364" t="s">
        <v>512</v>
      </c>
      <c r="E10" s="346" t="s">
        <v>454</v>
      </c>
      <c r="I10" s="365" t="str">
        <f t="shared" si="1"/>
        <v>Skull Isle - Chest 3★</v>
      </c>
      <c r="J10" s="366">
        <v>10.0</v>
      </c>
      <c r="K10" s="366">
        <v>2.0</v>
      </c>
      <c r="M10" s="359" t="s">
        <v>535</v>
      </c>
      <c r="N10" s="281">
        <v>50.0</v>
      </c>
      <c r="O10" s="358">
        <v>0.02710027100271003</v>
      </c>
      <c r="Q10" s="367"/>
      <c r="R10" s="360"/>
      <c r="T10" s="359" t="str">
        <f>IFERROR(__xludf.DUMMYFUNCTION("""COMPUTED_VALUE"""),"Skull Isle - Helm 2★ #0D3")</f>
        <v>Skull Isle - Helm 2★ #0D3</v>
      </c>
      <c r="U10" s="281">
        <f>IFERROR(__xludf.DUMMYFUNCTION("""COMPUTED_VALUE"""),20.0)</f>
        <v>20</v>
      </c>
      <c r="V10" s="358">
        <f>IFERROR(__xludf.DUMMYFUNCTION("if(U10="""", """", U10/sum(filter($U$3:$U$1000, $U$3:$U$1000&lt;&gt;"""")))"),0.05194805194805195)</f>
        <v>0.05194805195</v>
      </c>
    </row>
    <row r="11" ht="12.75" customHeight="1">
      <c r="A11" s="320" t="s">
        <v>536</v>
      </c>
      <c r="B11" s="363" t="s">
        <v>537</v>
      </c>
      <c r="C11" s="346">
        <v>1.0</v>
      </c>
      <c r="D11" s="364" t="s">
        <v>512</v>
      </c>
      <c r="E11" s="346" t="s">
        <v>454</v>
      </c>
      <c r="I11" s="365" t="str">
        <f t="shared" si="1"/>
        <v>Skull Isle - Skull 3★</v>
      </c>
      <c r="J11" s="366">
        <v>5.0</v>
      </c>
      <c r="K11" s="366">
        <v>1.0</v>
      </c>
      <c r="M11" s="359" t="s">
        <v>538</v>
      </c>
      <c r="N11" s="281">
        <v>50.0</v>
      </c>
      <c r="O11" s="358">
        <v>0.02710027100271003</v>
      </c>
      <c r="Q11" s="369" t="s">
        <v>539</v>
      </c>
      <c r="R11" s="360"/>
      <c r="T11" s="359" t="str">
        <f>IFERROR(__xludf.DUMMYFUNCTION("""COMPUTED_VALUE"""),"Skull Isle - Cutlass 2★ #B88")</f>
        <v>Skull Isle - Cutlass 2★ #B88</v>
      </c>
      <c r="U11" s="281">
        <f>IFERROR(__xludf.DUMMYFUNCTION("""COMPUTED_VALUE"""),20.0)</f>
        <v>20</v>
      </c>
      <c r="V11" s="358">
        <f>IFERROR(__xludf.DUMMYFUNCTION("if(U11="""", """", U11/sum(filter($U$3:$U$1000, $U$3:$U$1000&lt;&gt;"""")))"),0.05194805194805195)</f>
        <v>0.05194805195</v>
      </c>
    </row>
    <row r="12" ht="12.75" customHeight="1">
      <c r="A12" s="320" t="s">
        <v>540</v>
      </c>
      <c r="B12" s="363" t="s">
        <v>541</v>
      </c>
      <c r="C12" s="346">
        <v>2.0</v>
      </c>
      <c r="D12" s="364" t="s">
        <v>542</v>
      </c>
      <c r="E12" s="346" t="s">
        <v>452</v>
      </c>
      <c r="M12" s="359" t="s">
        <v>543</v>
      </c>
      <c r="N12" s="281">
        <v>50.0</v>
      </c>
      <c r="O12" s="358">
        <v>0.02710027100271003</v>
      </c>
      <c r="Q12" s="359" t="str">
        <f t="shared" ref="Q12:Q15" si="2">Q6</f>
        <v>1★</v>
      </c>
      <c r="R12" s="371">
        <f t="shared" ref="R12:R15" si="3">if(Q12="", "", R6/sum($R$6:$R$10))</f>
        <v>0.8285714286</v>
      </c>
      <c r="T12" s="359" t="str">
        <f>IFERROR(__xludf.DUMMYFUNCTION("""COMPUTED_VALUE"""),"Skull Isle - Cutlass 2★ #0F2")</f>
        <v>Skull Isle - Cutlass 2★ #0F2</v>
      </c>
      <c r="U12" s="281">
        <f>IFERROR(__xludf.DUMMYFUNCTION("""COMPUTED_VALUE"""),20.0)</f>
        <v>20</v>
      </c>
      <c r="V12" s="358">
        <f>IFERROR(__xludf.DUMMYFUNCTION("if(U12="""", """", U12/sum(filter($U$3:$U$1000, $U$3:$U$1000&lt;&gt;"""")))"),0.05194805194805195)</f>
        <v>0.05194805195</v>
      </c>
    </row>
    <row r="13" ht="12.75" customHeight="1">
      <c r="A13" s="320" t="s">
        <v>544</v>
      </c>
      <c r="B13" s="363" t="s">
        <v>545</v>
      </c>
      <c r="C13" s="346">
        <v>2.0</v>
      </c>
      <c r="D13" s="364" t="s">
        <v>542</v>
      </c>
      <c r="E13" s="346" t="s">
        <v>452</v>
      </c>
      <c r="M13" s="359" t="s">
        <v>546</v>
      </c>
      <c r="N13" s="281">
        <v>50.0</v>
      </c>
      <c r="O13" s="358">
        <v>0.02710027100271003</v>
      </c>
      <c r="Q13" s="359" t="str">
        <f t="shared" si="2"/>
        <v>2★</v>
      </c>
      <c r="R13" s="371">
        <f t="shared" si="3"/>
        <v>0.1142857143</v>
      </c>
      <c r="T13" s="359" t="str">
        <f>IFERROR(__xludf.DUMMYFUNCTION("""COMPUTED_VALUE"""),"Skull Isle - Cutlass 2★ #BA7")</f>
        <v>Skull Isle - Cutlass 2★ #BA7</v>
      </c>
      <c r="U13" s="281">
        <f>IFERROR(__xludf.DUMMYFUNCTION("""COMPUTED_VALUE"""),20.0)</f>
        <v>20</v>
      </c>
      <c r="V13" s="358">
        <f>IFERROR(__xludf.DUMMYFUNCTION("if(U13="""", """", U13/sum(filter($U$3:$U$1000, $U$3:$U$1000&lt;&gt;"""")))"),0.05194805194805195)</f>
        <v>0.05194805195</v>
      </c>
    </row>
    <row r="14" ht="12.75" customHeight="1">
      <c r="A14" s="320" t="s">
        <v>547</v>
      </c>
      <c r="B14" s="363" t="s">
        <v>548</v>
      </c>
      <c r="C14" s="346">
        <v>2.0</v>
      </c>
      <c r="D14" s="364" t="s">
        <v>542</v>
      </c>
      <c r="E14" s="346" t="s">
        <v>452</v>
      </c>
      <c r="M14" s="359" t="s">
        <v>549</v>
      </c>
      <c r="N14" s="281">
        <v>50.0</v>
      </c>
      <c r="O14" s="358">
        <v>0.02710027100271003</v>
      </c>
      <c r="Q14" s="359" t="str">
        <f t="shared" si="2"/>
        <v>3★</v>
      </c>
      <c r="R14" s="371">
        <f t="shared" si="3"/>
        <v>0.05714285714</v>
      </c>
      <c r="T14" s="359" t="str">
        <f>IFERROR(__xludf.DUMMYFUNCTION("""COMPUTED_VALUE"""),"Skull Isle - Cutlass 2★ #65C")</f>
        <v>Skull Isle - Cutlass 2★ #65C</v>
      </c>
      <c r="U14" s="281">
        <f>IFERROR(__xludf.DUMMYFUNCTION("""COMPUTED_VALUE"""),20.0)</f>
        <v>20</v>
      </c>
      <c r="V14" s="358">
        <f>IFERROR(__xludf.DUMMYFUNCTION("if(U14="""", """", U14/sum(filter($U$3:$U$1000, $U$3:$U$1000&lt;&gt;"""")))"),0.05194805194805195)</f>
        <v>0.05194805195</v>
      </c>
    </row>
    <row r="15" ht="12.75" customHeight="1">
      <c r="A15" s="320" t="s">
        <v>550</v>
      </c>
      <c r="B15" s="363" t="s">
        <v>551</v>
      </c>
      <c r="C15" s="346">
        <v>2.0</v>
      </c>
      <c r="D15" s="364" t="s">
        <v>542</v>
      </c>
      <c r="E15" s="346" t="s">
        <v>452</v>
      </c>
      <c r="M15" s="359" t="s">
        <v>552</v>
      </c>
      <c r="N15" s="281">
        <v>50.0</v>
      </c>
      <c r="O15" s="358">
        <v>0.02710027100271003</v>
      </c>
      <c r="Q15" s="359" t="str">
        <f t="shared" si="2"/>
        <v/>
      </c>
      <c r="R15" s="371" t="str">
        <f t="shared" si="3"/>
        <v/>
      </c>
      <c r="T15" s="359" t="str">
        <f>IFERROR(__xludf.DUMMYFUNCTION("""COMPUTED_VALUE"""),"Skull Isle - Parrot 2★ #111")</f>
        <v>Skull Isle - Parrot 2★ #111</v>
      </c>
      <c r="U15" s="281">
        <f>IFERROR(__xludf.DUMMYFUNCTION("""COMPUTED_VALUE"""),10.0)</f>
        <v>10</v>
      </c>
      <c r="V15" s="358">
        <f>IFERROR(__xludf.DUMMYFUNCTION("if(U15="""", """", U15/sum(filter($U$3:$U$1000, $U$3:$U$1000&lt;&gt;"""")))"),0.025974025974025976)</f>
        <v>0.02597402597</v>
      </c>
    </row>
    <row r="16" ht="12.75" customHeight="1">
      <c r="A16" s="320" t="s">
        <v>553</v>
      </c>
      <c r="B16" s="363" t="s">
        <v>554</v>
      </c>
      <c r="C16" s="346">
        <v>2.0</v>
      </c>
      <c r="D16" s="364" t="s">
        <v>542</v>
      </c>
      <c r="E16" s="346" t="s">
        <v>453</v>
      </c>
      <c r="M16" s="359" t="s">
        <v>555</v>
      </c>
      <c r="N16" s="281">
        <v>50.0</v>
      </c>
      <c r="O16" s="358">
        <v>0.02710027100271003</v>
      </c>
      <c r="Q16" s="372"/>
      <c r="R16" s="360"/>
      <c r="T16" s="359" t="str">
        <f>IFERROR(__xludf.DUMMYFUNCTION("""COMPUTED_VALUE"""),"Skull Isle - Parrot 2★ #BC6")</f>
        <v>Skull Isle - Parrot 2★ #BC6</v>
      </c>
      <c r="U16" s="281">
        <f>IFERROR(__xludf.DUMMYFUNCTION("""COMPUTED_VALUE"""),10.0)</f>
        <v>10</v>
      </c>
      <c r="V16" s="358">
        <f>IFERROR(__xludf.DUMMYFUNCTION("if(U16="""", """", U16/sum(filter($U$3:$U$1000, $U$3:$U$1000&lt;&gt;"""")))"),0.025974025974025976)</f>
        <v>0.02597402597</v>
      </c>
    </row>
    <row r="17" ht="12.75" customHeight="1">
      <c r="A17" s="320" t="s">
        <v>556</v>
      </c>
      <c r="B17" s="363" t="s">
        <v>557</v>
      </c>
      <c r="C17" s="346">
        <v>2.0</v>
      </c>
      <c r="D17" s="364" t="s">
        <v>542</v>
      </c>
      <c r="E17" s="346" t="s">
        <v>453</v>
      </c>
      <c r="M17" s="359" t="s">
        <v>558</v>
      </c>
      <c r="N17" s="281">
        <v>50.0</v>
      </c>
      <c r="O17" s="358">
        <v>0.02710027100271003</v>
      </c>
      <c r="Q17" s="372"/>
      <c r="R17" s="360"/>
      <c r="T17" s="359" t="str">
        <f>IFERROR(__xludf.DUMMYFUNCTION("""COMPUTED_VALUE"""),"Skull Isle - Skull 3★ #BE5")</f>
        <v>Skull Isle - Skull 3★ #BE5</v>
      </c>
      <c r="U17" s="281">
        <f>IFERROR(__xludf.DUMMYFUNCTION("""COMPUTED_VALUE"""),5.0)</f>
        <v>5</v>
      </c>
      <c r="V17" s="358">
        <f>IFERROR(__xludf.DUMMYFUNCTION("if(U17="""", """", U17/sum(filter($U$3:$U$1000, $U$3:$U$1000&lt;&gt;"""")))"),0.012987012987012988)</f>
        <v>0.01298701299</v>
      </c>
    </row>
    <row r="18" ht="12.75" customHeight="1">
      <c r="A18" s="320" t="s">
        <v>559</v>
      </c>
      <c r="B18" s="363" t="s">
        <v>560</v>
      </c>
      <c r="C18" s="346">
        <v>2.0</v>
      </c>
      <c r="D18" s="364" t="s">
        <v>542</v>
      </c>
      <c r="E18" s="346" t="s">
        <v>454</v>
      </c>
      <c r="M18" s="359" t="s">
        <v>561</v>
      </c>
      <c r="N18" s="281">
        <v>50.0</v>
      </c>
      <c r="O18" s="358">
        <v>0.02710027100271003</v>
      </c>
      <c r="Q18" s="359" t="str">
        <f>Q10</f>
        <v/>
      </c>
      <c r="R18" s="373" t="s">
        <v>562</v>
      </c>
      <c r="T18" s="359"/>
      <c r="U18" s="281"/>
      <c r="V18" s="358" t="str">
        <f>IFERROR(__xludf.DUMMYFUNCTION("if(U18="""", """", U18/sum(filter($U$3:$U$1000, $U$3:$U$1000&lt;&gt;"""")))"),"")</f>
        <v/>
      </c>
    </row>
    <row r="19" ht="12.75" customHeight="1">
      <c r="A19" s="320" t="s">
        <v>563</v>
      </c>
      <c r="B19" s="363" t="s">
        <v>564</v>
      </c>
      <c r="C19" s="346">
        <v>2.0</v>
      </c>
      <c r="D19" s="364" t="s">
        <v>542</v>
      </c>
      <c r="E19" s="346" t="s">
        <v>454</v>
      </c>
      <c r="M19" s="359" t="s">
        <v>565</v>
      </c>
      <c r="N19" s="281">
        <v>50.0</v>
      </c>
      <c r="O19" s="358">
        <v>0.02710027100271003</v>
      </c>
      <c r="Q19" s="372"/>
      <c r="R19" s="374">
        <f>IFERROR(__xludf.DUMMYFUNCTION("sum(arrayformula(right(index(split(filter($Q$22:$Q$35, $Q$22:$Q$35&lt;&gt;""""), ""★""), 0, 1), 1) * (filter($R$22:$R$35, $R$22:$R$35&lt;&gt;"""")-1)))"),32.0)</f>
        <v>32</v>
      </c>
      <c r="T19" s="359"/>
      <c r="U19" s="281"/>
      <c r="V19" s="358" t="str">
        <f>IFERROR(__xludf.DUMMYFUNCTION("if(U19="""", """", U19/sum(filter($U$3:$U$1000, $U$3:$U$1000&lt;&gt;"""")))"),"")</f>
        <v/>
      </c>
    </row>
    <row r="20" ht="12.75" customHeight="1">
      <c r="A20" s="320" t="s">
        <v>566</v>
      </c>
      <c r="B20" s="363" t="s">
        <v>567</v>
      </c>
      <c r="C20" s="346">
        <v>2.0</v>
      </c>
      <c r="D20" s="364" t="s">
        <v>542</v>
      </c>
      <c r="E20" s="346" t="s">
        <v>455</v>
      </c>
      <c r="M20" s="359" t="s">
        <v>568</v>
      </c>
      <c r="N20" s="281">
        <v>50.0</v>
      </c>
      <c r="O20" s="358">
        <v>0.02710027100271003</v>
      </c>
      <c r="Q20" s="359"/>
      <c r="R20" s="360"/>
      <c r="T20" s="359"/>
      <c r="U20" s="281"/>
      <c r="V20" s="358" t="str">
        <f>IFERROR(__xludf.DUMMYFUNCTION("if(U20="""", """", U20/sum(filter($U$3:$U$1000, $U$3:$U$1000&lt;&gt;"""")))"),"")</f>
        <v/>
      </c>
    </row>
    <row r="21" ht="12.75" customHeight="1">
      <c r="A21" s="320" t="s">
        <v>569</v>
      </c>
      <c r="B21" s="363" t="s">
        <v>570</v>
      </c>
      <c r="C21" s="346">
        <v>3.0</v>
      </c>
      <c r="D21" s="364" t="s">
        <v>571</v>
      </c>
      <c r="E21" s="346" t="s">
        <v>452</v>
      </c>
      <c r="M21" s="359" t="s">
        <v>572</v>
      </c>
      <c r="N21" s="281">
        <v>50.0</v>
      </c>
      <c r="O21" s="358">
        <v>0.02710027100271003</v>
      </c>
      <c r="Q21" s="357" t="s">
        <v>573</v>
      </c>
      <c r="R21" s="362" t="s">
        <v>574</v>
      </c>
      <c r="T21" s="359"/>
      <c r="U21" s="281"/>
      <c r="V21" s="358" t="str">
        <f>IFERROR(__xludf.DUMMYFUNCTION("if(U21="""", """", U21/sum(filter($U$3:$U$1000, $U$3:$U$1000&lt;&gt;"""")))"),"")</f>
        <v/>
      </c>
    </row>
    <row r="22" ht="12.75" customHeight="1">
      <c r="A22" s="320" t="s">
        <v>575</v>
      </c>
      <c r="B22" s="363" t="s">
        <v>576</v>
      </c>
      <c r="C22" s="346">
        <v>3.0</v>
      </c>
      <c r="D22" s="364" t="s">
        <v>571</v>
      </c>
      <c r="E22" s="346" t="s">
        <v>452</v>
      </c>
      <c r="M22" s="359" t="s">
        <v>577</v>
      </c>
      <c r="N22" s="281">
        <v>50.0</v>
      </c>
      <c r="O22" s="358">
        <v>0.02710027100271003</v>
      </c>
      <c r="Q22" s="375" t="str">
        <f>IFERROR(__xludf.DUMMYFUNCTION("unique(index(arrayformula(split(filter($Q$38:$Q$500, $Q$38:$Q$500&lt;&gt;""""), ""★"")&amp;""★""), 0, 1))"),"Skull Isle - Spyglass 1★")</f>
        <v>Skull Isle - Spyglass 1★</v>
      </c>
      <c r="R22" s="374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359"/>
      <c r="U22" s="281"/>
      <c r="V22" s="358" t="str">
        <f>IFERROR(__xludf.DUMMYFUNCTION("if(U22="""", """", U22/sum(filter($U$3:$U$1000, $U$3:$U$1000&lt;&gt;"""")))"),"")</f>
        <v/>
      </c>
    </row>
    <row r="23" ht="12.75" customHeight="1">
      <c r="A23" s="320" t="s">
        <v>578</v>
      </c>
      <c r="B23" s="363" t="s">
        <v>579</v>
      </c>
      <c r="C23" s="346">
        <v>3.0</v>
      </c>
      <c r="D23" s="364" t="s">
        <v>571</v>
      </c>
      <c r="E23" s="346" t="s">
        <v>452</v>
      </c>
      <c r="M23" s="359" t="s">
        <v>580</v>
      </c>
      <c r="N23" s="281">
        <v>50.0</v>
      </c>
      <c r="O23" s="358">
        <v>0.02710027100271003</v>
      </c>
      <c r="Q23" s="375" t="str">
        <f>IFERROR(__xludf.DUMMYFUNCTION("""COMPUTED_VALUE"""),"Skull Isle - Chest 3★")</f>
        <v>Skull Isle - Chest 3★</v>
      </c>
      <c r="R23" s="374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1)=Q23)))"),2.0)</f>
        <v>2</v>
      </c>
      <c r="T23" s="359"/>
      <c r="U23" s="281"/>
      <c r="V23" s="358" t="str">
        <f>IFERROR(__xludf.DUMMYFUNCTION("if(U23="""", """", U23/sum(filter($U$3:$U$1000, $U$3:$U$1000&lt;&gt;"""")))"),"")</f>
        <v/>
      </c>
    </row>
    <row r="24" ht="12.75" customHeight="1">
      <c r="A24" s="320" t="s">
        <v>581</v>
      </c>
      <c r="B24" s="363" t="s">
        <v>582</v>
      </c>
      <c r="C24" s="346">
        <v>3.0</v>
      </c>
      <c r="D24" s="364" t="s">
        <v>571</v>
      </c>
      <c r="E24" s="346" t="s">
        <v>453</v>
      </c>
      <c r="M24" s="359" t="s">
        <v>583</v>
      </c>
      <c r="N24" s="281">
        <v>50.0</v>
      </c>
      <c r="O24" s="358">
        <v>0.02710027100271003</v>
      </c>
      <c r="Q24" s="375" t="str">
        <f>IFERROR(__xludf.DUMMYFUNCTION("""COMPUTED_VALUE"""),"Skull Isle - Compass 1★")</f>
        <v>Skull Isle - Compass 1★</v>
      </c>
      <c r="R24" s="374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1)=Q24)))"),8.0)</f>
        <v>8</v>
      </c>
      <c r="T24" s="359"/>
      <c r="U24" s="281"/>
      <c r="V24" s="358" t="str">
        <f>IFERROR(__xludf.DUMMYFUNCTION("if(U24="""", """", U24/sum(filter($U$3:$U$1000, $U$3:$U$1000&lt;&gt;"""")))"),"")</f>
        <v/>
      </c>
    </row>
    <row r="25" ht="12.75" customHeight="1">
      <c r="A25" s="320" t="s">
        <v>584</v>
      </c>
      <c r="B25" s="363" t="s">
        <v>585</v>
      </c>
      <c r="C25" s="346">
        <v>3.0</v>
      </c>
      <c r="D25" s="364" t="s">
        <v>571</v>
      </c>
      <c r="E25" s="346" t="s">
        <v>453</v>
      </c>
      <c r="M25" s="359" t="s">
        <v>586</v>
      </c>
      <c r="N25" s="281">
        <v>50.0</v>
      </c>
      <c r="O25" s="358">
        <v>0.02710027100271003</v>
      </c>
      <c r="Q25" s="375" t="str">
        <f>IFERROR(__xludf.DUMMYFUNCTION("""COMPUTED_VALUE"""),"Skull Isle - Map 1★")</f>
        <v>Skull Isle - Map 1★</v>
      </c>
      <c r="R25" s="374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1)=Q25)))"),9.0)</f>
        <v>9</v>
      </c>
      <c r="T25" s="359"/>
      <c r="U25" s="281"/>
      <c r="V25" s="358" t="str">
        <f>IFERROR(__xludf.DUMMYFUNCTION("if(U25="""", """", U25/sum(filter($U$3:$U$1000, $U$3:$U$1000&lt;&gt;"""")))"),"")</f>
        <v/>
      </c>
    </row>
    <row r="26" ht="12.75" customHeight="1">
      <c r="A26" s="320" t="s">
        <v>587</v>
      </c>
      <c r="B26" s="363" t="s">
        <v>588</v>
      </c>
      <c r="C26" s="346">
        <v>3.0</v>
      </c>
      <c r="D26" s="364" t="s">
        <v>571</v>
      </c>
      <c r="E26" s="346" t="s">
        <v>454</v>
      </c>
      <c r="M26" s="359" t="s">
        <v>589</v>
      </c>
      <c r="N26" s="281">
        <v>50.0</v>
      </c>
      <c r="O26" s="358">
        <v>0.02710027100271003</v>
      </c>
      <c r="Q26" s="375" t="str">
        <f>IFERROR(__xludf.DUMMYFUNCTION("""COMPUTED_VALUE"""),"Skull Isle - Cutlass 2★")</f>
        <v>Skull Isle - Cutlass 2★</v>
      </c>
      <c r="R26" s="374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359"/>
      <c r="U26" s="281"/>
      <c r="V26" s="358" t="str">
        <f>IFERROR(__xludf.DUMMYFUNCTION("if(U26="""", """", U26/sum(filter($U$3:$U$1000, $U$3:$U$1000&lt;&gt;"""")))"),"")</f>
        <v/>
      </c>
    </row>
    <row r="27" ht="12.75" customHeight="1">
      <c r="A27" s="320" t="s">
        <v>590</v>
      </c>
      <c r="B27" s="363" t="s">
        <v>591</v>
      </c>
      <c r="C27" s="346">
        <v>3.0</v>
      </c>
      <c r="D27" s="364" t="s">
        <v>571</v>
      </c>
      <c r="E27" s="346" t="s">
        <v>455</v>
      </c>
      <c r="M27" s="359" t="s">
        <v>592</v>
      </c>
      <c r="N27" s="281">
        <v>50.0</v>
      </c>
      <c r="O27" s="358">
        <v>0.02710027100271003</v>
      </c>
      <c r="Q27" s="375" t="str">
        <f>IFERROR(__xludf.DUMMYFUNCTION("""COMPUTED_VALUE"""),"Skull Isle - Helm 2★")</f>
        <v>Skull Isle - Helm 2★</v>
      </c>
      <c r="R27" s="374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359"/>
      <c r="U27" s="281"/>
      <c r="V27" s="358" t="str">
        <f>IFERROR(__xludf.DUMMYFUNCTION("if(U27="""", """", U27/sum(filter($U$3:$U$1000, $U$3:$U$1000&lt;&gt;"""")))"),"")</f>
        <v/>
      </c>
    </row>
    <row r="28" ht="12.75" customHeight="1">
      <c r="A28" s="320" t="s">
        <v>593</v>
      </c>
      <c r="B28" s="363" t="s">
        <v>594</v>
      </c>
      <c r="C28" s="346">
        <v>3.0</v>
      </c>
      <c r="D28" s="364" t="s">
        <v>571</v>
      </c>
      <c r="E28" s="346" t="s">
        <v>455</v>
      </c>
      <c r="M28" s="359" t="s">
        <v>595</v>
      </c>
      <c r="N28" s="281">
        <v>50.0</v>
      </c>
      <c r="O28" s="358">
        <v>0.02710027100271003</v>
      </c>
      <c r="Q28" s="375" t="str">
        <f>IFERROR(__xludf.DUMMYFUNCTION("""COMPUTED_VALUE"""),"Skull Isle - Anchor 1★")</f>
        <v>Skull Isle - Anchor 1★</v>
      </c>
      <c r="R28" s="374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1)=Q28)))"),3.0)</f>
        <v>3</v>
      </c>
      <c r="T28" s="359"/>
      <c r="U28" s="281"/>
      <c r="V28" s="358" t="str">
        <f>IFERROR(__xludf.DUMMYFUNCTION("if(U28="""", """", U28/sum(filter($U$3:$U$1000, $U$3:$U$1000&lt;&gt;"""")))"),"")</f>
        <v/>
      </c>
    </row>
    <row r="29" ht="12.75" customHeight="1">
      <c r="A29" s="320" t="s">
        <v>596</v>
      </c>
      <c r="B29" s="363" t="s">
        <v>597</v>
      </c>
      <c r="C29" s="346">
        <v>3.0</v>
      </c>
      <c r="D29" s="364" t="s">
        <v>571</v>
      </c>
      <c r="E29" s="346" t="s">
        <v>456</v>
      </c>
      <c r="M29" s="359" t="s">
        <v>598</v>
      </c>
      <c r="N29" s="281">
        <v>50.0</v>
      </c>
      <c r="O29" s="358">
        <v>0.02710027100271003</v>
      </c>
      <c r="Q29" s="375"/>
      <c r="R29" s="374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59"/>
      <c r="U29" s="281"/>
      <c r="V29" s="358" t="str">
        <f>IFERROR(__xludf.DUMMYFUNCTION("if(U29="""", """", U29/sum(filter($U$3:$U$1000, $U$3:$U$1000&lt;&gt;"""")))"),"")</f>
        <v/>
      </c>
    </row>
    <row r="30" ht="12.75" customHeight="1">
      <c r="A30" s="320" t="s">
        <v>599</v>
      </c>
      <c r="B30" s="363" t="s">
        <v>600</v>
      </c>
      <c r="C30" s="346">
        <v>4.0</v>
      </c>
      <c r="D30" s="364" t="s">
        <v>601</v>
      </c>
      <c r="E30" s="346" t="s">
        <v>452</v>
      </c>
      <c r="M30" s="359" t="s">
        <v>602</v>
      </c>
      <c r="N30" s="281">
        <v>50.0</v>
      </c>
      <c r="O30" s="358">
        <v>0.02710027100271003</v>
      </c>
      <c r="Q30" s="375"/>
      <c r="R30" s="374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59"/>
      <c r="U30" s="281"/>
      <c r="V30" s="358" t="str">
        <f>IFERROR(__xludf.DUMMYFUNCTION("if(U30="""", """", U30/sum(filter($U$3:$U$1000, $U$3:$U$1000&lt;&gt;"""")))"),"")</f>
        <v/>
      </c>
    </row>
    <row r="31" ht="12.75" customHeight="1">
      <c r="A31" s="320" t="s">
        <v>603</v>
      </c>
      <c r="B31" s="363" t="s">
        <v>604</v>
      </c>
      <c r="C31" s="346">
        <v>4.0</v>
      </c>
      <c r="D31" s="364" t="s">
        <v>601</v>
      </c>
      <c r="E31" s="346" t="s">
        <v>452</v>
      </c>
      <c r="M31" s="359" t="s">
        <v>605</v>
      </c>
      <c r="N31" s="281">
        <v>50.0</v>
      </c>
      <c r="O31" s="358">
        <v>0.02710027100271003</v>
      </c>
      <c r="Q31" s="375"/>
      <c r="R31" s="374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59"/>
      <c r="U31" s="281"/>
      <c r="V31" s="358" t="str">
        <f>IFERROR(__xludf.DUMMYFUNCTION("if(U31="""", """", U31/sum(filter($U$3:$U$1000, $U$3:$U$1000&lt;&gt;"""")))"),"")</f>
        <v/>
      </c>
    </row>
    <row r="32" ht="12.75" customHeight="1">
      <c r="A32" s="320" t="s">
        <v>606</v>
      </c>
      <c r="B32" s="363" t="s">
        <v>607</v>
      </c>
      <c r="C32" s="346">
        <v>4.0</v>
      </c>
      <c r="D32" s="364" t="s">
        <v>601</v>
      </c>
      <c r="E32" s="346" t="s">
        <v>453</v>
      </c>
      <c r="M32" s="359" t="s">
        <v>608</v>
      </c>
      <c r="N32" s="281">
        <v>50.0</v>
      </c>
      <c r="O32" s="358">
        <v>0.02710027100271003</v>
      </c>
      <c r="Q32" s="375"/>
      <c r="R32" s="374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59"/>
      <c r="U32" s="281"/>
      <c r="V32" s="358" t="str">
        <f>IFERROR(__xludf.DUMMYFUNCTION("if(U32="""", """", U32/sum(filter($U$3:$U$1000, $U$3:$U$1000&lt;&gt;"""")))"),"")</f>
        <v/>
      </c>
    </row>
    <row r="33" ht="12.75" customHeight="1">
      <c r="A33" s="320" t="s">
        <v>609</v>
      </c>
      <c r="B33" s="363" t="s">
        <v>610</v>
      </c>
      <c r="C33" s="346">
        <v>4.0</v>
      </c>
      <c r="D33" s="364" t="s">
        <v>601</v>
      </c>
      <c r="E33" s="346" t="s">
        <v>453</v>
      </c>
      <c r="M33" s="359" t="s">
        <v>611</v>
      </c>
      <c r="N33" s="281">
        <v>20.0</v>
      </c>
      <c r="O33" s="358">
        <v>0.01084010840108401</v>
      </c>
      <c r="Q33" s="375"/>
      <c r="R33" s="374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59"/>
      <c r="U33" s="281"/>
      <c r="V33" s="358" t="str">
        <f>IFERROR(__xludf.DUMMYFUNCTION("if(U33="""", """", U33/sum(filter($U$3:$U$1000, $U$3:$U$1000&lt;&gt;"""")))"),"")</f>
        <v/>
      </c>
    </row>
    <row r="34" ht="12.75" customHeight="1">
      <c r="A34" s="320" t="s">
        <v>612</v>
      </c>
      <c r="B34" s="363" t="s">
        <v>613</v>
      </c>
      <c r="C34" s="346">
        <v>4.0</v>
      </c>
      <c r="D34" s="364" t="s">
        <v>601</v>
      </c>
      <c r="E34" s="346" t="s">
        <v>454</v>
      </c>
      <c r="M34" s="359" t="s">
        <v>614</v>
      </c>
      <c r="N34" s="281">
        <v>20.0</v>
      </c>
      <c r="O34" s="358">
        <v>0.01084010840108401</v>
      </c>
      <c r="Q34" s="375"/>
      <c r="R34" s="374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59"/>
      <c r="U34" s="281"/>
      <c r="V34" s="358" t="str">
        <f>IFERROR(__xludf.DUMMYFUNCTION("if(U34="""", """", U34/sum(filter($U$3:$U$1000, $U$3:$U$1000&lt;&gt;"""")))"),"")</f>
        <v/>
      </c>
    </row>
    <row r="35" ht="12.75" customHeight="1">
      <c r="A35" s="320" t="s">
        <v>615</v>
      </c>
      <c r="B35" s="363" t="s">
        <v>616</v>
      </c>
      <c r="C35" s="346">
        <v>4.0</v>
      </c>
      <c r="D35" s="364" t="s">
        <v>601</v>
      </c>
      <c r="E35" s="346" t="s">
        <v>454</v>
      </c>
      <c r="M35" s="359" t="s">
        <v>617</v>
      </c>
      <c r="N35" s="281">
        <v>20.0</v>
      </c>
      <c r="O35" s="358">
        <v>0.01084010840108401</v>
      </c>
      <c r="Q35" s="359"/>
      <c r="R35" s="374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59"/>
      <c r="U35" s="281"/>
      <c r="V35" s="358" t="str">
        <f>IFERROR(__xludf.DUMMYFUNCTION("if(U35="""", """", U35/sum(filter($U$3:$U$1000, $U$3:$U$1000&lt;&gt;"""")))"),"")</f>
        <v/>
      </c>
    </row>
    <row r="36" ht="12.75" customHeight="1">
      <c r="A36" s="320" t="s">
        <v>618</v>
      </c>
      <c r="B36" s="363" t="s">
        <v>619</v>
      </c>
      <c r="C36" s="346">
        <v>4.0</v>
      </c>
      <c r="D36" s="364" t="s">
        <v>601</v>
      </c>
      <c r="E36" s="346" t="s">
        <v>455</v>
      </c>
      <c r="M36" s="359" t="s">
        <v>620</v>
      </c>
      <c r="N36" s="281">
        <v>20.0</v>
      </c>
      <c r="O36" s="358">
        <v>0.01084010840108401</v>
      </c>
      <c r="Q36" s="359"/>
      <c r="R36" s="360"/>
      <c r="T36" s="359"/>
      <c r="U36" s="281"/>
      <c r="V36" s="358" t="str">
        <f>IFERROR(__xludf.DUMMYFUNCTION("if(U36="""", """", U36/sum(filter($U$3:$U$1000, $U$3:$U$1000&lt;&gt;"""")))"),"")</f>
        <v/>
      </c>
    </row>
    <row r="37" ht="12.75" customHeight="1">
      <c r="A37" s="320" t="s">
        <v>621</v>
      </c>
      <c r="B37" s="363" t="s">
        <v>622</v>
      </c>
      <c r="C37" s="346">
        <v>4.0</v>
      </c>
      <c r="D37" s="364" t="s">
        <v>601</v>
      </c>
      <c r="E37" s="346" t="s">
        <v>455</v>
      </c>
      <c r="M37" s="359" t="s">
        <v>623</v>
      </c>
      <c r="N37" s="281">
        <v>20.0</v>
      </c>
      <c r="O37" s="358">
        <v>0.01084010840108401</v>
      </c>
      <c r="Q37" s="357" t="s">
        <v>624</v>
      </c>
      <c r="R37" s="360"/>
      <c r="T37" s="359"/>
      <c r="U37" s="281"/>
      <c r="V37" s="358" t="str">
        <f>IFERROR(__xludf.DUMMYFUNCTION("if(U37="""", """", U37/sum(filter($U$3:$U$1000, $U$3:$U$1000&lt;&gt;"""")))"),"")</f>
        <v/>
      </c>
    </row>
    <row r="38" ht="12.75" customHeight="1">
      <c r="A38" s="320" t="s">
        <v>625</v>
      </c>
      <c r="B38" s="363" t="s">
        <v>626</v>
      </c>
      <c r="C38" s="346">
        <v>4.0</v>
      </c>
      <c r="D38" s="364" t="s">
        <v>601</v>
      </c>
      <c r="E38" s="346" t="s">
        <v>456</v>
      </c>
      <c r="M38" s="359" t="s">
        <v>627</v>
      </c>
      <c r="N38" s="281">
        <v>20.0</v>
      </c>
      <c r="O38" s="358">
        <v>0.01084010840108401</v>
      </c>
      <c r="Q38" s="359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#B0C")</f>
        <v>Skull Isle - Spyglass 1★ #B0C</v>
      </c>
      <c r="R38" s="360"/>
      <c r="T38" s="359"/>
      <c r="U38" s="281"/>
      <c r="V38" s="358" t="str">
        <f>IFERROR(__xludf.DUMMYFUNCTION("if(U38="""", """", U38/sum(filter($U$3:$U$1000, $U$3:$U$1000&lt;&gt;"""")))"),"")</f>
        <v/>
      </c>
    </row>
    <row r="39" ht="12.75" customHeight="1">
      <c r="A39" s="320" t="s">
        <v>628</v>
      </c>
      <c r="B39" s="363" t="s">
        <v>629</v>
      </c>
      <c r="C39" s="346">
        <v>5.0</v>
      </c>
      <c r="D39" s="364" t="s">
        <v>630</v>
      </c>
      <c r="E39" s="346" t="s">
        <v>452</v>
      </c>
      <c r="M39" s="359" t="s">
        <v>631</v>
      </c>
      <c r="N39" s="281">
        <v>20.0</v>
      </c>
      <c r="O39" s="358">
        <v>0.01084010840108401</v>
      </c>
      <c r="Q39" s="359" t="str">
        <f>IFERROR(__xludf.DUMMYFUNCTION("""COMPUTED_VALUE"""),"Skull Isle - Chest 3★ #130")</f>
        <v>Skull Isle - Chest 3★ #130</v>
      </c>
      <c r="R39" s="360"/>
      <c r="T39" s="359"/>
      <c r="U39" s="281"/>
      <c r="V39" s="358" t="str">
        <f>IFERROR(__xludf.DUMMYFUNCTION("if(U39="""", """", U39/sum(filter($U$3:$U$1000, $U$3:$U$1000&lt;&gt;"""")))"),"")</f>
        <v/>
      </c>
    </row>
    <row r="40" ht="12.75" customHeight="1">
      <c r="A40" s="320" t="s">
        <v>632</v>
      </c>
      <c r="B40" s="363" t="s">
        <v>633</v>
      </c>
      <c r="C40" s="346">
        <v>5.0</v>
      </c>
      <c r="D40" s="364" t="s">
        <v>630</v>
      </c>
      <c r="E40" s="346" t="s">
        <v>452</v>
      </c>
      <c r="M40" s="359" t="s">
        <v>634</v>
      </c>
      <c r="N40" s="281">
        <v>20.0</v>
      </c>
      <c r="O40" s="358">
        <v>0.01084010840108401</v>
      </c>
      <c r="Q40" s="359" t="str">
        <f>IFERROR(__xludf.DUMMYFUNCTION("""COMPUTED_VALUE"""),"Skull Isle - Compass 1★ #F40")</f>
        <v>Skull Isle - Compass 1★ #F40</v>
      </c>
      <c r="R40" s="360"/>
      <c r="T40" s="359"/>
      <c r="U40" s="281"/>
      <c r="V40" s="358" t="str">
        <f>IFERROR(__xludf.DUMMYFUNCTION("if(U40="""", """", U40/sum(filter($U$3:$U$1000, $U$3:$U$1000&lt;&gt;"""")))"),"")</f>
        <v/>
      </c>
    </row>
    <row r="41" ht="12.75" customHeight="1">
      <c r="A41" s="320" t="s">
        <v>635</v>
      </c>
      <c r="B41" s="363" t="s">
        <v>636</v>
      </c>
      <c r="C41" s="346">
        <v>5.0</v>
      </c>
      <c r="D41" s="364" t="s">
        <v>630</v>
      </c>
      <c r="E41" s="346" t="s">
        <v>453</v>
      </c>
      <c r="M41" s="359" t="s">
        <v>637</v>
      </c>
      <c r="N41" s="281">
        <v>20.0</v>
      </c>
      <c r="O41" s="358">
        <v>0.01084010840108401</v>
      </c>
      <c r="Q41" s="359" t="str">
        <f>IFERROR(__xludf.DUMMYFUNCTION("""COMPUTED_VALUE"""),"Skull Isle - Map 1★ #A71")</f>
        <v>Skull Isle - Map 1★ #A71</v>
      </c>
      <c r="R41" s="360"/>
      <c r="T41" s="359"/>
      <c r="U41" s="281"/>
      <c r="V41" s="358" t="str">
        <f>IFERROR(__xludf.DUMMYFUNCTION("if(U41="""", """", U41/sum(filter($U$3:$U$1000, $U$3:$U$1000&lt;&gt;"""")))"),"")</f>
        <v/>
      </c>
    </row>
    <row r="42" ht="12.75" customHeight="1">
      <c r="A42" s="320" t="s">
        <v>638</v>
      </c>
      <c r="B42" s="363" t="s">
        <v>639</v>
      </c>
      <c r="C42" s="346">
        <v>5.0</v>
      </c>
      <c r="D42" s="364" t="s">
        <v>630</v>
      </c>
      <c r="E42" s="346" t="s">
        <v>453</v>
      </c>
      <c r="M42" s="359" t="s">
        <v>640</v>
      </c>
      <c r="N42" s="281">
        <v>20.0</v>
      </c>
      <c r="O42" s="358">
        <v>0.01084010840108401</v>
      </c>
      <c r="Q42" s="359" t="str">
        <f>IFERROR(__xludf.DUMMYFUNCTION("""COMPUTED_VALUE"""),"Skull Isle - Spyglass 1★ #AED")</f>
        <v>Skull Isle - Spyglass 1★ #AED</v>
      </c>
      <c r="R42" s="360"/>
      <c r="T42" s="359"/>
      <c r="U42" s="281"/>
      <c r="V42" s="358" t="str">
        <f>IFERROR(__xludf.DUMMYFUNCTION("if(U42="""", """", U42/sum(filter($U$3:$U$1000, $U$3:$U$1000&lt;&gt;"""")))"),"")</f>
        <v/>
      </c>
    </row>
    <row r="43" ht="12.75" customHeight="1">
      <c r="A43" s="320" t="s">
        <v>641</v>
      </c>
      <c r="B43" s="363" t="s">
        <v>642</v>
      </c>
      <c r="C43" s="346">
        <v>5.0</v>
      </c>
      <c r="D43" s="364" t="s">
        <v>630</v>
      </c>
      <c r="E43" s="346" t="s">
        <v>454</v>
      </c>
      <c r="M43" s="359" t="s">
        <v>643</v>
      </c>
      <c r="N43" s="281">
        <v>20.0</v>
      </c>
      <c r="O43" s="358">
        <v>0.01084010840108401</v>
      </c>
      <c r="Q43" s="359" t="str">
        <f>IFERROR(__xludf.DUMMYFUNCTION("""COMPUTED_VALUE"""),"Skull Isle - Map 1★ #FFA")</f>
        <v>Skull Isle - Map 1★ #FFA</v>
      </c>
      <c r="R43" s="360"/>
      <c r="T43" s="359"/>
      <c r="U43" s="281"/>
      <c r="V43" s="358" t="str">
        <f>IFERROR(__xludf.DUMMYFUNCTION("if(U43="""", """", U43/sum(filter($U$3:$U$1000, $U$3:$U$1000&lt;&gt;"""")))"),"")</f>
        <v/>
      </c>
    </row>
    <row r="44" ht="12.75" customHeight="1">
      <c r="A44" s="320" t="s">
        <v>644</v>
      </c>
      <c r="B44" s="363" t="s">
        <v>645</v>
      </c>
      <c r="C44" s="346">
        <v>5.0</v>
      </c>
      <c r="D44" s="364" t="s">
        <v>630</v>
      </c>
      <c r="E44" s="346" t="s">
        <v>455</v>
      </c>
      <c r="M44" s="359" t="s">
        <v>646</v>
      </c>
      <c r="N44" s="281">
        <v>20.0</v>
      </c>
      <c r="O44" s="358">
        <v>0.01084010840108401</v>
      </c>
      <c r="Q44" s="359" t="str">
        <f>IFERROR(__xludf.DUMMYFUNCTION("""COMPUTED_VALUE"""),"Skull Isle - Cutlass 2★ #63D")</f>
        <v>Skull Isle - Cutlass 2★ #63D</v>
      </c>
      <c r="R44" s="360"/>
      <c r="T44" s="359"/>
      <c r="U44" s="281"/>
      <c r="V44" s="358" t="str">
        <f>IFERROR(__xludf.DUMMYFUNCTION("if(U44="""", """", U44/sum(filter($U$3:$U$1000, $U$3:$U$1000&lt;&gt;"""")))"),"")</f>
        <v/>
      </c>
    </row>
    <row r="45" ht="12.75" customHeight="1">
      <c r="A45" s="320" t="s">
        <v>647</v>
      </c>
      <c r="B45" s="363" t="s">
        <v>648</v>
      </c>
      <c r="C45" s="346">
        <v>5.0</v>
      </c>
      <c r="D45" s="364" t="s">
        <v>630</v>
      </c>
      <c r="E45" s="346" t="s">
        <v>455</v>
      </c>
      <c r="M45" s="359" t="s">
        <v>649</v>
      </c>
      <c r="N45" s="281">
        <v>20.0</v>
      </c>
      <c r="O45" s="358">
        <v>0.01084010840108401</v>
      </c>
      <c r="Q45" s="359" t="str">
        <f>IFERROR(__xludf.DUMMYFUNCTION("""COMPUTED_VALUE"""),"Skull Isle - Spyglass 1★ #564")</f>
        <v>Skull Isle - Spyglass 1★ #564</v>
      </c>
      <c r="R45" s="360"/>
      <c r="T45" s="359"/>
      <c r="U45" s="281"/>
      <c r="V45" s="358" t="str">
        <f>IFERROR(__xludf.DUMMYFUNCTION("if(U45="""", """", U45/sum(filter($U$3:$U$1000, $U$3:$U$1000&lt;&gt;"""")))"),"")</f>
        <v/>
      </c>
    </row>
    <row r="46" ht="12.75" customHeight="1">
      <c r="A46" s="320" t="s">
        <v>650</v>
      </c>
      <c r="B46" s="363" t="s">
        <v>651</v>
      </c>
      <c r="C46" s="346">
        <v>5.0</v>
      </c>
      <c r="D46" s="364" t="s">
        <v>630</v>
      </c>
      <c r="E46" s="346" t="s">
        <v>456</v>
      </c>
      <c r="M46" s="359" t="s">
        <v>652</v>
      </c>
      <c r="N46" s="281">
        <v>20.0</v>
      </c>
      <c r="O46" s="358">
        <v>0.01084010840108401</v>
      </c>
      <c r="Q46" s="359" t="str">
        <f>IFERROR(__xludf.DUMMYFUNCTION("""COMPUTED_VALUE"""),"Skull Isle - Helm 2★ #5FF")</f>
        <v>Skull Isle - Helm 2★ #5FF</v>
      </c>
      <c r="R46" s="360"/>
      <c r="T46" s="372"/>
      <c r="U46" s="281"/>
      <c r="V46" s="358" t="str">
        <f>IFERROR(__xludf.DUMMYFUNCTION("if(U46="""", """", U46/sum(filter($U$3:$U$1000, $U$3:$U$1000&lt;&gt;"""")))"),"")</f>
        <v/>
      </c>
    </row>
    <row r="47" ht="12.75" customHeight="1">
      <c r="A47" s="320" t="s">
        <v>653</v>
      </c>
      <c r="B47" s="363" t="s">
        <v>654</v>
      </c>
      <c r="C47" s="346">
        <v>5.0</v>
      </c>
      <c r="D47" s="364" t="s">
        <v>630</v>
      </c>
      <c r="E47" s="346" t="s">
        <v>456</v>
      </c>
      <c r="M47" s="359" t="s">
        <v>655</v>
      </c>
      <c r="N47" s="281">
        <v>20.0</v>
      </c>
      <c r="O47" s="358">
        <v>0.01084010840108401</v>
      </c>
      <c r="Q47" s="359" t="str">
        <f>IFERROR(__xludf.DUMMYFUNCTION("""COMPUTED_VALUE"""),"Skull Isle - Map 1★ #AAF")</f>
        <v>Skull Isle - Map 1★ #AAF</v>
      </c>
      <c r="R47" s="360"/>
      <c r="T47" s="372"/>
      <c r="U47" s="281"/>
      <c r="V47" s="358" t="str">
        <f>IFERROR(__xludf.DUMMYFUNCTION("if(U47="""", """", U47/sum(filter($U$3:$U$1000, $U$3:$U$1000&lt;&gt;"""")))"),"")</f>
        <v/>
      </c>
    </row>
    <row r="48" ht="12.75" customHeight="1">
      <c r="A48" s="320" t="s">
        <v>656</v>
      </c>
      <c r="B48" s="363" t="s">
        <v>657</v>
      </c>
      <c r="C48" s="346">
        <v>6.0</v>
      </c>
      <c r="D48" s="364" t="s">
        <v>658</v>
      </c>
      <c r="E48" s="346" t="s">
        <v>452</v>
      </c>
      <c r="M48" s="359" t="s">
        <v>659</v>
      </c>
      <c r="N48" s="281">
        <v>10.0</v>
      </c>
      <c r="O48" s="358">
        <v>0.005420054200542005</v>
      </c>
      <c r="Q48" s="359" t="str">
        <f>IFERROR(__xludf.DUMMYFUNCTION("""COMPUTED_VALUE"""),"Skull Isle - Map 1★ #507")</f>
        <v>Skull Isle - Map 1★ #507</v>
      </c>
      <c r="R48" s="360"/>
      <c r="T48" s="372"/>
      <c r="U48" s="281"/>
      <c r="V48" s="358" t="str">
        <f>IFERROR(__xludf.DUMMYFUNCTION("if(U48="""", """", U48/sum(filter($U$3:$U$1000, $U$3:$U$1000&lt;&gt;"""")))"),"")</f>
        <v/>
      </c>
    </row>
    <row r="49" ht="12.75" customHeight="1">
      <c r="A49" s="320" t="s">
        <v>660</v>
      </c>
      <c r="B49" s="363" t="s">
        <v>661</v>
      </c>
      <c r="C49" s="346">
        <v>6.0</v>
      </c>
      <c r="D49" s="364" t="s">
        <v>658</v>
      </c>
      <c r="E49" s="346" t="s">
        <v>452</v>
      </c>
      <c r="M49" s="359" t="s">
        <v>662</v>
      </c>
      <c r="N49" s="281">
        <v>10.0</v>
      </c>
      <c r="O49" s="358">
        <v>0.005420054200542005</v>
      </c>
      <c r="Q49" s="359" t="str">
        <f>IFERROR(__xludf.DUMMYFUNCTION("""COMPUTED_VALUE"""),"Skull Isle - Anchor 1★ #076")</f>
        <v>Skull Isle - Anchor 1★ #076</v>
      </c>
      <c r="R49" s="360"/>
      <c r="T49" s="372"/>
      <c r="U49" s="281"/>
      <c r="V49" s="358" t="str">
        <f>IFERROR(__xludf.DUMMYFUNCTION("if(U49="""", """", U49/sum(filter($U$3:$U$1000, $U$3:$U$1000&lt;&gt;"""")))"),"")</f>
        <v/>
      </c>
    </row>
    <row r="50" ht="12.75" customHeight="1">
      <c r="A50" s="320" t="s">
        <v>663</v>
      </c>
      <c r="B50" s="363" t="s">
        <v>664</v>
      </c>
      <c r="C50" s="346">
        <v>6.0</v>
      </c>
      <c r="D50" s="364" t="s">
        <v>658</v>
      </c>
      <c r="E50" s="346" t="s">
        <v>453</v>
      </c>
      <c r="M50" s="359" t="s">
        <v>665</v>
      </c>
      <c r="N50" s="281">
        <v>10.0</v>
      </c>
      <c r="O50" s="358">
        <v>0.005420054200542005</v>
      </c>
      <c r="Q50" s="359" t="str">
        <f>IFERROR(__xludf.DUMMYFUNCTION("""COMPUTED_VALUE"""),"Skull Isle - Spyglass 1★ #038")</f>
        <v>Skull Isle - Spyglass 1★ #038</v>
      </c>
      <c r="R50" s="360"/>
      <c r="T50" s="372"/>
      <c r="U50" s="281"/>
      <c r="V50" s="358" t="str">
        <f>IFERROR(__xludf.DUMMYFUNCTION("if(U50="""", """", U50/sum(filter($U$3:$U$1000, $U$3:$U$1000&lt;&gt;"""")))"),"")</f>
        <v/>
      </c>
    </row>
    <row r="51" ht="12.75" customHeight="1">
      <c r="A51" s="320" t="s">
        <v>666</v>
      </c>
      <c r="B51" s="363" t="s">
        <v>667</v>
      </c>
      <c r="C51" s="346">
        <v>6.0</v>
      </c>
      <c r="D51" s="364" t="s">
        <v>658</v>
      </c>
      <c r="E51" s="346" t="s">
        <v>453</v>
      </c>
      <c r="M51" s="359" t="s">
        <v>668</v>
      </c>
      <c r="N51" s="281">
        <v>10.0</v>
      </c>
      <c r="O51" s="358">
        <v>0.005420054200542005</v>
      </c>
      <c r="Q51" s="359" t="str">
        <f>IFERROR(__xludf.DUMMYFUNCTION("""COMPUTED_VALUE"""),"Skull Isle - Compass 1★ #4C9")</f>
        <v>Skull Isle - Compass 1★ #4C9</v>
      </c>
      <c r="R51" s="360"/>
      <c r="T51" s="372"/>
      <c r="U51" s="281"/>
      <c r="V51" s="358" t="str">
        <f>IFERROR(__xludf.DUMMYFUNCTION("if(U51="""", """", U51/sum(filter($U$3:$U$1000, $U$3:$U$1000&lt;&gt;"""")))"),"")</f>
        <v/>
      </c>
    </row>
    <row r="52" ht="12.75" customHeight="1">
      <c r="A52" s="320" t="s">
        <v>669</v>
      </c>
      <c r="B52" s="363" t="s">
        <v>670</v>
      </c>
      <c r="C52" s="346">
        <v>6.0</v>
      </c>
      <c r="D52" s="364" t="s">
        <v>658</v>
      </c>
      <c r="E52" s="346" t="s">
        <v>454</v>
      </c>
      <c r="M52" s="359" t="s">
        <v>671</v>
      </c>
      <c r="N52" s="281">
        <v>5.0</v>
      </c>
      <c r="O52" s="358">
        <v>0.0027100271002710027</v>
      </c>
      <c r="Q52" s="359" t="str">
        <f>IFERROR(__xludf.DUMMYFUNCTION("""COMPUTED_VALUE"""),"Skull Isle - Map 1★ #A52")</f>
        <v>Skull Isle - Map 1★ #A52</v>
      </c>
      <c r="R52" s="360"/>
      <c r="T52" s="372"/>
      <c r="U52" s="281"/>
      <c r="V52" s="358" t="str">
        <f>IFERROR(__xludf.DUMMYFUNCTION("if(U52="""", """", U52/sum(filter($U$3:$U$1000, $U$3:$U$1000&lt;&gt;"""")))"),"")</f>
        <v/>
      </c>
    </row>
    <row r="53" ht="12.75" customHeight="1">
      <c r="A53" s="320" t="s">
        <v>672</v>
      </c>
      <c r="B53" s="363" t="s">
        <v>673</v>
      </c>
      <c r="C53" s="346">
        <v>6.0</v>
      </c>
      <c r="D53" s="364" t="s">
        <v>658</v>
      </c>
      <c r="E53" s="346" t="s">
        <v>455</v>
      </c>
      <c r="M53" s="359"/>
      <c r="N53" s="281"/>
      <c r="O53" s="358"/>
      <c r="Q53" s="359" t="str">
        <f>IFERROR(__xludf.DUMMYFUNCTION("""COMPUTED_VALUE"""),"Skull Isle - Spyglass 1★ #ACE")</f>
        <v>Skull Isle - Spyglass 1★ #ACE</v>
      </c>
      <c r="R53" s="360"/>
      <c r="T53" s="372"/>
      <c r="U53" s="281"/>
      <c r="V53" s="358" t="str">
        <f>IFERROR(__xludf.DUMMYFUNCTION("if(U53="""", """", U53/sum(filter($U$3:$U$1000, $U$3:$U$1000&lt;&gt;"""")))"),"")</f>
        <v/>
      </c>
    </row>
    <row r="54" ht="12.75" customHeight="1">
      <c r="A54" s="320" t="s">
        <v>674</v>
      </c>
      <c r="B54" s="363" t="s">
        <v>675</v>
      </c>
      <c r="C54" s="346">
        <v>6.0</v>
      </c>
      <c r="D54" s="364" t="s">
        <v>658</v>
      </c>
      <c r="E54" s="346" t="s">
        <v>456</v>
      </c>
      <c r="M54" s="359"/>
      <c r="N54" s="281"/>
      <c r="O54" s="358"/>
      <c r="Q54" s="359" t="str">
        <f>IFERROR(__xludf.DUMMYFUNCTION("""COMPUTED_VALUE"""),"Skull Isle - Map 1★ #FBC")</f>
        <v>Skull Isle - Map 1★ #FBC</v>
      </c>
      <c r="R54" s="360"/>
      <c r="T54" s="372"/>
      <c r="U54" s="281"/>
      <c r="V54" s="358" t="str">
        <f>IFERROR(__xludf.DUMMYFUNCTION("if(U54="""", """", U54/sum(filter($U$3:$U$1000, $U$3:$U$1000&lt;&gt;"""")))"),"")</f>
        <v/>
      </c>
    </row>
    <row r="55" ht="12.75" customHeight="1">
      <c r="A55" s="320" t="s">
        <v>676</v>
      </c>
      <c r="B55" s="363" t="s">
        <v>677</v>
      </c>
      <c r="C55" s="346">
        <v>6.0</v>
      </c>
      <c r="D55" s="364" t="s">
        <v>658</v>
      </c>
      <c r="E55" s="321" t="s">
        <v>456</v>
      </c>
      <c r="M55" s="359"/>
      <c r="N55" s="281"/>
      <c r="O55" s="358"/>
      <c r="Q55" s="359" t="str">
        <f>IFERROR(__xludf.DUMMYFUNCTION("""COMPUTED_VALUE"""),"Skull Isle - Spyglass 1★ #5A2")</f>
        <v>Skull Isle - Spyglass 1★ #5A2</v>
      </c>
      <c r="R55" s="360"/>
      <c r="T55" s="372"/>
      <c r="U55" s="281"/>
      <c r="V55" s="358" t="str">
        <f>IFERROR(__xludf.DUMMYFUNCTION("if(U55="""", """", U55/sum(filter($U$3:$U$1000, $U$3:$U$1000&lt;&gt;"""")))"),"")</f>
        <v/>
      </c>
    </row>
    <row r="56" ht="12.75" customHeight="1">
      <c r="A56" s="320" t="s">
        <v>678</v>
      </c>
      <c r="B56" s="363" t="s">
        <v>679</v>
      </c>
      <c r="C56" s="346">
        <v>6.0</v>
      </c>
      <c r="D56" s="364" t="s">
        <v>658</v>
      </c>
      <c r="E56" s="321" t="s">
        <v>456</v>
      </c>
      <c r="M56" s="359"/>
      <c r="N56" s="281"/>
      <c r="O56" s="358"/>
      <c r="Q56" s="359" t="str">
        <f>IFERROR(__xludf.DUMMYFUNCTION("""COMPUTED_VALUE"""),"Skull Isle - Compass 1★ #4E8")</f>
        <v>Skull Isle - Compass 1★ #4E8</v>
      </c>
      <c r="R56" s="360"/>
      <c r="T56" s="372"/>
      <c r="U56" s="281"/>
      <c r="V56" s="358" t="str">
        <f>IFERROR(__xludf.DUMMYFUNCTION("if(U56="""", """", U56/sum(filter($U$3:$U$1000, $U$3:$U$1000&lt;&gt;"""")))"),"")</f>
        <v/>
      </c>
    </row>
    <row r="57" ht="12.75" customHeight="1">
      <c r="A57" s="320" t="s">
        <v>680</v>
      </c>
      <c r="B57" s="363" t="s">
        <v>681</v>
      </c>
      <c r="C57" s="346">
        <v>7.0</v>
      </c>
      <c r="D57" s="364" t="s">
        <v>682</v>
      </c>
      <c r="E57" s="346" t="s">
        <v>452</v>
      </c>
      <c r="M57" s="359"/>
      <c r="N57" s="281"/>
      <c r="O57" s="358"/>
      <c r="Q57" s="359" t="str">
        <f>IFERROR(__xludf.DUMMYFUNCTION("""COMPUTED_VALUE"""),"Skull Isle - Chest 3★ #67B")</f>
        <v>Skull Isle - Chest 3★ #67B</v>
      </c>
      <c r="R57" s="360"/>
      <c r="T57" s="372"/>
      <c r="U57" s="281"/>
      <c r="V57" s="358" t="str">
        <f>IFERROR(__xludf.DUMMYFUNCTION("if(U57="""", """", U57/sum(filter($U$3:$U$1000, $U$3:$U$1000&lt;&gt;"""")))"),"")</f>
        <v/>
      </c>
    </row>
    <row r="58" ht="12.75" customHeight="1">
      <c r="A58" s="320" t="s">
        <v>683</v>
      </c>
      <c r="B58" s="363" t="s">
        <v>684</v>
      </c>
      <c r="C58" s="346">
        <v>7.0</v>
      </c>
      <c r="D58" s="364" t="s">
        <v>682</v>
      </c>
      <c r="E58" s="346" t="s">
        <v>452</v>
      </c>
      <c r="M58" s="359"/>
      <c r="N58" s="281"/>
      <c r="O58" s="358"/>
      <c r="Q58" s="359" t="str">
        <f>IFERROR(__xludf.DUMMYFUNCTION("""COMPUTED_VALUE"""),"Skull Isle - Map 1★ #545")</f>
        <v>Skull Isle - Map 1★ #545</v>
      </c>
      <c r="R58" s="360"/>
      <c r="T58" s="372"/>
      <c r="U58" s="281"/>
      <c r="V58" s="358" t="str">
        <f>IFERROR(__xludf.DUMMYFUNCTION("if(U58="""", """", U58/sum(filter($U$3:$U$1000, $U$3:$U$1000&lt;&gt;"""")))"),"")</f>
        <v/>
      </c>
    </row>
    <row r="59" ht="12.75" customHeight="1">
      <c r="A59" s="320" t="s">
        <v>685</v>
      </c>
      <c r="B59" s="363" t="s">
        <v>686</v>
      </c>
      <c r="C59" s="346">
        <v>7.0</v>
      </c>
      <c r="D59" s="364" t="s">
        <v>682</v>
      </c>
      <c r="E59" s="346" t="s">
        <v>453</v>
      </c>
      <c r="M59" s="359"/>
      <c r="N59" s="281"/>
      <c r="O59" s="358"/>
      <c r="Q59" s="359" t="str">
        <f>IFERROR(__xludf.DUMMYFUNCTION("""COMPUTED_VALUE"""),"Skull Isle - Spyglass 1★ #057")</f>
        <v>Skull Isle - Spyglass 1★ #057</v>
      </c>
      <c r="R59" s="360"/>
      <c r="T59" s="372"/>
      <c r="U59" s="281"/>
      <c r="V59" s="358" t="str">
        <f>IFERROR(__xludf.DUMMYFUNCTION("if(U59="""", """", U59/sum(filter($U$3:$U$1000, $U$3:$U$1000&lt;&gt;"""")))"),"")</f>
        <v/>
      </c>
    </row>
    <row r="60" ht="12.75" customHeight="1">
      <c r="A60" s="320" t="s">
        <v>687</v>
      </c>
      <c r="B60" s="363" t="s">
        <v>688</v>
      </c>
      <c r="C60" s="346">
        <v>7.0</v>
      </c>
      <c r="D60" s="364" t="s">
        <v>682</v>
      </c>
      <c r="E60" s="346" t="s">
        <v>453</v>
      </c>
      <c r="M60" s="359"/>
      <c r="N60" s="281"/>
      <c r="O60" s="358"/>
      <c r="Q60" s="359" t="str">
        <f>IFERROR(__xludf.DUMMYFUNCTION("""COMPUTED_VALUE"""),"Skull Isle - Compass 1★ #A33")</f>
        <v>Skull Isle - Compass 1★ #A33</v>
      </c>
      <c r="R60" s="360"/>
      <c r="T60" s="372"/>
      <c r="U60" s="281"/>
      <c r="V60" s="358" t="str">
        <f>IFERROR(__xludf.DUMMYFUNCTION("if(U60="""", """", U60/sum(filter($U$3:$U$1000, $U$3:$U$1000&lt;&gt;"""")))"),"")</f>
        <v/>
      </c>
    </row>
    <row r="61" ht="12.75" customHeight="1">
      <c r="A61" s="320" t="s">
        <v>689</v>
      </c>
      <c r="B61" s="363" t="s">
        <v>690</v>
      </c>
      <c r="C61" s="346">
        <v>7.0</v>
      </c>
      <c r="D61" s="364" t="s">
        <v>682</v>
      </c>
      <c r="E61" s="346" t="s">
        <v>454</v>
      </c>
      <c r="M61" s="359"/>
      <c r="N61" s="281"/>
      <c r="O61" s="358"/>
      <c r="Q61" s="359" t="str">
        <f>IFERROR(__xludf.DUMMYFUNCTION("""COMPUTED_VALUE"""),"Skull Isle - Anchor 1★ #095")</f>
        <v>Skull Isle - Anchor 1★ #095</v>
      </c>
      <c r="R61" s="360"/>
      <c r="T61" s="372"/>
      <c r="U61" s="281"/>
      <c r="V61" s="358" t="str">
        <f>IFERROR(__xludf.DUMMYFUNCTION("if(U61="""", """", U61/sum(filter($U$3:$U$1000, $U$3:$U$1000&lt;&gt;"""")))"),"")</f>
        <v/>
      </c>
    </row>
    <row r="62" ht="12.75" customHeight="1">
      <c r="A62" s="320" t="s">
        <v>691</v>
      </c>
      <c r="B62" s="363" t="s">
        <v>692</v>
      </c>
      <c r="C62" s="346">
        <v>7.0</v>
      </c>
      <c r="D62" s="364" t="s">
        <v>682</v>
      </c>
      <c r="E62" s="346" t="s">
        <v>455</v>
      </c>
      <c r="M62" s="359"/>
      <c r="N62" s="281"/>
      <c r="O62" s="358"/>
      <c r="Q62" s="359" t="str">
        <f>IFERROR(__xludf.DUMMYFUNCTION("""COMPUTED_VALUE"""),"Skull Isle - Map 1★ #FDB")</f>
        <v>Skull Isle - Map 1★ #FDB</v>
      </c>
      <c r="R62" s="360"/>
      <c r="T62" s="372"/>
      <c r="U62" s="281"/>
      <c r="V62" s="358" t="str">
        <f>IFERROR(__xludf.DUMMYFUNCTION("if(U62="""", """", U62/sum(filter($U$3:$U$1000, $U$3:$U$1000&lt;&gt;"""")))"),"")</f>
        <v/>
      </c>
    </row>
    <row r="63" ht="12.75" customHeight="1">
      <c r="A63" s="320" t="s">
        <v>693</v>
      </c>
      <c r="B63" s="363" t="s">
        <v>694</v>
      </c>
      <c r="C63" s="346">
        <v>7.0</v>
      </c>
      <c r="D63" s="364" t="s">
        <v>682</v>
      </c>
      <c r="E63" s="346" t="s">
        <v>456</v>
      </c>
      <c r="M63" s="359"/>
      <c r="N63" s="281"/>
      <c r="O63" s="358"/>
      <c r="Q63" s="359" t="str">
        <f>IFERROR(__xludf.DUMMYFUNCTION("""COMPUTED_VALUE"""),"Skull Isle - Compass 1★ #4AA")</f>
        <v>Skull Isle - Compass 1★ #4AA</v>
      </c>
      <c r="R63" s="360"/>
      <c r="T63" s="372"/>
      <c r="U63" s="281"/>
      <c r="V63" s="358" t="str">
        <f>IFERROR(__xludf.DUMMYFUNCTION("if(U63="""", """", U63/sum(filter($U$3:$U$1000, $U$3:$U$1000&lt;&gt;"""")))"),"")</f>
        <v/>
      </c>
    </row>
    <row r="64" ht="12.75" customHeight="1">
      <c r="A64" s="320" t="s">
        <v>695</v>
      </c>
      <c r="B64" s="363" t="s">
        <v>696</v>
      </c>
      <c r="C64" s="346">
        <v>7.0</v>
      </c>
      <c r="D64" s="364" t="s">
        <v>682</v>
      </c>
      <c r="E64" s="346" t="s">
        <v>456</v>
      </c>
      <c r="M64" s="359"/>
      <c r="N64" s="281"/>
      <c r="O64" s="358"/>
      <c r="Q64" s="359" t="str">
        <f>IFERROR(__xludf.DUMMYFUNCTION("""COMPUTED_VALUE"""),"Skull Isle - Compass 1★ #F5F")</f>
        <v>Skull Isle - Compass 1★ #F5F</v>
      </c>
      <c r="R64" s="360"/>
      <c r="T64" s="372"/>
      <c r="U64" s="281"/>
      <c r="V64" s="358" t="str">
        <f>IFERROR(__xludf.DUMMYFUNCTION("if(U64="""", """", U64/sum(filter($U$3:$U$1000, $U$3:$U$1000&lt;&gt;"""")))"),"")</f>
        <v/>
      </c>
    </row>
    <row r="65" ht="12.75" customHeight="1">
      <c r="A65" s="320" t="s">
        <v>697</v>
      </c>
      <c r="B65" s="363" t="s">
        <v>698</v>
      </c>
      <c r="C65" s="346">
        <v>7.0</v>
      </c>
      <c r="D65" s="364" t="s">
        <v>682</v>
      </c>
      <c r="E65" s="346" t="s">
        <v>456</v>
      </c>
      <c r="M65" s="359"/>
      <c r="N65" s="281"/>
      <c r="O65" s="358"/>
      <c r="Q65" s="359" t="str">
        <f>IFERROR(__xludf.DUMMYFUNCTION("""COMPUTED_VALUE"""),"Skull Isle - Compass 1★ #9F5")</f>
        <v>Skull Isle - Compass 1★ #9F5</v>
      </c>
      <c r="R65" s="360"/>
      <c r="T65" s="372"/>
      <c r="U65" s="281"/>
      <c r="V65" s="358" t="str">
        <f>IFERROR(__xludf.DUMMYFUNCTION("if(U65="""", """", U65/sum(filter($U$3:$U$1000, $U$3:$U$1000&lt;&gt;"""")))"),"")</f>
        <v/>
      </c>
    </row>
    <row r="66" ht="12.75" customHeight="1">
      <c r="A66" s="320" t="s">
        <v>699</v>
      </c>
      <c r="B66" s="363" t="s">
        <v>700</v>
      </c>
      <c r="C66" s="346">
        <v>8.0</v>
      </c>
      <c r="D66" s="364" t="s">
        <v>701</v>
      </c>
      <c r="E66" s="346" t="s">
        <v>452</v>
      </c>
      <c r="M66" s="359"/>
      <c r="N66" s="281"/>
      <c r="O66" s="358"/>
      <c r="Q66" s="359" t="str">
        <f>IFERROR(__xludf.DUMMYFUNCTION("""COMPUTED_VALUE"""),"Skull Isle - Compass 1★ #A14")</f>
        <v>Skull Isle - Compass 1★ #A14</v>
      </c>
      <c r="R66" s="360"/>
      <c r="T66" s="372"/>
      <c r="U66" s="281"/>
      <c r="V66" s="358" t="str">
        <f>IFERROR(__xludf.DUMMYFUNCTION("if(U66="""", """", U66/sum(filter($U$3:$U$1000, $U$3:$U$1000&lt;&gt;"""")))"),"")</f>
        <v/>
      </c>
    </row>
    <row r="67" ht="12.75" customHeight="1">
      <c r="A67" s="320" t="s">
        <v>702</v>
      </c>
      <c r="B67" s="363" t="s">
        <v>703</v>
      </c>
      <c r="C67" s="346">
        <v>8.0</v>
      </c>
      <c r="D67" s="364" t="s">
        <v>701</v>
      </c>
      <c r="E67" s="346" t="s">
        <v>452</v>
      </c>
      <c r="M67" s="359"/>
      <c r="N67" s="281"/>
      <c r="O67" s="358"/>
      <c r="Q67" s="359" t="str">
        <f>IFERROR(__xludf.DUMMYFUNCTION("""COMPUTED_VALUE"""),"Skull Isle - Anchor 1★ #5E0")</f>
        <v>Skull Isle - Anchor 1★ #5E0</v>
      </c>
      <c r="R67" s="360"/>
      <c r="T67" s="372"/>
      <c r="U67" s="281"/>
      <c r="V67" s="358" t="str">
        <f>IFERROR(__xludf.DUMMYFUNCTION("if(U67="""", """", U67/sum(filter($U$3:$U$1000, $U$3:$U$1000&lt;&gt;"""")))"),"")</f>
        <v/>
      </c>
    </row>
    <row r="68" ht="12.75" customHeight="1">
      <c r="A68" s="320" t="s">
        <v>704</v>
      </c>
      <c r="B68" s="363" t="s">
        <v>705</v>
      </c>
      <c r="C68" s="346">
        <v>8.0</v>
      </c>
      <c r="D68" s="364" t="s">
        <v>701</v>
      </c>
      <c r="E68" s="346" t="s">
        <v>453</v>
      </c>
      <c r="M68" s="359"/>
      <c r="N68" s="281"/>
      <c r="O68" s="358"/>
      <c r="Q68" s="359" t="str">
        <f>IFERROR(__xludf.DUMMYFUNCTION("""COMPUTED_VALUE"""),"Skull Isle - Helm 2★ #61E")</f>
        <v>Skull Isle - Helm 2★ #61E</v>
      </c>
      <c r="R68" s="360"/>
      <c r="T68" s="372"/>
      <c r="U68" s="281"/>
      <c r="V68" s="358" t="str">
        <f>IFERROR(__xludf.DUMMYFUNCTION("if(U68="""", """", U68/sum(filter($U$3:$U$1000, $U$3:$U$1000&lt;&gt;"""")))"),"")</f>
        <v/>
      </c>
    </row>
    <row r="69" ht="12.75" customHeight="1">
      <c r="A69" s="320" t="s">
        <v>706</v>
      </c>
      <c r="B69" s="363" t="s">
        <v>707</v>
      </c>
      <c r="C69" s="346">
        <v>8.0</v>
      </c>
      <c r="D69" s="364" t="s">
        <v>701</v>
      </c>
      <c r="E69" s="346" t="s">
        <v>453</v>
      </c>
      <c r="M69" s="359"/>
      <c r="N69" s="281"/>
      <c r="O69" s="358"/>
      <c r="Q69" s="359" t="str">
        <f>IFERROR(__xludf.DUMMYFUNCTION("""COMPUTED_VALUE"""),"Skull Isle - Spyglass 1★ #583")</f>
        <v>Skull Isle - Spyglass 1★ #583</v>
      </c>
      <c r="R69" s="360"/>
      <c r="T69" s="372"/>
      <c r="U69" s="281"/>
      <c r="V69" s="358" t="str">
        <f>IFERROR(__xludf.DUMMYFUNCTION("if(U69="""", """", U69/sum(filter($U$3:$U$1000, $U$3:$U$1000&lt;&gt;"""")))"),"")</f>
        <v/>
      </c>
    </row>
    <row r="70" ht="12.75" customHeight="1">
      <c r="A70" s="320" t="s">
        <v>708</v>
      </c>
      <c r="B70" s="363" t="s">
        <v>709</v>
      </c>
      <c r="C70" s="346">
        <v>8.0</v>
      </c>
      <c r="D70" s="364" t="s">
        <v>701</v>
      </c>
      <c r="E70" s="346" t="s">
        <v>454</v>
      </c>
      <c r="M70" s="359"/>
      <c r="N70" s="281"/>
      <c r="O70" s="358"/>
      <c r="Q70" s="359" t="str">
        <f>IFERROR(__xludf.DUMMYFUNCTION("""COMPUTED_VALUE"""),"Skull Isle - Map 1★ #A90")</f>
        <v>Skull Isle - Map 1★ #A90</v>
      </c>
      <c r="R70" s="360"/>
      <c r="T70" s="372"/>
      <c r="U70" s="281"/>
      <c r="V70" s="358" t="str">
        <f>IFERROR(__xludf.DUMMYFUNCTION("if(U70="""", """", U70/sum(filter($U$3:$U$1000, $U$3:$U$1000&lt;&gt;"""")))"),"")</f>
        <v/>
      </c>
    </row>
    <row r="71" ht="12.75" customHeight="1">
      <c r="A71" s="320" t="s">
        <v>710</v>
      </c>
      <c r="B71" s="363" t="s">
        <v>711</v>
      </c>
      <c r="C71" s="346">
        <v>8.0</v>
      </c>
      <c r="D71" s="364" t="s">
        <v>701</v>
      </c>
      <c r="E71" s="346" t="s">
        <v>455</v>
      </c>
      <c r="M71" s="359"/>
      <c r="N71" s="281"/>
      <c r="O71" s="358"/>
      <c r="Q71" s="359" t="str">
        <f>IFERROR(__xludf.DUMMYFUNCTION("""COMPUTED_VALUE"""),"Skull Isle - Helm 2★ #0B4")</f>
        <v>Skull Isle - Helm 2★ #0B4</v>
      </c>
      <c r="R71" s="360"/>
      <c r="T71" s="372"/>
      <c r="U71" s="281"/>
      <c r="V71" s="358" t="str">
        <f>IFERROR(__xludf.DUMMYFUNCTION("if(U71="""", """", U71/sum(filter($U$3:$U$1000, $U$3:$U$1000&lt;&gt;"""")))"),"")</f>
        <v/>
      </c>
    </row>
    <row r="72" ht="12.75" customHeight="1">
      <c r="A72" s="320" t="s">
        <v>712</v>
      </c>
      <c r="B72" s="363" t="s">
        <v>713</v>
      </c>
      <c r="C72" s="346">
        <v>8.0</v>
      </c>
      <c r="D72" s="364" t="s">
        <v>701</v>
      </c>
      <c r="E72" s="346" t="s">
        <v>456</v>
      </c>
      <c r="M72" s="359"/>
      <c r="N72" s="281"/>
      <c r="O72" s="358"/>
      <c r="Q72" s="359" t="str">
        <f>IFERROR(__xludf.DUMMYFUNCTION("""COMPUTED_VALUE"""),"Skull Isle - Spyglass 1★ #019")</f>
        <v>Skull Isle - Spyglass 1★ #019</v>
      </c>
      <c r="R72" s="360"/>
      <c r="T72" s="372"/>
      <c r="U72" s="281"/>
      <c r="V72" s="358" t="str">
        <f>IFERROR(__xludf.DUMMYFUNCTION("if(U72="""", """", U72/sum(filter($U$3:$U$1000, $U$3:$U$1000&lt;&gt;"""")))"),"")</f>
        <v/>
      </c>
    </row>
    <row r="73" ht="12.75" customHeight="1">
      <c r="A73" s="320" t="s">
        <v>714</v>
      </c>
      <c r="B73" s="363" t="s">
        <v>715</v>
      </c>
      <c r="C73" s="346">
        <v>8.0</v>
      </c>
      <c r="D73" s="364" t="s">
        <v>701</v>
      </c>
      <c r="E73" s="346" t="s">
        <v>456</v>
      </c>
      <c r="M73" s="359"/>
      <c r="N73" s="281"/>
      <c r="O73" s="358"/>
      <c r="Q73" s="359"/>
      <c r="R73" s="360"/>
      <c r="T73" s="372"/>
      <c r="U73" s="281"/>
      <c r="V73" s="358" t="str">
        <f>IFERROR(__xludf.DUMMYFUNCTION("if(U73="""", """", U73/sum(filter($U$3:$U$1000, $U$3:$U$1000&lt;&gt;"""")))"),"")</f>
        <v/>
      </c>
    </row>
    <row r="74" ht="12.75" customHeight="1">
      <c r="A74" s="320" t="s">
        <v>716</v>
      </c>
      <c r="B74" s="363" t="s">
        <v>717</v>
      </c>
      <c r="C74" s="346">
        <v>8.0</v>
      </c>
      <c r="D74" s="364" t="s">
        <v>701</v>
      </c>
      <c r="E74" s="346" t="s">
        <v>456</v>
      </c>
      <c r="M74" s="359"/>
      <c r="N74" s="281"/>
      <c r="O74" s="358"/>
      <c r="Q74" s="359"/>
      <c r="R74" s="360"/>
      <c r="T74" s="372"/>
      <c r="U74" s="281"/>
      <c r="V74" s="358" t="str">
        <f>IFERROR(__xludf.DUMMYFUNCTION("if(U74="""", """", U74/sum(filter($U$3:$U$1000, $U$3:$U$1000&lt;&gt;"""")))"),"")</f>
        <v/>
      </c>
    </row>
    <row r="75" ht="12.75" customHeight="1">
      <c r="M75" s="359"/>
      <c r="N75" s="281"/>
      <c r="O75" s="358"/>
      <c r="Q75" s="359"/>
      <c r="R75" s="360"/>
      <c r="T75" s="372"/>
      <c r="U75" s="281"/>
      <c r="V75" s="358" t="str">
        <f>IFERROR(__xludf.DUMMYFUNCTION("if(U75="""", """", U75/sum(filter($U$3:$U$1000, $U$3:$U$1000&lt;&gt;"""")))"),"")</f>
        <v/>
      </c>
    </row>
    <row r="76" ht="12.75" customHeight="1">
      <c r="A76" s="314" t="s">
        <v>718</v>
      </c>
      <c r="M76" s="359"/>
      <c r="N76" s="281"/>
      <c r="O76" s="358"/>
      <c r="Q76" s="359"/>
      <c r="R76" s="360"/>
      <c r="T76" s="372"/>
      <c r="U76" s="281"/>
      <c r="V76" s="358" t="str">
        <f>IFERROR(__xludf.DUMMYFUNCTION("if(U76="""", """", U76/sum(filter($U$3:$U$1000, $U$3:$U$1000&lt;&gt;"""")))"),"")</f>
        <v/>
      </c>
    </row>
    <row r="77" ht="12.75" customHeight="1">
      <c r="M77" s="359"/>
      <c r="N77" s="281"/>
      <c r="O77" s="358"/>
      <c r="Q77" s="359"/>
      <c r="R77" s="360"/>
      <c r="T77" s="372"/>
      <c r="U77" s="281"/>
      <c r="V77" s="358" t="str">
        <f>IFERROR(__xludf.DUMMYFUNCTION("if(U77="""", """", U77/sum(filter($U$3:$U$1000, $U$3:$U$1000&lt;&gt;"""")))"),"")</f>
        <v/>
      </c>
    </row>
    <row r="78" ht="12.75" customHeight="1">
      <c r="A78" s="314" t="s">
        <v>719</v>
      </c>
      <c r="M78" s="359"/>
      <c r="N78" s="281"/>
      <c r="O78" s="358"/>
      <c r="Q78" s="359"/>
      <c r="R78" s="360"/>
      <c r="T78" s="372"/>
      <c r="U78" s="281"/>
      <c r="V78" s="358" t="str">
        <f>IFERROR(__xludf.DUMMYFUNCTION("if(U78="""", """", U78/sum(filter($U$3:$U$1000, $U$3:$U$1000&lt;&gt;"""")))"),"")</f>
        <v/>
      </c>
    </row>
    <row r="79" ht="12.75" customHeight="1">
      <c r="A79" s="317" t="s">
        <v>504</v>
      </c>
      <c r="B79" s="318" t="s">
        <v>482</v>
      </c>
      <c r="C79" s="318" t="s">
        <v>503</v>
      </c>
      <c r="M79" s="359"/>
      <c r="N79" s="281"/>
      <c r="O79" s="358"/>
      <c r="Q79" s="359"/>
      <c r="R79" s="360"/>
      <c r="T79" s="372"/>
      <c r="U79" s="281"/>
      <c r="V79" s="358" t="str">
        <f>IFERROR(__xludf.DUMMYFUNCTION("if(U79="""", """", U79/sum(filter($U$3:$U$1000, $U$3:$U$1000&lt;&gt;"""")))"),"")</f>
        <v/>
      </c>
    </row>
    <row r="80" ht="12.75" customHeight="1">
      <c r="A80" s="320" t="str">
        <f t="shared" ref="A80:A88" si="4">index($B$3:$B$74, match(C80, $A$3:$A$74, 0),0)</f>
        <v>Skull Isle - Compass</v>
      </c>
      <c r="B80" s="364" t="str">
        <f t="shared" ref="B80:B88" si="5">index($E$3:$E$74, match(C80, $A$3:$A$74, 0),0)</f>
        <v>1★</v>
      </c>
      <c r="C80" s="364" t="str">
        <f>IFERROR(__xludf.DUMMYFUNCTION("filter($A$3:$A$74, $D$3:$D$74=LEFT(A$78, len(A$78)-8))"),"CARD_01_s1")</f>
        <v>CARD_01_s1</v>
      </c>
      <c r="M80" s="359"/>
      <c r="N80" s="281"/>
      <c r="O80" s="358"/>
      <c r="Q80" s="359"/>
      <c r="R80" s="360"/>
      <c r="T80" s="372"/>
      <c r="U80" s="281"/>
      <c r="V80" s="358" t="str">
        <f>IFERROR(__xludf.DUMMYFUNCTION("if(U80="""", """", U80/sum(filter($U$3:$U$1000, $U$3:$U$1000&lt;&gt;"""")))"),"")</f>
        <v/>
      </c>
    </row>
    <row r="81" ht="12.75" customHeight="1">
      <c r="A81" s="320" t="str">
        <f t="shared" si="4"/>
        <v>Skull Isle - Map</v>
      </c>
      <c r="B81" s="364" t="str">
        <f t="shared" si="5"/>
        <v>1★</v>
      </c>
      <c r="C81" s="364" t="str">
        <f>IFERROR(__xludf.DUMMYFUNCTION("""COMPUTED_VALUE"""),"CARD_02_s1")</f>
        <v>CARD_02_s1</v>
      </c>
      <c r="M81" s="359"/>
      <c r="N81" s="281"/>
      <c r="O81" s="358"/>
      <c r="Q81" s="359"/>
      <c r="R81" s="360"/>
      <c r="T81" s="372"/>
      <c r="U81" s="281"/>
      <c r="V81" s="358" t="str">
        <f>IFERROR(__xludf.DUMMYFUNCTION("if(U81="""", """", U81/sum(filter($U$3:$U$1000, $U$3:$U$1000&lt;&gt;"""")))"),"")</f>
        <v/>
      </c>
    </row>
    <row r="82" ht="12.75" customHeight="1">
      <c r="A82" s="320" t="str">
        <f t="shared" si="4"/>
        <v>Skull Isle - Spyglass</v>
      </c>
      <c r="B82" s="364" t="str">
        <f t="shared" si="5"/>
        <v>1★</v>
      </c>
      <c r="C82" s="364" t="str">
        <f>IFERROR(__xludf.DUMMYFUNCTION("""COMPUTED_VALUE"""),"CARD_03_s1")</f>
        <v>CARD_03_s1</v>
      </c>
      <c r="M82" s="359"/>
      <c r="N82" s="281"/>
      <c r="O82" s="358"/>
      <c r="Q82" s="359"/>
      <c r="R82" s="360"/>
      <c r="T82" s="372"/>
      <c r="U82" s="281"/>
      <c r="V82" s="358" t="str">
        <f>IFERROR(__xludf.DUMMYFUNCTION("if(U82="""", """", U82/sum(filter($U$3:$U$1000, $U$3:$U$1000&lt;&gt;"""")))"),"")</f>
        <v/>
      </c>
    </row>
    <row r="83" ht="12.75" customHeight="1">
      <c r="A83" s="320" t="str">
        <f t="shared" si="4"/>
        <v>Skull Isle - Anchor</v>
      </c>
      <c r="B83" s="364" t="str">
        <f t="shared" si="5"/>
        <v>1★</v>
      </c>
      <c r="C83" s="364" t="str">
        <f>IFERROR(__xludf.DUMMYFUNCTION("""COMPUTED_VALUE"""),"CARD_04_s1")</f>
        <v>CARD_04_s1</v>
      </c>
      <c r="M83" s="359"/>
      <c r="N83" s="281"/>
      <c r="O83" s="358"/>
      <c r="Q83" s="359"/>
      <c r="R83" s="360"/>
      <c r="T83" s="372"/>
      <c r="U83" s="281"/>
      <c r="V83" s="358" t="str">
        <f>IFERROR(__xludf.DUMMYFUNCTION("if(U83="""", """", U83/sum(filter($U$3:$U$1000, $U$3:$U$1000&lt;&gt;"""")))"),"")</f>
        <v/>
      </c>
    </row>
    <row r="84" ht="12.75" customHeight="1">
      <c r="A84" s="320" t="str">
        <f t="shared" si="4"/>
        <v>Skull Isle - Helm</v>
      </c>
      <c r="B84" s="364" t="str">
        <f t="shared" si="5"/>
        <v>2★</v>
      </c>
      <c r="C84" s="364" t="str">
        <f>IFERROR(__xludf.DUMMYFUNCTION("""COMPUTED_VALUE"""),"CARD_05_s1")</f>
        <v>CARD_05_s1</v>
      </c>
      <c r="M84" s="359"/>
      <c r="N84" s="281"/>
      <c r="O84" s="358"/>
      <c r="Q84" s="359"/>
      <c r="R84" s="360"/>
      <c r="T84" s="372"/>
      <c r="U84" s="281"/>
      <c r="V84" s="358" t="str">
        <f>IFERROR(__xludf.DUMMYFUNCTION("if(U84="""", """", U84/sum(filter($U$3:$U$1000, $U$3:$U$1000&lt;&gt;"""")))"),"")</f>
        <v/>
      </c>
    </row>
    <row r="85" ht="12.75" customHeight="1">
      <c r="A85" s="320" t="str">
        <f t="shared" si="4"/>
        <v>Skull Isle - Cutlass</v>
      </c>
      <c r="B85" s="364" t="str">
        <f t="shared" si="5"/>
        <v>2★</v>
      </c>
      <c r="C85" s="364" t="str">
        <f>IFERROR(__xludf.DUMMYFUNCTION("""COMPUTED_VALUE"""),"CARD_06_s1")</f>
        <v>CARD_06_s1</v>
      </c>
      <c r="M85" s="359"/>
      <c r="N85" s="281"/>
      <c r="O85" s="358"/>
      <c r="Q85" s="359"/>
      <c r="R85" s="360"/>
      <c r="T85" s="372"/>
      <c r="U85" s="281"/>
      <c r="V85" s="358" t="str">
        <f>IFERROR(__xludf.DUMMYFUNCTION("if(U85="""", """", U85/sum(filter($U$3:$U$1000, $U$3:$U$1000&lt;&gt;"""")))"),"")</f>
        <v/>
      </c>
    </row>
    <row r="86" ht="12.75" customHeight="1">
      <c r="A86" s="320" t="str">
        <f t="shared" si="4"/>
        <v>Skull Isle - Parrot</v>
      </c>
      <c r="B86" s="364" t="str">
        <f t="shared" si="5"/>
        <v>2★</v>
      </c>
      <c r="C86" s="364" t="str">
        <f>IFERROR(__xludf.DUMMYFUNCTION("""COMPUTED_VALUE"""),"CARD_07_s1")</f>
        <v>CARD_07_s1</v>
      </c>
      <c r="M86" s="359"/>
      <c r="N86" s="281"/>
      <c r="O86" s="358"/>
      <c r="Q86" s="359"/>
      <c r="R86" s="360"/>
      <c r="T86" s="372"/>
      <c r="U86" s="281"/>
      <c r="V86" s="358" t="str">
        <f>IFERROR(__xludf.DUMMYFUNCTION("if(U86="""", """", U86/sum(filter($U$3:$U$1000, $U$3:$U$1000&lt;&gt;"""")))"),"")</f>
        <v/>
      </c>
    </row>
    <row r="87" ht="12.75" customHeight="1">
      <c r="A87" s="320" t="str">
        <f t="shared" si="4"/>
        <v>Skull Isle - Chest</v>
      </c>
      <c r="B87" s="364" t="str">
        <f t="shared" si="5"/>
        <v>3★</v>
      </c>
      <c r="C87" s="364" t="str">
        <f>IFERROR(__xludf.DUMMYFUNCTION("""COMPUTED_VALUE"""),"CARD_08_s1")</f>
        <v>CARD_08_s1</v>
      </c>
      <c r="M87" s="359"/>
      <c r="N87" s="281"/>
      <c r="O87" s="358"/>
      <c r="Q87" s="359"/>
      <c r="R87" s="360"/>
      <c r="T87" s="372"/>
      <c r="U87" s="281"/>
      <c r="V87" s="358" t="str">
        <f>IFERROR(__xludf.DUMMYFUNCTION("if(U87="""", """", U87/sum(filter($U$3:$U$1000, $U$3:$U$1000&lt;&gt;"""")))"),"")</f>
        <v/>
      </c>
    </row>
    <row r="88" ht="12.75" customHeight="1">
      <c r="A88" s="320" t="str">
        <f t="shared" si="4"/>
        <v>Skull Isle - Skull</v>
      </c>
      <c r="B88" s="364" t="str">
        <f t="shared" si="5"/>
        <v>3★</v>
      </c>
      <c r="C88" s="364" t="str">
        <f>IFERROR(__xludf.DUMMYFUNCTION("""COMPUTED_VALUE"""),"CARD_09_s1")</f>
        <v>CARD_09_s1</v>
      </c>
      <c r="M88" s="359"/>
      <c r="N88" s="281"/>
      <c r="O88" s="358"/>
      <c r="Q88" s="359"/>
      <c r="R88" s="360"/>
      <c r="T88" s="372"/>
      <c r="U88" s="281"/>
      <c r="V88" s="358" t="str">
        <f>IFERROR(__xludf.DUMMYFUNCTION("if(U88="""", """", U88/sum(filter($U$3:$U$1000, $U$3:$U$1000&lt;&gt;"""")))"),"")</f>
        <v/>
      </c>
    </row>
    <row r="89" ht="12.75" customHeight="1">
      <c r="M89" s="359"/>
      <c r="N89" s="281"/>
      <c r="O89" s="358"/>
      <c r="Q89" s="359"/>
      <c r="R89" s="360"/>
      <c r="T89" s="372"/>
      <c r="U89" s="281"/>
      <c r="V89" s="358" t="str">
        <f>IFERROR(__xludf.DUMMYFUNCTION("if(U89="""", """", U89/sum(filter($U$3:$U$1000, $U$3:$U$1000&lt;&gt;"""")))"),"")</f>
        <v/>
      </c>
    </row>
    <row r="90" ht="12.75" customHeight="1">
      <c r="A90" s="314" t="s">
        <v>720</v>
      </c>
      <c r="M90" s="359"/>
      <c r="N90" s="281"/>
      <c r="O90" s="358"/>
      <c r="Q90" s="359"/>
      <c r="R90" s="360"/>
      <c r="T90" s="372"/>
      <c r="U90" s="281"/>
      <c r="V90" s="358" t="str">
        <f>IFERROR(__xludf.DUMMYFUNCTION("if(U90="""", """", U90/sum(filter($U$3:$U$1000, $U$3:$U$1000&lt;&gt;"""")))"),"")</f>
        <v/>
      </c>
    </row>
    <row r="91" ht="12.75" customHeight="1">
      <c r="A91" s="317" t="s">
        <v>504</v>
      </c>
      <c r="B91" s="318" t="s">
        <v>482</v>
      </c>
      <c r="C91" s="318" t="s">
        <v>503</v>
      </c>
      <c r="M91" s="359"/>
      <c r="N91" s="281"/>
      <c r="O91" s="358"/>
      <c r="Q91" s="359"/>
      <c r="R91" s="360"/>
      <c r="T91" s="372"/>
      <c r="U91" s="281"/>
      <c r="V91" s="358" t="str">
        <f>IFERROR(__xludf.DUMMYFUNCTION("if(U91="""", """", U91/sum(filter($U$3:$U$1000, $U$3:$U$1000&lt;&gt;"""")))"),"")</f>
        <v/>
      </c>
    </row>
    <row r="92" ht="12.75" customHeight="1">
      <c r="A92" s="320" t="str">
        <f t="shared" ref="A92:A100" si="6">index($B$3:$B$74, match(C92, $A$3:$A$74, 0),0)</f>
        <v>Kraken Lair - Tentacle</v>
      </c>
      <c r="B92" s="364" t="str">
        <f t="shared" ref="B92:B100" si="7">index($E$3:$E$74, match(C92, $A$3:$A$74, 0),0)</f>
        <v>1★</v>
      </c>
      <c r="C92" s="364" t="str">
        <f>IFERROR(__xludf.DUMMYFUNCTION("filter($A$3:$A$74, $D$3:$D$74=LEFT(A$90, len(A$90)-8))"),"CARD_10_s2")</f>
        <v>CARD_10_s2</v>
      </c>
      <c r="M92" s="359"/>
      <c r="N92" s="281"/>
      <c r="O92" s="358"/>
      <c r="Q92" s="359"/>
      <c r="R92" s="360"/>
      <c r="T92" s="372"/>
      <c r="U92" s="281"/>
      <c r="V92" s="358" t="str">
        <f>IFERROR(__xludf.DUMMYFUNCTION("if(U92="""", """", U92/sum(filter($U$3:$U$1000, $U$3:$U$1000&lt;&gt;"""")))"),"")</f>
        <v/>
      </c>
    </row>
    <row r="93" ht="12.75" customHeight="1">
      <c r="A93" s="320" t="str">
        <f t="shared" si="6"/>
        <v>Kraken Lair - Ink Cloud</v>
      </c>
      <c r="B93" s="364" t="str">
        <f t="shared" si="7"/>
        <v>1★</v>
      </c>
      <c r="C93" s="364" t="str">
        <f>IFERROR(__xludf.DUMMYFUNCTION("""COMPUTED_VALUE"""),"CARD_11_s2")</f>
        <v>CARD_11_s2</v>
      </c>
      <c r="M93" s="359"/>
      <c r="N93" s="281"/>
      <c r="O93" s="358"/>
      <c r="Q93" s="359"/>
      <c r="R93" s="360"/>
      <c r="T93" s="372"/>
      <c r="U93" s="281"/>
      <c r="V93" s="358" t="str">
        <f>IFERROR(__xludf.DUMMYFUNCTION("if(U93="""", """", U93/sum(filter($U$3:$U$1000, $U$3:$U$1000&lt;&gt;"""")))"),"")</f>
        <v/>
      </c>
    </row>
    <row r="94" ht="12.75" customHeight="1">
      <c r="A94" s="320" t="str">
        <f t="shared" si="6"/>
        <v>Kraken Lair - Pearl</v>
      </c>
      <c r="B94" s="364" t="str">
        <f t="shared" si="7"/>
        <v>1★</v>
      </c>
      <c r="C94" s="364" t="str">
        <f>IFERROR(__xludf.DUMMYFUNCTION("""COMPUTED_VALUE"""),"CARD_12_s2")</f>
        <v>CARD_12_s2</v>
      </c>
      <c r="M94" s="359"/>
      <c r="N94" s="281"/>
      <c r="O94" s="358"/>
      <c r="Q94" s="359"/>
      <c r="R94" s="360"/>
      <c r="T94" s="372"/>
      <c r="U94" s="281"/>
      <c r="V94" s="358" t="str">
        <f>IFERROR(__xludf.DUMMYFUNCTION("if(U94="""", """", U94/sum(filter($U$3:$U$1000, $U$3:$U$1000&lt;&gt;"""")))"),"")</f>
        <v/>
      </c>
    </row>
    <row r="95" ht="12.75" customHeight="1">
      <c r="A95" s="320" t="str">
        <f t="shared" si="6"/>
        <v>Kraken Lair - Trident</v>
      </c>
      <c r="B95" s="364" t="str">
        <f t="shared" si="7"/>
        <v>1★</v>
      </c>
      <c r="C95" s="364" t="str">
        <f>IFERROR(__xludf.DUMMYFUNCTION("""COMPUTED_VALUE"""),"CARD_13_s2")</f>
        <v>CARD_13_s2</v>
      </c>
      <c r="M95" s="359"/>
      <c r="N95" s="281"/>
      <c r="O95" s="358"/>
      <c r="Q95" s="359"/>
      <c r="R95" s="360"/>
      <c r="T95" s="372"/>
      <c r="U95" s="281"/>
      <c r="V95" s="358" t="str">
        <f>IFERROR(__xludf.DUMMYFUNCTION("if(U95="""", """", U95/sum(filter($U$3:$U$1000, $U$3:$U$1000&lt;&gt;"""")))"),"")</f>
        <v/>
      </c>
    </row>
    <row r="96" ht="12.75" customHeight="1">
      <c r="A96" s="320" t="str">
        <f t="shared" si="6"/>
        <v>Kraken Lair - Shell</v>
      </c>
      <c r="B96" s="364" t="str">
        <f t="shared" si="7"/>
        <v>2★</v>
      </c>
      <c r="C96" s="364" t="str">
        <f>IFERROR(__xludf.DUMMYFUNCTION("""COMPUTED_VALUE"""),"CARD_14_s2")</f>
        <v>CARD_14_s2</v>
      </c>
      <c r="M96" s="359"/>
      <c r="N96" s="281"/>
      <c r="O96" s="358"/>
      <c r="Q96" s="359"/>
      <c r="R96" s="360"/>
      <c r="T96" s="372"/>
      <c r="U96" s="281"/>
      <c r="V96" s="358" t="str">
        <f>IFERROR(__xludf.DUMMYFUNCTION("if(U96="""", """", U96/sum(filter($U$3:$U$1000, $U$3:$U$1000&lt;&gt;"""")))"),"")</f>
        <v/>
      </c>
    </row>
    <row r="97" ht="12.75" customHeight="1">
      <c r="A97" s="320" t="str">
        <f t="shared" si="6"/>
        <v>Kraken Lair - Coral</v>
      </c>
      <c r="B97" s="364" t="str">
        <f t="shared" si="7"/>
        <v>2★</v>
      </c>
      <c r="C97" s="364" t="str">
        <f>IFERROR(__xludf.DUMMYFUNCTION("""COMPUTED_VALUE"""),"CARD_15_s2")</f>
        <v>CARD_15_s2</v>
      </c>
      <c r="M97" s="359"/>
      <c r="N97" s="281"/>
      <c r="O97" s="358"/>
      <c r="Q97" s="359"/>
      <c r="R97" s="360"/>
      <c r="T97" s="372"/>
      <c r="U97" s="281"/>
      <c r="V97" s="358" t="str">
        <f>IFERROR(__xludf.DUMMYFUNCTION("if(U97="""", """", U97/sum(filter($U$3:$U$1000, $U$3:$U$1000&lt;&gt;"""")))"),"")</f>
        <v/>
      </c>
    </row>
    <row r="98" ht="12.75" customHeight="1">
      <c r="A98" s="320" t="str">
        <f t="shared" si="6"/>
        <v>Kraken Lair - Lantern</v>
      </c>
      <c r="B98" s="364" t="str">
        <f t="shared" si="7"/>
        <v>3★</v>
      </c>
      <c r="C98" s="364" t="str">
        <f>IFERROR(__xludf.DUMMYFUNCTION("""COMPUTED_VALUE"""),"CARD_16_s2")</f>
        <v>CARD_16_s2</v>
      </c>
      <c r="M98" s="359"/>
      <c r="N98" s="281"/>
      <c r="O98" s="358"/>
      <c r="Q98" s="359"/>
      <c r="R98" s="360"/>
      <c r="T98" s="372"/>
      <c r="U98" s="281"/>
      <c r="V98" s="358" t="str">
        <f>IFERROR(__xludf.DUMMYFUNCTION("if(U98="""", """", U98/sum(filter($U$3:$U$1000, $U$3:$U$1000&lt;&gt;"""")))"),"")</f>
        <v/>
      </c>
    </row>
    <row r="99" ht="12.75" customHeight="1">
      <c r="A99" s="320" t="str">
        <f t="shared" si="6"/>
        <v>Kraken Lair - Hook</v>
      </c>
      <c r="B99" s="364" t="str">
        <f t="shared" si="7"/>
        <v>3★</v>
      </c>
      <c r="C99" s="364" t="str">
        <f>IFERROR(__xludf.DUMMYFUNCTION("""COMPUTED_VALUE"""),"CARD_17_s2")</f>
        <v>CARD_17_s2</v>
      </c>
      <c r="M99" s="359"/>
      <c r="N99" s="281"/>
      <c r="O99" s="358"/>
      <c r="Q99" s="359"/>
      <c r="R99" s="360"/>
      <c r="T99" s="372"/>
      <c r="U99" s="281"/>
      <c r="V99" s="358" t="str">
        <f>IFERROR(__xludf.DUMMYFUNCTION("if(U99="""", """", U99/sum(filter($U$3:$U$1000, $U$3:$U$1000&lt;&gt;"""")))"),"")</f>
        <v/>
      </c>
    </row>
    <row r="100" ht="12.75" customHeight="1">
      <c r="A100" s="320" t="str">
        <f t="shared" si="6"/>
        <v>Kraken Lair - Eyepatch</v>
      </c>
      <c r="B100" s="364" t="str">
        <f t="shared" si="7"/>
        <v>4★</v>
      </c>
      <c r="C100" s="364" t="str">
        <f>IFERROR(__xludf.DUMMYFUNCTION("""COMPUTED_VALUE"""),"CARD_18_s2")</f>
        <v>CARD_18_s2</v>
      </c>
      <c r="M100" s="359"/>
      <c r="N100" s="281"/>
      <c r="O100" s="358"/>
      <c r="Q100" s="359"/>
      <c r="R100" s="360"/>
      <c r="T100" s="372"/>
      <c r="U100" s="281"/>
      <c r="V100" s="358" t="str">
        <f>IFERROR(__xludf.DUMMYFUNCTION("if(U100="""", """", U100/sum(filter($U$3:$U$1000, $U$3:$U$1000&lt;&gt;"""")))"),"")</f>
        <v/>
      </c>
    </row>
    <row r="101" ht="12.75" customHeight="1">
      <c r="M101" s="359"/>
      <c r="N101" s="281"/>
      <c r="O101" s="358"/>
      <c r="Q101" s="359"/>
      <c r="R101" s="360"/>
      <c r="T101" s="372"/>
      <c r="U101" s="281"/>
      <c r="V101" s="358" t="str">
        <f>IFERROR(__xludf.DUMMYFUNCTION("if(U101="""", """", U101/sum(filter($U$3:$U$1000, $U$3:$U$1000&lt;&gt;"""")))"),"")</f>
        <v/>
      </c>
    </row>
    <row r="102" ht="12.75" customHeight="1">
      <c r="A102" s="314" t="s">
        <v>721</v>
      </c>
      <c r="M102" s="359"/>
      <c r="N102" s="281"/>
      <c r="O102" s="358"/>
      <c r="Q102" s="359"/>
      <c r="R102" s="360"/>
      <c r="T102" s="372"/>
      <c r="U102" s="281"/>
      <c r="V102" s="358" t="str">
        <f>IFERROR(__xludf.DUMMYFUNCTION("if(U102="""", """", U102/sum(filter($U$3:$U$1000, $U$3:$U$1000&lt;&gt;"""")))"),"")</f>
        <v/>
      </c>
    </row>
    <row r="103" ht="12.75" customHeight="1">
      <c r="A103" s="317" t="s">
        <v>504</v>
      </c>
      <c r="B103" s="318" t="s">
        <v>482</v>
      </c>
      <c r="C103" s="318" t="s">
        <v>503</v>
      </c>
      <c r="M103" s="359"/>
      <c r="N103" s="281"/>
      <c r="O103" s="358"/>
      <c r="Q103" s="359"/>
      <c r="R103" s="360"/>
      <c r="T103" s="372"/>
      <c r="U103" s="281"/>
      <c r="V103" s="358" t="str">
        <f>IFERROR(__xludf.DUMMYFUNCTION("if(U103="""", """", U103/sum(filter($U$3:$U$1000, $U$3:$U$1000&lt;&gt;"""")))"),"")</f>
        <v/>
      </c>
    </row>
    <row r="104" ht="12.75" customHeight="1">
      <c r="A104" s="320" t="str">
        <f t="shared" ref="A104:A112" si="8">index($B$3:$B$74, match(C104, $A$3:$A$74, 0),0)</f>
        <v>Gold Cove - Doubloon</v>
      </c>
      <c r="B104" s="364" t="str">
        <f t="shared" ref="B104:B112" si="9">index($E$3:$E$74, match(C104, $A$3:$A$74, 0),0)</f>
        <v>1★</v>
      </c>
      <c r="C104" s="364" t="str">
        <f>IFERROR(__xludf.DUMMYFUNCTION("filter($A$3:$A$74, $D$3:$D$74=LEFT(A$102, len(A$102)-8))"),"CARD_19_s3")</f>
        <v>CARD_19_s3</v>
      </c>
      <c r="M104" s="359"/>
      <c r="N104" s="281"/>
      <c r="O104" s="358"/>
      <c r="Q104" s="359"/>
      <c r="R104" s="360"/>
      <c r="T104" s="372"/>
      <c r="U104" s="281"/>
      <c r="V104" s="358" t="str">
        <f>IFERROR(__xludf.DUMMYFUNCTION("if(U104="""", """", U104/sum(filter($U$3:$U$1000, $U$3:$U$1000&lt;&gt;"""")))"),"")</f>
        <v/>
      </c>
    </row>
    <row r="105" ht="12.75" customHeight="1">
      <c r="A105" s="320" t="str">
        <f t="shared" si="8"/>
        <v>Gold Cove - Ruby</v>
      </c>
      <c r="B105" s="364" t="str">
        <f t="shared" si="9"/>
        <v>1★</v>
      </c>
      <c r="C105" s="364" t="str">
        <f>IFERROR(__xludf.DUMMYFUNCTION("""COMPUTED_VALUE"""),"CARD_20_s3")</f>
        <v>CARD_20_s3</v>
      </c>
      <c r="M105" s="359"/>
      <c r="N105" s="281"/>
      <c r="O105" s="358"/>
      <c r="Q105" s="359"/>
      <c r="R105" s="360"/>
      <c r="T105" s="372"/>
      <c r="U105" s="281"/>
      <c r="V105" s="358" t="str">
        <f>IFERROR(__xludf.DUMMYFUNCTION("if(U105="""", """", U105/sum(filter($U$3:$U$1000, $U$3:$U$1000&lt;&gt;"""")))"),"")</f>
        <v/>
      </c>
    </row>
    <row r="106" ht="12.75" customHeight="1">
      <c r="A106" s="320" t="str">
        <f t="shared" si="8"/>
        <v>Gold Cove - Emerald</v>
      </c>
      <c r="B106" s="364" t="str">
        <f t="shared" si="9"/>
        <v>1★</v>
      </c>
      <c r="C106" s="364" t="str">
        <f>IFERROR(__xludf.DUMMYFUNCTION("""COMPUTED_VALUE"""),"CARD_21_s3")</f>
        <v>CARD_21_s3</v>
      </c>
      <c r="M106" s="359"/>
      <c r="N106" s="281"/>
      <c r="O106" s="358"/>
      <c r="Q106" s="359"/>
      <c r="R106" s="360"/>
      <c r="T106" s="372"/>
      <c r="U106" s="281"/>
      <c r="V106" s="358" t="str">
        <f>IFERROR(__xludf.DUMMYFUNCTION("if(U106="""", """", U106/sum(filter($U$3:$U$1000, $U$3:$U$1000&lt;&gt;"""")))"),"")</f>
        <v/>
      </c>
    </row>
    <row r="107" ht="12.75" customHeight="1">
      <c r="A107" s="320" t="str">
        <f t="shared" si="8"/>
        <v>Gold Cove - Diamond</v>
      </c>
      <c r="B107" s="364" t="str">
        <f t="shared" si="9"/>
        <v>2★</v>
      </c>
      <c r="C107" s="364" t="str">
        <f>IFERROR(__xludf.DUMMYFUNCTION("""COMPUTED_VALUE"""),"CARD_22_s3")</f>
        <v>CARD_22_s3</v>
      </c>
      <c r="M107" s="359"/>
      <c r="N107" s="281"/>
      <c r="O107" s="358"/>
      <c r="Q107" s="359"/>
      <c r="R107" s="360"/>
      <c r="T107" s="372"/>
      <c r="U107" s="281"/>
      <c r="V107" s="358" t="str">
        <f>IFERROR(__xludf.DUMMYFUNCTION("if(U107="""", """", U107/sum(filter($U$3:$U$1000, $U$3:$U$1000&lt;&gt;"""")))"),"")</f>
        <v/>
      </c>
    </row>
    <row r="108" ht="12.75" customHeight="1">
      <c r="A108" s="320" t="str">
        <f t="shared" si="8"/>
        <v>Gold Cove - Crown</v>
      </c>
      <c r="B108" s="364" t="str">
        <f t="shared" si="9"/>
        <v>2★</v>
      </c>
      <c r="C108" s="364" t="str">
        <f>IFERROR(__xludf.DUMMYFUNCTION("""COMPUTED_VALUE"""),"CARD_23_s3")</f>
        <v>CARD_23_s3</v>
      </c>
      <c r="M108" s="359"/>
      <c r="N108" s="281"/>
      <c r="O108" s="358"/>
      <c r="Q108" s="359"/>
      <c r="R108" s="360"/>
      <c r="T108" s="372"/>
      <c r="U108" s="281"/>
      <c r="V108" s="358" t="str">
        <f>IFERROR(__xludf.DUMMYFUNCTION("if(U108="""", """", U108/sum(filter($U$3:$U$1000, $U$3:$U$1000&lt;&gt;"""")))"),"")</f>
        <v/>
      </c>
    </row>
    <row r="109" ht="12.75" customHeight="1">
      <c r="A109" s="320" t="str">
        <f t="shared" si="8"/>
        <v>Gold Cove - Goblet</v>
      </c>
      <c r="B109" s="364" t="str">
        <f t="shared" si="9"/>
        <v>3★</v>
      </c>
      <c r="C109" s="364" t="str">
        <f>IFERROR(__xludf.DUMMYFUNCTION("""COMPUTED_VALUE"""),"CARD_24_s3")</f>
        <v>CARD_24_s3</v>
      </c>
      <c r="M109" s="359"/>
      <c r="N109" s="281"/>
      <c r="O109" s="358"/>
      <c r="Q109" s="359"/>
      <c r="R109" s="360"/>
      <c r="T109" s="372"/>
      <c r="U109" s="281"/>
      <c r="V109" s="358" t="str">
        <f>IFERROR(__xludf.DUMMYFUNCTION("if(U109="""", """", U109/sum(filter($U$3:$U$1000, $U$3:$U$1000&lt;&gt;"""")))"),"")</f>
        <v/>
      </c>
    </row>
    <row r="110" ht="12.75" customHeight="1">
      <c r="A110" s="320" t="str">
        <f t="shared" si="8"/>
        <v>Gold Cove - Necklace</v>
      </c>
      <c r="B110" s="364" t="str">
        <f t="shared" si="9"/>
        <v>4★</v>
      </c>
      <c r="C110" s="364" t="str">
        <f>IFERROR(__xludf.DUMMYFUNCTION("""COMPUTED_VALUE"""),"CARD_25_s3")</f>
        <v>CARD_25_s3</v>
      </c>
      <c r="M110" s="359"/>
      <c r="N110" s="281"/>
      <c r="O110" s="358"/>
      <c r="Q110" s="359"/>
      <c r="R110" s="360"/>
      <c r="T110" s="372"/>
      <c r="U110" s="281"/>
      <c r="V110" s="358" t="str">
        <f>IFERROR(__xludf.DUMMYFUNCTION("if(U110="""", """", U110/sum(filter($U$3:$U$1000, $U$3:$U$1000&lt;&gt;"""")))"),"")</f>
        <v/>
      </c>
    </row>
    <row r="111" ht="12.75" customHeight="1">
      <c r="A111" s="320" t="str">
        <f t="shared" si="8"/>
        <v>Gold Cove - Ring</v>
      </c>
      <c r="B111" s="364" t="str">
        <f t="shared" si="9"/>
        <v>4★</v>
      </c>
      <c r="C111" s="364" t="str">
        <f>IFERROR(__xludf.DUMMYFUNCTION("""COMPUTED_VALUE"""),"CARD_26_s3")</f>
        <v>CARD_26_s3</v>
      </c>
      <c r="M111" s="359"/>
      <c r="N111" s="281"/>
      <c r="O111" s="358"/>
      <c r="Q111" s="359"/>
      <c r="R111" s="360"/>
      <c r="T111" s="372"/>
      <c r="U111" s="281"/>
      <c r="V111" s="358" t="str">
        <f>IFERROR(__xludf.DUMMYFUNCTION("if(U111="""", """", U111/sum(filter($U$3:$U$1000, $U$3:$U$1000&lt;&gt;"""")))"),"")</f>
        <v/>
      </c>
    </row>
    <row r="112" ht="12.75" customHeight="1">
      <c r="A112" s="320" t="str">
        <f t="shared" si="8"/>
        <v>Gold Cove - Scepter</v>
      </c>
      <c r="B112" s="364" t="str">
        <f t="shared" si="9"/>
        <v>5★</v>
      </c>
      <c r="C112" s="364" t="str">
        <f>IFERROR(__xludf.DUMMYFUNCTION("""COMPUTED_VALUE"""),"CARD_27_s3")</f>
        <v>CARD_27_s3</v>
      </c>
      <c r="M112" s="359"/>
      <c r="N112" s="281"/>
      <c r="O112" s="358"/>
      <c r="Q112" s="359"/>
      <c r="R112" s="360"/>
      <c r="T112" s="372"/>
      <c r="U112" s="281"/>
      <c r="V112" s="358" t="str">
        <f>IFERROR(__xludf.DUMMYFUNCTION("if(U112="""", """", U112/sum(filter($U$3:$U$1000, $U$3:$U$1000&lt;&gt;"""")))"),"")</f>
        <v/>
      </c>
    </row>
    <row r="113" ht="12.75" customHeight="1">
      <c r="M113" s="359"/>
      <c r="N113" s="281"/>
      <c r="O113" s="358"/>
      <c r="Q113" s="359"/>
      <c r="R113" s="360"/>
      <c r="T113" s="372"/>
      <c r="U113" s="281"/>
      <c r="V113" s="358" t="str">
        <f>IFERROR(__xludf.DUMMYFUNCTION("if(U113="""", """", U113/sum(filter($U$3:$U$1000, $U$3:$U$1000&lt;&gt;"""")))"),"")</f>
        <v/>
      </c>
    </row>
    <row r="114" ht="12.75" customHeight="1">
      <c r="A114" s="314" t="s">
        <v>722</v>
      </c>
      <c r="M114" s="359"/>
      <c r="N114" s="281"/>
      <c r="O114" s="358"/>
      <c r="Q114" s="359"/>
      <c r="R114" s="360"/>
      <c r="T114" s="372"/>
      <c r="U114" s="281"/>
      <c r="V114" s="358" t="str">
        <f>IFERROR(__xludf.DUMMYFUNCTION("if(U114="""", """", U114/sum(filter($U$3:$U$1000, $U$3:$U$1000&lt;&gt;"""")))"),"")</f>
        <v/>
      </c>
    </row>
    <row r="115" ht="12.75" customHeight="1">
      <c r="A115" s="317" t="s">
        <v>504</v>
      </c>
      <c r="B115" s="318" t="s">
        <v>482</v>
      </c>
      <c r="C115" s="318" t="s">
        <v>503</v>
      </c>
      <c r="M115" s="359"/>
      <c r="N115" s="281"/>
      <c r="O115" s="358"/>
      <c r="Q115" s="359"/>
      <c r="R115" s="360"/>
      <c r="T115" s="372"/>
      <c r="U115" s="281"/>
      <c r="V115" s="358" t="str">
        <f>IFERROR(__xludf.DUMMYFUNCTION("if(U115="""", """", U115/sum(filter($U$3:$U$1000, $U$3:$U$1000&lt;&gt;"""")))"),"")</f>
        <v/>
      </c>
    </row>
    <row r="116" ht="12.75" customHeight="1">
      <c r="A116" s="320" t="str">
        <f t="shared" ref="A116:A124" si="10">index($B$3:$B$74, match(C116, $A$3:$A$74, 0),0)</f>
        <v>Ghost Ship - Fog Horn</v>
      </c>
      <c r="B116" s="364" t="str">
        <f t="shared" ref="B116:B124" si="11">index($E$3:$E$74, match(C116, $A$3:$A$74, 0),0)</f>
        <v>1★</v>
      </c>
      <c r="C116" s="364" t="str">
        <f>IFERROR(__xludf.DUMMYFUNCTION("filter($A$3:$A$74, $D$3:$D$74=LEFT(A$114, len(A$114)-8))"),"CARD_28_s4")</f>
        <v>CARD_28_s4</v>
      </c>
      <c r="M116" s="359"/>
      <c r="N116" s="281"/>
      <c r="O116" s="358"/>
      <c r="Q116" s="359"/>
      <c r="R116" s="360"/>
      <c r="T116" s="372"/>
      <c r="U116" s="281"/>
      <c r="V116" s="358" t="str">
        <f>IFERROR(__xludf.DUMMYFUNCTION("if(U116="""", """", U116/sum(filter($U$3:$U$1000, $U$3:$U$1000&lt;&gt;"""")))"),"")</f>
        <v/>
      </c>
    </row>
    <row r="117" ht="12.75" customHeight="1">
      <c r="A117" s="320" t="str">
        <f t="shared" si="10"/>
        <v>Ghost Ship - Sail</v>
      </c>
      <c r="B117" s="364" t="str">
        <f t="shared" si="11"/>
        <v>1★</v>
      </c>
      <c r="C117" s="364" t="str">
        <f>IFERROR(__xludf.DUMMYFUNCTION("""COMPUTED_VALUE"""),"CARD_29_s4")</f>
        <v>CARD_29_s4</v>
      </c>
      <c r="M117" s="359"/>
      <c r="N117" s="281"/>
      <c r="O117" s="358"/>
      <c r="Q117" s="359"/>
      <c r="R117" s="360"/>
      <c r="T117" s="372"/>
      <c r="U117" s="281"/>
      <c r="V117" s="358" t="str">
        <f>IFERROR(__xludf.DUMMYFUNCTION("if(U117="""", """", U117/sum(filter($U$3:$U$1000, $U$3:$U$1000&lt;&gt;"""")))"),"")</f>
        <v/>
      </c>
    </row>
    <row r="118" ht="12.75" customHeight="1">
      <c r="A118" s="320" t="str">
        <f t="shared" si="10"/>
        <v>Ghost Ship - Ghost Lamp</v>
      </c>
      <c r="B118" s="364" t="str">
        <f t="shared" si="11"/>
        <v>2★</v>
      </c>
      <c r="C118" s="364" t="str">
        <f>IFERROR(__xludf.DUMMYFUNCTION("""COMPUTED_VALUE"""),"CARD_30_s4")</f>
        <v>CARD_30_s4</v>
      </c>
      <c r="M118" s="359"/>
      <c r="N118" s="281"/>
      <c r="O118" s="358"/>
      <c r="Q118" s="359"/>
      <c r="R118" s="360"/>
      <c r="T118" s="372"/>
      <c r="U118" s="281"/>
      <c r="V118" s="358" t="str">
        <f>IFERROR(__xludf.DUMMYFUNCTION("if(U118="""", """", U118/sum(filter($U$3:$U$1000, $U$3:$U$1000&lt;&gt;"""")))"),"")</f>
        <v/>
      </c>
    </row>
    <row r="119" ht="12.75" customHeight="1">
      <c r="A119" s="320" t="str">
        <f t="shared" si="10"/>
        <v>Ghost Ship - Key</v>
      </c>
      <c r="B119" s="364" t="str">
        <f t="shared" si="11"/>
        <v>2★</v>
      </c>
      <c r="C119" s="364" t="str">
        <f>IFERROR(__xludf.DUMMYFUNCTION("""COMPUTED_VALUE"""),"CARD_31_s4")</f>
        <v>CARD_31_s4</v>
      </c>
      <c r="M119" s="359"/>
      <c r="N119" s="281"/>
      <c r="O119" s="358"/>
      <c r="Q119" s="359"/>
      <c r="R119" s="360"/>
      <c r="T119" s="372"/>
      <c r="U119" s="281"/>
      <c r="V119" s="358" t="str">
        <f>IFERROR(__xludf.DUMMYFUNCTION("if(U119="""", """", U119/sum(filter($U$3:$U$1000, $U$3:$U$1000&lt;&gt;"""")))"),"")</f>
        <v/>
      </c>
    </row>
    <row r="120" ht="12.75" customHeight="1">
      <c r="A120" s="320" t="str">
        <f t="shared" si="10"/>
        <v>Ghost Ship - Plank</v>
      </c>
      <c r="B120" s="364" t="str">
        <f t="shared" si="11"/>
        <v>3★</v>
      </c>
      <c r="C120" s="364" t="str">
        <f>IFERROR(__xludf.DUMMYFUNCTION("""COMPUTED_VALUE"""),"CARD_32_s4")</f>
        <v>CARD_32_s4</v>
      </c>
      <c r="M120" s="359"/>
      <c r="N120" s="281"/>
      <c r="O120" s="358"/>
      <c r="Q120" s="359"/>
      <c r="R120" s="360"/>
      <c r="T120" s="372"/>
      <c r="U120" s="281"/>
      <c r="V120" s="358" t="str">
        <f>IFERROR(__xludf.DUMMYFUNCTION("if(U120="""", """", U120/sum(filter($U$3:$U$1000, $U$3:$U$1000&lt;&gt;"""")))"),"")</f>
        <v/>
      </c>
    </row>
    <row r="121" ht="12.75" customHeight="1">
      <c r="A121" s="320" t="str">
        <f t="shared" si="10"/>
        <v>Ghost Ship - Nest</v>
      </c>
      <c r="B121" s="364" t="str">
        <f t="shared" si="11"/>
        <v>3★</v>
      </c>
      <c r="C121" s="364" t="str">
        <f>IFERROR(__xludf.DUMMYFUNCTION("""COMPUTED_VALUE"""),"CARD_33_s4")</f>
        <v>CARD_33_s4</v>
      </c>
      <c r="M121" s="359"/>
      <c r="N121" s="281"/>
      <c r="O121" s="358"/>
      <c r="Q121" s="359"/>
      <c r="R121" s="360"/>
      <c r="T121" s="372"/>
      <c r="U121" s="281"/>
      <c r="V121" s="358" t="str">
        <f>IFERROR(__xludf.DUMMYFUNCTION("if(U121="""", """", U121/sum(filter($U$3:$U$1000, $U$3:$U$1000&lt;&gt;"""")))"),"")</f>
        <v/>
      </c>
    </row>
    <row r="122" ht="12.75" customHeight="1">
      <c r="A122" s="320" t="str">
        <f t="shared" si="10"/>
        <v>Ghost Ship - Flag</v>
      </c>
      <c r="B122" s="364" t="str">
        <f t="shared" si="11"/>
        <v>4★</v>
      </c>
      <c r="C122" s="364" t="str">
        <f>IFERROR(__xludf.DUMMYFUNCTION("""COMPUTED_VALUE"""),"CARD_34_s4")</f>
        <v>CARD_34_s4</v>
      </c>
      <c r="M122" s="359"/>
      <c r="N122" s="281"/>
      <c r="O122" s="358"/>
      <c r="Q122" s="359"/>
      <c r="R122" s="360"/>
      <c r="T122" s="372"/>
      <c r="U122" s="281"/>
      <c r="V122" s="358" t="str">
        <f>IFERROR(__xludf.DUMMYFUNCTION("if(U122="""", """", U122/sum(filter($U$3:$U$1000, $U$3:$U$1000&lt;&gt;"""")))"),"")</f>
        <v/>
      </c>
    </row>
    <row r="123" ht="12.75" customHeight="1">
      <c r="A123" s="320" t="str">
        <f t="shared" si="10"/>
        <v>Ghost Ship - Chain</v>
      </c>
      <c r="B123" s="364" t="str">
        <f t="shared" si="11"/>
        <v>4★</v>
      </c>
      <c r="C123" s="364" t="str">
        <f>IFERROR(__xludf.DUMMYFUNCTION("""COMPUTED_VALUE"""),"CARD_35_s4")</f>
        <v>CARD_35_s4</v>
      </c>
      <c r="M123" s="359"/>
      <c r="N123" s="281"/>
      <c r="O123" s="358"/>
      <c r="Q123" s="359"/>
      <c r="R123" s="360"/>
      <c r="T123" s="372"/>
      <c r="U123" s="281"/>
      <c r="V123" s="358" t="str">
        <f>IFERROR(__xludf.DUMMYFUNCTION("if(U123="""", """", U123/sum(filter($U$3:$U$1000, $U$3:$U$1000&lt;&gt;"""")))"),"")</f>
        <v/>
      </c>
    </row>
    <row r="124" ht="12.75" customHeight="1">
      <c r="A124" s="320" t="str">
        <f t="shared" si="10"/>
        <v>Ghost Ship - Log</v>
      </c>
      <c r="B124" s="364" t="str">
        <f t="shared" si="11"/>
        <v>5★</v>
      </c>
      <c r="C124" s="364" t="str">
        <f>IFERROR(__xludf.DUMMYFUNCTION("""COMPUTED_VALUE"""),"CARD_36_s4")</f>
        <v>CARD_36_s4</v>
      </c>
      <c r="M124" s="359"/>
      <c r="N124" s="281"/>
      <c r="O124" s="358"/>
      <c r="Q124" s="359"/>
      <c r="R124" s="360"/>
      <c r="T124" s="372"/>
      <c r="U124" s="281"/>
      <c r="V124" s="358" t="str">
        <f>IFERROR(__xludf.DUMMYFUNCTION("if(U124="""", """", U124/sum(filter($U$3:$U$1000, $U$3:$U$1000&lt;&gt;"""")))"),"")</f>
        <v/>
      </c>
    </row>
    <row r="125" ht="12.75" customHeight="1">
      <c r="M125" s="359"/>
      <c r="N125" s="281"/>
      <c r="O125" s="358"/>
      <c r="Q125" s="359"/>
      <c r="R125" s="360"/>
      <c r="T125" s="372"/>
      <c r="U125" s="281"/>
      <c r="V125" s="358" t="str">
        <f>IFERROR(__xludf.DUMMYFUNCTION("if(U125="""", """", U125/sum(filter($U$3:$U$1000, $U$3:$U$1000&lt;&gt;"""")))"),"")</f>
        <v/>
      </c>
    </row>
    <row r="126" ht="12.75" customHeight="1">
      <c r="A126" s="314" t="s">
        <v>723</v>
      </c>
      <c r="M126" s="359"/>
      <c r="N126" s="281"/>
      <c r="O126" s="358"/>
      <c r="Q126" s="359"/>
      <c r="R126" s="360"/>
      <c r="T126" s="372"/>
      <c r="U126" s="281"/>
      <c r="V126" s="358" t="str">
        <f>IFERROR(__xludf.DUMMYFUNCTION("if(U126="""", """", U126/sum(filter($U$3:$U$1000, $U$3:$U$1000&lt;&gt;"""")))"),"")</f>
        <v/>
      </c>
    </row>
    <row r="127" ht="12.75" customHeight="1">
      <c r="A127" s="317" t="s">
        <v>504</v>
      </c>
      <c r="B127" s="318" t="s">
        <v>482</v>
      </c>
      <c r="C127" s="318" t="s">
        <v>503</v>
      </c>
      <c r="M127" s="359"/>
      <c r="N127" s="281"/>
      <c r="O127" s="358"/>
      <c r="Q127" s="359"/>
      <c r="R127" s="360"/>
      <c r="T127" s="372"/>
      <c r="U127" s="281"/>
      <c r="V127" s="358" t="str">
        <f>IFERROR(__xludf.DUMMYFUNCTION("if(U127="""", """", U127/sum(filter($U$3:$U$1000, $U$3:$U$1000&lt;&gt;"""")))"),"")</f>
        <v/>
      </c>
    </row>
    <row r="128" ht="12.75" customHeight="1">
      <c r="A128" s="320" t="str">
        <f t="shared" ref="A128:A136" si="12">index($B$3:$B$74, match(C128, $A$3:$A$74, 0),0)</f>
        <v>Storm Port - Lightning</v>
      </c>
      <c r="B128" s="364" t="str">
        <f t="shared" ref="B128:B136" si="13">index($E$3:$E$74, match(C128, $A$3:$A$74, 0),0)</f>
        <v>1★</v>
      </c>
      <c r="C128" s="364" t="str">
        <f>IFERROR(__xludf.DUMMYFUNCTION("filter($A$3:$A$74, $D$3:$D$74=LEFT(A$126, len(A$126)-8))"),"CARD_37_s5")</f>
        <v>CARD_37_s5</v>
      </c>
      <c r="M128" s="359"/>
      <c r="N128" s="281"/>
      <c r="O128" s="358"/>
      <c r="Q128" s="359"/>
      <c r="R128" s="360"/>
      <c r="T128" s="372"/>
      <c r="U128" s="281"/>
      <c r="V128" s="358" t="str">
        <f>IFERROR(__xludf.DUMMYFUNCTION("if(U128="""", """", U128/sum(filter($U$3:$U$1000, $U$3:$U$1000&lt;&gt;"""")))"),"")</f>
        <v/>
      </c>
    </row>
    <row r="129" ht="12.75" customHeight="1">
      <c r="A129" s="320" t="str">
        <f t="shared" si="12"/>
        <v>Storm Port - Barrel</v>
      </c>
      <c r="B129" s="364" t="str">
        <f t="shared" si="13"/>
        <v>1★</v>
      </c>
      <c r="C129" s="364" t="str">
        <f>IFERROR(__xludf.DUMMYFUNCTION("""COMPUTED_VALUE"""),"CARD_38_s5")</f>
        <v>CARD_38_s5</v>
      </c>
      <c r="M129" s="359"/>
      <c r="N129" s="281"/>
      <c r="O129" s="358"/>
      <c r="Q129" s="359"/>
      <c r="R129" s="360"/>
      <c r="T129" s="372"/>
      <c r="U129" s="281"/>
      <c r="V129" s="358" t="str">
        <f>IFERROR(__xludf.DUMMYFUNCTION("if(U129="""", """", U129/sum(filter($U$3:$U$1000, $U$3:$U$1000&lt;&gt;"""")))"),"")</f>
        <v/>
      </c>
    </row>
    <row r="130" ht="12.75" customHeight="1">
      <c r="A130" s="320" t="str">
        <f t="shared" si="12"/>
        <v>Storm Port - Rope</v>
      </c>
      <c r="B130" s="364" t="str">
        <f t="shared" si="13"/>
        <v>2★</v>
      </c>
      <c r="C130" s="364" t="str">
        <f>IFERROR(__xludf.DUMMYFUNCTION("""COMPUTED_VALUE"""),"CARD_39_s5")</f>
        <v>CARD_39_s5</v>
      </c>
      <c r="M130" s="359"/>
      <c r="N130" s="281"/>
      <c r="O130" s="358"/>
      <c r="Q130" s="359"/>
      <c r="R130" s="360"/>
      <c r="T130" s="372"/>
      <c r="U130" s="281"/>
      <c r="V130" s="358" t="str">
        <f>IFERROR(__xludf.DUMMYFUNCTION("if(U130="""", """", U130/sum(filter($U$3:$U$1000, $U$3:$U$1000&lt;&gt;"""")))"),"")</f>
        <v/>
      </c>
    </row>
    <row r="131" ht="12.75" customHeight="1">
      <c r="A131" s="320" t="str">
        <f t="shared" si="12"/>
        <v>Storm Port - Cleat</v>
      </c>
      <c r="B131" s="364" t="str">
        <f t="shared" si="13"/>
        <v>2★</v>
      </c>
      <c r="C131" s="364" t="str">
        <f>IFERROR(__xludf.DUMMYFUNCTION("""COMPUTED_VALUE"""),"CARD_40_s5")</f>
        <v>CARD_40_s5</v>
      </c>
      <c r="M131" s="359"/>
      <c r="N131" s="281"/>
      <c r="O131" s="358"/>
      <c r="Q131" s="359"/>
      <c r="R131" s="360"/>
      <c r="T131" s="372"/>
      <c r="U131" s="281"/>
      <c r="V131" s="358" t="str">
        <f>IFERROR(__xludf.DUMMYFUNCTION("if(U131="""", """", U131/sum(filter($U$3:$U$1000, $U$3:$U$1000&lt;&gt;"""")))"),"")</f>
        <v/>
      </c>
    </row>
    <row r="132" ht="12.75" customHeight="1">
      <c r="A132" s="320" t="str">
        <f t="shared" si="12"/>
        <v>Storm Port - Flare</v>
      </c>
      <c r="B132" s="364" t="str">
        <f t="shared" si="13"/>
        <v>3★</v>
      </c>
      <c r="C132" s="364" t="str">
        <f>IFERROR(__xludf.DUMMYFUNCTION("""COMPUTED_VALUE"""),"CARD_41_s5")</f>
        <v>CARD_41_s5</v>
      </c>
      <c r="M132" s="359"/>
      <c r="N132" s="281"/>
      <c r="O132" s="358"/>
      <c r="Q132" s="359"/>
      <c r="R132" s="360"/>
      <c r="T132" s="372"/>
      <c r="U132" s="281"/>
      <c r="V132" s="358" t="str">
        <f>IFERROR(__xludf.DUMMYFUNCTION("if(U132="""", """", U132/sum(filter($U$3:$U$1000, $U$3:$U$1000&lt;&gt;"""")))"),"")</f>
        <v/>
      </c>
    </row>
    <row r="133" ht="12.75" customHeight="1">
      <c r="A133" s="320" t="str">
        <f t="shared" si="12"/>
        <v>Storm Port - Bucket</v>
      </c>
      <c r="B133" s="364" t="str">
        <f t="shared" si="13"/>
        <v>4★</v>
      </c>
      <c r="C133" s="364" t="str">
        <f>IFERROR(__xludf.DUMMYFUNCTION("""COMPUTED_VALUE"""),"CARD_42_s5")</f>
        <v>CARD_42_s5</v>
      </c>
      <c r="M133" s="359"/>
      <c r="N133" s="281"/>
      <c r="O133" s="358"/>
      <c r="Q133" s="359"/>
      <c r="R133" s="360"/>
      <c r="T133" s="372"/>
      <c r="U133" s="281"/>
      <c r="V133" s="358" t="str">
        <f>IFERROR(__xludf.DUMMYFUNCTION("if(U133="""", """", U133/sum(filter($U$3:$U$1000, $U$3:$U$1000&lt;&gt;"""")))"),"")</f>
        <v/>
      </c>
    </row>
    <row r="134" ht="12.75" customHeight="1">
      <c r="A134" s="320" t="str">
        <f t="shared" si="12"/>
        <v>Storm Port - Windmill</v>
      </c>
      <c r="B134" s="364" t="str">
        <f t="shared" si="13"/>
        <v>4★</v>
      </c>
      <c r="C134" s="364" t="str">
        <f>IFERROR(__xludf.DUMMYFUNCTION("""COMPUTED_VALUE"""),"CARD_43_s5")</f>
        <v>CARD_43_s5</v>
      </c>
      <c r="M134" s="359"/>
      <c r="N134" s="281"/>
      <c r="O134" s="358"/>
      <c r="Q134" s="359"/>
      <c r="R134" s="360"/>
      <c r="T134" s="372"/>
      <c r="U134" s="281"/>
      <c r="V134" s="358" t="str">
        <f>IFERROR(__xludf.DUMMYFUNCTION("if(U134="""", """", U134/sum(filter($U$3:$U$1000, $U$3:$U$1000&lt;&gt;"""")))"),"")</f>
        <v/>
      </c>
    </row>
    <row r="135" ht="12.75" customHeight="1">
      <c r="A135" s="320" t="str">
        <f t="shared" si="12"/>
        <v>Storm Port - Lighthouse</v>
      </c>
      <c r="B135" s="364" t="str">
        <f t="shared" si="13"/>
        <v>5★</v>
      </c>
      <c r="C135" s="364" t="str">
        <f>IFERROR(__xludf.DUMMYFUNCTION("""COMPUTED_VALUE"""),"CARD_44_s5")</f>
        <v>CARD_44_s5</v>
      </c>
      <c r="M135" s="359"/>
      <c r="N135" s="281"/>
      <c r="O135" s="358"/>
      <c r="Q135" s="359"/>
      <c r="R135" s="360"/>
      <c r="T135" s="372"/>
      <c r="U135" s="281"/>
      <c r="V135" s="358" t="str">
        <f>IFERROR(__xludf.DUMMYFUNCTION("if(U135="""", """", U135/sum(filter($U$3:$U$1000, $U$3:$U$1000&lt;&gt;"""")))"),"")</f>
        <v/>
      </c>
    </row>
    <row r="136" ht="12.75" customHeight="1">
      <c r="A136" s="320" t="str">
        <f t="shared" si="12"/>
        <v>Storm Port - Drum</v>
      </c>
      <c r="B136" s="364" t="str">
        <f t="shared" si="13"/>
        <v>5★</v>
      </c>
      <c r="C136" s="364" t="str">
        <f>IFERROR(__xludf.DUMMYFUNCTION("""COMPUTED_VALUE"""),"CARD_45_s5")</f>
        <v>CARD_45_s5</v>
      </c>
      <c r="M136" s="359"/>
      <c r="N136" s="281"/>
      <c r="O136" s="358"/>
      <c r="Q136" s="359"/>
      <c r="R136" s="360"/>
      <c r="T136" s="372"/>
      <c r="U136" s="281"/>
      <c r="V136" s="358" t="str">
        <f>IFERROR(__xludf.DUMMYFUNCTION("if(U136="""", """", U136/sum(filter($U$3:$U$1000, $U$3:$U$1000&lt;&gt;"""")))"),"")</f>
        <v/>
      </c>
    </row>
    <row r="137" ht="12.75" customHeight="1">
      <c r="M137" s="359"/>
      <c r="N137" s="281"/>
      <c r="O137" s="358"/>
      <c r="Q137" s="359"/>
      <c r="R137" s="360"/>
      <c r="T137" s="372"/>
      <c r="U137" s="281"/>
      <c r="V137" s="358" t="str">
        <f>IFERROR(__xludf.DUMMYFUNCTION("if(U137="""", """", U137/sum(filter($U$3:$U$1000, $U$3:$U$1000&lt;&gt;"""")))"),"")</f>
        <v/>
      </c>
    </row>
    <row r="138" ht="12.75" customHeight="1">
      <c r="A138" s="314" t="s">
        <v>724</v>
      </c>
      <c r="M138" s="359"/>
      <c r="N138" s="281"/>
      <c r="O138" s="358"/>
      <c r="Q138" s="359"/>
      <c r="R138" s="360"/>
      <c r="T138" s="372"/>
      <c r="U138" s="281"/>
      <c r="V138" s="358" t="str">
        <f>IFERROR(__xludf.DUMMYFUNCTION("if(U138="""", """", U138/sum(filter($U$3:$U$1000, $U$3:$U$1000&lt;&gt;"""")))"),"")</f>
        <v/>
      </c>
    </row>
    <row r="139" ht="12.75" customHeight="1">
      <c r="A139" s="317" t="s">
        <v>504</v>
      </c>
      <c r="B139" s="318" t="s">
        <v>482</v>
      </c>
      <c r="C139" s="318" t="s">
        <v>503</v>
      </c>
      <c r="M139" s="359"/>
      <c r="N139" s="281"/>
      <c r="O139" s="358"/>
      <c r="Q139" s="359"/>
      <c r="R139" s="360"/>
      <c r="T139" s="372"/>
      <c r="U139" s="281"/>
      <c r="V139" s="358" t="str">
        <f>IFERROR(__xludf.DUMMYFUNCTION("if(U139="""", """", U139/sum(filter($U$3:$U$1000, $U$3:$U$1000&lt;&gt;"""")))"),"")</f>
        <v/>
      </c>
    </row>
    <row r="140" ht="12.75" customHeight="1">
      <c r="A140" s="320" t="str">
        <f t="shared" ref="A140:A148" si="14">index($B$3:$B$74, match(C140, $A$3:$A$74, 0),0)</f>
        <v>Cannon Fort - Cannonball</v>
      </c>
      <c r="B140" s="364" t="str">
        <f t="shared" ref="B140:B148" si="15">index($E$3:$E$74, match(C140, $A$3:$A$74, 0),0)</f>
        <v>1★</v>
      </c>
      <c r="C140" s="364" t="str">
        <f>IFERROR(__xludf.DUMMYFUNCTION("filter($A$3:$A$74, $D$3:$D$74=LEFT(A$138, len(A$138)-8))"),"CARD_46_s6")</f>
        <v>CARD_46_s6</v>
      </c>
      <c r="M140" s="359"/>
      <c r="N140" s="281"/>
      <c r="O140" s="358"/>
      <c r="Q140" s="359"/>
      <c r="R140" s="360"/>
      <c r="T140" s="372"/>
      <c r="U140" s="281"/>
      <c r="V140" s="358" t="str">
        <f>IFERROR(__xludf.DUMMYFUNCTION("if(U140="""", """", U140/sum(filter($U$3:$U$1000, $U$3:$U$1000&lt;&gt;"""")))"),"")</f>
        <v/>
      </c>
    </row>
    <row r="141" ht="12.75" customHeight="1">
      <c r="A141" s="320" t="str">
        <f t="shared" si="14"/>
        <v>Cannon Fort - Powder</v>
      </c>
      <c r="B141" s="364" t="str">
        <f t="shared" si="15"/>
        <v>1★</v>
      </c>
      <c r="C141" s="364" t="str">
        <f>IFERROR(__xludf.DUMMYFUNCTION("""COMPUTED_VALUE"""),"CARD_47_s6")</f>
        <v>CARD_47_s6</v>
      </c>
      <c r="M141" s="359"/>
      <c r="N141" s="281"/>
      <c r="O141" s="358"/>
      <c r="Q141" s="359"/>
      <c r="R141" s="360"/>
      <c r="T141" s="372"/>
      <c r="U141" s="281"/>
      <c r="V141" s="358" t="str">
        <f>IFERROR(__xludf.DUMMYFUNCTION("if(U141="""", """", U141/sum(filter($U$3:$U$1000, $U$3:$U$1000&lt;&gt;"""")))"),"")</f>
        <v/>
      </c>
    </row>
    <row r="142" ht="12.75" customHeight="1">
      <c r="A142" s="320" t="str">
        <f t="shared" si="14"/>
        <v>Cannon Fort - Fuse</v>
      </c>
      <c r="B142" s="364" t="str">
        <f t="shared" si="15"/>
        <v>2★</v>
      </c>
      <c r="C142" s="364" t="str">
        <f>IFERROR(__xludf.DUMMYFUNCTION("""COMPUTED_VALUE"""),"CARD_48_s6")</f>
        <v>CARD_48_s6</v>
      </c>
      <c r="M142" s="359"/>
      <c r="N142" s="281"/>
      <c r="O142" s="358"/>
      <c r="Q142" s="359"/>
      <c r="R142" s="360"/>
      <c r="T142" s="372"/>
      <c r="U142" s="281"/>
      <c r="V142" s="358" t="str">
        <f>IFERROR(__xludf.DUMMYFUNCTION("if(U142="""", """", U142/sum(filter($U$3:$U$1000, $U$3:$U$1000&lt;&gt;"""")))"),"")</f>
        <v/>
      </c>
    </row>
    <row r="143" ht="12.75" customHeight="1">
      <c r="A143" s="320" t="str">
        <f t="shared" si="14"/>
        <v>Cannon Fort - Ramrod</v>
      </c>
      <c r="B143" s="364" t="str">
        <f t="shared" si="15"/>
        <v>2★</v>
      </c>
      <c r="C143" s="364" t="str">
        <f>IFERROR(__xludf.DUMMYFUNCTION("""COMPUTED_VALUE"""),"CARD_49_s6")</f>
        <v>CARD_49_s6</v>
      </c>
      <c r="M143" s="359"/>
      <c r="N143" s="281"/>
      <c r="O143" s="358"/>
      <c r="Q143" s="359"/>
      <c r="R143" s="360"/>
      <c r="T143" s="372"/>
      <c r="U143" s="281"/>
      <c r="V143" s="358" t="str">
        <f>IFERROR(__xludf.DUMMYFUNCTION("if(U143="""", """", U143/sum(filter($U$3:$U$1000, $U$3:$U$1000&lt;&gt;"""")))"),"")</f>
        <v/>
      </c>
    </row>
    <row r="144" ht="12.75" customHeight="1">
      <c r="A144" s="320" t="str">
        <f t="shared" si="14"/>
        <v>Cannon Fort - War Flag</v>
      </c>
      <c r="B144" s="364" t="str">
        <f t="shared" si="15"/>
        <v>3★</v>
      </c>
      <c r="C144" s="364" t="str">
        <f>IFERROR(__xludf.DUMMYFUNCTION("""COMPUTED_VALUE"""),"CARD_50_s6")</f>
        <v>CARD_50_s6</v>
      </c>
      <c r="M144" s="359"/>
      <c r="N144" s="281"/>
      <c r="O144" s="358"/>
      <c r="Q144" s="359"/>
      <c r="R144" s="360"/>
      <c r="T144" s="372"/>
      <c r="U144" s="281"/>
      <c r="V144" s="358" t="str">
        <f>IFERROR(__xludf.DUMMYFUNCTION("if(U144="""", """", U144/sum(filter($U$3:$U$1000, $U$3:$U$1000&lt;&gt;"""")))"),"")</f>
        <v/>
      </c>
    </row>
    <row r="145" ht="12.75" customHeight="1">
      <c r="A145" s="320" t="str">
        <f t="shared" si="14"/>
        <v>Cannon Fort - Tower</v>
      </c>
      <c r="B145" s="364" t="str">
        <f t="shared" si="15"/>
        <v>4★</v>
      </c>
      <c r="C145" s="364" t="str">
        <f>IFERROR(__xludf.DUMMYFUNCTION("""COMPUTED_VALUE"""),"CARD_51_s6")</f>
        <v>CARD_51_s6</v>
      </c>
      <c r="M145" s="359"/>
      <c r="N145" s="281"/>
      <c r="O145" s="358"/>
      <c r="Q145" s="359"/>
      <c r="R145" s="360"/>
      <c r="T145" s="372"/>
      <c r="U145" s="281"/>
      <c r="V145" s="358" t="str">
        <f>IFERROR(__xludf.DUMMYFUNCTION("if(U145="""", """", U145/sum(filter($U$3:$U$1000, $U$3:$U$1000&lt;&gt;"""")))"),"")</f>
        <v/>
      </c>
    </row>
    <row r="146" ht="12.75" customHeight="1">
      <c r="A146" s="320" t="str">
        <f t="shared" si="14"/>
        <v>Cannon Fort - Bridge</v>
      </c>
      <c r="B146" s="364" t="str">
        <f t="shared" si="15"/>
        <v>5★</v>
      </c>
      <c r="C146" s="364" t="str">
        <f>IFERROR(__xludf.DUMMYFUNCTION("""COMPUTED_VALUE"""),"CARD_52_s6")</f>
        <v>CARD_52_s6</v>
      </c>
      <c r="M146" s="359"/>
      <c r="N146" s="281"/>
      <c r="O146" s="358"/>
      <c r="Q146" s="359"/>
      <c r="R146" s="360"/>
      <c r="T146" s="372"/>
      <c r="U146" s="281"/>
      <c r="V146" s="358" t="str">
        <f>IFERROR(__xludf.DUMMYFUNCTION("if(U146="""", """", U146/sum(filter($U$3:$U$1000, $U$3:$U$1000&lt;&gt;"""")))"),"")</f>
        <v/>
      </c>
    </row>
    <row r="147" ht="12.75" customHeight="1">
      <c r="A147" s="320" t="str">
        <f t="shared" si="14"/>
        <v>Cannon Fort - Catapult</v>
      </c>
      <c r="B147" s="364" t="str">
        <f t="shared" si="15"/>
        <v>5★</v>
      </c>
      <c r="C147" s="364" t="str">
        <f>IFERROR(__xludf.DUMMYFUNCTION("""COMPUTED_VALUE"""),"CARD_53_s6")</f>
        <v>CARD_53_s6</v>
      </c>
      <c r="M147" s="359"/>
      <c r="N147" s="281"/>
      <c r="O147" s="358"/>
      <c r="Q147" s="359"/>
      <c r="R147" s="360"/>
      <c r="T147" s="372"/>
      <c r="U147" s="281"/>
      <c r="V147" s="358" t="str">
        <f>IFERROR(__xludf.DUMMYFUNCTION("if(U147="""", """", U147/sum(filter($U$3:$U$1000, $U$3:$U$1000&lt;&gt;"""")))"),"")</f>
        <v/>
      </c>
    </row>
    <row r="148" ht="12.75" customHeight="1">
      <c r="A148" s="320" t="str">
        <f t="shared" si="14"/>
        <v>Cannon Fort - Horn</v>
      </c>
      <c r="B148" s="364" t="str">
        <f t="shared" si="15"/>
        <v>5★</v>
      </c>
      <c r="C148" s="364" t="str">
        <f>IFERROR(__xludf.DUMMYFUNCTION("""COMPUTED_VALUE"""),"CARD_54_s6")</f>
        <v>CARD_54_s6</v>
      </c>
      <c r="M148" s="359"/>
      <c r="N148" s="281"/>
      <c r="O148" s="358"/>
      <c r="Q148" s="359"/>
      <c r="R148" s="360"/>
      <c r="T148" s="372"/>
      <c r="U148" s="281"/>
      <c r="V148" s="360"/>
    </row>
    <row r="149" ht="12.75" customHeight="1">
      <c r="M149" s="359"/>
      <c r="N149" s="281"/>
      <c r="O149" s="358"/>
      <c r="Q149" s="359"/>
      <c r="R149" s="360"/>
      <c r="T149" s="372"/>
      <c r="U149" s="281"/>
      <c r="V149" s="360"/>
    </row>
    <row r="150" ht="12.75" customHeight="1">
      <c r="A150" s="314" t="s">
        <v>725</v>
      </c>
      <c r="M150" s="359"/>
      <c r="N150" s="281"/>
      <c r="O150" s="358"/>
      <c r="Q150" s="359"/>
      <c r="R150" s="360"/>
      <c r="T150" s="372"/>
      <c r="U150" s="281"/>
      <c r="V150" s="360"/>
    </row>
    <row r="151" ht="12.75" customHeight="1">
      <c r="A151" s="317" t="s">
        <v>504</v>
      </c>
      <c r="B151" s="318" t="s">
        <v>482</v>
      </c>
      <c r="C151" s="318" t="s">
        <v>503</v>
      </c>
      <c r="M151" s="359"/>
      <c r="N151" s="281"/>
      <c r="O151" s="358"/>
      <c r="Q151" s="359"/>
      <c r="R151" s="360"/>
      <c r="T151" s="372" t="str">
        <f>IFERROR(__xludf.DUMMYFUNCTION("""COMPUTED_VALUE"""),"Unl. Bomb")</f>
        <v>Unl. Bomb</v>
      </c>
      <c r="U151" s="281" t="str">
        <f>IFERROR(__xludf.DUMMYFUNCTION("""COMPUTED_VALUE"""),"Avatar")</f>
        <v>Avatar</v>
      </c>
      <c r="V151" s="360"/>
    </row>
    <row r="152" ht="12.75" customHeight="1">
      <c r="A152" s="320" t="str">
        <f t="shared" ref="A152:A160" si="16">index($B$3:$B$74, match(C152, $A$3:$A$74, 0),0)</f>
        <v>Siren Reef - Harp</v>
      </c>
      <c r="B152" s="364" t="str">
        <f t="shared" ref="B152:B160" si="17">index($E$3:$E$74, match(C152, $A$3:$A$74, 0),0)</f>
        <v>1★</v>
      </c>
      <c r="C152" s="364" t="str">
        <f>IFERROR(__xludf.DUMMYFUNCTION("filter($A$3:$A$74, $D$3:$D$74=LEFT(A$150, len(A$150)-8))"),"CARD_55_s7")</f>
        <v>CARD_55_s7</v>
      </c>
      <c r="M152" s="359"/>
      <c r="N152" s="281"/>
      <c r="O152" s="358"/>
      <c r="Q152" s="359"/>
      <c r="R152" s="360"/>
      <c r="T152" s="372">
        <f>IFERROR(__xludf.DUMMYFUNCTION("""COMPUTED_VALUE"""),0.0)</f>
        <v>0</v>
      </c>
      <c r="U152" s="281">
        <f>IFERROR(__xludf.DUMMYFUNCTION("""COMPUTED_VALUE"""),0.0)</f>
        <v>0</v>
      </c>
      <c r="V152" s="360"/>
    </row>
    <row r="153" ht="12.75" customHeight="1">
      <c r="A153" s="320" t="str">
        <f t="shared" si="16"/>
        <v>Siren Reef - Mirror</v>
      </c>
      <c r="B153" s="364" t="str">
        <f t="shared" si="17"/>
        <v>1★</v>
      </c>
      <c r="C153" s="364" t="str">
        <f>IFERROR(__xludf.DUMMYFUNCTION("""COMPUTED_VALUE"""),"CARD_56_s7")</f>
        <v>CARD_56_s7</v>
      </c>
      <c r="M153" s="359"/>
      <c r="N153" s="281"/>
      <c r="O153" s="358"/>
      <c r="Q153" s="359"/>
      <c r="R153" s="360"/>
      <c r="T153" s="372">
        <f>IFERROR(__xludf.DUMMYFUNCTION("""COMPUTED_VALUE"""),0.0)</f>
        <v>0</v>
      </c>
      <c r="U153" s="281">
        <f>IFERROR(__xludf.DUMMYFUNCTION("""COMPUTED_VALUE"""),0.0)</f>
        <v>0</v>
      </c>
      <c r="V153" s="360"/>
    </row>
    <row r="154" ht="12.75" customHeight="1">
      <c r="A154" s="320" t="str">
        <f t="shared" si="16"/>
        <v>Siren Reef - Comb</v>
      </c>
      <c r="B154" s="364" t="str">
        <f t="shared" si="17"/>
        <v>2★</v>
      </c>
      <c r="C154" s="364" t="str">
        <f>IFERROR(__xludf.DUMMYFUNCTION("""COMPUTED_VALUE"""),"CARD_57_s7")</f>
        <v>CARD_57_s7</v>
      </c>
      <c r="M154" s="359"/>
      <c r="N154" s="281"/>
      <c r="O154" s="358"/>
      <c r="Q154" s="359"/>
      <c r="R154" s="360"/>
      <c r="T154" s="372">
        <f>IFERROR(__xludf.DUMMYFUNCTION("""COMPUTED_VALUE"""),0.0)</f>
        <v>0</v>
      </c>
      <c r="U154" s="281">
        <f>IFERROR(__xludf.DUMMYFUNCTION("""COMPUTED_VALUE"""),0.0)</f>
        <v>0</v>
      </c>
      <c r="V154" s="360"/>
    </row>
    <row r="155" ht="12.75" customHeight="1">
      <c r="A155" s="320" t="str">
        <f t="shared" si="16"/>
        <v>Siren Reef - Witch</v>
      </c>
      <c r="B155" s="364" t="str">
        <f t="shared" si="17"/>
        <v>2★</v>
      </c>
      <c r="C155" s="364" t="str">
        <f>IFERROR(__xludf.DUMMYFUNCTION("""COMPUTED_VALUE"""),"CARD_58_s7")</f>
        <v>CARD_58_s7</v>
      </c>
      <c r="M155" s="359"/>
      <c r="N155" s="281"/>
      <c r="O155" s="358"/>
      <c r="Q155" s="359"/>
      <c r="R155" s="360"/>
      <c r="T155" s="372">
        <f>IFERROR(__xludf.DUMMYFUNCTION("""COMPUTED_VALUE"""),0.0)</f>
        <v>0</v>
      </c>
      <c r="U155" s="281">
        <f>IFERROR(__xludf.DUMMYFUNCTION("""COMPUTED_VALUE"""),0.0)</f>
        <v>0</v>
      </c>
      <c r="V155" s="360"/>
    </row>
    <row r="156" ht="12.75" customHeight="1">
      <c r="A156" s="320" t="str">
        <f t="shared" si="16"/>
        <v>Siren Reef - Starfish</v>
      </c>
      <c r="B156" s="364" t="str">
        <f t="shared" si="17"/>
        <v>3★</v>
      </c>
      <c r="C156" s="364" t="str">
        <f>IFERROR(__xludf.DUMMYFUNCTION("""COMPUTED_VALUE"""),"CARD_59_s7")</f>
        <v>CARD_59_s7</v>
      </c>
      <c r="M156" s="359"/>
      <c r="N156" s="281"/>
      <c r="O156" s="358"/>
      <c r="Q156" s="359"/>
      <c r="R156" s="360"/>
      <c r="T156" s="372">
        <f>IFERROR(__xludf.DUMMYFUNCTION("""COMPUTED_VALUE"""),0.0)</f>
        <v>0</v>
      </c>
      <c r="U156" s="281">
        <f>IFERROR(__xludf.DUMMYFUNCTION("""COMPUTED_VALUE"""),0.0)</f>
        <v>0</v>
      </c>
      <c r="V156" s="360"/>
    </row>
    <row r="157" ht="12.75" customHeight="1">
      <c r="A157" s="320" t="str">
        <f t="shared" si="16"/>
        <v>Siren Reef - Moonstone</v>
      </c>
      <c r="B157" s="364" t="str">
        <f t="shared" si="17"/>
        <v>4★</v>
      </c>
      <c r="C157" s="364" t="str">
        <f>IFERROR(__xludf.DUMMYFUNCTION("""COMPUTED_VALUE"""),"CARD_60_s7")</f>
        <v>CARD_60_s7</v>
      </c>
      <c r="M157" s="359"/>
      <c r="N157" s="281"/>
      <c r="O157" s="358"/>
      <c r="Q157" s="359"/>
      <c r="R157" s="360"/>
      <c r="T157" s="372">
        <f>IFERROR(__xludf.DUMMYFUNCTION("""COMPUTED_VALUE"""),0.0)</f>
        <v>0</v>
      </c>
      <c r="U157" s="281">
        <f>IFERROR(__xludf.DUMMYFUNCTION("""COMPUTED_VALUE"""),0.0)</f>
        <v>0</v>
      </c>
      <c r="V157" s="360"/>
    </row>
    <row r="158" ht="12.75" customHeight="1">
      <c r="A158" s="320" t="str">
        <f t="shared" si="16"/>
        <v>Siren Reef - Wave</v>
      </c>
      <c r="B158" s="364" t="str">
        <f t="shared" si="17"/>
        <v>5★</v>
      </c>
      <c r="C158" s="364" t="str">
        <f>IFERROR(__xludf.DUMMYFUNCTION("""COMPUTED_VALUE"""),"CARD_61_s7")</f>
        <v>CARD_61_s7</v>
      </c>
      <c r="M158" s="359"/>
      <c r="N158" s="281"/>
      <c r="O158" s="358"/>
      <c r="Q158" s="359"/>
      <c r="R158" s="360"/>
      <c r="T158" s="372">
        <f>IFERROR(__xludf.DUMMYFUNCTION("""COMPUTED_VALUE"""),0.0)</f>
        <v>0</v>
      </c>
      <c r="U158" s="281">
        <f>IFERROR(__xludf.DUMMYFUNCTION("""COMPUTED_VALUE"""),0.0)</f>
        <v>0</v>
      </c>
      <c r="V158" s="360"/>
    </row>
    <row r="159" ht="12.75" customHeight="1">
      <c r="A159" s="320" t="str">
        <f t="shared" si="16"/>
        <v>Siren Reef - Driftwood</v>
      </c>
      <c r="B159" s="364" t="str">
        <f t="shared" si="17"/>
        <v>5★</v>
      </c>
      <c r="C159" s="364" t="str">
        <f>IFERROR(__xludf.DUMMYFUNCTION("""COMPUTED_VALUE"""),"CARD_62_s7")</f>
        <v>CARD_62_s7</v>
      </c>
      <c r="M159" s="359"/>
      <c r="N159" s="281"/>
      <c r="O159" s="358"/>
      <c r="Q159" s="359"/>
      <c r="R159" s="360"/>
      <c r="T159" s="372">
        <f>IFERROR(__xludf.DUMMYFUNCTION("""COMPUTED_VALUE"""),0.0)</f>
        <v>0</v>
      </c>
      <c r="U159" s="281">
        <f>IFERROR(__xludf.DUMMYFUNCTION("""COMPUTED_VALUE"""),0.0)</f>
        <v>0</v>
      </c>
      <c r="V159" s="360"/>
    </row>
    <row r="160" ht="12.75" customHeight="1">
      <c r="A160" s="320" t="str">
        <f t="shared" si="16"/>
        <v>Siren Reef - Conch</v>
      </c>
      <c r="B160" s="364" t="str">
        <f t="shared" si="17"/>
        <v>5★</v>
      </c>
      <c r="C160" s="364" t="str">
        <f>IFERROR(__xludf.DUMMYFUNCTION("""COMPUTED_VALUE"""),"CARD_63_s7")</f>
        <v>CARD_63_s7</v>
      </c>
      <c r="M160" s="359"/>
      <c r="N160" s="281"/>
      <c r="O160" s="358"/>
      <c r="Q160" s="359"/>
      <c r="R160" s="360"/>
      <c r="T160" s="372"/>
      <c r="U160" s="281"/>
      <c r="V160" s="360"/>
    </row>
    <row r="161" ht="12.75" customHeight="1">
      <c r="M161" s="359"/>
      <c r="N161" s="281"/>
      <c r="O161" s="358"/>
      <c r="Q161" s="359"/>
      <c r="R161" s="360"/>
      <c r="T161" s="372"/>
      <c r="U161" s="281"/>
      <c r="V161" s="360"/>
    </row>
    <row r="162" ht="12.75" customHeight="1">
      <c r="A162" s="314" t="s">
        <v>726</v>
      </c>
      <c r="M162" s="359"/>
      <c r="N162" s="281"/>
      <c r="O162" s="358"/>
      <c r="Q162" s="359"/>
      <c r="R162" s="360"/>
      <c r="T162" s="372" t="str">
        <f>IFERROR(__xludf.DUMMYFUNCTION("""COMPUTED_VALUE"""),"Unl. Bomb")</f>
        <v>Unl. Bomb</v>
      </c>
      <c r="U162" s="281" t="str">
        <f>IFERROR(__xludf.DUMMYFUNCTION("""COMPUTED_VALUE"""),"Avatar")</f>
        <v>Avatar</v>
      </c>
      <c r="V162" s="360"/>
    </row>
    <row r="163" ht="12.75" customHeight="1">
      <c r="A163" s="317" t="s">
        <v>504</v>
      </c>
      <c r="B163" s="318" t="s">
        <v>482</v>
      </c>
      <c r="C163" s="318" t="s">
        <v>503</v>
      </c>
      <c r="M163" s="359"/>
      <c r="N163" s="281"/>
      <c r="O163" s="358"/>
      <c r="Q163" s="359"/>
      <c r="R163" s="360"/>
      <c r="T163" s="372">
        <f>IFERROR(__xludf.DUMMYFUNCTION("""COMPUTED_VALUE"""),0.0)</f>
        <v>0</v>
      </c>
      <c r="U163" s="281">
        <f>IFERROR(__xludf.DUMMYFUNCTION("""COMPUTED_VALUE"""),0.0)</f>
        <v>0</v>
      </c>
      <c r="V163" s="360"/>
    </row>
    <row r="164" ht="12.75" customHeight="1">
      <c r="A164" s="320" t="str">
        <f t="shared" ref="A164:A172" si="18">index($B$3:$B$74, match(C164, $A$3:$A$74, 0),0)</f>
        <v>Dead Man Bay - Pistol</v>
      </c>
      <c r="B164" s="364" t="str">
        <f t="shared" ref="B164:B172" si="19">index($E$3:$E$74, match(C164, $A$3:$A$74, 0),0)</f>
        <v>1★</v>
      </c>
      <c r="C164" s="364" t="str">
        <f>IFERROR(__xludf.DUMMYFUNCTION("filter($A$3:$A$74, $D$3:$D$74=LEFT(A$162, len(A$162)-8))"),"CARD_64_s8")</f>
        <v>CARD_64_s8</v>
      </c>
      <c r="M164" s="359"/>
      <c r="N164" s="281"/>
      <c r="O164" s="358"/>
      <c r="Q164" s="359"/>
      <c r="R164" s="360"/>
      <c r="T164" s="372">
        <f>IFERROR(__xludf.DUMMYFUNCTION("""COMPUTED_VALUE"""),0.0)</f>
        <v>0</v>
      </c>
      <c r="U164" s="281">
        <f>IFERROR(__xludf.DUMMYFUNCTION("""COMPUTED_VALUE"""),0.0)</f>
        <v>0</v>
      </c>
      <c r="V164" s="360"/>
    </row>
    <row r="165" ht="12.75" customHeight="1">
      <c r="A165" s="320" t="str">
        <f t="shared" si="18"/>
        <v>Dead Man Bay - Rum</v>
      </c>
      <c r="B165" s="364" t="str">
        <f t="shared" si="19"/>
        <v>1★</v>
      </c>
      <c r="C165" s="364" t="str">
        <f>IFERROR(__xludf.DUMMYFUNCTION("""COMPUTED_VALUE"""),"CARD_65_s8")</f>
        <v>CARD_65_s8</v>
      </c>
      <c r="M165" s="359"/>
      <c r="N165" s="281"/>
      <c r="O165" s="358"/>
      <c r="Q165" s="359"/>
      <c r="R165" s="360"/>
      <c r="T165" s="372">
        <f>IFERROR(__xludf.DUMMYFUNCTION("""COMPUTED_VALUE"""),0.0)</f>
        <v>0</v>
      </c>
      <c r="U165" s="281">
        <f>IFERROR(__xludf.DUMMYFUNCTION("""COMPUTED_VALUE"""),0.0)</f>
        <v>0</v>
      </c>
      <c r="V165" s="360"/>
    </row>
    <row r="166" ht="12.75" customHeight="1">
      <c r="A166" s="320" t="str">
        <f t="shared" si="18"/>
        <v>Dead Man Bay - Treasure Map</v>
      </c>
      <c r="B166" s="364" t="str">
        <f t="shared" si="19"/>
        <v>2★</v>
      </c>
      <c r="C166" s="364" t="str">
        <f>IFERROR(__xludf.DUMMYFUNCTION("""COMPUTED_VALUE"""),"CARD_66_s8")</f>
        <v>CARD_66_s8</v>
      </c>
      <c r="M166" s="359"/>
      <c r="N166" s="281"/>
      <c r="O166" s="358"/>
      <c r="Q166" s="359"/>
      <c r="R166" s="360"/>
      <c r="T166" s="372">
        <f>IFERROR(__xludf.DUMMYFUNCTION("""COMPUTED_VALUE"""),0.0)</f>
        <v>0</v>
      </c>
      <c r="U166" s="281">
        <f>IFERROR(__xludf.DUMMYFUNCTION("""COMPUTED_VALUE"""),0.0)</f>
        <v>0</v>
      </c>
      <c r="V166" s="360"/>
    </row>
    <row r="167" ht="12.75" customHeight="1">
      <c r="A167" s="320" t="str">
        <f t="shared" si="18"/>
        <v>Dead Man Bay - Jolly Roger</v>
      </c>
      <c r="B167" s="364" t="str">
        <f t="shared" si="19"/>
        <v>2★</v>
      </c>
      <c r="C167" s="364" t="str">
        <f>IFERROR(__xludf.DUMMYFUNCTION("""COMPUTED_VALUE"""),"CARD_67_s8")</f>
        <v>CARD_67_s8</v>
      </c>
      <c r="M167" s="359"/>
      <c r="N167" s="281"/>
      <c r="O167" s="358"/>
      <c r="Q167" s="359"/>
      <c r="R167" s="360"/>
      <c r="T167" s="372">
        <f>IFERROR(__xludf.DUMMYFUNCTION("""COMPUTED_VALUE"""),0.0)</f>
        <v>0</v>
      </c>
      <c r="U167" s="281">
        <f>IFERROR(__xludf.DUMMYFUNCTION("""COMPUTED_VALUE"""),0.0)</f>
        <v>0</v>
      </c>
      <c r="V167" s="360"/>
    </row>
    <row r="168" ht="12.75" customHeight="1">
      <c r="A168" s="320" t="str">
        <f t="shared" si="18"/>
        <v>Dead Man Bay - Gold Tooth</v>
      </c>
      <c r="B168" s="364" t="str">
        <f t="shared" si="19"/>
        <v>3★</v>
      </c>
      <c r="C168" s="364" t="str">
        <f>IFERROR(__xludf.DUMMYFUNCTION("""COMPUTED_VALUE"""),"CARD_68_s8")</f>
        <v>CARD_68_s8</v>
      </c>
      <c r="M168" s="359"/>
      <c r="N168" s="281"/>
      <c r="O168" s="358"/>
      <c r="Q168" s="359"/>
      <c r="R168" s="360"/>
      <c r="T168" s="372">
        <f>IFERROR(__xludf.DUMMYFUNCTION("""COMPUTED_VALUE"""),0.0)</f>
        <v>0</v>
      </c>
      <c r="U168" s="281">
        <f>IFERROR(__xludf.DUMMYFUNCTION("""COMPUTED_VALUE"""),0.0)</f>
        <v>0</v>
      </c>
      <c r="V168" s="360"/>
    </row>
    <row r="169" ht="12.75" customHeight="1">
      <c r="A169" s="320" t="str">
        <f t="shared" si="18"/>
        <v>Dead Man Bay - Dagger</v>
      </c>
      <c r="B169" s="364" t="str">
        <f t="shared" si="19"/>
        <v>4★</v>
      </c>
      <c r="C169" s="364" t="str">
        <f>IFERROR(__xludf.DUMMYFUNCTION("""COMPUTED_VALUE"""),"CARD_69_s8")</f>
        <v>CARD_69_s8</v>
      </c>
      <c r="M169" s="359"/>
      <c r="N169" s="281"/>
      <c r="O169" s="358"/>
      <c r="Q169" s="359"/>
      <c r="R169" s="360"/>
      <c r="T169" s="372">
        <f>IFERROR(__xludf.DUMMYFUNCTION("""COMPUTED_VALUE"""),0.0)</f>
        <v>0</v>
      </c>
      <c r="U169" s="281">
        <f>IFERROR(__xludf.DUMMYFUNCTION("""COMPUTED_VALUE"""),0.0)</f>
        <v>0</v>
      </c>
      <c r="V169" s="360"/>
    </row>
    <row r="170" ht="12.75" customHeight="1">
      <c r="A170" s="320" t="str">
        <f t="shared" si="18"/>
        <v>Dead Man Bay - Bandana</v>
      </c>
      <c r="B170" s="364" t="str">
        <f t="shared" si="19"/>
        <v>5★</v>
      </c>
      <c r="C170" s="364" t="str">
        <f>IFERROR(__xludf.DUMMYFUNCTION("""COMPUTED_VALUE"""),"CARD_70_s8")</f>
        <v>CARD_70_s8</v>
      </c>
      <c r="M170" s="359"/>
      <c r="N170" s="281"/>
      <c r="O170" s="358"/>
      <c r="Q170" s="359"/>
      <c r="R170" s="360"/>
      <c r="T170" s="372">
        <f>IFERROR(__xludf.DUMMYFUNCTION("""COMPUTED_VALUE"""),0.0)</f>
        <v>0</v>
      </c>
      <c r="U170" s="281">
        <f>IFERROR(__xludf.DUMMYFUNCTION("""COMPUTED_VALUE"""),0.0)</f>
        <v>0</v>
      </c>
      <c r="V170" s="360"/>
    </row>
    <row r="171" ht="12.75" customHeight="1">
      <c r="A171" s="320" t="str">
        <f t="shared" si="18"/>
        <v>Dead Man Bay - Boots</v>
      </c>
      <c r="B171" s="364" t="str">
        <f t="shared" si="19"/>
        <v>5★</v>
      </c>
      <c r="C171" s="364" t="str">
        <f>IFERROR(__xludf.DUMMYFUNCTION("""COMPUTED_VALUE"""),"CARD_71_s8")</f>
        <v>CARD_71_s8</v>
      </c>
      <c r="M171" s="359"/>
      <c r="N171" s="281"/>
      <c r="O171" s="358"/>
      <c r="Q171" s="359"/>
      <c r="R171" s="360"/>
      <c r="T171" s="372"/>
      <c r="U171" s="281"/>
      <c r="V171" s="360"/>
    </row>
    <row r="172" ht="12.75" customHeight="1">
      <c r="A172" s="320" t="str">
        <f t="shared" si="18"/>
        <v>Dead Man Bay - Beard</v>
      </c>
      <c r="B172" s="364" t="str">
        <f t="shared" si="19"/>
        <v>5★</v>
      </c>
      <c r="C172" s="364" t="str">
        <f>IFERROR(__xludf.DUMMYFUNCTION("""COMPUTED_VALUE"""),"CARD_72_s8")</f>
        <v>CARD_72_s8</v>
      </c>
      <c r="F172" s="5" t="s">
        <v>727</v>
      </c>
      <c r="M172" s="359"/>
      <c r="N172" s="281"/>
      <c r="O172" s="358"/>
      <c r="Q172" s="359"/>
      <c r="R172" s="360"/>
      <c r="T172" s="372"/>
      <c r="U172" s="281"/>
      <c r="V172" s="360"/>
    </row>
    <row r="173" ht="12.75" customHeight="1">
      <c r="M173" s="359"/>
      <c r="N173" s="281"/>
      <c r="O173" s="358"/>
      <c r="Q173" s="359"/>
      <c r="R173" s="360"/>
      <c r="T173" s="372" t="str">
        <f>IFERROR(__xludf.DUMMYFUNCTION("""COMPUTED_VALUE"""),"Unl. Bomb")</f>
        <v>Unl. Bomb</v>
      </c>
      <c r="U173" s="281" t="str">
        <f>IFERROR(__xludf.DUMMYFUNCTION("""COMPUTED_VALUE"""),"Avatar")</f>
        <v>Avatar</v>
      </c>
      <c r="V173" s="360"/>
    </row>
    <row r="174" ht="12.75" customHeight="1">
      <c r="A174" s="314" t="s">
        <v>728</v>
      </c>
      <c r="B174" s="376"/>
      <c r="M174" s="359"/>
      <c r="N174" s="281"/>
      <c r="O174" s="358"/>
      <c r="Q174" s="359"/>
      <c r="R174" s="360"/>
      <c r="T174" s="372">
        <f>IFERROR(__xludf.DUMMYFUNCTION("""COMPUTED_VALUE"""),0.0)</f>
        <v>0</v>
      </c>
      <c r="U174" s="281">
        <f>IFERROR(__xludf.DUMMYFUNCTION("""COMPUTED_VALUE"""),0.0)</f>
        <v>0</v>
      </c>
      <c r="V174" s="360"/>
    </row>
    <row r="175" ht="12.75" customHeight="1">
      <c r="A175" s="317" t="s">
        <v>729</v>
      </c>
      <c r="B175" s="318" t="s">
        <v>452</v>
      </c>
      <c r="C175" s="318" t="s">
        <v>453</v>
      </c>
      <c r="D175" s="318" t="s">
        <v>454</v>
      </c>
      <c r="E175" s="318" t="s">
        <v>455</v>
      </c>
      <c r="F175" s="318" t="s">
        <v>456</v>
      </c>
      <c r="G175" s="319" t="s">
        <v>730</v>
      </c>
      <c r="H175" s="318" t="s">
        <v>457</v>
      </c>
      <c r="J175" s="194" t="str">
        <f>IFERROR(__xludf.DUMMYFUNCTION("iferror(filter($E$3:$E$74, $D$3:$D$74=$A176, $E$3:$E$74=F$175), """")"),"")</f>
        <v/>
      </c>
      <c r="M175" s="359"/>
      <c r="N175" s="281"/>
      <c r="O175" s="358"/>
      <c r="Q175" s="359"/>
      <c r="R175" s="360"/>
      <c r="T175" s="372">
        <f>IFERROR(__xludf.DUMMYFUNCTION("""COMPUTED_VALUE"""),0.0)</f>
        <v>0</v>
      </c>
      <c r="U175" s="281">
        <f>IFERROR(__xludf.DUMMYFUNCTION("""COMPUTED_VALUE"""),0.0)</f>
        <v>0</v>
      </c>
      <c r="V175" s="360"/>
    </row>
    <row r="176" ht="12.75" customHeight="1">
      <c r="A176" s="320" t="s">
        <v>512</v>
      </c>
      <c r="B176" s="364">
        <f>IFERROR(__xludf.DUMMYFUNCTION("if(iferror(filter($E$3:$E$74, $D$3:$D$74=$A176, $E$3:$E$74=B$175), 0)=0, 0, counta(iferror(filter($E$3:$E$74, $D$3:$D$74=$A176, $E$3:$E$74=B$175), 0)))"),4.0)</f>
        <v>4</v>
      </c>
      <c r="C176" s="364">
        <f>IFERROR(__xludf.DUMMYFUNCTION("if(iferror(filter($E$3:$E$74, $D$3:$D$74=$A176, $E$3:$E$74=C$175), 0)=0, 0, counta(iferror(filter($E$3:$E$74, $D$3:$D$74=$A176, $E$3:$E$74=C$175), 0)))"),3.0)</f>
        <v>3</v>
      </c>
      <c r="D176" s="364">
        <f>IFERROR(__xludf.DUMMYFUNCTION("if(iferror(filter($E$3:$E$74, $D$3:$D$74=$A176, $E$3:$E$74=D$175), 0)=0, 0, counta(iferror(filter($E$3:$E$74, $D$3:$D$74=$A176, $E$3:$E$74=D$175), 0)))"),2.0)</f>
        <v>2</v>
      </c>
      <c r="E176" s="364">
        <f>IFERROR(__xludf.DUMMYFUNCTION("if(iferror(filter($E$3:$E$74, $D$3:$D$74=$A176, $E$3:$E$74=E$175), 0)=0, 0, counta(iferror(filter($E$3:$E$74, $D$3:$D$74=$A176, $E$3:$E$74=E$175), 0)))"),0.0)</f>
        <v>0</v>
      </c>
      <c r="F176" s="364">
        <f>IFERROR(__xludf.DUMMYFUNCTION("if(iferror(filter($E$3:$E$74, $D$3:$D$74=$A176, $E$3:$E$74=F$175), 0)=0, 0, counta(iferror(filter($E$3:$E$74, $D$3:$D$74=$A176, $E$3:$E$74=F$175), 0)))"),0.0)</f>
        <v>0</v>
      </c>
      <c r="G176" s="364">
        <f>IFERROR(__xludf.DUMMYFUNCTION("if(iferror(filter($E$3:$E$74, $D$3:$D$74=$A176, $E$3:$E$74=G$175), 0)=0, 0, counta(iferror(filter($E$3:$E$74, $D$3:$D$74=$A176, $E$3:$E$74=G$175), 0)))"),0.0)</f>
        <v>0</v>
      </c>
      <c r="H176" s="364">
        <f>IFERROR(__xludf.DUMMYFUNCTION("if(iferror(filter($E$3:$E$74, $D$3:$D$74=$A176, $E$3:$E$74=H$175), 0)=0, 0, counta(iferror(filter($E$3:$E$74, $D$3:$D$74=$A176, $E$3:$E$74=H$175), 0)))"),0.0)</f>
        <v>0</v>
      </c>
      <c r="M176" s="359"/>
      <c r="N176" s="281"/>
      <c r="O176" s="358"/>
      <c r="Q176" s="359"/>
      <c r="R176" s="360"/>
      <c r="T176" s="372">
        <f>IFERROR(__xludf.DUMMYFUNCTION("""COMPUTED_VALUE"""),0.0)</f>
        <v>0</v>
      </c>
      <c r="U176" s="281">
        <f>IFERROR(__xludf.DUMMYFUNCTION("""COMPUTED_VALUE"""),0.0)</f>
        <v>0</v>
      </c>
      <c r="V176" s="360"/>
    </row>
    <row r="177" ht="12.75" customHeight="1">
      <c r="A177" s="320" t="s">
        <v>542</v>
      </c>
      <c r="B177" s="364">
        <f>IFERROR(__xludf.DUMMYFUNCTION("if(iferror(filter($E$3:$E$74, $D$3:$D$74=$A177, $E$3:$E$74=B$175), 0)=0, 0, counta(iferror(filter($E$3:$E$74, $D$3:$D$74=$A177, $E$3:$E$74=B$175), 0)))"),4.0)</f>
        <v>4</v>
      </c>
      <c r="C177" s="364">
        <f>IFERROR(__xludf.DUMMYFUNCTION("if(iferror(filter($E$3:$E$74, $D$3:$D$74=$A177, $E$3:$E$74=C$175), 0)=0, 0, counta(iferror(filter($E$3:$E$74, $D$3:$D$74=$A177, $E$3:$E$74=C$175), 0)))"),2.0)</f>
        <v>2</v>
      </c>
      <c r="D177" s="364">
        <f>IFERROR(__xludf.DUMMYFUNCTION("if(iferror(filter($E$3:$E$74, $D$3:$D$74=$A177, $E$3:$E$74=D$175), 0)=0, 0, counta(iferror(filter($E$3:$E$74, $D$3:$D$74=$A177, $E$3:$E$74=D$175), 0)))"),2.0)</f>
        <v>2</v>
      </c>
      <c r="E177" s="364">
        <f>IFERROR(__xludf.DUMMYFUNCTION("if(iferror(filter($E$3:$E$74, $D$3:$D$74=$A177, $E$3:$E$74=E$175), 0)=0, 0, counta(iferror(filter($E$3:$E$74, $D$3:$D$74=$A177, $E$3:$E$74=E$175), 0)))"),1.0)</f>
        <v>1</v>
      </c>
      <c r="F177" s="364">
        <f>IFERROR(__xludf.DUMMYFUNCTION("if(iferror(filter($E$3:$E$74, $D$3:$D$74=$A177, $E$3:$E$74=F$175), 0)=0, 0, counta(iferror(filter($E$3:$E$74, $D$3:$D$74=$A177, $E$3:$E$74=F$175), 0)))"),0.0)</f>
        <v>0</v>
      </c>
      <c r="G177" s="364">
        <f>IFERROR(__xludf.DUMMYFUNCTION("if(iferror(filter($E$3:$E$74, $D$3:$D$74=$A177, $E$3:$E$74=G$175), 0)=0, 0, counta(iferror(filter($E$3:$E$74, $D$3:$D$74=$A177, $E$3:$E$74=G$175), 0)))"),0.0)</f>
        <v>0</v>
      </c>
      <c r="H177" s="364">
        <f>IFERROR(__xludf.DUMMYFUNCTION("if(iferror(filter($E$3:$E$74, $D$3:$D$74=$A177, $E$3:$E$74=H$175), 0)=0, 0, counta(iferror(filter($E$3:$E$74, $D$3:$D$74=$A177, $E$3:$E$74=H$175), 0)))"),0.0)</f>
        <v>0</v>
      </c>
      <c r="M177" s="359"/>
      <c r="N177" s="281"/>
      <c r="O177" s="358"/>
      <c r="Q177" s="359"/>
      <c r="R177" s="360"/>
      <c r="T177" s="372">
        <f>IFERROR(__xludf.DUMMYFUNCTION("""COMPUTED_VALUE"""),0.0)</f>
        <v>0</v>
      </c>
      <c r="U177" s="281">
        <f>IFERROR(__xludf.DUMMYFUNCTION("""COMPUTED_VALUE"""),0.0)</f>
        <v>0</v>
      </c>
      <c r="V177" s="360"/>
    </row>
    <row r="178" ht="12.75" customHeight="1">
      <c r="A178" s="320" t="s">
        <v>571</v>
      </c>
      <c r="B178" s="364">
        <f>IFERROR(__xludf.DUMMYFUNCTION("if(iferror(filter($E$3:$E$74, $D$3:$D$74=$A178, $E$3:$E$74=B$175), 0)=0, 0, counta(iferror(filter($E$3:$E$74, $D$3:$D$74=$A178, $E$3:$E$74=B$175), 0)))"),3.0)</f>
        <v>3</v>
      </c>
      <c r="C178" s="364">
        <f>IFERROR(__xludf.DUMMYFUNCTION("if(iferror(filter($E$3:$E$74, $D$3:$D$74=$A178, $E$3:$E$74=C$175), 0)=0, 0, counta(iferror(filter($E$3:$E$74, $D$3:$D$74=$A178, $E$3:$E$74=C$175), 0)))"),2.0)</f>
        <v>2</v>
      </c>
      <c r="D178" s="364">
        <f>IFERROR(__xludf.DUMMYFUNCTION("if(iferror(filter($E$3:$E$74, $D$3:$D$74=$A178, $E$3:$E$74=D$175), 0)=0, 0, counta(iferror(filter($E$3:$E$74, $D$3:$D$74=$A178, $E$3:$E$74=D$175), 0)))"),1.0)</f>
        <v>1</v>
      </c>
      <c r="E178" s="364">
        <f>IFERROR(__xludf.DUMMYFUNCTION("if(iferror(filter($E$3:$E$74, $D$3:$D$74=$A178, $E$3:$E$74=E$175), 0)=0, 0, counta(iferror(filter($E$3:$E$74, $D$3:$D$74=$A178, $E$3:$E$74=E$175), 0)))"),2.0)</f>
        <v>2</v>
      </c>
      <c r="F178" s="364">
        <f>IFERROR(__xludf.DUMMYFUNCTION("if(iferror(filter($E$3:$E$74, $D$3:$D$74=$A178, $E$3:$E$74=F$175), 0)=0, 0, counta(iferror(filter($E$3:$E$74, $D$3:$D$74=$A178, $E$3:$E$74=F$175), 0)))"),1.0)</f>
        <v>1</v>
      </c>
      <c r="G178" s="364">
        <f>IFERROR(__xludf.DUMMYFUNCTION("if(iferror(filter($E$3:$E$74, $D$3:$D$74=$A178, $E$3:$E$74=G$175), 0)=0, 0, counta(iferror(filter($E$3:$E$74, $D$3:$D$74=$A178, $E$3:$E$74=G$175), 0)))"),0.0)</f>
        <v>0</v>
      </c>
      <c r="H178" s="364">
        <f>IFERROR(__xludf.DUMMYFUNCTION("if(iferror(filter($E$3:$E$74, $D$3:$D$74=$A178, $E$3:$E$74=H$175), 0)=0, 0, counta(iferror(filter($E$3:$E$74, $D$3:$D$74=$A178, $E$3:$E$74=H$175), 0)))"),0.0)</f>
        <v>0</v>
      </c>
      <c r="M178" s="359"/>
      <c r="N178" s="281"/>
      <c r="O178" s="358"/>
      <c r="Q178" s="359"/>
      <c r="R178" s="360"/>
      <c r="T178" s="372">
        <f>IFERROR(__xludf.DUMMYFUNCTION("""COMPUTED_VALUE"""),0.0)</f>
        <v>0</v>
      </c>
      <c r="U178" s="281">
        <f>IFERROR(__xludf.DUMMYFUNCTION("""COMPUTED_VALUE"""),0.0)</f>
        <v>0</v>
      </c>
      <c r="V178" s="360"/>
    </row>
    <row r="179" ht="12.75" customHeight="1">
      <c r="A179" s="320" t="s">
        <v>601</v>
      </c>
      <c r="B179" s="364">
        <f>IFERROR(__xludf.DUMMYFUNCTION("if(iferror(filter($E$3:$E$74, $D$3:$D$74=$A179, $E$3:$E$74=B$175), 0)=0, 0, counta(iferror(filter($E$3:$E$74, $D$3:$D$74=$A179, $E$3:$E$74=B$175), 0)))"),2.0)</f>
        <v>2</v>
      </c>
      <c r="C179" s="364">
        <f>IFERROR(__xludf.DUMMYFUNCTION("if(iferror(filter($E$3:$E$74, $D$3:$D$74=$A179, $E$3:$E$74=C$175), 0)=0, 0, counta(iferror(filter($E$3:$E$74, $D$3:$D$74=$A179, $E$3:$E$74=C$175), 0)))"),2.0)</f>
        <v>2</v>
      </c>
      <c r="D179" s="364">
        <f>IFERROR(__xludf.DUMMYFUNCTION("if(iferror(filter($E$3:$E$74, $D$3:$D$74=$A179, $E$3:$E$74=D$175), 0)=0, 0, counta(iferror(filter($E$3:$E$74, $D$3:$D$74=$A179, $E$3:$E$74=D$175), 0)))"),2.0)</f>
        <v>2</v>
      </c>
      <c r="E179" s="364">
        <f>IFERROR(__xludf.DUMMYFUNCTION("if(iferror(filter($E$3:$E$74, $D$3:$D$74=$A179, $E$3:$E$74=E$175), 0)=0, 0, counta(iferror(filter($E$3:$E$74, $D$3:$D$74=$A179, $E$3:$E$74=E$175), 0)))"),2.0)</f>
        <v>2</v>
      </c>
      <c r="F179" s="364">
        <f>IFERROR(__xludf.DUMMYFUNCTION("if(iferror(filter($E$3:$E$74, $D$3:$D$74=$A179, $E$3:$E$74=F$175), 0)=0, 0, counta(iferror(filter($E$3:$E$74, $D$3:$D$74=$A179, $E$3:$E$74=F$175), 0)))"),1.0)</f>
        <v>1</v>
      </c>
      <c r="G179" s="364">
        <f>IFERROR(__xludf.DUMMYFUNCTION("if(iferror(filter($E$3:$E$74, $D$3:$D$74=$A179, $E$3:$E$74=G$175), 0)=0, 0, counta(iferror(filter($E$3:$E$74, $D$3:$D$74=$A179, $E$3:$E$74=G$175), 0)))"),0.0)</f>
        <v>0</v>
      </c>
      <c r="H179" s="364">
        <f>IFERROR(__xludf.DUMMYFUNCTION("if(iferror(filter($E$3:$E$74, $D$3:$D$74=$A179, $E$3:$E$74=H$175), 0)=0, 0, counta(iferror(filter($E$3:$E$74, $D$3:$D$74=$A179, $E$3:$E$74=H$175), 0)))"),0.0)</f>
        <v>0</v>
      </c>
      <c r="M179" s="359"/>
      <c r="N179" s="281"/>
      <c r="O179" s="358"/>
      <c r="Q179" s="359"/>
      <c r="R179" s="360"/>
      <c r="T179" s="372">
        <f>IFERROR(__xludf.DUMMYFUNCTION("""COMPUTED_VALUE"""),0.0)</f>
        <v>0</v>
      </c>
      <c r="U179" s="281">
        <f>IFERROR(__xludf.DUMMYFUNCTION("""COMPUTED_VALUE"""),0.0)</f>
        <v>0</v>
      </c>
      <c r="V179" s="360"/>
    </row>
    <row r="180" ht="12.75" customHeight="1">
      <c r="A180" s="320" t="s">
        <v>630</v>
      </c>
      <c r="B180" s="364">
        <f>IFERROR(__xludf.DUMMYFUNCTION("if(iferror(filter($E$3:$E$74, $D$3:$D$74=$A180, $E$3:$E$74=B$175), 0)=0, 0, counta(iferror(filter($E$3:$E$74, $D$3:$D$74=$A180, $E$3:$E$74=B$175), 0)))"),2.0)</f>
        <v>2</v>
      </c>
      <c r="C180" s="364">
        <f>IFERROR(__xludf.DUMMYFUNCTION("if(iferror(filter($E$3:$E$74, $D$3:$D$74=$A180, $E$3:$E$74=C$175), 0)=0, 0, counta(iferror(filter($E$3:$E$74, $D$3:$D$74=$A180, $E$3:$E$74=C$175), 0)))"),2.0)</f>
        <v>2</v>
      </c>
      <c r="D180" s="364">
        <f>IFERROR(__xludf.DUMMYFUNCTION("if(iferror(filter($E$3:$E$74, $D$3:$D$74=$A180, $E$3:$E$74=D$175), 0)=0, 0, counta(iferror(filter($E$3:$E$74, $D$3:$D$74=$A180, $E$3:$E$74=D$175), 0)))"),1.0)</f>
        <v>1</v>
      </c>
      <c r="E180" s="364">
        <f>IFERROR(__xludf.DUMMYFUNCTION("if(iferror(filter($E$3:$E$74, $D$3:$D$74=$A180, $E$3:$E$74=E$175), 0)=0, 0, counta(iferror(filter($E$3:$E$74, $D$3:$D$74=$A180, $E$3:$E$74=E$175), 0)))"),2.0)</f>
        <v>2</v>
      </c>
      <c r="F180" s="364">
        <f>IFERROR(__xludf.DUMMYFUNCTION("if(iferror(filter($E$3:$E$74, $D$3:$D$74=$A180, $E$3:$E$74=F$175), 0)=0, 0, counta(iferror(filter($E$3:$E$74, $D$3:$D$74=$A180, $E$3:$E$74=F$175), 0)))"),2.0)</f>
        <v>2</v>
      </c>
      <c r="G180" s="364">
        <f>IFERROR(__xludf.DUMMYFUNCTION("if(iferror(filter($E$3:$E$74, $D$3:$D$74=$A180, $E$3:$E$74=G$175), 0)=0, 0, counta(iferror(filter($E$3:$E$74, $D$3:$D$74=$A180, $E$3:$E$74=G$175), 0)))"),0.0)</f>
        <v>0</v>
      </c>
      <c r="H180" s="364">
        <f>IFERROR(__xludf.DUMMYFUNCTION("if(iferror(filter($E$3:$E$74, $D$3:$D$74=$A180, $E$3:$E$74=H$175), 0)=0, 0, counta(iferror(filter($E$3:$E$74, $D$3:$D$74=$A180, $E$3:$E$74=H$175), 0)))"),0.0)</f>
        <v>0</v>
      </c>
      <c r="M180" s="359"/>
      <c r="N180" s="281"/>
      <c r="O180" s="358"/>
      <c r="Q180" s="359"/>
      <c r="R180" s="360"/>
      <c r="T180" s="372">
        <f>IFERROR(__xludf.DUMMYFUNCTION("""COMPUTED_VALUE"""),0.0)</f>
        <v>0</v>
      </c>
      <c r="U180" s="281">
        <f>IFERROR(__xludf.DUMMYFUNCTION("""COMPUTED_VALUE"""),0.0)</f>
        <v>0</v>
      </c>
      <c r="V180" s="360"/>
    </row>
    <row r="181" ht="12.75" customHeight="1">
      <c r="A181" s="320" t="s">
        <v>658</v>
      </c>
      <c r="B181" s="364">
        <f>IFERROR(__xludf.DUMMYFUNCTION("if(iferror(filter($E$3:$E$74, $D$3:$D$74=$A181, $E$3:$E$74=B$175), 0)=0, 0, counta(iferror(filter($E$3:$E$74, $D$3:$D$74=$A181, $E$3:$E$74=B$175), 0)))"),2.0)</f>
        <v>2</v>
      </c>
      <c r="C181" s="364">
        <f>IFERROR(__xludf.DUMMYFUNCTION("if(iferror(filter($E$3:$E$74, $D$3:$D$74=$A181, $E$3:$E$74=C$175), 0)=0, 0, counta(iferror(filter($E$3:$E$74, $D$3:$D$74=$A181, $E$3:$E$74=C$175), 0)))"),2.0)</f>
        <v>2</v>
      </c>
      <c r="D181" s="364">
        <f>IFERROR(__xludf.DUMMYFUNCTION("if(iferror(filter($E$3:$E$74, $D$3:$D$74=$A181, $E$3:$E$74=D$175), 0)=0, 0, counta(iferror(filter($E$3:$E$74, $D$3:$D$74=$A181, $E$3:$E$74=D$175), 0)))"),1.0)</f>
        <v>1</v>
      </c>
      <c r="E181" s="364">
        <f>IFERROR(__xludf.DUMMYFUNCTION("if(iferror(filter($E$3:$E$74, $D$3:$D$74=$A181, $E$3:$E$74=E$175), 0)=0, 0, counta(iferror(filter($E$3:$E$74, $D$3:$D$74=$A181, $E$3:$E$74=E$175), 0)))"),1.0)</f>
        <v>1</v>
      </c>
      <c r="F181" s="364">
        <f>IFERROR(__xludf.DUMMYFUNCTION("if(iferror(filter($E$3:$E$74, $D$3:$D$74=$A181, $E$3:$E$74=F$175), 0)=0, 0, counta(iferror(filter($E$3:$E$74, $D$3:$D$74=$A181, $E$3:$E$74=F$175), 0)))"),3.0)</f>
        <v>3</v>
      </c>
      <c r="G181" s="364">
        <f>IFERROR(__xludf.DUMMYFUNCTION("if(iferror(filter($E$3:$E$74, $D$3:$D$74=$A181, $E$3:$E$74=G$175), 0)=0, 0, counta(iferror(filter($E$3:$E$74, $D$3:$D$74=$A181, $E$3:$E$74=G$175), 0)))"),0.0)</f>
        <v>0</v>
      </c>
      <c r="H181" s="364">
        <f>IFERROR(__xludf.DUMMYFUNCTION("if(iferror(filter($E$3:$E$74, $D$3:$D$74=$A181, $E$3:$E$74=H$175), 0)=0, 0, counta(iferror(filter($E$3:$E$74, $D$3:$D$74=$A181, $E$3:$E$74=H$175), 0)))"),0.0)</f>
        <v>0</v>
      </c>
      <c r="M181" s="359"/>
      <c r="N181" s="281"/>
      <c r="O181" s="358"/>
      <c r="Q181" s="359"/>
      <c r="R181" s="360"/>
      <c r="T181" s="372">
        <f>IFERROR(__xludf.DUMMYFUNCTION("""COMPUTED_VALUE"""),0.0)</f>
        <v>0</v>
      </c>
      <c r="U181" s="281">
        <f>IFERROR(__xludf.DUMMYFUNCTION("""COMPUTED_VALUE"""),0.0)</f>
        <v>0</v>
      </c>
      <c r="V181" s="360"/>
    </row>
    <row r="182" ht="12.75" customHeight="1">
      <c r="A182" s="320" t="s">
        <v>682</v>
      </c>
      <c r="B182" s="364">
        <f>IFERROR(__xludf.DUMMYFUNCTION("if(iferror(filter($E$3:$E$74, $D$3:$D$74=$A182, $E$3:$E$74=B$175), 0)=0, 0, counta(iferror(filter($E$3:$E$74, $D$3:$D$74=$A182, $E$3:$E$74=B$175), 0)))"),2.0)</f>
        <v>2</v>
      </c>
      <c r="C182" s="364">
        <f>IFERROR(__xludf.DUMMYFUNCTION("if(iferror(filter($E$3:$E$74, $D$3:$D$74=$A182, $E$3:$E$74=C$175), 0)=0, 0, counta(iferror(filter($E$3:$E$74, $D$3:$D$74=$A182, $E$3:$E$74=C$175), 0)))"),2.0)</f>
        <v>2</v>
      </c>
      <c r="D182" s="364">
        <f>IFERROR(__xludf.DUMMYFUNCTION("if(iferror(filter($E$3:$E$74, $D$3:$D$74=$A182, $E$3:$E$74=D$175), 0)=0, 0, counta(iferror(filter($E$3:$E$74, $D$3:$D$74=$A182, $E$3:$E$74=D$175), 0)))"),1.0)</f>
        <v>1</v>
      </c>
      <c r="E182" s="364">
        <f>IFERROR(__xludf.DUMMYFUNCTION("if(iferror(filter($E$3:$E$74, $D$3:$D$74=$A182, $E$3:$E$74=E$175), 0)=0, 0, counta(iferror(filter($E$3:$E$74, $D$3:$D$74=$A182, $E$3:$E$74=E$175), 0)))"),1.0)</f>
        <v>1</v>
      </c>
      <c r="F182" s="364">
        <f>IFERROR(__xludf.DUMMYFUNCTION("if(iferror(filter($E$3:$E$74, $D$3:$D$74=$A182, $E$3:$E$74=F$175), 0)=0, 0, counta(iferror(filter($E$3:$E$74, $D$3:$D$74=$A182, $E$3:$E$74=F$175), 0)))"),3.0)</f>
        <v>3</v>
      </c>
      <c r="G182" s="364">
        <f>IFERROR(__xludf.DUMMYFUNCTION("if(iferror(filter($E$3:$E$74, $D$3:$D$74=$A182, $E$3:$E$74=G$175), 0)=0, 0, counta(iferror(filter($E$3:$E$74, $D$3:$D$74=$A182, $E$3:$E$74=G$175), 0)))"),0.0)</f>
        <v>0</v>
      </c>
      <c r="H182" s="364">
        <f>IFERROR(__xludf.DUMMYFUNCTION("if(iferror(filter($E$3:$E$74, $D$3:$D$74=$A182, $E$3:$E$74=H$175), 0)=0, 0, counta(iferror(filter($E$3:$E$74, $D$3:$D$74=$A182, $E$3:$E$74=H$175), 0)))"),0.0)</f>
        <v>0</v>
      </c>
      <c r="M182" s="359"/>
      <c r="N182" s="281"/>
      <c r="O182" s="358"/>
      <c r="Q182" s="359"/>
      <c r="R182" s="360"/>
      <c r="T182" s="372"/>
      <c r="U182" s="281"/>
      <c r="V182" s="360"/>
    </row>
    <row r="183" ht="12.75" customHeight="1">
      <c r="A183" s="320" t="s">
        <v>701</v>
      </c>
      <c r="B183" s="364">
        <f>IFERROR(__xludf.DUMMYFUNCTION("if(iferror(filter($E$3:$E$74, $D$3:$D$74=$A183, $E$3:$E$74=B$175), 0)=0, 0, counta(iferror(filter($E$3:$E$74, $D$3:$D$74=$A183, $E$3:$E$74=B$175), 0)))"),2.0)</f>
        <v>2</v>
      </c>
      <c r="C183" s="364">
        <f>IFERROR(__xludf.DUMMYFUNCTION("if(iferror(filter($E$3:$E$74, $D$3:$D$74=$A183, $E$3:$E$74=C$175), 0)=0, 0, counta(iferror(filter($E$3:$E$74, $D$3:$D$74=$A183, $E$3:$E$74=C$175), 0)))"),2.0)</f>
        <v>2</v>
      </c>
      <c r="D183" s="364">
        <f>IFERROR(__xludf.DUMMYFUNCTION("if(iferror(filter($E$3:$E$74, $D$3:$D$74=$A183, $E$3:$E$74=D$175), 0)=0, 0, counta(iferror(filter($E$3:$E$74, $D$3:$D$74=$A183, $E$3:$E$74=D$175), 0)))"),1.0)</f>
        <v>1</v>
      </c>
      <c r="E183" s="364">
        <f>IFERROR(__xludf.DUMMYFUNCTION("if(iferror(filter($E$3:$E$74, $D$3:$D$74=$A183, $E$3:$E$74=E$175), 0)=0, 0, counta(iferror(filter($E$3:$E$74, $D$3:$D$74=$A183, $E$3:$E$74=E$175), 0)))"),1.0)</f>
        <v>1</v>
      </c>
      <c r="F183" s="364">
        <f>IFERROR(__xludf.DUMMYFUNCTION("if(iferror(filter($E$3:$E$74, $D$3:$D$74=$A183, $E$3:$E$74=F$175), 0)=0, 0, counta(iferror(filter($E$3:$E$74, $D$3:$D$74=$A183, $E$3:$E$74=F$175), 0)))"),3.0)</f>
        <v>3</v>
      </c>
      <c r="G183" s="364">
        <f>IFERROR(__xludf.DUMMYFUNCTION("if(iferror(filter($E$3:$E$74, $D$3:$D$74=$A183, $E$3:$E$74=G$175), 0)=0, 0, counta(iferror(filter($E$3:$E$74, $D$3:$D$74=$A183, $E$3:$E$74=G$175), 0)))"),0.0)</f>
        <v>0</v>
      </c>
      <c r="H183" s="364">
        <f>IFERROR(__xludf.DUMMYFUNCTION("if(iferror(filter($E$3:$E$74, $D$3:$D$74=$A183, $E$3:$E$74=H$175), 0)=0, 0, counta(iferror(filter($E$3:$E$74, $D$3:$D$74=$A183, $E$3:$E$74=H$175), 0)))"),0.0)</f>
        <v>0</v>
      </c>
      <c r="M183" s="359"/>
      <c r="N183" s="281"/>
      <c r="O183" s="358"/>
      <c r="Q183" s="359"/>
      <c r="R183" s="360"/>
      <c r="T183" s="372"/>
      <c r="U183" s="281"/>
      <c r="V183" s="360"/>
    </row>
    <row r="184" ht="12.75" customHeight="1">
      <c r="M184" s="359"/>
      <c r="N184" s="281"/>
      <c r="O184" s="358"/>
      <c r="Q184" s="359"/>
      <c r="R184" s="360"/>
      <c r="T184" s="372" t="str">
        <f>IFERROR(__xludf.DUMMYFUNCTION("""COMPUTED_VALUE"""),"Unl. Bomb")</f>
        <v>Unl. Bomb</v>
      </c>
      <c r="U184" s="281" t="str">
        <f>IFERROR(__xludf.DUMMYFUNCTION("""COMPUTED_VALUE"""),"Avatar")</f>
        <v>Avatar</v>
      </c>
      <c r="V184" s="360"/>
    </row>
    <row r="185" ht="12.75" customHeight="1">
      <c r="A185" s="352" t="s">
        <v>731</v>
      </c>
      <c r="B185" s="376"/>
      <c r="M185" s="359"/>
      <c r="N185" s="281"/>
      <c r="O185" s="358"/>
      <c r="Q185" s="359"/>
      <c r="R185" s="360"/>
      <c r="T185" s="372">
        <f>IFERROR(__xludf.DUMMYFUNCTION("""COMPUTED_VALUE"""),0.0)</f>
        <v>0</v>
      </c>
      <c r="U185" s="281">
        <f>IFERROR(__xludf.DUMMYFUNCTION("""COMPUTED_VALUE"""),0.0)</f>
        <v>0</v>
      </c>
      <c r="V185" s="360"/>
    </row>
    <row r="186" ht="12.75" customHeight="1">
      <c r="A186" s="317" t="s">
        <v>729</v>
      </c>
      <c r="B186" s="318" t="s">
        <v>82</v>
      </c>
      <c r="C186" s="318" t="s">
        <v>68</v>
      </c>
      <c r="D186" s="318" t="s">
        <v>69</v>
      </c>
      <c r="E186" s="318" t="s">
        <v>70</v>
      </c>
      <c r="F186" s="318" t="s">
        <v>71</v>
      </c>
      <c r="G186" s="318" t="s">
        <v>72</v>
      </c>
      <c r="H186" s="318" t="s">
        <v>73</v>
      </c>
      <c r="I186" s="318" t="s">
        <v>74</v>
      </c>
      <c r="J186" s="318" t="s">
        <v>732</v>
      </c>
      <c r="K186" s="318" t="s">
        <v>733</v>
      </c>
      <c r="L186" s="318" t="s">
        <v>734</v>
      </c>
      <c r="M186" s="377" t="s">
        <v>735</v>
      </c>
      <c r="N186" s="318" t="s">
        <v>104</v>
      </c>
      <c r="O186" s="358"/>
      <c r="P186" s="318"/>
      <c r="Q186" s="359"/>
      <c r="R186" s="360"/>
      <c r="T186" s="372">
        <f>IFERROR(__xludf.DUMMYFUNCTION("""COMPUTED_VALUE"""),0.0)</f>
        <v>0</v>
      </c>
      <c r="U186" s="281">
        <f>IFERROR(__xludf.DUMMYFUNCTION("""COMPUTED_VALUE"""),0.0)</f>
        <v>0</v>
      </c>
      <c r="V186" s="360"/>
    </row>
    <row r="187" ht="12.75" customHeight="1">
      <c r="A187" s="320" t="s">
        <v>512</v>
      </c>
      <c r="B187" s="321">
        <v>100.0</v>
      </c>
      <c r="C187" s="346">
        <v>0.0</v>
      </c>
      <c r="D187" s="346">
        <v>0.0</v>
      </c>
      <c r="E187" s="346">
        <v>0.0</v>
      </c>
      <c r="F187" s="346">
        <v>0.0</v>
      </c>
      <c r="G187" s="346">
        <v>0.0</v>
      </c>
      <c r="H187" s="346">
        <v>0.0</v>
      </c>
      <c r="I187" s="346">
        <v>0.0</v>
      </c>
      <c r="J187" s="346">
        <v>0.0</v>
      </c>
      <c r="K187" s="346">
        <v>0.0</v>
      </c>
      <c r="L187" s="378">
        <v>0.0</v>
      </c>
      <c r="M187" s="379">
        <v>0.0</v>
      </c>
      <c r="N187" s="346">
        <v>0.0</v>
      </c>
      <c r="O187" s="358"/>
      <c r="P187" s="380"/>
      <c r="Q187" s="359"/>
      <c r="R187" s="360"/>
      <c r="T187" s="372">
        <f>IFERROR(__xludf.DUMMYFUNCTION("""COMPUTED_VALUE"""),0.0)</f>
        <v>0</v>
      </c>
      <c r="U187" s="281">
        <f>IFERROR(__xludf.DUMMYFUNCTION("""COMPUTED_VALUE"""),0.0)</f>
        <v>0</v>
      </c>
      <c r="V187" s="360"/>
    </row>
    <row r="188" ht="12.75" customHeight="1">
      <c r="A188" s="320" t="s">
        <v>542</v>
      </c>
      <c r="B188" s="346">
        <v>0.0</v>
      </c>
      <c r="C188" s="321">
        <v>1.0</v>
      </c>
      <c r="D188" s="346">
        <v>0.0</v>
      </c>
      <c r="E188" s="346">
        <v>0.0</v>
      </c>
      <c r="F188" s="346">
        <v>0.0</v>
      </c>
      <c r="G188" s="346">
        <v>0.0</v>
      </c>
      <c r="H188" s="346">
        <v>0.0</v>
      </c>
      <c r="I188" s="346">
        <v>0.0</v>
      </c>
      <c r="J188" s="346">
        <v>0.0</v>
      </c>
      <c r="K188" s="346">
        <v>0.0</v>
      </c>
      <c r="L188" s="378">
        <v>0.0</v>
      </c>
      <c r="M188" s="379">
        <v>0.0</v>
      </c>
      <c r="N188" s="346">
        <v>0.0</v>
      </c>
      <c r="O188" s="358"/>
      <c r="P188" s="380"/>
      <c r="Q188" s="359"/>
      <c r="R188" s="360"/>
      <c r="T188" s="372"/>
      <c r="U188" s="281"/>
      <c r="V188" s="360"/>
    </row>
    <row r="189" ht="12.75" customHeight="1">
      <c r="A189" s="320" t="s">
        <v>571</v>
      </c>
      <c r="B189" s="346">
        <v>0.0</v>
      </c>
      <c r="C189" s="346">
        <v>0.0</v>
      </c>
      <c r="D189" s="321">
        <v>1.0</v>
      </c>
      <c r="E189" s="346">
        <v>0.0</v>
      </c>
      <c r="F189" s="346">
        <v>0.0</v>
      </c>
      <c r="G189" s="346">
        <v>0.0</v>
      </c>
      <c r="H189" s="346">
        <v>0.0</v>
      </c>
      <c r="I189" s="346">
        <v>0.0</v>
      </c>
      <c r="J189" s="346">
        <v>0.0</v>
      </c>
      <c r="K189" s="346">
        <v>0.0</v>
      </c>
      <c r="L189" s="378">
        <v>0.0</v>
      </c>
      <c r="M189" s="379">
        <v>0.0</v>
      </c>
      <c r="N189" s="346">
        <v>0.0</v>
      </c>
      <c r="O189" s="358"/>
      <c r="P189" s="380"/>
      <c r="Q189" s="359"/>
      <c r="R189" s="360"/>
      <c r="T189" s="372"/>
      <c r="U189" s="281"/>
      <c r="V189" s="360"/>
    </row>
    <row r="190" ht="12.75" customHeight="1">
      <c r="A190" s="320" t="s">
        <v>601</v>
      </c>
      <c r="B190" s="346">
        <v>0.0</v>
      </c>
      <c r="C190" s="346">
        <v>0.0</v>
      </c>
      <c r="D190" s="346">
        <v>0.0</v>
      </c>
      <c r="E190" s="321">
        <v>1.0</v>
      </c>
      <c r="F190" s="346">
        <v>0.0</v>
      </c>
      <c r="G190" s="346">
        <v>0.0</v>
      </c>
      <c r="H190" s="346">
        <v>0.0</v>
      </c>
      <c r="I190" s="346">
        <v>0.0</v>
      </c>
      <c r="J190" s="346">
        <v>0.0</v>
      </c>
      <c r="K190" s="346">
        <v>0.0</v>
      </c>
      <c r="L190" s="378">
        <v>0.0</v>
      </c>
      <c r="M190" s="379">
        <v>0.0</v>
      </c>
      <c r="N190" s="346">
        <v>0.0</v>
      </c>
      <c r="O190" s="358"/>
      <c r="P190" s="380"/>
      <c r="Q190" s="359"/>
      <c r="R190" s="360"/>
      <c r="T190" s="372"/>
      <c r="U190" s="281"/>
      <c r="V190" s="360"/>
    </row>
    <row r="191" ht="12.75" customHeight="1">
      <c r="A191" s="320" t="s">
        <v>630</v>
      </c>
      <c r="B191" s="346">
        <v>0.0</v>
      </c>
      <c r="C191" s="346">
        <v>0.0</v>
      </c>
      <c r="D191" s="346">
        <v>0.0</v>
      </c>
      <c r="E191" s="346">
        <v>0.0</v>
      </c>
      <c r="F191" s="321">
        <v>1.0</v>
      </c>
      <c r="G191" s="346">
        <v>0.0</v>
      </c>
      <c r="H191" s="346">
        <v>0.0</v>
      </c>
      <c r="I191" s="346">
        <v>0.0</v>
      </c>
      <c r="J191" s="346">
        <v>0.0</v>
      </c>
      <c r="K191" s="346">
        <v>0.0</v>
      </c>
      <c r="L191" s="378">
        <v>0.0</v>
      </c>
      <c r="M191" s="379">
        <v>0.0</v>
      </c>
      <c r="N191" s="346">
        <v>0.0</v>
      </c>
      <c r="O191" s="358"/>
      <c r="P191" s="380"/>
      <c r="Q191" s="359"/>
      <c r="R191" s="360"/>
      <c r="T191" s="372"/>
      <c r="U191" s="281"/>
      <c r="V191" s="360"/>
    </row>
    <row r="192" ht="12.75" customHeight="1">
      <c r="A192" s="320" t="s">
        <v>658</v>
      </c>
      <c r="B192" s="346">
        <v>0.0</v>
      </c>
      <c r="C192" s="346">
        <v>0.0</v>
      </c>
      <c r="D192" s="346">
        <v>0.0</v>
      </c>
      <c r="E192" s="346">
        <v>0.0</v>
      </c>
      <c r="F192" s="346">
        <v>0.0</v>
      </c>
      <c r="G192" s="321">
        <v>1.0</v>
      </c>
      <c r="H192" s="346">
        <v>0.0</v>
      </c>
      <c r="I192" s="346">
        <v>0.0</v>
      </c>
      <c r="J192" s="346">
        <v>0.0</v>
      </c>
      <c r="K192" s="346">
        <v>0.0</v>
      </c>
      <c r="L192" s="378">
        <v>0.0</v>
      </c>
      <c r="M192" s="379">
        <v>0.0</v>
      </c>
      <c r="N192" s="346">
        <v>0.0</v>
      </c>
      <c r="O192" s="358"/>
      <c r="P192" s="380"/>
      <c r="Q192" s="359"/>
      <c r="R192" s="360"/>
      <c r="T192" s="372"/>
      <c r="U192" s="281"/>
      <c r="V192" s="360"/>
    </row>
    <row r="193" ht="12.75" customHeight="1">
      <c r="A193" s="320" t="s">
        <v>682</v>
      </c>
      <c r="B193" s="346">
        <v>0.0</v>
      </c>
      <c r="C193" s="346">
        <v>0.0</v>
      </c>
      <c r="D193" s="346">
        <v>0.0</v>
      </c>
      <c r="E193" s="346">
        <v>0.0</v>
      </c>
      <c r="F193" s="346">
        <v>0.0</v>
      </c>
      <c r="G193" s="346">
        <v>0.0</v>
      </c>
      <c r="H193" s="321">
        <v>1.0</v>
      </c>
      <c r="I193" s="346">
        <v>0.0</v>
      </c>
      <c r="J193" s="346">
        <v>0.0</v>
      </c>
      <c r="K193" s="346">
        <v>0.0</v>
      </c>
      <c r="L193" s="378">
        <v>0.0</v>
      </c>
      <c r="M193" s="379">
        <v>0.0</v>
      </c>
      <c r="N193" s="346">
        <v>0.0</v>
      </c>
      <c r="O193" s="358"/>
      <c r="P193" s="380"/>
      <c r="Q193" s="359"/>
      <c r="R193" s="360"/>
      <c r="T193" s="372"/>
      <c r="U193" s="281"/>
      <c r="V193" s="360"/>
    </row>
    <row r="194" ht="12.75" customHeight="1">
      <c r="A194" s="320" t="s">
        <v>701</v>
      </c>
      <c r="B194" s="346">
        <v>0.0</v>
      </c>
      <c r="C194" s="346">
        <v>0.0</v>
      </c>
      <c r="D194" s="346">
        <v>0.0</v>
      </c>
      <c r="E194" s="346">
        <v>0.0</v>
      </c>
      <c r="F194" s="346">
        <v>0.0</v>
      </c>
      <c r="G194" s="346">
        <v>0.0</v>
      </c>
      <c r="H194" s="346">
        <v>0.0</v>
      </c>
      <c r="I194" s="321">
        <v>1.0</v>
      </c>
      <c r="J194" s="346">
        <v>0.0</v>
      </c>
      <c r="K194" s="346">
        <v>0.0</v>
      </c>
      <c r="L194" s="378">
        <v>0.0</v>
      </c>
      <c r="M194" s="379">
        <v>0.0</v>
      </c>
      <c r="N194" s="346">
        <v>0.0</v>
      </c>
      <c r="O194" s="358"/>
      <c r="P194" s="380"/>
      <c r="Q194" s="359"/>
      <c r="R194" s="360"/>
      <c r="T194" s="372"/>
      <c r="U194" s="281"/>
      <c r="V194" s="360"/>
    </row>
    <row r="195" ht="12.75" customHeight="1">
      <c r="M195" s="359"/>
      <c r="N195" s="281"/>
      <c r="O195" s="358"/>
      <c r="Q195" s="359"/>
      <c r="R195" s="360"/>
      <c r="T195" s="372"/>
      <c r="U195" s="281"/>
      <c r="V195" s="360"/>
    </row>
    <row r="196" ht="12.75" customHeight="1">
      <c r="A196" s="352" t="s">
        <v>736</v>
      </c>
      <c r="B196" s="376"/>
      <c r="M196" s="359"/>
      <c r="N196" s="281"/>
      <c r="O196" s="358"/>
      <c r="Q196" s="359"/>
      <c r="R196" s="360"/>
      <c r="T196" s="372"/>
      <c r="U196" s="281"/>
      <c r="V196" s="360"/>
    </row>
    <row r="197" ht="12.75" customHeight="1">
      <c r="A197" s="317" t="s">
        <v>729</v>
      </c>
      <c r="B197" s="318" t="s">
        <v>82</v>
      </c>
      <c r="C197" s="318" t="s">
        <v>68</v>
      </c>
      <c r="D197" s="318" t="s">
        <v>69</v>
      </c>
      <c r="E197" s="318" t="s">
        <v>70</v>
      </c>
      <c r="F197" s="318" t="s">
        <v>71</v>
      </c>
      <c r="G197" s="318" t="s">
        <v>72</v>
      </c>
      <c r="H197" s="318" t="s">
        <v>73</v>
      </c>
      <c r="I197" s="318" t="s">
        <v>74</v>
      </c>
      <c r="J197" s="318" t="s">
        <v>732</v>
      </c>
      <c r="K197" s="318" t="s">
        <v>733</v>
      </c>
      <c r="L197" s="318" t="s">
        <v>734</v>
      </c>
      <c r="M197" s="377" t="s">
        <v>735</v>
      </c>
      <c r="N197" s="318" t="s">
        <v>104</v>
      </c>
      <c r="O197" s="358"/>
      <c r="P197" s="318"/>
      <c r="Q197" s="359"/>
      <c r="R197" s="360"/>
      <c r="T197" s="372"/>
      <c r="U197" s="281"/>
      <c r="V197" s="360"/>
    </row>
    <row r="198" ht="12.75" customHeight="1">
      <c r="A198" s="320" t="s">
        <v>512</v>
      </c>
      <c r="B198" s="321">
        <v>100.0</v>
      </c>
      <c r="C198" s="346">
        <v>0.0</v>
      </c>
      <c r="D198" s="346">
        <v>0.0</v>
      </c>
      <c r="E198" s="346">
        <v>0.0</v>
      </c>
      <c r="F198" s="346">
        <v>0.0</v>
      </c>
      <c r="G198" s="346">
        <v>0.0</v>
      </c>
      <c r="H198" s="346">
        <v>0.0</v>
      </c>
      <c r="I198" s="346">
        <v>0.0</v>
      </c>
      <c r="J198" s="346">
        <v>0.0</v>
      </c>
      <c r="K198" s="346">
        <v>0.0</v>
      </c>
      <c r="L198" s="378">
        <v>0.0</v>
      </c>
      <c r="M198" s="379">
        <v>0.0</v>
      </c>
      <c r="N198" s="346">
        <v>0.0</v>
      </c>
      <c r="O198" s="358"/>
      <c r="P198" s="380"/>
      <c r="Q198" s="359"/>
      <c r="R198" s="360"/>
      <c r="T198" s="372"/>
      <c r="U198" s="281"/>
      <c r="V198" s="360"/>
    </row>
    <row r="199" ht="12.75" customHeight="1">
      <c r="A199" s="320" t="s">
        <v>542</v>
      </c>
      <c r="B199" s="346">
        <v>0.0</v>
      </c>
      <c r="C199" s="321">
        <v>1.0</v>
      </c>
      <c r="D199" s="346">
        <v>0.0</v>
      </c>
      <c r="E199" s="346">
        <v>0.0</v>
      </c>
      <c r="F199" s="346">
        <v>0.0</v>
      </c>
      <c r="G199" s="346">
        <v>0.0</v>
      </c>
      <c r="H199" s="346">
        <v>0.0</v>
      </c>
      <c r="I199" s="346">
        <v>0.0</v>
      </c>
      <c r="J199" s="346">
        <v>0.0</v>
      </c>
      <c r="K199" s="346">
        <v>0.0</v>
      </c>
      <c r="L199" s="378">
        <v>0.0</v>
      </c>
      <c r="M199" s="379">
        <v>0.0</v>
      </c>
      <c r="N199" s="346">
        <v>0.0</v>
      </c>
      <c r="O199" s="358"/>
      <c r="P199" s="380"/>
      <c r="Q199" s="359"/>
      <c r="R199" s="360"/>
      <c r="T199" s="372"/>
      <c r="U199" s="281"/>
      <c r="V199" s="360"/>
    </row>
    <row r="200" ht="12.75" customHeight="1">
      <c r="A200" s="320" t="s">
        <v>571</v>
      </c>
      <c r="B200" s="346">
        <v>0.0</v>
      </c>
      <c r="C200" s="346">
        <v>0.0</v>
      </c>
      <c r="D200" s="321">
        <v>1.0</v>
      </c>
      <c r="E200" s="346">
        <v>0.0</v>
      </c>
      <c r="F200" s="346">
        <v>0.0</v>
      </c>
      <c r="G200" s="346">
        <v>0.0</v>
      </c>
      <c r="H200" s="346">
        <v>0.0</v>
      </c>
      <c r="I200" s="346">
        <v>0.0</v>
      </c>
      <c r="J200" s="346">
        <v>0.0</v>
      </c>
      <c r="K200" s="346">
        <v>0.0</v>
      </c>
      <c r="L200" s="378">
        <v>0.0</v>
      </c>
      <c r="M200" s="379">
        <v>0.0</v>
      </c>
      <c r="N200" s="346">
        <v>0.0</v>
      </c>
      <c r="O200" s="358"/>
      <c r="P200" s="380"/>
      <c r="Q200" s="359"/>
      <c r="R200" s="360"/>
      <c r="T200" s="372"/>
      <c r="U200" s="281"/>
      <c r="V200" s="360"/>
    </row>
    <row r="201" ht="12.75" customHeight="1">
      <c r="A201" s="320" t="s">
        <v>601</v>
      </c>
      <c r="B201" s="346">
        <v>0.0</v>
      </c>
      <c r="C201" s="346">
        <v>0.0</v>
      </c>
      <c r="D201" s="346">
        <v>0.0</v>
      </c>
      <c r="E201" s="321">
        <v>1.0</v>
      </c>
      <c r="F201" s="346">
        <v>0.0</v>
      </c>
      <c r="G201" s="346">
        <v>0.0</v>
      </c>
      <c r="H201" s="346">
        <v>0.0</v>
      </c>
      <c r="I201" s="346">
        <v>0.0</v>
      </c>
      <c r="J201" s="346">
        <v>0.0</v>
      </c>
      <c r="K201" s="346">
        <v>0.0</v>
      </c>
      <c r="L201" s="378">
        <v>0.0</v>
      </c>
      <c r="M201" s="379">
        <v>0.0</v>
      </c>
      <c r="N201" s="346">
        <v>0.0</v>
      </c>
      <c r="O201" s="358"/>
      <c r="P201" s="380"/>
      <c r="Q201" s="359"/>
      <c r="R201" s="360"/>
      <c r="T201" s="372"/>
      <c r="U201" s="281"/>
      <c r="V201" s="360"/>
    </row>
    <row r="202" ht="12.75" customHeight="1">
      <c r="A202" s="320" t="s">
        <v>630</v>
      </c>
      <c r="B202" s="346">
        <v>0.0</v>
      </c>
      <c r="C202" s="346">
        <v>0.0</v>
      </c>
      <c r="D202" s="346">
        <v>0.0</v>
      </c>
      <c r="E202" s="346">
        <v>0.0</v>
      </c>
      <c r="F202" s="321">
        <v>1.0</v>
      </c>
      <c r="G202" s="346">
        <v>0.0</v>
      </c>
      <c r="H202" s="346">
        <v>0.0</v>
      </c>
      <c r="I202" s="346">
        <v>0.0</v>
      </c>
      <c r="J202" s="346">
        <v>0.0</v>
      </c>
      <c r="K202" s="346">
        <v>0.0</v>
      </c>
      <c r="L202" s="378">
        <v>0.0</v>
      </c>
      <c r="M202" s="379">
        <v>0.0</v>
      </c>
      <c r="N202" s="346">
        <v>0.0</v>
      </c>
      <c r="O202" s="358"/>
      <c r="P202" s="380"/>
      <c r="Q202" s="359"/>
      <c r="R202" s="360"/>
      <c r="T202" s="372"/>
      <c r="U202" s="281"/>
      <c r="V202" s="360"/>
    </row>
    <row r="203" ht="12.75" customHeight="1">
      <c r="A203" s="320" t="s">
        <v>658</v>
      </c>
      <c r="B203" s="346">
        <v>0.0</v>
      </c>
      <c r="C203" s="346">
        <v>0.0</v>
      </c>
      <c r="D203" s="346">
        <v>0.0</v>
      </c>
      <c r="E203" s="346">
        <v>0.0</v>
      </c>
      <c r="F203" s="346">
        <v>0.0</v>
      </c>
      <c r="G203" s="321">
        <v>1.0</v>
      </c>
      <c r="H203" s="346">
        <v>0.0</v>
      </c>
      <c r="I203" s="346">
        <v>0.0</v>
      </c>
      <c r="J203" s="346">
        <v>0.0</v>
      </c>
      <c r="K203" s="346">
        <v>0.0</v>
      </c>
      <c r="L203" s="378">
        <v>0.0</v>
      </c>
      <c r="M203" s="379">
        <v>0.0</v>
      </c>
      <c r="N203" s="346">
        <v>0.0</v>
      </c>
      <c r="O203" s="358"/>
      <c r="P203" s="380"/>
      <c r="Q203" s="359"/>
      <c r="R203" s="360"/>
      <c r="T203" s="372"/>
      <c r="U203" s="281"/>
      <c r="V203" s="360"/>
    </row>
    <row r="204" ht="12.75" customHeight="1">
      <c r="A204" s="320" t="s">
        <v>682</v>
      </c>
      <c r="B204" s="346">
        <v>0.0</v>
      </c>
      <c r="C204" s="346">
        <v>0.0</v>
      </c>
      <c r="D204" s="346">
        <v>0.0</v>
      </c>
      <c r="E204" s="346">
        <v>0.0</v>
      </c>
      <c r="F204" s="346">
        <v>0.0</v>
      </c>
      <c r="G204" s="346">
        <v>0.0</v>
      </c>
      <c r="H204" s="321">
        <v>1.0</v>
      </c>
      <c r="I204" s="346">
        <v>0.0</v>
      </c>
      <c r="J204" s="346">
        <v>0.0</v>
      </c>
      <c r="K204" s="346">
        <v>0.0</v>
      </c>
      <c r="L204" s="378">
        <v>0.0</v>
      </c>
      <c r="M204" s="379">
        <v>0.0</v>
      </c>
      <c r="N204" s="346">
        <v>0.0</v>
      </c>
      <c r="O204" s="358"/>
      <c r="P204" s="380"/>
      <c r="Q204" s="359"/>
      <c r="R204" s="360"/>
      <c r="T204" s="372"/>
      <c r="U204" s="281"/>
      <c r="V204" s="360"/>
    </row>
    <row r="205" ht="12.75" customHeight="1">
      <c r="A205" s="320" t="s">
        <v>701</v>
      </c>
      <c r="B205" s="346">
        <v>0.0</v>
      </c>
      <c r="C205" s="346">
        <v>0.0</v>
      </c>
      <c r="D205" s="346">
        <v>0.0</v>
      </c>
      <c r="E205" s="346">
        <v>0.0</v>
      </c>
      <c r="F205" s="346">
        <v>0.0</v>
      </c>
      <c r="G205" s="346">
        <v>0.0</v>
      </c>
      <c r="H205" s="346">
        <v>0.0</v>
      </c>
      <c r="I205" s="321">
        <v>1.0</v>
      </c>
      <c r="J205" s="346">
        <v>0.0</v>
      </c>
      <c r="K205" s="346">
        <v>0.0</v>
      </c>
      <c r="L205" s="378">
        <v>0.0</v>
      </c>
      <c r="M205" s="379">
        <v>0.0</v>
      </c>
      <c r="N205" s="346">
        <v>0.0</v>
      </c>
      <c r="O205" s="358"/>
      <c r="P205" s="380"/>
      <c r="Q205" s="359"/>
      <c r="R205" s="360"/>
      <c r="T205" s="372"/>
      <c r="U205" s="281"/>
      <c r="V205" s="360"/>
    </row>
    <row r="206" ht="12.75" customHeight="1">
      <c r="M206" s="359"/>
      <c r="N206" s="281"/>
      <c r="O206" s="358"/>
      <c r="Q206" s="359"/>
      <c r="R206" s="360"/>
      <c r="T206" s="372"/>
      <c r="U206" s="281"/>
      <c r="V206" s="360"/>
    </row>
    <row r="207" ht="12.75" customHeight="1">
      <c r="A207" s="352" t="s">
        <v>737</v>
      </c>
      <c r="B207" s="376"/>
      <c r="M207" s="359"/>
      <c r="N207" s="281"/>
      <c r="O207" s="358"/>
      <c r="Q207" s="359"/>
      <c r="R207" s="360"/>
      <c r="T207" s="372"/>
      <c r="U207" s="281"/>
      <c r="V207" s="360"/>
    </row>
    <row r="208" ht="12.75" customHeight="1">
      <c r="A208" s="317" t="s">
        <v>729</v>
      </c>
      <c r="B208" s="318" t="s">
        <v>82</v>
      </c>
      <c r="C208" s="318" t="s">
        <v>68</v>
      </c>
      <c r="D208" s="318" t="s">
        <v>69</v>
      </c>
      <c r="E208" s="318" t="s">
        <v>70</v>
      </c>
      <c r="F208" s="318" t="s">
        <v>71</v>
      </c>
      <c r="G208" s="318" t="s">
        <v>72</v>
      </c>
      <c r="H208" s="318" t="s">
        <v>73</v>
      </c>
      <c r="I208" s="318" t="s">
        <v>74</v>
      </c>
      <c r="J208" s="318" t="s">
        <v>732</v>
      </c>
      <c r="K208" s="318" t="s">
        <v>733</v>
      </c>
      <c r="L208" s="318" t="s">
        <v>734</v>
      </c>
      <c r="M208" s="377" t="s">
        <v>735</v>
      </c>
      <c r="N208" s="318" t="s">
        <v>104</v>
      </c>
      <c r="O208" s="358"/>
      <c r="P208" s="318"/>
      <c r="Q208" s="359"/>
      <c r="R208" s="360"/>
      <c r="T208" s="372"/>
      <c r="U208" s="281"/>
      <c r="V208" s="360"/>
    </row>
    <row r="209" ht="12.75" customHeight="1">
      <c r="A209" s="320" t="s">
        <v>512</v>
      </c>
      <c r="B209" s="321">
        <v>100.0</v>
      </c>
      <c r="C209" s="346">
        <v>0.0</v>
      </c>
      <c r="D209" s="346">
        <v>0.0</v>
      </c>
      <c r="E209" s="346">
        <v>0.0</v>
      </c>
      <c r="F209" s="346">
        <v>0.0</v>
      </c>
      <c r="G209" s="346">
        <v>0.0</v>
      </c>
      <c r="H209" s="346">
        <v>0.0</v>
      </c>
      <c r="I209" s="346">
        <v>0.0</v>
      </c>
      <c r="J209" s="346">
        <v>0.0</v>
      </c>
      <c r="K209" s="346">
        <v>0.0</v>
      </c>
      <c r="L209" s="378">
        <v>0.0</v>
      </c>
      <c r="M209" s="379">
        <v>0.0</v>
      </c>
      <c r="N209" s="346">
        <v>0.0</v>
      </c>
      <c r="O209" s="358"/>
      <c r="P209" s="380"/>
      <c r="Q209" s="359"/>
      <c r="R209" s="360"/>
      <c r="T209" s="372"/>
      <c r="U209" s="281"/>
      <c r="V209" s="360"/>
    </row>
    <row r="210" ht="12.75" customHeight="1">
      <c r="A210" s="320" t="s">
        <v>542</v>
      </c>
      <c r="B210" s="346">
        <v>0.0</v>
      </c>
      <c r="C210" s="321">
        <v>1.0</v>
      </c>
      <c r="D210" s="346">
        <v>0.0</v>
      </c>
      <c r="E210" s="346">
        <v>0.0</v>
      </c>
      <c r="F210" s="346">
        <v>0.0</v>
      </c>
      <c r="G210" s="346">
        <v>0.0</v>
      </c>
      <c r="H210" s="346">
        <v>0.0</v>
      </c>
      <c r="I210" s="346">
        <v>0.0</v>
      </c>
      <c r="J210" s="346">
        <v>0.0</v>
      </c>
      <c r="K210" s="346">
        <v>0.0</v>
      </c>
      <c r="L210" s="378">
        <v>0.0</v>
      </c>
      <c r="M210" s="379">
        <v>0.0</v>
      </c>
      <c r="N210" s="346">
        <v>0.0</v>
      </c>
      <c r="O210" s="358"/>
      <c r="P210" s="380"/>
      <c r="Q210" s="359"/>
      <c r="R210" s="360"/>
      <c r="T210" s="372"/>
      <c r="U210" s="281"/>
      <c r="V210" s="360"/>
    </row>
    <row r="211" ht="12.75" customHeight="1">
      <c r="A211" s="320" t="s">
        <v>571</v>
      </c>
      <c r="B211" s="346">
        <v>0.0</v>
      </c>
      <c r="C211" s="346">
        <v>0.0</v>
      </c>
      <c r="D211" s="321">
        <v>1.0</v>
      </c>
      <c r="E211" s="346">
        <v>0.0</v>
      </c>
      <c r="F211" s="346">
        <v>0.0</v>
      </c>
      <c r="G211" s="346">
        <v>0.0</v>
      </c>
      <c r="H211" s="346">
        <v>0.0</v>
      </c>
      <c r="I211" s="346">
        <v>0.0</v>
      </c>
      <c r="J211" s="346">
        <v>0.0</v>
      </c>
      <c r="K211" s="346">
        <v>0.0</v>
      </c>
      <c r="L211" s="378">
        <v>0.0</v>
      </c>
      <c r="M211" s="379">
        <v>0.0</v>
      </c>
      <c r="N211" s="346">
        <v>0.0</v>
      </c>
      <c r="O211" s="358"/>
      <c r="P211" s="380"/>
      <c r="Q211" s="359"/>
      <c r="R211" s="360"/>
      <c r="T211" s="372"/>
      <c r="U211" s="281"/>
      <c r="V211" s="360"/>
    </row>
    <row r="212" ht="12.75" customHeight="1">
      <c r="A212" s="320" t="s">
        <v>601</v>
      </c>
      <c r="B212" s="346">
        <v>0.0</v>
      </c>
      <c r="C212" s="346">
        <v>0.0</v>
      </c>
      <c r="D212" s="346">
        <v>0.0</v>
      </c>
      <c r="E212" s="321">
        <v>1.0</v>
      </c>
      <c r="F212" s="346">
        <v>0.0</v>
      </c>
      <c r="G212" s="346">
        <v>0.0</v>
      </c>
      <c r="H212" s="346">
        <v>0.0</v>
      </c>
      <c r="I212" s="346">
        <v>0.0</v>
      </c>
      <c r="J212" s="346">
        <v>0.0</v>
      </c>
      <c r="K212" s="346">
        <v>0.0</v>
      </c>
      <c r="L212" s="378">
        <v>0.0</v>
      </c>
      <c r="M212" s="379">
        <v>0.0</v>
      </c>
      <c r="N212" s="346">
        <v>0.0</v>
      </c>
      <c r="O212" s="358"/>
      <c r="P212" s="380"/>
      <c r="Q212" s="359"/>
      <c r="R212" s="360"/>
      <c r="T212" s="372"/>
      <c r="U212" s="281"/>
      <c r="V212" s="360"/>
    </row>
    <row r="213" ht="12.75" customHeight="1">
      <c r="A213" s="320" t="s">
        <v>630</v>
      </c>
      <c r="B213" s="346">
        <v>0.0</v>
      </c>
      <c r="C213" s="346">
        <v>0.0</v>
      </c>
      <c r="D213" s="346">
        <v>0.0</v>
      </c>
      <c r="E213" s="346">
        <v>0.0</v>
      </c>
      <c r="F213" s="321">
        <v>1.0</v>
      </c>
      <c r="G213" s="346">
        <v>0.0</v>
      </c>
      <c r="H213" s="346">
        <v>0.0</v>
      </c>
      <c r="I213" s="346">
        <v>0.0</v>
      </c>
      <c r="J213" s="346">
        <v>0.0</v>
      </c>
      <c r="K213" s="346">
        <v>0.0</v>
      </c>
      <c r="L213" s="378">
        <v>0.0</v>
      </c>
      <c r="M213" s="379">
        <v>0.0</v>
      </c>
      <c r="N213" s="346">
        <v>0.0</v>
      </c>
      <c r="O213" s="358"/>
      <c r="P213" s="380"/>
      <c r="Q213" s="359"/>
      <c r="R213" s="360"/>
      <c r="T213" s="372"/>
      <c r="U213" s="281"/>
      <c r="V213" s="360"/>
    </row>
    <row r="214" ht="12.75" customHeight="1">
      <c r="A214" s="320" t="s">
        <v>658</v>
      </c>
      <c r="B214" s="346">
        <v>0.0</v>
      </c>
      <c r="C214" s="346">
        <v>0.0</v>
      </c>
      <c r="D214" s="346">
        <v>0.0</v>
      </c>
      <c r="E214" s="346">
        <v>0.0</v>
      </c>
      <c r="F214" s="346">
        <v>0.0</v>
      </c>
      <c r="G214" s="321">
        <v>1.0</v>
      </c>
      <c r="H214" s="346">
        <v>0.0</v>
      </c>
      <c r="I214" s="346">
        <v>0.0</v>
      </c>
      <c r="J214" s="346">
        <v>0.0</v>
      </c>
      <c r="K214" s="346">
        <v>0.0</v>
      </c>
      <c r="L214" s="378">
        <v>0.0</v>
      </c>
      <c r="M214" s="379">
        <v>0.0</v>
      </c>
      <c r="N214" s="346">
        <v>0.0</v>
      </c>
      <c r="O214" s="358"/>
      <c r="P214" s="380"/>
      <c r="Q214" s="359"/>
      <c r="R214" s="360"/>
      <c r="T214" s="372"/>
      <c r="U214" s="281"/>
      <c r="V214" s="360"/>
    </row>
    <row r="215" ht="12.75" customHeight="1">
      <c r="A215" s="320" t="s">
        <v>682</v>
      </c>
      <c r="B215" s="346">
        <v>0.0</v>
      </c>
      <c r="C215" s="346">
        <v>0.0</v>
      </c>
      <c r="D215" s="346">
        <v>0.0</v>
      </c>
      <c r="E215" s="346">
        <v>0.0</v>
      </c>
      <c r="F215" s="346">
        <v>0.0</v>
      </c>
      <c r="G215" s="346">
        <v>0.0</v>
      </c>
      <c r="H215" s="321">
        <v>1.0</v>
      </c>
      <c r="I215" s="346">
        <v>0.0</v>
      </c>
      <c r="J215" s="346">
        <v>0.0</v>
      </c>
      <c r="K215" s="346">
        <v>0.0</v>
      </c>
      <c r="L215" s="378">
        <v>0.0</v>
      </c>
      <c r="M215" s="379">
        <v>0.0</v>
      </c>
      <c r="N215" s="346">
        <v>0.0</v>
      </c>
      <c r="O215" s="358"/>
      <c r="P215" s="380"/>
      <c r="Q215" s="359"/>
      <c r="R215" s="360"/>
      <c r="T215" s="372"/>
      <c r="U215" s="281"/>
      <c r="V215" s="360"/>
    </row>
    <row r="216" ht="12.75" customHeight="1">
      <c r="A216" s="320" t="s">
        <v>701</v>
      </c>
      <c r="B216" s="346">
        <v>0.0</v>
      </c>
      <c r="C216" s="346">
        <v>0.0</v>
      </c>
      <c r="D216" s="346">
        <v>0.0</v>
      </c>
      <c r="E216" s="346">
        <v>0.0</v>
      </c>
      <c r="F216" s="346">
        <v>0.0</v>
      </c>
      <c r="G216" s="346">
        <v>0.0</v>
      </c>
      <c r="H216" s="346">
        <v>0.0</v>
      </c>
      <c r="I216" s="321">
        <v>1.0</v>
      </c>
      <c r="J216" s="346">
        <v>0.0</v>
      </c>
      <c r="K216" s="346">
        <v>0.0</v>
      </c>
      <c r="L216" s="378">
        <v>0.0</v>
      </c>
      <c r="M216" s="379">
        <v>0.0</v>
      </c>
      <c r="N216" s="346">
        <v>0.0</v>
      </c>
      <c r="O216" s="358"/>
      <c r="P216" s="380"/>
      <c r="Q216" s="359"/>
      <c r="R216" s="360"/>
      <c r="T216" s="372"/>
      <c r="U216" s="281"/>
      <c r="V216" s="360"/>
    </row>
    <row r="217" ht="12.75" customHeight="1">
      <c r="M217" s="359"/>
      <c r="N217" s="281"/>
      <c r="O217" s="358"/>
      <c r="Q217" s="359"/>
      <c r="R217" s="360"/>
      <c r="T217" s="372"/>
      <c r="U217" s="281"/>
      <c r="V217" s="360"/>
    </row>
    <row r="218" ht="12.75" customHeight="1">
      <c r="A218" s="314" t="s">
        <v>738</v>
      </c>
      <c r="B218" s="376"/>
      <c r="M218" s="359"/>
      <c r="N218" s="281"/>
      <c r="O218" s="358"/>
      <c r="Q218" s="359"/>
      <c r="R218" s="360"/>
      <c r="T218" s="372"/>
      <c r="U218" s="281"/>
      <c r="V218" s="360"/>
    </row>
    <row r="219" ht="12.75" customHeight="1">
      <c r="A219" s="317" t="s">
        <v>739</v>
      </c>
      <c r="B219" s="318" t="s">
        <v>82</v>
      </c>
      <c r="C219" s="318" t="s">
        <v>68</v>
      </c>
      <c r="D219" s="318" t="s">
        <v>69</v>
      </c>
      <c r="E219" s="318" t="s">
        <v>70</v>
      </c>
      <c r="F219" s="318" t="s">
        <v>71</v>
      </c>
      <c r="G219" s="318" t="s">
        <v>72</v>
      </c>
      <c r="H219" s="318" t="s">
        <v>73</v>
      </c>
      <c r="I219" s="318" t="s">
        <v>74</v>
      </c>
      <c r="J219" s="318" t="s">
        <v>732</v>
      </c>
      <c r="K219" s="318" t="s">
        <v>733</v>
      </c>
      <c r="L219" s="318" t="s">
        <v>734</v>
      </c>
      <c r="M219" s="377" t="s">
        <v>735</v>
      </c>
      <c r="N219" s="318" t="s">
        <v>104</v>
      </c>
      <c r="O219" s="358"/>
      <c r="P219" s="318"/>
      <c r="Q219" s="359"/>
      <c r="R219" s="360"/>
      <c r="T219" s="372"/>
      <c r="U219" s="281"/>
      <c r="V219" s="360"/>
    </row>
    <row r="220" ht="12.75" customHeight="1">
      <c r="A220" s="320" t="s">
        <v>740</v>
      </c>
      <c r="B220" s="321">
        <v>250.0</v>
      </c>
      <c r="C220" s="346">
        <v>0.0</v>
      </c>
      <c r="D220" s="346">
        <v>0.0</v>
      </c>
      <c r="E220" s="346">
        <v>0.0</v>
      </c>
      <c r="F220" s="346">
        <v>0.0</v>
      </c>
      <c r="G220" s="346">
        <v>0.0</v>
      </c>
      <c r="H220" s="346">
        <v>0.0</v>
      </c>
      <c r="I220" s="346">
        <v>0.0</v>
      </c>
      <c r="J220" s="346">
        <v>0.0</v>
      </c>
      <c r="K220" s="346">
        <v>0.0</v>
      </c>
      <c r="L220" s="378">
        <v>0.0</v>
      </c>
      <c r="M220" s="379">
        <v>0.0</v>
      </c>
      <c r="N220" s="346">
        <v>0.0</v>
      </c>
      <c r="O220" s="358"/>
      <c r="P220" s="380"/>
      <c r="Q220" s="359"/>
      <c r="R220" s="360"/>
      <c r="T220" s="372"/>
      <c r="U220" s="281"/>
      <c r="V220" s="360"/>
    </row>
    <row r="221" ht="12.75" customHeight="1">
      <c r="A221" s="320" t="s">
        <v>741</v>
      </c>
      <c r="B221" s="321">
        <v>400.0</v>
      </c>
      <c r="C221" s="346">
        <v>0.0</v>
      </c>
      <c r="D221" s="346">
        <v>0.0</v>
      </c>
      <c r="E221" s="346">
        <v>0.0</v>
      </c>
      <c r="F221" s="346">
        <v>0.0</v>
      </c>
      <c r="G221" s="346">
        <v>0.0</v>
      </c>
      <c r="H221" s="346">
        <v>0.0</v>
      </c>
      <c r="I221" s="346">
        <v>0.0</v>
      </c>
      <c r="J221" s="346">
        <v>0.0</v>
      </c>
      <c r="K221" s="346">
        <v>0.0</v>
      </c>
      <c r="L221" s="378">
        <v>0.0</v>
      </c>
      <c r="M221" s="379">
        <v>0.0</v>
      </c>
      <c r="N221" s="346">
        <v>0.0</v>
      </c>
      <c r="O221" s="358"/>
      <c r="P221" s="380"/>
      <c r="Q221" s="359"/>
      <c r="R221" s="360"/>
      <c r="T221" s="372"/>
      <c r="U221" s="281"/>
      <c r="V221" s="360"/>
    </row>
    <row r="222" ht="12.75" customHeight="1">
      <c r="A222" s="320" t="s">
        <v>742</v>
      </c>
      <c r="B222" s="321">
        <v>600.0</v>
      </c>
      <c r="C222" s="346">
        <v>0.0</v>
      </c>
      <c r="D222" s="346">
        <v>0.0</v>
      </c>
      <c r="E222" s="346">
        <v>0.0</v>
      </c>
      <c r="F222" s="346">
        <v>0.0</v>
      </c>
      <c r="G222" s="346">
        <v>0.0</v>
      </c>
      <c r="H222" s="346">
        <v>0.0</v>
      </c>
      <c r="I222" s="346">
        <v>0.0</v>
      </c>
      <c r="J222" s="346">
        <v>0.0</v>
      </c>
      <c r="K222" s="346">
        <v>0.0</v>
      </c>
      <c r="L222" s="378">
        <v>0.0</v>
      </c>
      <c r="M222" s="379">
        <v>0.0</v>
      </c>
      <c r="N222" s="346">
        <v>0.0</v>
      </c>
      <c r="O222" s="358"/>
      <c r="P222" s="380"/>
      <c r="Q222" s="359"/>
      <c r="R222" s="360"/>
      <c r="T222" s="372"/>
      <c r="U222" s="281"/>
      <c r="V222" s="360"/>
    </row>
    <row r="223" ht="12.75" customHeight="1">
      <c r="M223" s="359"/>
      <c r="N223" s="281"/>
      <c r="O223" s="358"/>
      <c r="Q223" s="359"/>
      <c r="R223" s="360"/>
      <c r="T223" s="372"/>
      <c r="U223" s="281"/>
      <c r="V223" s="360"/>
    </row>
    <row r="224" ht="12.75" customHeight="1">
      <c r="M224" s="359"/>
      <c r="N224" s="281"/>
      <c r="O224" s="358"/>
      <c r="Q224" s="359"/>
      <c r="R224" s="360"/>
      <c r="T224" s="372"/>
      <c r="U224" s="281"/>
      <c r="V224" s="360"/>
    </row>
    <row r="225" ht="12.75" customHeight="1">
      <c r="M225" s="359"/>
      <c r="N225" s="281"/>
      <c r="O225" s="358"/>
      <c r="Q225" s="359"/>
      <c r="R225" s="360"/>
      <c r="T225" s="372"/>
      <c r="U225" s="281"/>
      <c r="V225" s="360"/>
    </row>
    <row r="226" ht="12.75" customHeight="1">
      <c r="M226" s="359"/>
      <c r="N226" s="281"/>
      <c r="O226" s="358"/>
      <c r="Q226" s="359"/>
      <c r="R226" s="360"/>
      <c r="T226" s="372"/>
      <c r="U226" s="281"/>
      <c r="V226" s="360"/>
    </row>
    <row r="227" ht="12.75" customHeight="1">
      <c r="M227" s="359"/>
      <c r="N227" s="281"/>
      <c r="O227" s="358"/>
      <c r="Q227" s="359"/>
      <c r="R227" s="360"/>
      <c r="T227" s="372"/>
      <c r="U227" s="281"/>
      <c r="V227" s="360"/>
    </row>
    <row r="228" ht="12.75" customHeight="1">
      <c r="M228" s="359"/>
      <c r="N228" s="281"/>
      <c r="O228" s="358"/>
      <c r="Q228" s="359"/>
      <c r="R228" s="360"/>
      <c r="T228" s="372"/>
      <c r="U228" s="281"/>
      <c r="V228" s="360"/>
    </row>
    <row r="229" ht="12.75" customHeight="1">
      <c r="M229" s="359"/>
      <c r="N229" s="281"/>
      <c r="O229" s="358"/>
      <c r="Q229" s="359"/>
      <c r="R229" s="360"/>
      <c r="T229" s="372"/>
      <c r="U229" s="281"/>
      <c r="V229" s="360"/>
    </row>
    <row r="230" ht="12.75" customHeight="1">
      <c r="M230" s="359"/>
      <c r="N230" s="281"/>
      <c r="O230" s="358"/>
      <c r="Q230" s="359"/>
      <c r="R230" s="360"/>
      <c r="T230" s="372"/>
      <c r="U230" s="281"/>
      <c r="V230" s="360"/>
    </row>
    <row r="231" ht="12.75" customHeight="1">
      <c r="M231" s="359"/>
      <c r="N231" s="281"/>
      <c r="O231" s="358"/>
      <c r="Q231" s="359"/>
      <c r="R231" s="360"/>
      <c r="T231" s="372"/>
      <c r="U231" s="281"/>
      <c r="V231" s="360"/>
    </row>
    <row r="232" ht="12.75" customHeight="1">
      <c r="M232" s="359"/>
      <c r="N232" s="281"/>
      <c r="O232" s="358"/>
      <c r="Q232" s="359"/>
      <c r="R232" s="360"/>
      <c r="T232" s="372"/>
      <c r="U232" s="281"/>
      <c r="V232" s="360"/>
    </row>
    <row r="233" ht="12.75" customHeight="1">
      <c r="M233" s="359"/>
      <c r="N233" s="281"/>
      <c r="O233" s="358"/>
      <c r="Q233" s="359"/>
      <c r="R233" s="360"/>
      <c r="T233" s="372"/>
      <c r="U233" s="281"/>
      <c r="V233" s="360"/>
    </row>
    <row r="234" ht="12.75" customHeight="1">
      <c r="M234" s="359"/>
      <c r="N234" s="281"/>
      <c r="O234" s="358"/>
      <c r="Q234" s="359"/>
      <c r="R234" s="360"/>
      <c r="T234" s="372"/>
      <c r="U234" s="281"/>
      <c r="V234" s="360"/>
    </row>
    <row r="235" ht="12.75" customHeight="1">
      <c r="M235" s="359"/>
      <c r="N235" s="281"/>
      <c r="O235" s="358"/>
      <c r="Q235" s="359"/>
      <c r="R235" s="360"/>
      <c r="T235" s="372"/>
      <c r="U235" s="281"/>
      <c r="V235" s="360"/>
    </row>
    <row r="236" ht="12.75" customHeight="1">
      <c r="M236" s="359"/>
      <c r="N236" s="281"/>
      <c r="O236" s="358"/>
      <c r="Q236" s="359"/>
      <c r="R236" s="360"/>
      <c r="T236" s="372"/>
      <c r="U236" s="281"/>
      <c r="V236" s="360"/>
    </row>
    <row r="237" ht="12.75" customHeight="1">
      <c r="M237" s="359"/>
      <c r="N237" s="281"/>
      <c r="O237" s="358"/>
      <c r="Q237" s="359"/>
      <c r="R237" s="360"/>
      <c r="T237" s="372"/>
      <c r="U237" s="281"/>
      <c r="V237" s="360"/>
    </row>
    <row r="238" ht="12.75" customHeight="1">
      <c r="M238" s="359"/>
      <c r="N238" s="281"/>
      <c r="O238" s="358"/>
      <c r="Q238" s="359"/>
      <c r="R238" s="360"/>
      <c r="T238" s="372"/>
      <c r="U238" s="281"/>
      <c r="V238" s="360"/>
    </row>
    <row r="239" ht="12.75" customHeight="1">
      <c r="M239" s="359"/>
      <c r="N239" s="281"/>
      <c r="O239" s="358"/>
      <c r="Q239" s="359"/>
      <c r="R239" s="360"/>
      <c r="T239" s="372"/>
      <c r="U239" s="281"/>
      <c r="V239" s="360"/>
    </row>
    <row r="240" ht="12.75" customHeight="1">
      <c r="M240" s="359"/>
      <c r="N240" s="281"/>
      <c r="O240" s="358"/>
      <c r="Q240" s="359"/>
      <c r="R240" s="360"/>
      <c r="T240" s="372"/>
      <c r="U240" s="281"/>
      <c r="V240" s="360"/>
    </row>
    <row r="241" ht="12.75" customHeight="1">
      <c r="M241" s="359"/>
      <c r="N241" s="281"/>
      <c r="O241" s="358"/>
      <c r="Q241" s="359"/>
      <c r="R241" s="360"/>
      <c r="T241" s="372"/>
      <c r="U241" s="281"/>
      <c r="V241" s="360"/>
    </row>
    <row r="242" ht="12.75" customHeight="1">
      <c r="M242" s="359"/>
      <c r="N242" s="281"/>
      <c r="O242" s="358"/>
      <c r="Q242" s="359"/>
      <c r="R242" s="360"/>
      <c r="T242" s="372"/>
      <c r="U242" s="281"/>
      <c r="V242" s="360"/>
    </row>
    <row r="243" ht="12.75" customHeight="1">
      <c r="M243" s="359"/>
      <c r="N243" s="281"/>
      <c r="O243" s="358"/>
      <c r="Q243" s="359"/>
      <c r="R243" s="360"/>
      <c r="T243" s="372"/>
      <c r="U243" s="281"/>
      <c r="V243" s="360"/>
    </row>
    <row r="244" ht="12.75" customHeight="1">
      <c r="M244" s="359"/>
      <c r="N244" s="281"/>
      <c r="O244" s="358"/>
      <c r="Q244" s="359"/>
      <c r="R244" s="360"/>
      <c r="T244" s="372"/>
      <c r="U244" s="281"/>
      <c r="V244" s="360"/>
    </row>
    <row r="245" ht="12.75" customHeight="1">
      <c r="M245" s="359"/>
      <c r="N245" s="281"/>
      <c r="O245" s="358"/>
      <c r="Q245" s="359"/>
      <c r="R245" s="360"/>
      <c r="T245" s="372"/>
      <c r="U245" s="281"/>
      <c r="V245" s="360"/>
    </row>
    <row r="246" ht="12.75" customHeight="1">
      <c r="M246" s="359"/>
      <c r="N246" s="281"/>
      <c r="O246" s="358"/>
      <c r="Q246" s="359"/>
      <c r="R246" s="360"/>
      <c r="T246" s="372"/>
      <c r="U246" s="281"/>
      <c r="V246" s="360"/>
    </row>
    <row r="247" ht="12.75" customHeight="1">
      <c r="M247" s="359"/>
      <c r="N247" s="281"/>
      <c r="O247" s="358"/>
      <c r="Q247" s="359"/>
      <c r="R247" s="360"/>
      <c r="T247" s="372"/>
      <c r="U247" s="281"/>
      <c r="V247" s="360"/>
    </row>
    <row r="248" ht="12.75" customHeight="1">
      <c r="M248" s="359"/>
      <c r="N248" s="281"/>
      <c r="O248" s="358"/>
      <c r="Q248" s="359"/>
      <c r="R248" s="360"/>
      <c r="T248" s="372"/>
      <c r="U248" s="281"/>
      <c r="V248" s="360"/>
    </row>
    <row r="249" ht="12.75" customHeight="1">
      <c r="M249" s="359"/>
      <c r="N249" s="281"/>
      <c r="O249" s="358"/>
      <c r="Q249" s="359"/>
      <c r="R249" s="360"/>
      <c r="T249" s="372"/>
      <c r="U249" s="281"/>
      <c r="V249" s="360"/>
    </row>
    <row r="250" ht="12.75" customHeight="1">
      <c r="M250" s="359"/>
      <c r="N250" s="281"/>
      <c r="O250" s="358"/>
      <c r="Q250" s="359"/>
      <c r="R250" s="360"/>
      <c r="T250" s="372"/>
      <c r="U250" s="281"/>
      <c r="V250" s="360"/>
    </row>
    <row r="251" ht="12.75" customHeight="1">
      <c r="M251" s="359"/>
      <c r="N251" s="281"/>
      <c r="O251" s="358"/>
      <c r="Q251" s="359"/>
      <c r="R251" s="360"/>
      <c r="T251" s="372"/>
      <c r="U251" s="281"/>
      <c r="V251" s="360"/>
    </row>
    <row r="252" ht="12.75" customHeight="1">
      <c r="M252" s="359"/>
      <c r="N252" s="281"/>
      <c r="O252" s="358"/>
      <c r="Q252" s="359"/>
      <c r="R252" s="360"/>
      <c r="T252" s="372"/>
      <c r="U252" s="281"/>
      <c r="V252" s="360"/>
    </row>
    <row r="253" ht="12.75" customHeight="1">
      <c r="M253" s="359"/>
      <c r="N253" s="281"/>
      <c r="O253" s="358"/>
      <c r="Q253" s="359"/>
      <c r="R253" s="360"/>
      <c r="T253" s="372"/>
      <c r="U253" s="281"/>
      <c r="V253" s="360"/>
    </row>
    <row r="254" ht="12.75" customHeight="1">
      <c r="M254" s="359"/>
      <c r="N254" s="281"/>
      <c r="O254" s="358"/>
      <c r="Q254" s="359"/>
      <c r="R254" s="360"/>
      <c r="T254" s="372"/>
      <c r="U254" s="281"/>
      <c r="V254" s="360"/>
    </row>
    <row r="255" ht="12.75" customHeight="1">
      <c r="M255" s="359"/>
      <c r="N255" s="281"/>
      <c r="O255" s="358"/>
      <c r="Q255" s="359"/>
      <c r="R255" s="360"/>
      <c r="T255" s="372"/>
      <c r="U255" s="281"/>
      <c r="V255" s="360"/>
    </row>
    <row r="256" ht="12.75" customHeight="1">
      <c r="M256" s="359"/>
      <c r="N256" s="281"/>
      <c r="O256" s="358"/>
      <c r="Q256" s="359"/>
      <c r="R256" s="360"/>
      <c r="T256" s="372"/>
      <c r="U256" s="281"/>
      <c r="V256" s="360"/>
    </row>
    <row r="257" ht="12.75" customHeight="1">
      <c r="M257" s="359"/>
      <c r="N257" s="281"/>
      <c r="O257" s="358"/>
      <c r="Q257" s="359"/>
      <c r="R257" s="360"/>
      <c r="T257" s="372"/>
      <c r="U257" s="281"/>
      <c r="V257" s="360"/>
    </row>
    <row r="258" ht="12.75" customHeight="1">
      <c r="M258" s="359"/>
      <c r="N258" s="281"/>
      <c r="O258" s="358"/>
      <c r="Q258" s="359"/>
      <c r="R258" s="360"/>
      <c r="T258" s="372"/>
      <c r="U258" s="281"/>
      <c r="V258" s="360"/>
    </row>
    <row r="259" ht="12.75" customHeight="1">
      <c r="M259" s="359"/>
      <c r="N259" s="281"/>
      <c r="O259" s="358"/>
      <c r="Q259" s="359"/>
      <c r="R259" s="360"/>
      <c r="T259" s="372"/>
      <c r="U259" s="281"/>
      <c r="V259" s="360"/>
    </row>
    <row r="260" ht="12.75" customHeight="1">
      <c r="M260" s="359"/>
      <c r="N260" s="281"/>
      <c r="O260" s="358"/>
      <c r="Q260" s="359"/>
      <c r="R260" s="360"/>
      <c r="T260" s="372"/>
      <c r="U260" s="281"/>
      <c r="V260" s="360"/>
    </row>
    <row r="261" ht="12.75" customHeight="1">
      <c r="M261" s="359"/>
      <c r="N261" s="281"/>
      <c r="O261" s="358"/>
      <c r="Q261" s="359"/>
      <c r="R261" s="360"/>
      <c r="T261" s="372"/>
      <c r="U261" s="281"/>
      <c r="V261" s="360"/>
    </row>
    <row r="262" ht="12.75" customHeight="1">
      <c r="M262" s="359"/>
      <c r="N262" s="281"/>
      <c r="O262" s="358"/>
      <c r="Q262" s="359"/>
      <c r="R262" s="360"/>
      <c r="T262" s="372"/>
      <c r="U262" s="281"/>
      <c r="V262" s="360"/>
    </row>
    <row r="263" ht="12.75" customHeight="1">
      <c r="M263" s="359"/>
      <c r="N263" s="281"/>
      <c r="O263" s="358"/>
      <c r="Q263" s="359"/>
      <c r="R263" s="360"/>
      <c r="T263" s="372"/>
      <c r="U263" s="281"/>
      <c r="V263" s="360"/>
    </row>
    <row r="264" ht="12.75" customHeight="1">
      <c r="M264" s="359"/>
      <c r="N264" s="281"/>
      <c r="O264" s="358"/>
      <c r="Q264" s="359"/>
      <c r="R264" s="360"/>
      <c r="T264" s="372"/>
      <c r="U264" s="281"/>
      <c r="V264" s="360"/>
    </row>
    <row r="265" ht="12.75" customHeight="1">
      <c r="M265" s="359"/>
      <c r="N265" s="281"/>
      <c r="O265" s="358"/>
      <c r="Q265" s="359"/>
      <c r="R265" s="360"/>
      <c r="T265" s="372"/>
      <c r="U265" s="281"/>
      <c r="V265" s="360"/>
    </row>
    <row r="266" ht="12.75" customHeight="1">
      <c r="M266" s="359"/>
      <c r="N266" s="281"/>
      <c r="O266" s="358"/>
      <c r="Q266" s="359"/>
      <c r="R266" s="360"/>
      <c r="T266" s="372"/>
      <c r="U266" s="281"/>
      <c r="V266" s="360"/>
    </row>
    <row r="267" ht="12.75" customHeight="1">
      <c r="M267" s="359"/>
      <c r="N267" s="281"/>
      <c r="O267" s="358"/>
      <c r="Q267" s="359"/>
      <c r="R267" s="360"/>
      <c r="T267" s="372"/>
      <c r="U267" s="281"/>
      <c r="V267" s="360"/>
    </row>
    <row r="268" ht="12.75" customHeight="1">
      <c r="M268" s="359"/>
      <c r="N268" s="281"/>
      <c r="O268" s="358"/>
      <c r="Q268" s="359"/>
      <c r="R268" s="360"/>
      <c r="T268" s="372"/>
      <c r="U268" s="281"/>
      <c r="V268" s="360"/>
    </row>
    <row r="269" ht="12.75" customHeight="1">
      <c r="M269" s="359"/>
      <c r="N269" s="281"/>
      <c r="O269" s="358"/>
      <c r="Q269" s="359"/>
      <c r="R269" s="360"/>
      <c r="T269" s="372"/>
      <c r="U269" s="281"/>
      <c r="V269" s="360"/>
    </row>
    <row r="270" ht="12.75" customHeight="1">
      <c r="M270" s="359"/>
      <c r="N270" s="281"/>
      <c r="O270" s="358"/>
      <c r="Q270" s="359"/>
      <c r="R270" s="360"/>
      <c r="T270" s="372"/>
      <c r="U270" s="281"/>
      <c r="V270" s="360"/>
    </row>
    <row r="271" ht="12.75" customHeight="1">
      <c r="M271" s="359"/>
      <c r="N271" s="281"/>
      <c r="O271" s="358"/>
      <c r="Q271" s="359"/>
      <c r="R271" s="360"/>
      <c r="T271" s="372"/>
      <c r="U271" s="281"/>
      <c r="V271" s="360"/>
    </row>
    <row r="272" ht="12.75" customHeight="1">
      <c r="M272" s="359"/>
      <c r="N272" s="281"/>
      <c r="O272" s="358"/>
      <c r="Q272" s="359"/>
      <c r="R272" s="360"/>
      <c r="T272" s="372"/>
      <c r="U272" s="281"/>
      <c r="V272" s="360"/>
    </row>
    <row r="273" ht="12.75" customHeight="1">
      <c r="M273" s="359"/>
      <c r="N273" s="281"/>
      <c r="O273" s="358"/>
      <c r="Q273" s="359"/>
      <c r="R273" s="360"/>
      <c r="T273" s="372"/>
      <c r="U273" s="281"/>
      <c r="V273" s="360"/>
    </row>
    <row r="274" ht="12.75" customHeight="1">
      <c r="M274" s="359"/>
      <c r="N274" s="281"/>
      <c r="O274" s="358"/>
      <c r="Q274" s="359"/>
      <c r="R274" s="360"/>
      <c r="T274" s="372"/>
      <c r="U274" s="281"/>
      <c r="V274" s="360"/>
    </row>
    <row r="275" ht="12.75" customHeight="1">
      <c r="M275" s="359"/>
      <c r="N275" s="281"/>
      <c r="O275" s="358"/>
      <c r="Q275" s="359"/>
      <c r="R275" s="360"/>
      <c r="T275" s="372"/>
      <c r="U275" s="281"/>
      <c r="V275" s="360"/>
    </row>
    <row r="276" ht="12.75" customHeight="1">
      <c r="M276" s="359"/>
      <c r="N276" s="281"/>
      <c r="O276" s="358"/>
      <c r="Q276" s="359"/>
      <c r="R276" s="360"/>
      <c r="T276" s="372"/>
      <c r="U276" s="281"/>
      <c r="V276" s="360"/>
    </row>
    <row r="277" ht="12.75" customHeight="1">
      <c r="M277" s="359"/>
      <c r="N277" s="281"/>
      <c r="O277" s="358"/>
      <c r="Q277" s="359"/>
      <c r="R277" s="360"/>
      <c r="T277" s="372"/>
      <c r="U277" s="281"/>
      <c r="V277" s="360"/>
    </row>
    <row r="278" ht="12.75" customHeight="1">
      <c r="M278" s="359"/>
      <c r="N278" s="281"/>
      <c r="O278" s="358"/>
      <c r="Q278" s="359"/>
      <c r="R278" s="360"/>
      <c r="T278" s="372"/>
      <c r="U278" s="281"/>
      <c r="V278" s="360"/>
    </row>
    <row r="279" ht="12.75" customHeight="1">
      <c r="M279" s="359"/>
      <c r="N279" s="281"/>
      <c r="O279" s="358"/>
      <c r="Q279" s="359"/>
      <c r="R279" s="360"/>
      <c r="T279" s="372"/>
      <c r="U279" s="281"/>
      <c r="V279" s="360"/>
    </row>
    <row r="280" ht="12.75" customHeight="1">
      <c r="M280" s="359"/>
      <c r="N280" s="281"/>
      <c r="O280" s="358"/>
      <c r="Q280" s="359"/>
      <c r="R280" s="360"/>
      <c r="T280" s="372"/>
      <c r="U280" s="281"/>
      <c r="V280" s="360"/>
    </row>
    <row r="281" ht="12.75" customHeight="1">
      <c r="M281" s="359"/>
      <c r="N281" s="281"/>
      <c r="O281" s="358"/>
      <c r="Q281" s="359"/>
      <c r="R281" s="360"/>
      <c r="T281" s="372"/>
      <c r="U281" s="281"/>
      <c r="V281" s="360"/>
    </row>
    <row r="282" ht="12.75" customHeight="1">
      <c r="M282" s="359"/>
      <c r="N282" s="281"/>
      <c r="O282" s="358"/>
      <c r="Q282" s="359"/>
      <c r="R282" s="360"/>
      <c r="T282" s="372"/>
      <c r="U282" s="281"/>
      <c r="V282" s="360"/>
    </row>
    <row r="283" ht="12.75" customHeight="1">
      <c r="M283" s="359"/>
      <c r="N283" s="281"/>
      <c r="O283" s="358"/>
      <c r="Q283" s="359"/>
      <c r="R283" s="360"/>
      <c r="T283" s="372"/>
      <c r="U283" s="281"/>
      <c r="V283" s="360"/>
    </row>
    <row r="284" ht="12.75" customHeight="1">
      <c r="M284" s="359"/>
      <c r="N284" s="281"/>
      <c r="O284" s="358"/>
      <c r="Q284" s="359"/>
      <c r="R284" s="360"/>
      <c r="T284" s="372"/>
      <c r="U284" s="281"/>
      <c r="V284" s="360"/>
    </row>
    <row r="285" ht="12.75" customHeight="1">
      <c r="M285" s="359"/>
      <c r="N285" s="281"/>
      <c r="O285" s="358"/>
      <c r="Q285" s="359"/>
      <c r="R285" s="360"/>
      <c r="T285" s="372"/>
      <c r="U285" s="281"/>
      <c r="V285" s="360"/>
    </row>
    <row r="286" ht="12.75" customHeight="1">
      <c r="M286" s="359"/>
      <c r="N286" s="281"/>
      <c r="O286" s="358"/>
      <c r="Q286" s="359"/>
      <c r="R286" s="360"/>
      <c r="T286" s="372"/>
      <c r="U286" s="281"/>
      <c r="V286" s="360"/>
    </row>
    <row r="287" ht="12.75" customHeight="1">
      <c r="M287" s="359"/>
      <c r="N287" s="281"/>
      <c r="O287" s="358"/>
      <c r="Q287" s="359"/>
      <c r="R287" s="360"/>
      <c r="T287" s="372"/>
      <c r="U287" s="281"/>
      <c r="V287" s="360"/>
    </row>
    <row r="288" ht="12.75" customHeight="1">
      <c r="M288" s="359"/>
      <c r="N288" s="281"/>
      <c r="O288" s="358"/>
      <c r="Q288" s="359"/>
      <c r="R288" s="360"/>
      <c r="T288" s="372"/>
      <c r="U288" s="281"/>
      <c r="V288" s="360"/>
    </row>
    <row r="289" ht="12.75" customHeight="1">
      <c r="M289" s="359"/>
      <c r="N289" s="281"/>
      <c r="O289" s="358"/>
      <c r="Q289" s="359"/>
      <c r="R289" s="360"/>
      <c r="T289" s="372"/>
      <c r="U289" s="281"/>
      <c r="V289" s="360"/>
    </row>
    <row r="290" ht="12.75" customHeight="1">
      <c r="M290" s="359"/>
      <c r="N290" s="281"/>
      <c r="O290" s="358"/>
      <c r="Q290" s="359"/>
      <c r="R290" s="360"/>
      <c r="T290" s="372"/>
      <c r="U290" s="281"/>
      <c r="V290" s="360"/>
    </row>
    <row r="291" ht="12.75" customHeight="1">
      <c r="M291" s="359"/>
      <c r="N291" s="281"/>
      <c r="O291" s="358"/>
      <c r="Q291" s="359"/>
      <c r="R291" s="360"/>
      <c r="T291" s="372"/>
      <c r="U291" s="281"/>
      <c r="V291" s="360"/>
    </row>
    <row r="292" ht="12.75" customHeight="1">
      <c r="M292" s="359"/>
      <c r="N292" s="281"/>
      <c r="O292" s="358"/>
      <c r="Q292" s="359"/>
      <c r="R292" s="360"/>
      <c r="T292" s="372"/>
      <c r="U292" s="281"/>
      <c r="V292" s="360"/>
    </row>
    <row r="293" ht="12.75" customHeight="1">
      <c r="M293" s="359"/>
      <c r="N293" s="281"/>
      <c r="O293" s="358"/>
      <c r="Q293" s="359"/>
      <c r="R293" s="360"/>
      <c r="T293" s="372"/>
      <c r="U293" s="281"/>
      <c r="V293" s="360"/>
    </row>
    <row r="294" ht="12.75" customHeight="1">
      <c r="M294" s="359"/>
      <c r="N294" s="281"/>
      <c r="O294" s="358"/>
      <c r="Q294" s="359"/>
      <c r="R294" s="360"/>
      <c r="T294" s="372"/>
      <c r="U294" s="281"/>
      <c r="V294" s="360"/>
    </row>
    <row r="295" ht="12.75" customHeight="1">
      <c r="M295" s="359"/>
      <c r="N295" s="281"/>
      <c r="O295" s="358"/>
      <c r="Q295" s="359"/>
      <c r="R295" s="360"/>
      <c r="T295" s="372"/>
      <c r="U295" s="281"/>
      <c r="V295" s="360"/>
    </row>
    <row r="296" ht="12.75" customHeight="1">
      <c r="M296" s="359"/>
      <c r="N296" s="281"/>
      <c r="O296" s="358"/>
      <c r="Q296" s="359"/>
      <c r="R296" s="360"/>
      <c r="T296" s="372"/>
      <c r="U296" s="281"/>
      <c r="V296" s="360"/>
    </row>
    <row r="297" ht="12.75" customHeight="1">
      <c r="M297" s="359"/>
      <c r="N297" s="281"/>
      <c r="O297" s="358"/>
      <c r="Q297" s="359"/>
      <c r="R297" s="360"/>
      <c r="T297" s="372"/>
      <c r="U297" s="281"/>
      <c r="V297" s="360"/>
    </row>
    <row r="298" ht="12.75" customHeight="1">
      <c r="M298" s="359"/>
      <c r="N298" s="281"/>
      <c r="O298" s="358"/>
      <c r="Q298" s="359"/>
      <c r="R298" s="360"/>
      <c r="T298" s="372"/>
      <c r="U298" s="281"/>
      <c r="V298" s="360"/>
    </row>
    <row r="299" ht="12.75" customHeight="1">
      <c r="M299" s="359"/>
      <c r="N299" s="281"/>
      <c r="O299" s="358"/>
      <c r="Q299" s="359"/>
      <c r="R299" s="360"/>
      <c r="T299" s="372"/>
      <c r="U299" s="281"/>
      <c r="V299" s="360"/>
    </row>
    <row r="300" ht="12.75" customHeight="1">
      <c r="M300" s="359"/>
      <c r="N300" s="281"/>
      <c r="O300" s="358"/>
      <c r="Q300" s="359"/>
      <c r="R300" s="360"/>
      <c r="T300" s="372"/>
      <c r="U300" s="281"/>
      <c r="V300" s="360"/>
    </row>
    <row r="301" ht="12.75" customHeight="1">
      <c r="M301" s="359"/>
      <c r="N301" s="281"/>
      <c r="O301" s="358"/>
      <c r="Q301" s="359"/>
      <c r="R301" s="360"/>
      <c r="T301" s="372"/>
      <c r="U301" s="281"/>
      <c r="V301" s="360"/>
    </row>
    <row r="302" ht="12.75" customHeight="1">
      <c r="M302" s="359"/>
      <c r="N302" s="281"/>
      <c r="O302" s="358"/>
      <c r="Q302" s="359"/>
      <c r="R302" s="360"/>
      <c r="T302" s="372"/>
      <c r="U302" s="281"/>
      <c r="V302" s="360"/>
    </row>
    <row r="303" ht="12.75" customHeight="1">
      <c r="M303" s="359"/>
      <c r="N303" s="281"/>
      <c r="O303" s="358"/>
      <c r="Q303" s="359"/>
      <c r="R303" s="360"/>
      <c r="T303" s="372"/>
      <c r="U303" s="281"/>
      <c r="V303" s="360"/>
    </row>
    <row r="304" ht="12.75" customHeight="1">
      <c r="M304" s="359"/>
      <c r="N304" s="281"/>
      <c r="O304" s="358"/>
      <c r="Q304" s="359"/>
      <c r="R304" s="360"/>
      <c r="T304" s="372"/>
      <c r="U304" s="281"/>
      <c r="V304" s="360"/>
    </row>
    <row r="305" ht="12.75" customHeight="1">
      <c r="M305" s="359"/>
      <c r="N305" s="281"/>
      <c r="O305" s="358"/>
      <c r="Q305" s="359"/>
      <c r="R305" s="360"/>
      <c r="T305" s="372"/>
      <c r="U305" s="281"/>
      <c r="V305" s="360"/>
    </row>
    <row r="306" ht="12.75" customHeight="1">
      <c r="M306" s="359"/>
      <c r="N306" s="281"/>
      <c r="O306" s="358"/>
      <c r="Q306" s="359"/>
      <c r="R306" s="360"/>
      <c r="T306" s="372"/>
      <c r="U306" s="281"/>
      <c r="V306" s="360"/>
    </row>
    <row r="307" ht="12.75" customHeight="1">
      <c r="M307" s="359"/>
      <c r="N307" s="281"/>
      <c r="O307" s="358"/>
      <c r="Q307" s="359"/>
      <c r="R307" s="360"/>
      <c r="T307" s="372"/>
      <c r="U307" s="281"/>
      <c r="V307" s="360"/>
    </row>
    <row r="308" ht="12.75" customHeight="1">
      <c r="M308" s="359"/>
      <c r="N308" s="281"/>
      <c r="O308" s="358"/>
      <c r="Q308" s="359"/>
      <c r="R308" s="360"/>
      <c r="T308" s="372"/>
      <c r="U308" s="281"/>
      <c r="V308" s="360"/>
    </row>
    <row r="309" ht="12.75" customHeight="1">
      <c r="M309" s="359"/>
      <c r="N309" s="281"/>
      <c r="O309" s="358"/>
      <c r="Q309" s="359"/>
      <c r="R309" s="360"/>
      <c r="T309" s="372"/>
      <c r="U309" s="281"/>
      <c r="V309" s="360"/>
    </row>
    <row r="310" ht="12.75" customHeight="1">
      <c r="M310" s="359"/>
      <c r="N310" s="281"/>
      <c r="O310" s="358"/>
      <c r="Q310" s="359"/>
      <c r="R310" s="360"/>
      <c r="T310" s="372"/>
      <c r="U310" s="281"/>
      <c r="V310" s="360"/>
    </row>
    <row r="311" ht="12.75" customHeight="1">
      <c r="M311" s="359"/>
      <c r="N311" s="281"/>
      <c r="O311" s="358"/>
      <c r="Q311" s="359"/>
      <c r="R311" s="360"/>
      <c r="T311" s="372"/>
      <c r="U311" s="281"/>
      <c r="V311" s="360"/>
    </row>
    <row r="312" ht="12.75" customHeight="1">
      <c r="M312" s="359"/>
      <c r="N312" s="281"/>
      <c r="O312" s="358"/>
      <c r="Q312" s="359"/>
      <c r="R312" s="360"/>
      <c r="T312" s="372"/>
      <c r="U312" s="281"/>
      <c r="V312" s="360"/>
    </row>
    <row r="313" ht="12.75" customHeight="1">
      <c r="M313" s="359"/>
      <c r="N313" s="281"/>
      <c r="O313" s="358"/>
      <c r="Q313" s="359"/>
      <c r="R313" s="360"/>
      <c r="T313" s="372"/>
      <c r="U313" s="281"/>
      <c r="V313" s="360"/>
    </row>
    <row r="314" ht="12.75" customHeight="1">
      <c r="M314" s="359"/>
      <c r="N314" s="281"/>
      <c r="O314" s="358"/>
      <c r="Q314" s="359"/>
      <c r="R314" s="360"/>
      <c r="T314" s="372"/>
      <c r="U314" s="281"/>
      <c r="V314" s="360"/>
    </row>
    <row r="315" ht="12.75" customHeight="1">
      <c r="M315" s="359"/>
      <c r="N315" s="281"/>
      <c r="O315" s="358"/>
      <c r="Q315" s="359"/>
      <c r="R315" s="360"/>
      <c r="T315" s="372"/>
      <c r="U315" s="281"/>
      <c r="V315" s="360"/>
    </row>
    <row r="316" ht="12.75" customHeight="1">
      <c r="M316" s="359"/>
      <c r="N316" s="281"/>
      <c r="O316" s="358"/>
      <c r="Q316" s="359"/>
      <c r="R316" s="360"/>
      <c r="T316" s="372"/>
      <c r="U316" s="281"/>
      <c r="V316" s="360"/>
    </row>
    <row r="317" ht="12.75" customHeight="1">
      <c r="M317" s="359"/>
      <c r="N317" s="281"/>
      <c r="O317" s="358"/>
      <c r="Q317" s="359"/>
      <c r="R317" s="360"/>
      <c r="T317" s="372"/>
      <c r="U317" s="281"/>
      <c r="V317" s="360"/>
    </row>
    <row r="318" ht="12.75" customHeight="1">
      <c r="M318" s="359"/>
      <c r="N318" s="281"/>
      <c r="O318" s="358"/>
      <c r="Q318" s="359"/>
      <c r="R318" s="360"/>
      <c r="T318" s="372"/>
      <c r="U318" s="281"/>
      <c r="V318" s="360"/>
    </row>
    <row r="319" ht="12.75" customHeight="1">
      <c r="M319" s="359"/>
      <c r="N319" s="281"/>
      <c r="O319" s="358"/>
      <c r="Q319" s="359"/>
      <c r="R319" s="360"/>
      <c r="T319" s="372"/>
      <c r="U319" s="281"/>
      <c r="V319" s="360"/>
    </row>
    <row r="320" ht="12.75" customHeight="1">
      <c r="M320" s="359"/>
      <c r="N320" s="281"/>
      <c r="O320" s="358"/>
      <c r="Q320" s="359"/>
      <c r="R320" s="360"/>
      <c r="T320" s="372"/>
      <c r="U320" s="281"/>
      <c r="V320" s="360"/>
    </row>
    <row r="321" ht="12.75" customHeight="1">
      <c r="M321" s="359"/>
      <c r="N321" s="281"/>
      <c r="O321" s="358"/>
      <c r="Q321" s="359"/>
      <c r="R321" s="360"/>
      <c r="T321" s="372"/>
      <c r="U321" s="281"/>
      <c r="V321" s="360"/>
    </row>
    <row r="322" ht="12.75" customHeight="1">
      <c r="M322" s="359"/>
      <c r="N322" s="281"/>
      <c r="O322" s="358"/>
      <c r="Q322" s="359"/>
      <c r="R322" s="360"/>
      <c r="T322" s="372"/>
      <c r="U322" s="281"/>
      <c r="V322" s="360"/>
    </row>
    <row r="323" ht="12.75" customHeight="1">
      <c r="M323" s="359"/>
      <c r="N323" s="281"/>
      <c r="O323" s="358"/>
      <c r="Q323" s="359"/>
      <c r="R323" s="360"/>
      <c r="T323" s="372"/>
      <c r="U323" s="281"/>
      <c r="V323" s="360"/>
    </row>
    <row r="324" ht="12.75" customHeight="1">
      <c r="M324" s="359"/>
      <c r="N324" s="281"/>
      <c r="O324" s="358"/>
      <c r="Q324" s="359"/>
      <c r="R324" s="360"/>
      <c r="T324" s="372"/>
      <c r="U324" s="281"/>
      <c r="V324" s="360"/>
    </row>
    <row r="325" ht="12.75" customHeight="1">
      <c r="M325" s="359"/>
      <c r="N325" s="281"/>
      <c r="O325" s="358"/>
      <c r="Q325" s="359"/>
      <c r="R325" s="360"/>
      <c r="T325" s="372"/>
      <c r="U325" s="281"/>
      <c r="V325" s="360"/>
    </row>
    <row r="326" ht="12.75" customHeight="1">
      <c r="M326" s="359"/>
      <c r="N326" s="281"/>
      <c r="O326" s="358"/>
      <c r="Q326" s="359"/>
      <c r="R326" s="360"/>
      <c r="T326" s="372"/>
      <c r="U326" s="281"/>
      <c r="V326" s="360"/>
    </row>
    <row r="327" ht="12.75" customHeight="1">
      <c r="M327" s="359"/>
      <c r="N327" s="281"/>
      <c r="O327" s="358"/>
      <c r="Q327" s="359"/>
      <c r="R327" s="360"/>
      <c r="T327" s="372"/>
      <c r="U327" s="281"/>
      <c r="V327" s="360"/>
    </row>
    <row r="328" ht="12.75" customHeight="1">
      <c r="M328" s="359"/>
      <c r="N328" s="281"/>
      <c r="O328" s="358"/>
      <c r="Q328" s="359"/>
      <c r="R328" s="360"/>
      <c r="T328" s="372"/>
      <c r="U328" s="281"/>
      <c r="V328" s="360"/>
    </row>
    <row r="329" ht="12.75" customHeight="1">
      <c r="M329" s="359"/>
      <c r="N329" s="281"/>
      <c r="O329" s="358"/>
      <c r="Q329" s="359"/>
      <c r="R329" s="360"/>
      <c r="T329" s="372"/>
      <c r="U329" s="281"/>
      <c r="V329" s="360"/>
    </row>
    <row r="330" ht="12.75" customHeight="1">
      <c r="M330" s="359"/>
      <c r="N330" s="281"/>
      <c r="O330" s="358"/>
      <c r="Q330" s="359"/>
      <c r="R330" s="360"/>
      <c r="T330" s="372"/>
      <c r="U330" s="281"/>
      <c r="V330" s="360"/>
    </row>
    <row r="331" ht="12.75" customHeight="1">
      <c r="M331" s="359"/>
      <c r="N331" s="281"/>
      <c r="O331" s="358"/>
      <c r="Q331" s="359"/>
      <c r="R331" s="360"/>
      <c r="T331" s="372"/>
      <c r="U331" s="281"/>
      <c r="V331" s="360"/>
    </row>
    <row r="332" ht="12.75" customHeight="1">
      <c r="M332" s="359"/>
      <c r="N332" s="281"/>
      <c r="O332" s="358"/>
      <c r="Q332" s="359"/>
      <c r="R332" s="360"/>
      <c r="T332" s="372"/>
      <c r="U332" s="281"/>
      <c r="V332" s="360"/>
    </row>
    <row r="333" ht="12.75" customHeight="1">
      <c r="M333" s="359"/>
      <c r="N333" s="281"/>
      <c r="O333" s="358"/>
      <c r="Q333" s="359"/>
      <c r="R333" s="360"/>
      <c r="T333" s="372"/>
      <c r="U333" s="281"/>
      <c r="V333" s="360"/>
    </row>
    <row r="334" ht="12.75" customHeight="1">
      <c r="M334" s="359"/>
      <c r="N334" s="281"/>
      <c r="O334" s="358"/>
      <c r="Q334" s="359"/>
      <c r="R334" s="360"/>
      <c r="T334" s="372"/>
      <c r="U334" s="281"/>
      <c r="V334" s="360"/>
    </row>
    <row r="335" ht="12.75" customHeight="1">
      <c r="M335" s="359"/>
      <c r="N335" s="281"/>
      <c r="O335" s="358"/>
      <c r="Q335" s="359"/>
      <c r="R335" s="360"/>
      <c r="T335" s="372"/>
      <c r="U335" s="281"/>
      <c r="V335" s="360"/>
    </row>
    <row r="336" ht="12.75" customHeight="1">
      <c r="M336" s="359"/>
      <c r="N336" s="281"/>
      <c r="O336" s="358"/>
      <c r="Q336" s="359"/>
      <c r="R336" s="360"/>
      <c r="T336" s="372"/>
      <c r="U336" s="281"/>
      <c r="V336" s="360"/>
    </row>
    <row r="337" ht="12.75" customHeight="1">
      <c r="M337" s="359"/>
      <c r="N337" s="281"/>
      <c r="O337" s="358"/>
      <c r="Q337" s="359"/>
      <c r="R337" s="360"/>
      <c r="T337" s="372"/>
      <c r="U337" s="281"/>
      <c r="V337" s="360"/>
    </row>
    <row r="338" ht="12.75" customHeight="1">
      <c r="M338" s="359"/>
      <c r="N338" s="281"/>
      <c r="O338" s="358"/>
      <c r="Q338" s="359"/>
      <c r="R338" s="360"/>
      <c r="T338" s="372"/>
      <c r="U338" s="281"/>
      <c r="V338" s="360"/>
    </row>
    <row r="339" ht="12.75" customHeight="1">
      <c r="M339" s="359"/>
      <c r="N339" s="281"/>
      <c r="O339" s="358"/>
      <c r="Q339" s="359"/>
      <c r="R339" s="360"/>
      <c r="T339" s="372"/>
      <c r="U339" s="281"/>
      <c r="V339" s="360"/>
    </row>
    <row r="340" ht="12.75" customHeight="1">
      <c r="M340" s="359"/>
      <c r="N340" s="281"/>
      <c r="O340" s="358"/>
      <c r="Q340" s="359"/>
      <c r="R340" s="360"/>
      <c r="T340" s="372"/>
      <c r="U340" s="281"/>
      <c r="V340" s="360"/>
    </row>
    <row r="341" ht="12.75" customHeight="1">
      <c r="M341" s="359"/>
      <c r="N341" s="281"/>
      <c r="O341" s="358"/>
      <c r="Q341" s="359"/>
      <c r="R341" s="360"/>
      <c r="T341" s="372"/>
      <c r="U341" s="281"/>
      <c r="V341" s="360"/>
    </row>
    <row r="342" ht="12.75" customHeight="1">
      <c r="M342" s="359"/>
      <c r="N342" s="281"/>
      <c r="O342" s="358"/>
      <c r="Q342" s="359"/>
      <c r="R342" s="360"/>
      <c r="T342" s="372"/>
      <c r="U342" s="281"/>
      <c r="V342" s="360"/>
    </row>
    <row r="343" ht="12.75" customHeight="1">
      <c r="M343" s="359"/>
      <c r="N343" s="281"/>
      <c r="O343" s="358"/>
      <c r="Q343" s="359"/>
      <c r="R343" s="360"/>
      <c r="T343" s="372"/>
      <c r="U343" s="281"/>
      <c r="V343" s="360"/>
    </row>
    <row r="344" ht="12.75" customHeight="1">
      <c r="M344" s="359"/>
      <c r="N344" s="281"/>
      <c r="O344" s="358"/>
      <c r="Q344" s="359"/>
      <c r="R344" s="360"/>
      <c r="T344" s="372"/>
      <c r="U344" s="281"/>
      <c r="V344" s="360"/>
    </row>
    <row r="345" ht="12.75" customHeight="1">
      <c r="M345" s="359"/>
      <c r="N345" s="281"/>
      <c r="O345" s="358"/>
      <c r="Q345" s="359"/>
      <c r="R345" s="360"/>
      <c r="T345" s="372"/>
      <c r="U345" s="281"/>
      <c r="V345" s="360"/>
    </row>
    <row r="346" ht="12.75" customHeight="1">
      <c r="M346" s="359"/>
      <c r="N346" s="281"/>
      <c r="O346" s="358"/>
      <c r="Q346" s="359"/>
      <c r="R346" s="360"/>
      <c r="T346" s="372"/>
      <c r="U346" s="281"/>
      <c r="V346" s="360"/>
    </row>
    <row r="347" ht="12.75" customHeight="1">
      <c r="M347" s="359"/>
      <c r="N347" s="281"/>
      <c r="O347" s="358"/>
      <c r="Q347" s="359"/>
      <c r="R347" s="360"/>
      <c r="T347" s="372"/>
      <c r="U347" s="281"/>
      <c r="V347" s="360"/>
    </row>
    <row r="348" ht="12.75" customHeight="1">
      <c r="M348" s="359"/>
      <c r="N348" s="281"/>
      <c r="O348" s="358"/>
      <c r="Q348" s="359"/>
      <c r="R348" s="360"/>
      <c r="T348" s="372"/>
      <c r="U348" s="281"/>
      <c r="V348" s="360"/>
    </row>
    <row r="349" ht="12.75" customHeight="1">
      <c r="M349" s="359"/>
      <c r="N349" s="281"/>
      <c r="O349" s="358"/>
      <c r="Q349" s="359"/>
      <c r="R349" s="360"/>
      <c r="T349" s="372"/>
      <c r="U349" s="281"/>
      <c r="V349" s="360"/>
    </row>
    <row r="350" ht="12.75" customHeight="1">
      <c r="M350" s="359"/>
      <c r="N350" s="281"/>
      <c r="O350" s="358"/>
      <c r="Q350" s="359"/>
      <c r="R350" s="360"/>
      <c r="T350" s="372"/>
      <c r="U350" s="281"/>
      <c r="V350" s="360"/>
    </row>
    <row r="351" ht="12.75" customHeight="1">
      <c r="M351" s="359"/>
      <c r="N351" s="281"/>
      <c r="O351" s="358"/>
      <c r="Q351" s="359"/>
      <c r="R351" s="360"/>
      <c r="T351" s="372"/>
      <c r="U351" s="281"/>
      <c r="V351" s="360"/>
    </row>
    <row r="352" ht="12.75" customHeight="1">
      <c r="M352" s="359"/>
      <c r="N352" s="281"/>
      <c r="O352" s="358"/>
      <c r="Q352" s="359"/>
      <c r="R352" s="360"/>
      <c r="T352" s="372"/>
      <c r="U352" s="281"/>
      <c r="V352" s="360"/>
    </row>
    <row r="353" ht="12.75" customHeight="1">
      <c r="M353" s="359"/>
      <c r="N353" s="281"/>
      <c r="O353" s="358"/>
      <c r="Q353" s="359"/>
      <c r="R353" s="360"/>
      <c r="T353" s="372"/>
      <c r="U353" s="281"/>
      <c r="V353" s="360"/>
    </row>
    <row r="354" ht="12.75" customHeight="1">
      <c r="M354" s="359"/>
      <c r="N354" s="281"/>
      <c r="O354" s="358"/>
      <c r="Q354" s="359"/>
      <c r="R354" s="360"/>
      <c r="T354" s="372"/>
      <c r="U354" s="281"/>
      <c r="V354" s="360"/>
    </row>
    <row r="355" ht="12.75" customHeight="1">
      <c r="M355" s="359"/>
      <c r="N355" s="281"/>
      <c r="O355" s="358"/>
      <c r="Q355" s="359"/>
      <c r="R355" s="360"/>
      <c r="T355" s="372"/>
      <c r="U355" s="281"/>
      <c r="V355" s="360"/>
    </row>
    <row r="356" ht="12.75" customHeight="1">
      <c r="M356" s="359"/>
      <c r="N356" s="281"/>
      <c r="O356" s="358"/>
      <c r="Q356" s="359"/>
      <c r="R356" s="360"/>
      <c r="T356" s="372"/>
      <c r="U356" s="281"/>
      <c r="V356" s="360"/>
    </row>
    <row r="357" ht="12.75" customHeight="1">
      <c r="M357" s="359"/>
      <c r="N357" s="281"/>
      <c r="O357" s="358"/>
      <c r="Q357" s="359"/>
      <c r="R357" s="360"/>
      <c r="T357" s="372"/>
      <c r="U357" s="281"/>
      <c r="V357" s="360"/>
    </row>
    <row r="358" ht="12.75" customHeight="1">
      <c r="M358" s="359"/>
      <c r="N358" s="281"/>
      <c r="O358" s="358"/>
      <c r="Q358" s="359"/>
      <c r="R358" s="360"/>
      <c r="T358" s="372"/>
      <c r="U358" s="281"/>
      <c r="V358" s="360"/>
    </row>
    <row r="359" ht="12.75" customHeight="1">
      <c r="M359" s="359"/>
      <c r="N359" s="281"/>
      <c r="O359" s="358"/>
      <c r="Q359" s="359"/>
      <c r="R359" s="360"/>
      <c r="T359" s="372"/>
      <c r="U359" s="281"/>
      <c r="V359" s="360"/>
    </row>
    <row r="360" ht="12.75" customHeight="1">
      <c r="M360" s="359"/>
      <c r="N360" s="281"/>
      <c r="O360" s="358"/>
      <c r="Q360" s="359"/>
      <c r="R360" s="360"/>
      <c r="T360" s="372"/>
      <c r="U360" s="281"/>
      <c r="V360" s="360"/>
    </row>
    <row r="361" ht="12.75" customHeight="1">
      <c r="M361" s="359"/>
      <c r="N361" s="281"/>
      <c r="O361" s="358"/>
      <c r="Q361" s="359"/>
      <c r="R361" s="360"/>
      <c r="T361" s="372"/>
      <c r="U361" s="281"/>
      <c r="V361" s="360"/>
    </row>
    <row r="362" ht="12.75" customHeight="1">
      <c r="M362" s="359"/>
      <c r="N362" s="281"/>
      <c r="O362" s="358"/>
      <c r="Q362" s="359"/>
      <c r="R362" s="360"/>
      <c r="T362" s="372"/>
      <c r="U362" s="281"/>
      <c r="V362" s="360"/>
    </row>
    <row r="363" ht="12.75" customHeight="1">
      <c r="M363" s="359"/>
      <c r="N363" s="281"/>
      <c r="O363" s="358"/>
      <c r="Q363" s="359"/>
      <c r="R363" s="360"/>
      <c r="T363" s="372"/>
      <c r="U363" s="281"/>
      <c r="V363" s="360"/>
    </row>
    <row r="364" ht="12.75" customHeight="1">
      <c r="M364" s="359"/>
      <c r="N364" s="281"/>
      <c r="O364" s="358"/>
      <c r="Q364" s="359"/>
      <c r="R364" s="360"/>
      <c r="T364" s="372"/>
      <c r="U364" s="281"/>
      <c r="V364" s="360"/>
    </row>
    <row r="365" ht="12.75" customHeight="1">
      <c r="M365" s="359"/>
      <c r="N365" s="281"/>
      <c r="O365" s="358"/>
      <c r="Q365" s="359"/>
      <c r="R365" s="360"/>
      <c r="T365" s="372"/>
      <c r="U365" s="281"/>
      <c r="V365" s="360"/>
    </row>
    <row r="366" ht="12.75" customHeight="1">
      <c r="M366" s="359"/>
      <c r="N366" s="281"/>
      <c r="O366" s="358"/>
      <c r="Q366" s="359"/>
      <c r="R366" s="360"/>
      <c r="T366" s="372"/>
      <c r="U366" s="281"/>
      <c r="V366" s="360"/>
    </row>
    <row r="367" ht="12.75" customHeight="1">
      <c r="M367" s="359"/>
      <c r="N367" s="281"/>
      <c r="O367" s="358"/>
      <c r="Q367" s="359"/>
      <c r="R367" s="360"/>
      <c r="T367" s="372"/>
      <c r="U367" s="281"/>
      <c r="V367" s="360"/>
    </row>
    <row r="368" ht="12.75" customHeight="1">
      <c r="M368" s="359"/>
      <c r="N368" s="281"/>
      <c r="O368" s="358"/>
      <c r="Q368" s="359"/>
      <c r="R368" s="360"/>
      <c r="T368" s="372"/>
      <c r="U368" s="281"/>
      <c r="V368" s="360"/>
    </row>
    <row r="369" ht="12.75" customHeight="1">
      <c r="M369" s="359"/>
      <c r="N369" s="281"/>
      <c r="O369" s="358"/>
      <c r="Q369" s="359"/>
      <c r="R369" s="360"/>
      <c r="T369" s="372"/>
      <c r="U369" s="281"/>
      <c r="V369" s="360"/>
    </row>
    <row r="370" ht="12.75" customHeight="1">
      <c r="M370" s="359"/>
      <c r="N370" s="281"/>
      <c r="O370" s="358"/>
      <c r="Q370" s="359"/>
      <c r="R370" s="360"/>
      <c r="T370" s="372"/>
      <c r="U370" s="281"/>
      <c r="V370" s="360"/>
    </row>
    <row r="371" ht="12.75" customHeight="1">
      <c r="M371" s="359"/>
      <c r="N371" s="281"/>
      <c r="O371" s="358"/>
      <c r="Q371" s="359"/>
      <c r="R371" s="360"/>
      <c r="T371" s="372"/>
      <c r="U371" s="281"/>
      <c r="V371" s="360"/>
    </row>
    <row r="372" ht="12.75" customHeight="1">
      <c r="M372" s="359"/>
      <c r="N372" s="281"/>
      <c r="O372" s="358"/>
      <c r="Q372" s="359"/>
      <c r="R372" s="360"/>
      <c r="T372" s="372"/>
      <c r="U372" s="281"/>
      <c r="V372" s="360"/>
    </row>
    <row r="373" ht="12.75" customHeight="1">
      <c r="M373" s="359"/>
      <c r="N373" s="281"/>
      <c r="O373" s="358"/>
      <c r="Q373" s="359"/>
      <c r="R373" s="360"/>
      <c r="T373" s="372"/>
      <c r="U373" s="281"/>
      <c r="V373" s="360"/>
    </row>
    <row r="374" ht="12.75" customHeight="1">
      <c r="M374" s="359"/>
      <c r="N374" s="281"/>
      <c r="O374" s="358"/>
      <c r="Q374" s="359"/>
      <c r="R374" s="360"/>
      <c r="T374" s="372"/>
      <c r="U374" s="281"/>
      <c r="V374" s="360"/>
    </row>
    <row r="375" ht="12.75" customHeight="1">
      <c r="M375" s="359"/>
      <c r="N375" s="281"/>
      <c r="O375" s="358"/>
      <c r="Q375" s="359"/>
      <c r="R375" s="360"/>
      <c r="T375" s="372"/>
      <c r="U375" s="281"/>
      <c r="V375" s="360"/>
    </row>
    <row r="376" ht="12.75" customHeight="1">
      <c r="M376" s="359"/>
      <c r="N376" s="281"/>
      <c r="O376" s="358"/>
      <c r="Q376" s="359"/>
      <c r="R376" s="360"/>
      <c r="T376" s="372"/>
      <c r="U376" s="281"/>
      <c r="V376" s="360"/>
    </row>
    <row r="377" ht="12.75" customHeight="1">
      <c r="M377" s="359"/>
      <c r="N377" s="281"/>
      <c r="O377" s="358"/>
      <c r="Q377" s="359"/>
      <c r="R377" s="360"/>
      <c r="T377" s="372"/>
      <c r="U377" s="281"/>
      <c r="V377" s="360"/>
    </row>
    <row r="378" ht="12.75" customHeight="1">
      <c r="M378" s="359"/>
      <c r="N378" s="281"/>
      <c r="O378" s="358"/>
      <c r="Q378" s="359"/>
      <c r="R378" s="360"/>
      <c r="T378" s="372"/>
      <c r="U378" s="281"/>
      <c r="V378" s="360"/>
    </row>
    <row r="379" ht="12.75" customHeight="1">
      <c r="M379" s="359"/>
      <c r="N379" s="281"/>
      <c r="O379" s="358"/>
      <c r="Q379" s="359"/>
      <c r="R379" s="360"/>
      <c r="T379" s="372"/>
      <c r="U379" s="281"/>
      <c r="V379" s="360"/>
    </row>
    <row r="380" ht="12.75" customHeight="1">
      <c r="M380" s="359"/>
      <c r="N380" s="281"/>
      <c r="O380" s="358"/>
      <c r="Q380" s="359"/>
      <c r="R380" s="360"/>
      <c r="T380" s="372"/>
      <c r="U380" s="281"/>
      <c r="V380" s="360"/>
    </row>
    <row r="381" ht="12.75" customHeight="1">
      <c r="M381" s="359"/>
      <c r="N381" s="281"/>
      <c r="O381" s="358"/>
      <c r="Q381" s="359"/>
      <c r="R381" s="360"/>
      <c r="T381" s="372"/>
      <c r="U381" s="281"/>
      <c r="V381" s="360"/>
    </row>
    <row r="382" ht="12.75" customHeight="1">
      <c r="M382" s="359"/>
      <c r="N382" s="281"/>
      <c r="O382" s="358"/>
      <c r="Q382" s="359"/>
      <c r="R382" s="360"/>
      <c r="T382" s="372"/>
      <c r="U382" s="281"/>
      <c r="V382" s="360"/>
    </row>
    <row r="383" ht="12.75" customHeight="1">
      <c r="M383" s="359"/>
      <c r="N383" s="281"/>
      <c r="O383" s="358"/>
      <c r="Q383" s="359"/>
      <c r="R383" s="360"/>
      <c r="T383" s="372"/>
      <c r="U383" s="281"/>
      <c r="V383" s="360"/>
    </row>
    <row r="384" ht="12.75" customHeight="1">
      <c r="M384" s="359"/>
      <c r="N384" s="281"/>
      <c r="O384" s="358"/>
      <c r="Q384" s="359"/>
      <c r="R384" s="360"/>
      <c r="T384" s="372"/>
      <c r="U384" s="281"/>
      <c r="V384" s="360"/>
    </row>
    <row r="385" ht="12.75" customHeight="1">
      <c r="M385" s="359"/>
      <c r="N385" s="281"/>
      <c r="O385" s="358"/>
      <c r="Q385" s="359"/>
      <c r="R385" s="360"/>
      <c r="T385" s="372"/>
      <c r="U385" s="281"/>
      <c r="V385" s="360"/>
    </row>
    <row r="386" ht="12.75" customHeight="1">
      <c r="M386" s="359"/>
      <c r="N386" s="281"/>
      <c r="O386" s="358"/>
      <c r="Q386" s="359"/>
      <c r="R386" s="360"/>
      <c r="T386" s="372"/>
      <c r="U386" s="281"/>
      <c r="V386" s="360"/>
    </row>
    <row r="387" ht="12.75" customHeight="1">
      <c r="M387" s="359"/>
      <c r="N387" s="281"/>
      <c r="O387" s="358"/>
      <c r="Q387" s="359"/>
      <c r="R387" s="360"/>
      <c r="T387" s="372"/>
      <c r="U387" s="281"/>
      <c r="V387" s="360"/>
    </row>
    <row r="388" ht="12.75" customHeight="1">
      <c r="M388" s="359"/>
      <c r="N388" s="281"/>
      <c r="O388" s="358"/>
      <c r="Q388" s="359"/>
      <c r="R388" s="360"/>
      <c r="T388" s="372"/>
      <c r="U388" s="281"/>
      <c r="V388" s="360"/>
    </row>
    <row r="389" ht="12.75" customHeight="1">
      <c r="M389" s="359"/>
      <c r="N389" s="281"/>
      <c r="O389" s="358"/>
      <c r="Q389" s="359"/>
      <c r="R389" s="360"/>
      <c r="T389" s="372"/>
      <c r="U389" s="281"/>
      <c r="V389" s="360"/>
    </row>
    <row r="390" ht="12.75" customHeight="1">
      <c r="M390" s="359"/>
      <c r="N390" s="281"/>
      <c r="O390" s="358"/>
      <c r="Q390" s="359"/>
      <c r="R390" s="360"/>
      <c r="T390" s="372"/>
      <c r="U390" s="281"/>
      <c r="V390" s="360"/>
    </row>
    <row r="391" ht="12.75" customHeight="1">
      <c r="M391" s="359"/>
      <c r="N391" s="281"/>
      <c r="O391" s="358"/>
      <c r="Q391" s="359"/>
      <c r="R391" s="360"/>
      <c r="T391" s="372"/>
      <c r="U391" s="281"/>
      <c r="V391" s="360"/>
    </row>
    <row r="392" ht="12.75" customHeight="1">
      <c r="M392" s="359"/>
      <c r="N392" s="281"/>
      <c r="O392" s="358"/>
      <c r="Q392" s="359"/>
      <c r="R392" s="360"/>
      <c r="T392" s="372"/>
      <c r="U392" s="281"/>
      <c r="V392" s="360"/>
    </row>
    <row r="393" ht="12.75" customHeight="1">
      <c r="M393" s="359"/>
      <c r="N393" s="281"/>
      <c r="O393" s="358"/>
      <c r="Q393" s="359"/>
      <c r="R393" s="360"/>
      <c r="T393" s="372"/>
      <c r="U393" s="281"/>
      <c r="V393" s="360"/>
    </row>
    <row r="394" ht="12.75" customHeight="1">
      <c r="M394" s="359"/>
      <c r="N394" s="281"/>
      <c r="O394" s="358"/>
      <c r="Q394" s="359"/>
      <c r="R394" s="360"/>
      <c r="T394" s="372"/>
      <c r="U394" s="281"/>
      <c r="V394" s="360"/>
    </row>
    <row r="395" ht="12.75" customHeight="1">
      <c r="M395" s="359"/>
      <c r="N395" s="281"/>
      <c r="O395" s="358"/>
      <c r="Q395" s="359"/>
      <c r="R395" s="360"/>
      <c r="T395" s="372"/>
      <c r="U395" s="281"/>
      <c r="V395" s="360"/>
    </row>
    <row r="396" ht="12.75" customHeight="1">
      <c r="M396" s="359"/>
      <c r="N396" s="281"/>
      <c r="O396" s="358"/>
      <c r="Q396" s="359"/>
      <c r="R396" s="360"/>
      <c r="T396" s="372"/>
      <c r="U396" s="281"/>
      <c r="V396" s="360"/>
    </row>
    <row r="397" ht="12.75" customHeight="1">
      <c r="M397" s="359"/>
      <c r="N397" s="281"/>
      <c r="O397" s="358"/>
      <c r="Q397" s="359"/>
      <c r="R397" s="360"/>
      <c r="T397" s="372"/>
      <c r="U397" s="281"/>
      <c r="V397" s="360"/>
    </row>
    <row r="398" ht="12.75" customHeight="1">
      <c r="M398" s="359"/>
      <c r="N398" s="281"/>
      <c r="O398" s="358"/>
      <c r="Q398" s="359"/>
      <c r="R398" s="360"/>
      <c r="T398" s="372"/>
      <c r="U398" s="281"/>
      <c r="V398" s="360"/>
    </row>
    <row r="399" ht="12.75" customHeight="1">
      <c r="M399" s="359"/>
      <c r="N399" s="281"/>
      <c r="O399" s="358"/>
      <c r="Q399" s="359"/>
      <c r="R399" s="360"/>
      <c r="T399" s="372"/>
      <c r="U399" s="281"/>
      <c r="V399" s="360"/>
    </row>
    <row r="400" ht="12.75" customHeight="1">
      <c r="M400" s="359"/>
      <c r="N400" s="281"/>
      <c r="O400" s="358"/>
      <c r="Q400" s="359"/>
      <c r="R400" s="360"/>
      <c r="T400" s="372"/>
      <c r="U400" s="281"/>
      <c r="V400" s="360"/>
    </row>
    <row r="401" ht="12.75" customHeight="1">
      <c r="M401" s="359"/>
      <c r="N401" s="281"/>
      <c r="O401" s="358"/>
      <c r="Q401" s="359"/>
      <c r="R401" s="360"/>
      <c r="T401" s="372"/>
      <c r="U401" s="281"/>
      <c r="V401" s="360"/>
    </row>
    <row r="402" ht="12.75" customHeight="1">
      <c r="M402" s="359"/>
      <c r="N402" s="281"/>
      <c r="O402" s="358"/>
      <c r="Q402" s="359"/>
      <c r="R402" s="360"/>
      <c r="T402" s="372"/>
      <c r="U402" s="281"/>
      <c r="V402" s="360"/>
    </row>
    <row r="403" ht="12.75" customHeight="1">
      <c r="M403" s="359"/>
      <c r="N403" s="281"/>
      <c r="O403" s="358"/>
      <c r="Q403" s="359"/>
      <c r="R403" s="360"/>
      <c r="T403" s="372"/>
      <c r="U403" s="281"/>
      <c r="V403" s="360"/>
    </row>
    <row r="404" ht="12.75" customHeight="1">
      <c r="M404" s="359"/>
      <c r="N404" s="281"/>
      <c r="O404" s="358"/>
      <c r="Q404" s="359"/>
      <c r="R404" s="360"/>
      <c r="T404" s="372"/>
      <c r="U404" s="281"/>
      <c r="V404" s="360"/>
    </row>
    <row r="405" ht="12.75" customHeight="1">
      <c r="M405" s="359"/>
      <c r="N405" s="281"/>
      <c r="O405" s="358"/>
      <c r="Q405" s="359"/>
      <c r="R405" s="360"/>
      <c r="T405" s="372"/>
      <c r="U405" s="281"/>
      <c r="V405" s="360"/>
    </row>
    <row r="406" ht="12.75" customHeight="1">
      <c r="M406" s="359"/>
      <c r="N406" s="281"/>
      <c r="O406" s="358"/>
      <c r="Q406" s="359"/>
      <c r="R406" s="360"/>
      <c r="T406" s="372"/>
      <c r="U406" s="281"/>
      <c r="V406" s="360"/>
    </row>
    <row r="407" ht="12.75" customHeight="1">
      <c r="M407" s="359"/>
      <c r="N407" s="281"/>
      <c r="O407" s="358"/>
      <c r="Q407" s="359"/>
      <c r="R407" s="360"/>
      <c r="T407" s="372"/>
      <c r="U407" s="281"/>
      <c r="V407" s="360"/>
    </row>
    <row r="408" ht="12.75" customHeight="1">
      <c r="M408" s="359"/>
      <c r="N408" s="281"/>
      <c r="O408" s="358"/>
      <c r="Q408" s="359"/>
      <c r="R408" s="360"/>
      <c r="T408" s="372"/>
      <c r="U408" s="281"/>
      <c r="V408" s="360"/>
    </row>
    <row r="409" ht="12.75" customHeight="1">
      <c r="M409" s="359"/>
      <c r="N409" s="281"/>
      <c r="O409" s="358"/>
      <c r="Q409" s="359"/>
      <c r="R409" s="360"/>
      <c r="T409" s="372"/>
      <c r="U409" s="281"/>
      <c r="V409" s="360"/>
    </row>
    <row r="410" ht="12.75" customHeight="1">
      <c r="M410" s="359"/>
      <c r="N410" s="281"/>
      <c r="O410" s="358"/>
      <c r="Q410" s="359"/>
      <c r="R410" s="360"/>
      <c r="T410" s="372"/>
      <c r="U410" s="281"/>
      <c r="V410" s="360"/>
    </row>
    <row r="411" ht="12.75" customHeight="1">
      <c r="M411" s="359"/>
      <c r="N411" s="281"/>
      <c r="O411" s="358"/>
      <c r="Q411" s="359"/>
      <c r="R411" s="360"/>
      <c r="T411" s="372"/>
      <c r="U411" s="281"/>
      <c r="V411" s="360"/>
    </row>
    <row r="412" ht="12.75" customHeight="1">
      <c r="M412" s="359"/>
      <c r="N412" s="281"/>
      <c r="O412" s="358"/>
      <c r="Q412" s="359"/>
      <c r="R412" s="360"/>
      <c r="T412" s="372"/>
      <c r="U412" s="281"/>
      <c r="V412" s="360"/>
    </row>
    <row r="413" ht="12.75" customHeight="1">
      <c r="M413" s="359"/>
      <c r="N413" s="281"/>
      <c r="O413" s="358"/>
      <c r="Q413" s="359"/>
      <c r="R413" s="360"/>
      <c r="T413" s="372"/>
      <c r="U413" s="281"/>
      <c r="V413" s="360"/>
    </row>
    <row r="414" ht="12.75" customHeight="1">
      <c r="M414" s="359"/>
      <c r="N414" s="281"/>
      <c r="O414" s="358"/>
      <c r="Q414" s="359"/>
      <c r="R414" s="360"/>
      <c r="T414" s="372"/>
      <c r="U414" s="281"/>
      <c r="V414" s="360"/>
    </row>
    <row r="415" ht="12.75" customHeight="1">
      <c r="M415" s="359"/>
      <c r="N415" s="281"/>
      <c r="O415" s="358"/>
      <c r="Q415" s="359"/>
      <c r="R415" s="360"/>
      <c r="T415" s="372"/>
      <c r="U415" s="281"/>
      <c r="V415" s="360"/>
    </row>
    <row r="416" ht="12.75" customHeight="1">
      <c r="M416" s="359"/>
      <c r="N416" s="281"/>
      <c r="O416" s="358"/>
      <c r="Q416" s="359"/>
      <c r="R416" s="360"/>
      <c r="T416" s="372"/>
      <c r="U416" s="281"/>
      <c r="V416" s="360"/>
    </row>
    <row r="417" ht="12.75" customHeight="1">
      <c r="M417" s="359"/>
      <c r="N417" s="281"/>
      <c r="O417" s="358"/>
      <c r="Q417" s="359"/>
      <c r="R417" s="360"/>
      <c r="T417" s="372"/>
      <c r="U417" s="281"/>
      <c r="V417" s="360"/>
    </row>
    <row r="418" ht="12.75" customHeight="1">
      <c r="M418" s="359"/>
      <c r="N418" s="281"/>
      <c r="O418" s="358"/>
      <c r="Q418" s="359"/>
      <c r="R418" s="360"/>
      <c r="T418" s="372"/>
      <c r="U418" s="281"/>
      <c r="V418" s="360"/>
    </row>
    <row r="419" ht="12.75" customHeight="1">
      <c r="M419" s="359"/>
      <c r="N419" s="281"/>
      <c r="O419" s="358"/>
      <c r="Q419" s="359"/>
      <c r="R419" s="360"/>
      <c r="T419" s="372"/>
      <c r="U419" s="281"/>
      <c r="V419" s="360"/>
    </row>
    <row r="420" ht="12.75" customHeight="1">
      <c r="M420" s="359"/>
      <c r="N420" s="281"/>
      <c r="O420" s="358"/>
      <c r="Q420" s="359"/>
      <c r="R420" s="360"/>
      <c r="T420" s="372"/>
      <c r="U420" s="281"/>
      <c r="V420" s="360"/>
    </row>
    <row r="421" ht="12.75" customHeight="1">
      <c r="M421" s="359"/>
      <c r="N421" s="281"/>
      <c r="O421" s="358"/>
      <c r="Q421" s="359"/>
      <c r="R421" s="360"/>
      <c r="T421" s="372"/>
      <c r="U421" s="281"/>
      <c r="V421" s="360"/>
    </row>
    <row r="422" ht="12.75" customHeight="1">
      <c r="M422" s="359"/>
      <c r="N422" s="281"/>
      <c r="O422" s="358"/>
      <c r="Q422" s="359"/>
      <c r="R422" s="360"/>
      <c r="T422" s="372"/>
      <c r="U422" s="281"/>
      <c r="V422" s="360"/>
    </row>
    <row r="423" ht="12.75" customHeight="1">
      <c r="M423" s="359"/>
      <c r="N423" s="281"/>
      <c r="O423" s="358"/>
      <c r="Q423" s="359"/>
      <c r="R423" s="360"/>
      <c r="T423" s="372"/>
      <c r="U423" s="281"/>
      <c r="V423" s="360"/>
    </row>
    <row r="424" ht="12.75" customHeight="1">
      <c r="M424" s="359"/>
      <c r="N424" s="281"/>
      <c r="O424" s="358"/>
      <c r="Q424" s="359"/>
      <c r="R424" s="360"/>
      <c r="T424" s="372"/>
      <c r="U424" s="281"/>
      <c r="V424" s="360"/>
    </row>
    <row r="425" ht="12.75" customHeight="1">
      <c r="M425" s="359"/>
      <c r="N425" s="281"/>
      <c r="O425" s="358"/>
      <c r="Q425" s="359"/>
      <c r="R425" s="360"/>
      <c r="T425" s="372"/>
      <c r="U425" s="281"/>
      <c r="V425" s="360"/>
    </row>
    <row r="426" ht="12.75" customHeight="1">
      <c r="M426" s="359"/>
      <c r="N426" s="281"/>
      <c r="O426" s="358"/>
      <c r="Q426" s="359"/>
      <c r="R426" s="360"/>
      <c r="T426" s="372"/>
      <c r="U426" s="281"/>
      <c r="V426" s="360"/>
    </row>
    <row r="427" ht="12.75" customHeight="1">
      <c r="M427" s="359"/>
      <c r="N427" s="281"/>
      <c r="O427" s="358"/>
      <c r="Q427" s="359"/>
      <c r="R427" s="360"/>
      <c r="T427" s="372"/>
      <c r="U427" s="281"/>
      <c r="V427" s="360"/>
    </row>
    <row r="428" ht="12.75" customHeight="1">
      <c r="M428" s="359"/>
      <c r="N428" s="281"/>
      <c r="O428" s="358"/>
      <c r="Q428" s="359"/>
      <c r="R428" s="360"/>
      <c r="T428" s="372"/>
      <c r="U428" s="281"/>
      <c r="V428" s="360"/>
    </row>
    <row r="429" ht="12.75" customHeight="1">
      <c r="M429" s="359"/>
      <c r="N429" s="281"/>
      <c r="O429" s="358"/>
      <c r="Q429" s="359"/>
      <c r="R429" s="360"/>
      <c r="T429" s="372"/>
      <c r="U429" s="281"/>
      <c r="V429" s="360"/>
    </row>
    <row r="430" ht="12.75" customHeight="1">
      <c r="M430" s="359"/>
      <c r="N430" s="281"/>
      <c r="O430" s="358"/>
      <c r="Q430" s="359"/>
      <c r="R430" s="360"/>
      <c r="T430" s="372"/>
      <c r="U430" s="281"/>
      <c r="V430" s="360"/>
    </row>
    <row r="431" ht="12.75" customHeight="1">
      <c r="M431" s="359"/>
      <c r="N431" s="281"/>
      <c r="O431" s="358"/>
      <c r="Q431" s="359"/>
      <c r="R431" s="360"/>
      <c r="T431" s="372"/>
      <c r="U431" s="281"/>
      <c r="V431" s="360"/>
    </row>
    <row r="432" ht="12.75" customHeight="1">
      <c r="M432" s="359"/>
      <c r="N432" s="281"/>
      <c r="O432" s="358"/>
      <c r="Q432" s="359"/>
      <c r="R432" s="360"/>
      <c r="T432" s="372"/>
      <c r="U432" s="281"/>
      <c r="V432" s="360"/>
    </row>
    <row r="433" ht="12.75" customHeight="1">
      <c r="M433" s="359"/>
      <c r="N433" s="281"/>
      <c r="O433" s="358"/>
      <c r="Q433" s="359"/>
      <c r="R433" s="360"/>
      <c r="T433" s="372"/>
      <c r="U433" s="281"/>
      <c r="V433" s="360"/>
    </row>
    <row r="434" ht="12.75" customHeight="1">
      <c r="M434" s="359"/>
      <c r="N434" s="281"/>
      <c r="O434" s="358"/>
      <c r="Q434" s="359"/>
      <c r="R434" s="360"/>
      <c r="T434" s="372"/>
      <c r="U434" s="281"/>
      <c r="V434" s="360"/>
    </row>
    <row r="435" ht="12.75" customHeight="1">
      <c r="M435" s="359"/>
      <c r="N435" s="281"/>
      <c r="O435" s="358"/>
      <c r="Q435" s="359"/>
      <c r="R435" s="360"/>
      <c r="T435" s="372"/>
      <c r="U435" s="281"/>
      <c r="V435" s="360"/>
    </row>
    <row r="436" ht="12.75" customHeight="1">
      <c r="M436" s="359"/>
      <c r="N436" s="281"/>
      <c r="O436" s="358"/>
      <c r="Q436" s="359"/>
      <c r="R436" s="360"/>
      <c r="T436" s="372"/>
      <c r="U436" s="281"/>
      <c r="V436" s="360"/>
    </row>
    <row r="437" ht="12.75" customHeight="1">
      <c r="M437" s="359"/>
      <c r="N437" s="281"/>
      <c r="O437" s="358"/>
      <c r="Q437" s="359"/>
      <c r="R437" s="360"/>
      <c r="T437" s="372"/>
      <c r="U437" s="281"/>
      <c r="V437" s="360"/>
    </row>
    <row r="438" ht="12.75" customHeight="1">
      <c r="M438" s="359"/>
      <c r="N438" s="281"/>
      <c r="O438" s="358"/>
      <c r="Q438" s="359"/>
      <c r="R438" s="360"/>
      <c r="T438" s="372"/>
      <c r="U438" s="281"/>
      <c r="V438" s="360"/>
    </row>
    <row r="439" ht="12.75" customHeight="1">
      <c r="M439" s="359"/>
      <c r="N439" s="281"/>
      <c r="O439" s="358"/>
      <c r="Q439" s="359"/>
      <c r="R439" s="360"/>
      <c r="T439" s="372"/>
      <c r="U439" s="281"/>
      <c r="V439" s="360"/>
    </row>
    <row r="440" ht="12.75" customHeight="1">
      <c r="M440" s="359"/>
      <c r="N440" s="281"/>
      <c r="O440" s="358"/>
      <c r="Q440" s="359"/>
      <c r="R440" s="360"/>
      <c r="T440" s="372"/>
      <c r="U440" s="281"/>
      <c r="V440" s="360"/>
    </row>
    <row r="441" ht="12.75" customHeight="1">
      <c r="M441" s="359"/>
      <c r="N441" s="281"/>
      <c r="O441" s="358"/>
      <c r="Q441" s="359"/>
      <c r="R441" s="360"/>
      <c r="T441" s="372"/>
      <c r="U441" s="281"/>
      <c r="V441" s="360"/>
    </row>
    <row r="442" ht="12.75" customHeight="1">
      <c r="M442" s="359"/>
      <c r="N442" s="281"/>
      <c r="O442" s="358"/>
      <c r="Q442" s="359"/>
      <c r="R442" s="360"/>
      <c r="T442" s="372"/>
      <c r="U442" s="281"/>
      <c r="V442" s="360"/>
    </row>
    <row r="443" ht="12.75" customHeight="1">
      <c r="M443" s="359"/>
      <c r="N443" s="281"/>
      <c r="O443" s="358"/>
      <c r="Q443" s="359"/>
      <c r="R443" s="360"/>
      <c r="T443" s="372"/>
      <c r="U443" s="281"/>
      <c r="V443" s="360"/>
    </row>
    <row r="444" ht="12.75" customHeight="1">
      <c r="M444" s="359"/>
      <c r="N444" s="281"/>
      <c r="O444" s="358"/>
      <c r="Q444" s="359"/>
      <c r="R444" s="360"/>
      <c r="T444" s="372"/>
      <c r="U444" s="281"/>
      <c r="V444" s="360"/>
    </row>
    <row r="445" ht="12.75" customHeight="1">
      <c r="M445" s="359"/>
      <c r="N445" s="281"/>
      <c r="O445" s="358"/>
      <c r="Q445" s="359"/>
      <c r="R445" s="360"/>
      <c r="T445" s="372"/>
      <c r="U445" s="281"/>
      <c r="V445" s="360"/>
    </row>
    <row r="446" ht="12.75" customHeight="1">
      <c r="M446" s="359"/>
      <c r="N446" s="281"/>
      <c r="O446" s="358"/>
      <c r="Q446" s="359"/>
      <c r="R446" s="360"/>
      <c r="T446" s="372"/>
      <c r="U446" s="281"/>
      <c r="V446" s="360"/>
    </row>
    <row r="447" ht="12.75" customHeight="1">
      <c r="M447" s="359"/>
      <c r="N447" s="281"/>
      <c r="O447" s="358"/>
      <c r="Q447" s="359"/>
      <c r="R447" s="360"/>
      <c r="T447" s="372"/>
      <c r="U447" s="281"/>
      <c r="V447" s="360"/>
    </row>
    <row r="448" ht="12.75" customHeight="1">
      <c r="M448" s="359"/>
      <c r="N448" s="281"/>
      <c r="O448" s="358"/>
      <c r="Q448" s="359"/>
      <c r="R448" s="360"/>
      <c r="T448" s="372"/>
      <c r="U448" s="281"/>
      <c r="V448" s="360"/>
    </row>
    <row r="449" ht="12.75" customHeight="1">
      <c r="M449" s="359"/>
      <c r="N449" s="281"/>
      <c r="O449" s="358"/>
      <c r="Q449" s="359"/>
      <c r="R449" s="360"/>
      <c r="T449" s="372"/>
      <c r="U449" s="281"/>
      <c r="V449" s="360"/>
    </row>
    <row r="450" ht="12.75" customHeight="1">
      <c r="M450" s="359"/>
      <c r="N450" s="281"/>
      <c r="O450" s="358"/>
      <c r="Q450" s="359"/>
      <c r="R450" s="360"/>
      <c r="T450" s="372"/>
      <c r="U450" s="281"/>
      <c r="V450" s="360"/>
    </row>
    <row r="451" ht="12.75" customHeight="1">
      <c r="M451" s="359"/>
      <c r="N451" s="281"/>
      <c r="O451" s="358"/>
      <c r="Q451" s="359"/>
      <c r="R451" s="360"/>
      <c r="T451" s="372"/>
      <c r="U451" s="281"/>
      <c r="V451" s="360"/>
    </row>
    <row r="452" ht="12.75" customHeight="1">
      <c r="M452" s="359"/>
      <c r="N452" s="281"/>
      <c r="O452" s="358"/>
      <c r="Q452" s="359"/>
      <c r="R452" s="360"/>
      <c r="T452" s="372"/>
      <c r="U452" s="281"/>
      <c r="V452" s="360"/>
    </row>
    <row r="453" ht="12.75" customHeight="1">
      <c r="M453" s="359"/>
      <c r="N453" s="281"/>
      <c r="O453" s="358"/>
      <c r="Q453" s="359"/>
      <c r="R453" s="360"/>
      <c r="T453" s="372"/>
      <c r="U453" s="281"/>
      <c r="V453" s="360"/>
    </row>
    <row r="454" ht="12.75" customHeight="1">
      <c r="M454" s="359"/>
      <c r="N454" s="281"/>
      <c r="O454" s="358"/>
      <c r="Q454" s="359"/>
      <c r="R454" s="360"/>
      <c r="T454" s="372"/>
      <c r="U454" s="281"/>
      <c r="V454" s="360"/>
    </row>
    <row r="455" ht="12.75" customHeight="1">
      <c r="M455" s="359"/>
      <c r="N455" s="281"/>
      <c r="O455" s="358"/>
      <c r="Q455" s="359"/>
      <c r="R455" s="360"/>
      <c r="T455" s="372"/>
      <c r="U455" s="281"/>
      <c r="V455" s="360"/>
    </row>
    <row r="456" ht="12.75" customHeight="1">
      <c r="M456" s="359"/>
      <c r="N456" s="281"/>
      <c r="O456" s="358"/>
      <c r="Q456" s="359"/>
      <c r="R456" s="360"/>
      <c r="T456" s="372"/>
      <c r="U456" s="281"/>
      <c r="V456" s="360"/>
    </row>
    <row r="457" ht="12.75" customHeight="1">
      <c r="M457" s="359"/>
      <c r="N457" s="281"/>
      <c r="O457" s="358"/>
      <c r="Q457" s="359"/>
      <c r="R457" s="360"/>
      <c r="T457" s="372"/>
      <c r="U457" s="281"/>
      <c r="V457" s="360"/>
    </row>
    <row r="458" ht="12.75" customHeight="1">
      <c r="M458" s="359"/>
      <c r="N458" s="281"/>
      <c r="O458" s="358"/>
      <c r="Q458" s="359"/>
      <c r="R458" s="360"/>
      <c r="T458" s="372"/>
      <c r="U458" s="281"/>
      <c r="V458" s="360"/>
    </row>
    <row r="459" ht="12.75" customHeight="1">
      <c r="M459" s="359"/>
      <c r="N459" s="281"/>
      <c r="O459" s="358"/>
      <c r="Q459" s="359"/>
      <c r="R459" s="360"/>
      <c r="T459" s="372"/>
      <c r="U459" s="281"/>
      <c r="V459" s="360"/>
    </row>
    <row r="460" ht="12.75" customHeight="1">
      <c r="M460" s="359"/>
      <c r="N460" s="281"/>
      <c r="O460" s="358"/>
      <c r="Q460" s="359"/>
      <c r="R460" s="360"/>
      <c r="T460" s="372"/>
      <c r="U460" s="281"/>
      <c r="V460" s="360"/>
    </row>
    <row r="461" ht="12.75" customHeight="1">
      <c r="M461" s="359"/>
      <c r="N461" s="281"/>
      <c r="O461" s="358"/>
      <c r="Q461" s="359"/>
      <c r="R461" s="360"/>
      <c r="T461" s="372"/>
      <c r="U461" s="281"/>
      <c r="V461" s="360"/>
    </row>
    <row r="462" ht="12.75" customHeight="1">
      <c r="M462" s="359"/>
      <c r="N462" s="281"/>
      <c r="O462" s="358"/>
      <c r="Q462" s="359"/>
      <c r="R462" s="360"/>
      <c r="T462" s="372"/>
      <c r="U462" s="281"/>
      <c r="V462" s="360"/>
    </row>
    <row r="463" ht="12.75" customHeight="1">
      <c r="M463" s="359"/>
      <c r="N463" s="281"/>
      <c r="O463" s="358"/>
      <c r="Q463" s="359"/>
      <c r="R463" s="360"/>
      <c r="T463" s="372"/>
      <c r="U463" s="281"/>
      <c r="V463" s="360"/>
    </row>
    <row r="464" ht="12.75" customHeight="1">
      <c r="M464" s="359"/>
      <c r="N464" s="281"/>
      <c r="O464" s="358"/>
      <c r="Q464" s="359"/>
      <c r="R464" s="360"/>
      <c r="T464" s="372"/>
      <c r="U464" s="281"/>
      <c r="V464" s="360"/>
    </row>
    <row r="465" ht="12.75" customHeight="1">
      <c r="M465" s="359"/>
      <c r="N465" s="281"/>
      <c r="O465" s="358"/>
      <c r="Q465" s="359"/>
      <c r="R465" s="360"/>
      <c r="T465" s="372"/>
      <c r="U465" s="281"/>
      <c r="V465" s="360"/>
    </row>
    <row r="466" ht="12.75" customHeight="1">
      <c r="M466" s="359"/>
      <c r="N466" s="281"/>
      <c r="O466" s="358"/>
      <c r="Q466" s="359"/>
      <c r="R466" s="360"/>
      <c r="T466" s="372"/>
      <c r="U466" s="281"/>
      <c r="V466" s="360"/>
    </row>
    <row r="467" ht="12.75" customHeight="1">
      <c r="M467" s="359"/>
      <c r="N467" s="281"/>
      <c r="O467" s="358"/>
      <c r="Q467" s="359"/>
      <c r="R467" s="360"/>
      <c r="T467" s="372"/>
      <c r="U467" s="281"/>
      <c r="V467" s="360"/>
    </row>
    <row r="468" ht="12.75" customHeight="1">
      <c r="M468" s="359"/>
      <c r="N468" s="281"/>
      <c r="O468" s="358"/>
      <c r="Q468" s="359"/>
      <c r="R468" s="360"/>
      <c r="T468" s="372"/>
      <c r="U468" s="281"/>
      <c r="V468" s="360"/>
    </row>
    <row r="469" ht="12.75" customHeight="1">
      <c r="M469" s="359"/>
      <c r="N469" s="281"/>
      <c r="O469" s="358"/>
      <c r="Q469" s="359"/>
      <c r="R469" s="360"/>
      <c r="T469" s="372"/>
      <c r="U469" s="281"/>
      <c r="V469" s="360"/>
    </row>
    <row r="470" ht="12.75" customHeight="1">
      <c r="M470" s="359"/>
      <c r="N470" s="281"/>
      <c r="O470" s="358"/>
      <c r="Q470" s="359"/>
      <c r="R470" s="360"/>
      <c r="T470" s="372"/>
      <c r="U470" s="281"/>
      <c r="V470" s="360"/>
    </row>
    <row r="471" ht="12.75" customHeight="1">
      <c r="M471" s="359"/>
      <c r="N471" s="281"/>
      <c r="O471" s="358"/>
      <c r="Q471" s="359"/>
      <c r="R471" s="360"/>
      <c r="T471" s="372"/>
      <c r="U471" s="281"/>
      <c r="V471" s="360"/>
    </row>
    <row r="472" ht="12.75" customHeight="1">
      <c r="M472" s="359"/>
      <c r="N472" s="281"/>
      <c r="O472" s="358"/>
      <c r="Q472" s="359"/>
      <c r="R472" s="360"/>
      <c r="T472" s="372"/>
      <c r="U472" s="281"/>
      <c r="V472" s="360"/>
    </row>
    <row r="473" ht="12.75" customHeight="1">
      <c r="M473" s="359"/>
      <c r="N473" s="281"/>
      <c r="O473" s="358"/>
      <c r="Q473" s="359"/>
      <c r="R473" s="360"/>
      <c r="T473" s="372"/>
      <c r="U473" s="281"/>
      <c r="V473" s="360"/>
    </row>
    <row r="474" ht="12.75" customHeight="1">
      <c r="M474" s="359"/>
      <c r="N474" s="281"/>
      <c r="O474" s="358"/>
      <c r="Q474" s="359"/>
      <c r="R474" s="360"/>
      <c r="T474" s="372"/>
      <c r="U474" s="281"/>
      <c r="V474" s="360"/>
    </row>
    <row r="475" ht="12.75" customHeight="1">
      <c r="M475" s="359"/>
      <c r="N475" s="281"/>
      <c r="O475" s="358"/>
      <c r="Q475" s="359"/>
      <c r="R475" s="360"/>
      <c r="T475" s="372"/>
      <c r="U475" s="281"/>
      <c r="V475" s="360"/>
    </row>
    <row r="476" ht="12.75" customHeight="1">
      <c r="M476" s="359"/>
      <c r="N476" s="281"/>
      <c r="O476" s="358"/>
      <c r="Q476" s="359"/>
      <c r="R476" s="360"/>
      <c r="T476" s="372"/>
      <c r="U476" s="281"/>
      <c r="V476" s="360"/>
    </row>
    <row r="477" ht="12.75" customHeight="1">
      <c r="M477" s="359"/>
      <c r="N477" s="281"/>
      <c r="O477" s="358"/>
      <c r="Q477" s="359"/>
      <c r="R477" s="360"/>
      <c r="T477" s="372"/>
      <c r="U477" s="281"/>
      <c r="V477" s="360"/>
    </row>
    <row r="478" ht="12.75" customHeight="1">
      <c r="M478" s="359"/>
      <c r="N478" s="281"/>
      <c r="O478" s="358"/>
      <c r="Q478" s="359"/>
      <c r="R478" s="360"/>
      <c r="T478" s="372"/>
      <c r="U478" s="281"/>
      <c r="V478" s="360"/>
    </row>
    <row r="479" ht="12.75" customHeight="1">
      <c r="M479" s="359"/>
      <c r="N479" s="281"/>
      <c r="O479" s="358"/>
      <c r="Q479" s="359"/>
      <c r="R479" s="360"/>
      <c r="T479" s="372"/>
      <c r="U479" s="281"/>
      <c r="V479" s="360"/>
    </row>
    <row r="480" ht="12.75" customHeight="1">
      <c r="M480" s="359"/>
      <c r="N480" s="281"/>
      <c r="O480" s="358"/>
      <c r="Q480" s="359"/>
      <c r="R480" s="360"/>
      <c r="T480" s="372"/>
      <c r="U480" s="281"/>
      <c r="V480" s="360"/>
    </row>
    <row r="481" ht="12.75" customHeight="1">
      <c r="M481" s="359"/>
      <c r="N481" s="281"/>
      <c r="O481" s="358"/>
      <c r="Q481" s="359"/>
      <c r="R481" s="360"/>
      <c r="T481" s="372"/>
      <c r="U481" s="281"/>
      <c r="V481" s="360"/>
    </row>
    <row r="482" ht="12.75" customHeight="1">
      <c r="M482" s="359"/>
      <c r="N482" s="281"/>
      <c r="O482" s="358"/>
      <c r="Q482" s="359"/>
      <c r="R482" s="360"/>
      <c r="T482" s="372"/>
      <c r="U482" s="281"/>
      <c r="V482" s="360"/>
    </row>
    <row r="483" ht="12.75" customHeight="1">
      <c r="M483" s="359"/>
      <c r="N483" s="281"/>
      <c r="O483" s="358"/>
      <c r="Q483" s="359"/>
      <c r="R483" s="360"/>
      <c r="T483" s="372"/>
      <c r="U483" s="281"/>
      <c r="V483" s="360"/>
    </row>
    <row r="484" ht="12.75" customHeight="1">
      <c r="M484" s="359"/>
      <c r="N484" s="281"/>
      <c r="O484" s="358"/>
      <c r="Q484" s="359"/>
      <c r="R484" s="360"/>
      <c r="T484" s="372"/>
      <c r="U484" s="281"/>
      <c r="V484" s="360"/>
    </row>
    <row r="485" ht="12.75" customHeight="1">
      <c r="M485" s="359"/>
      <c r="N485" s="281"/>
      <c r="O485" s="358"/>
      <c r="Q485" s="359"/>
      <c r="R485" s="360"/>
      <c r="T485" s="372"/>
      <c r="U485" s="281"/>
      <c r="V485" s="360"/>
    </row>
    <row r="486" ht="12.75" customHeight="1">
      <c r="M486" s="359"/>
      <c r="N486" s="281"/>
      <c r="O486" s="358"/>
      <c r="Q486" s="359"/>
      <c r="R486" s="360"/>
      <c r="T486" s="372"/>
      <c r="U486" s="281"/>
      <c r="V486" s="360"/>
    </row>
    <row r="487" ht="12.75" customHeight="1">
      <c r="M487" s="359"/>
      <c r="N487" s="281"/>
      <c r="O487" s="358"/>
      <c r="Q487" s="359"/>
      <c r="R487" s="360"/>
      <c r="T487" s="372"/>
      <c r="U487" s="281"/>
      <c r="V487" s="360"/>
    </row>
    <row r="488" ht="12.75" customHeight="1">
      <c r="M488" s="359"/>
      <c r="N488" s="281"/>
      <c r="O488" s="358"/>
      <c r="Q488" s="359"/>
      <c r="R488" s="360"/>
      <c r="T488" s="372"/>
      <c r="U488" s="281"/>
      <c r="V488" s="360"/>
    </row>
    <row r="489" ht="12.75" customHeight="1">
      <c r="M489" s="359"/>
      <c r="N489" s="281"/>
      <c r="O489" s="358"/>
      <c r="Q489" s="359"/>
      <c r="R489" s="360"/>
      <c r="T489" s="372"/>
      <c r="U489" s="281"/>
      <c r="V489" s="360"/>
    </row>
    <row r="490" ht="12.75" customHeight="1">
      <c r="M490" s="359"/>
      <c r="N490" s="281"/>
      <c r="O490" s="358"/>
      <c r="Q490" s="359"/>
      <c r="R490" s="360"/>
      <c r="T490" s="372"/>
      <c r="U490" s="281"/>
      <c r="V490" s="360"/>
    </row>
    <row r="491" ht="12.75" customHeight="1">
      <c r="M491" s="359"/>
      <c r="N491" s="281"/>
      <c r="O491" s="358"/>
      <c r="Q491" s="359"/>
      <c r="R491" s="360"/>
      <c r="T491" s="372"/>
      <c r="U491" s="281"/>
      <c r="V491" s="360"/>
    </row>
    <row r="492" ht="12.75" customHeight="1">
      <c r="M492" s="359"/>
      <c r="N492" s="281"/>
      <c r="O492" s="358"/>
      <c r="Q492" s="359"/>
      <c r="R492" s="360"/>
      <c r="T492" s="372"/>
      <c r="U492" s="281"/>
      <c r="V492" s="360"/>
    </row>
    <row r="493" ht="12.75" customHeight="1">
      <c r="M493" s="359"/>
      <c r="N493" s="281"/>
      <c r="O493" s="358"/>
      <c r="Q493" s="359"/>
      <c r="R493" s="360"/>
      <c r="T493" s="372"/>
      <c r="U493" s="281"/>
      <c r="V493" s="360"/>
    </row>
    <row r="494" ht="12.75" customHeight="1">
      <c r="M494" s="359"/>
      <c r="N494" s="281"/>
      <c r="O494" s="358"/>
      <c r="Q494" s="359"/>
      <c r="R494" s="360"/>
      <c r="T494" s="372"/>
      <c r="U494" s="281"/>
      <c r="V494" s="360"/>
    </row>
    <row r="495" ht="12.75" customHeight="1">
      <c r="M495" s="359"/>
      <c r="N495" s="281"/>
      <c r="O495" s="358"/>
      <c r="Q495" s="359"/>
      <c r="R495" s="360"/>
      <c r="T495" s="372"/>
      <c r="U495" s="281"/>
      <c r="V495" s="360"/>
    </row>
    <row r="496" ht="12.75" customHeight="1">
      <c r="M496" s="359"/>
      <c r="N496" s="281"/>
      <c r="O496" s="358"/>
      <c r="Q496" s="359"/>
      <c r="R496" s="360"/>
      <c r="T496" s="372"/>
      <c r="U496" s="281"/>
      <c r="V496" s="360"/>
    </row>
    <row r="497" ht="12.75" customHeight="1">
      <c r="M497" s="359"/>
      <c r="N497" s="281"/>
      <c r="O497" s="358"/>
      <c r="Q497" s="359"/>
      <c r="R497" s="360"/>
      <c r="T497" s="372"/>
      <c r="U497" s="281"/>
      <c r="V497" s="360"/>
    </row>
    <row r="498" ht="12.75" customHeight="1">
      <c r="M498" s="359"/>
      <c r="N498" s="281"/>
      <c r="O498" s="358"/>
      <c r="Q498" s="359"/>
      <c r="R498" s="360"/>
      <c r="T498" s="372"/>
      <c r="U498" s="281"/>
      <c r="V498" s="360"/>
    </row>
    <row r="499" ht="12.75" customHeight="1">
      <c r="M499" s="359"/>
      <c r="N499" s="281"/>
      <c r="O499" s="358"/>
      <c r="Q499" s="359"/>
      <c r="R499" s="360"/>
      <c r="T499" s="372"/>
      <c r="U499" s="281"/>
      <c r="V499" s="360"/>
    </row>
    <row r="500" ht="12.75" customHeight="1">
      <c r="M500" s="359"/>
      <c r="N500" s="281"/>
      <c r="O500" s="358"/>
      <c r="Q500" s="359"/>
      <c r="R500" s="360"/>
      <c r="T500" s="372"/>
      <c r="U500" s="281"/>
      <c r="V500" s="360"/>
    </row>
    <row r="501" ht="12.75" customHeight="1">
      <c r="M501" s="359"/>
      <c r="N501" s="281"/>
      <c r="O501" s="358"/>
      <c r="Q501" s="359"/>
      <c r="R501" s="360"/>
      <c r="T501" s="372"/>
      <c r="U501" s="281"/>
      <c r="V501" s="360"/>
    </row>
    <row r="502" ht="12.75" customHeight="1">
      <c r="M502" s="359"/>
      <c r="N502" s="281"/>
      <c r="O502" s="358"/>
      <c r="Q502" s="359"/>
      <c r="R502" s="360"/>
      <c r="T502" s="372"/>
      <c r="U502" s="281"/>
      <c r="V502" s="360"/>
    </row>
    <row r="503" ht="12.75" customHeight="1">
      <c r="M503" s="359"/>
      <c r="N503" s="281"/>
      <c r="O503" s="358"/>
      <c r="Q503" s="359"/>
      <c r="R503" s="360"/>
      <c r="T503" s="372"/>
      <c r="U503" s="281"/>
      <c r="V503" s="360"/>
    </row>
    <row r="504" ht="12.75" customHeight="1">
      <c r="M504" s="359"/>
      <c r="N504" s="281"/>
      <c r="O504" s="358"/>
      <c r="Q504" s="359"/>
      <c r="R504" s="360"/>
      <c r="T504" s="372"/>
      <c r="U504" s="281"/>
      <c r="V504" s="360"/>
    </row>
    <row r="505" ht="12.75" customHeight="1">
      <c r="M505" s="359"/>
      <c r="N505" s="281"/>
      <c r="O505" s="358"/>
      <c r="Q505" s="359"/>
      <c r="R505" s="360"/>
      <c r="T505" s="372"/>
      <c r="U505" s="281"/>
      <c r="V505" s="360"/>
    </row>
    <row r="506" ht="12.75" customHeight="1">
      <c r="M506" s="359"/>
      <c r="N506" s="281"/>
      <c r="O506" s="358"/>
      <c r="Q506" s="359"/>
      <c r="R506" s="360"/>
      <c r="T506" s="372"/>
      <c r="U506" s="281"/>
      <c r="V506" s="360"/>
    </row>
    <row r="507" ht="12.75" customHeight="1">
      <c r="M507" s="359"/>
      <c r="N507" s="281"/>
      <c r="O507" s="358"/>
      <c r="Q507" s="359"/>
      <c r="R507" s="360"/>
      <c r="T507" s="372"/>
      <c r="U507" s="281"/>
      <c r="V507" s="360"/>
    </row>
    <row r="508" ht="12.75" customHeight="1">
      <c r="M508" s="359"/>
      <c r="N508" s="281"/>
      <c r="O508" s="358"/>
      <c r="Q508" s="359"/>
      <c r="R508" s="360"/>
      <c r="T508" s="372"/>
      <c r="U508" s="281"/>
      <c r="V508" s="360"/>
    </row>
    <row r="509" ht="12.75" customHeight="1">
      <c r="M509" s="359"/>
      <c r="N509" s="281"/>
      <c r="O509" s="358"/>
      <c r="Q509" s="359"/>
      <c r="R509" s="360"/>
      <c r="T509" s="372"/>
      <c r="U509" s="281"/>
      <c r="V509" s="360"/>
    </row>
    <row r="510" ht="12.75" customHeight="1">
      <c r="M510" s="359"/>
      <c r="N510" s="281"/>
      <c r="O510" s="358"/>
      <c r="Q510" s="359"/>
      <c r="R510" s="360"/>
      <c r="T510" s="372"/>
      <c r="U510" s="281"/>
      <c r="V510" s="360"/>
    </row>
    <row r="511" ht="12.75" customHeight="1">
      <c r="M511" s="359"/>
      <c r="N511" s="281"/>
      <c r="O511" s="358"/>
      <c r="Q511" s="359"/>
      <c r="R511" s="360"/>
      <c r="T511" s="372"/>
      <c r="U511" s="281"/>
      <c r="V511" s="360"/>
    </row>
    <row r="512" ht="12.75" customHeight="1">
      <c r="M512" s="359"/>
      <c r="N512" s="281"/>
      <c r="O512" s="358"/>
      <c r="Q512" s="359"/>
      <c r="R512" s="360"/>
      <c r="T512" s="372"/>
      <c r="U512" s="281"/>
      <c r="V512" s="360"/>
    </row>
    <row r="513" ht="12.75" customHeight="1">
      <c r="M513" s="359"/>
      <c r="N513" s="281"/>
      <c r="O513" s="358"/>
      <c r="Q513" s="359"/>
      <c r="R513" s="360"/>
      <c r="T513" s="372"/>
      <c r="U513" s="281"/>
      <c r="V513" s="360"/>
    </row>
    <row r="514" ht="12.75" customHeight="1">
      <c r="M514" s="359"/>
      <c r="N514" s="281"/>
      <c r="O514" s="358"/>
      <c r="Q514" s="359"/>
      <c r="R514" s="360"/>
      <c r="T514" s="372"/>
      <c r="U514" s="281"/>
      <c r="V514" s="360"/>
    </row>
    <row r="515" ht="12.75" customHeight="1">
      <c r="M515" s="359"/>
      <c r="N515" s="281"/>
      <c r="O515" s="358"/>
      <c r="Q515" s="359"/>
      <c r="R515" s="360"/>
      <c r="T515" s="372"/>
      <c r="U515" s="281"/>
      <c r="V515" s="360"/>
    </row>
    <row r="516" ht="12.75" customHeight="1">
      <c r="M516" s="359"/>
      <c r="N516" s="281"/>
      <c r="O516" s="358"/>
      <c r="Q516" s="359"/>
      <c r="R516" s="360"/>
      <c r="T516" s="372"/>
      <c r="U516" s="281"/>
      <c r="V516" s="360"/>
    </row>
    <row r="517" ht="12.75" customHeight="1">
      <c r="M517" s="359"/>
      <c r="N517" s="281"/>
      <c r="O517" s="358"/>
      <c r="Q517" s="359"/>
      <c r="R517" s="360"/>
      <c r="T517" s="372"/>
      <c r="U517" s="281"/>
      <c r="V517" s="360"/>
    </row>
    <row r="518" ht="12.75" customHeight="1">
      <c r="M518" s="359"/>
      <c r="N518" s="281"/>
      <c r="O518" s="358"/>
      <c r="Q518" s="359"/>
      <c r="R518" s="360"/>
      <c r="T518" s="372"/>
      <c r="U518" s="281"/>
      <c r="V518" s="360"/>
    </row>
    <row r="519" ht="12.75" customHeight="1">
      <c r="M519" s="359"/>
      <c r="N519" s="281"/>
      <c r="O519" s="358"/>
      <c r="Q519" s="359"/>
      <c r="R519" s="360"/>
      <c r="T519" s="372"/>
      <c r="U519" s="281"/>
      <c r="V519" s="360"/>
    </row>
    <row r="520" ht="12.75" customHeight="1">
      <c r="M520" s="359"/>
      <c r="N520" s="281"/>
      <c r="O520" s="358"/>
      <c r="Q520" s="359"/>
      <c r="R520" s="360"/>
      <c r="T520" s="372"/>
      <c r="U520" s="281"/>
      <c r="V520" s="360"/>
    </row>
    <row r="521" ht="12.75" customHeight="1">
      <c r="M521" s="359"/>
      <c r="N521" s="281"/>
      <c r="O521" s="358"/>
      <c r="Q521" s="359"/>
      <c r="R521" s="360"/>
      <c r="T521" s="372"/>
      <c r="U521" s="281"/>
      <c r="V521" s="360"/>
    </row>
    <row r="522" ht="12.75" customHeight="1">
      <c r="M522" s="359"/>
      <c r="N522" s="281"/>
      <c r="O522" s="358"/>
      <c r="Q522" s="359"/>
      <c r="R522" s="360"/>
      <c r="T522" s="372"/>
      <c r="U522" s="281"/>
      <c r="V522" s="360"/>
    </row>
    <row r="523" ht="12.75" customHeight="1">
      <c r="M523" s="359"/>
      <c r="N523" s="281"/>
      <c r="O523" s="358"/>
      <c r="Q523" s="359"/>
      <c r="R523" s="360"/>
      <c r="T523" s="372"/>
      <c r="U523" s="281"/>
      <c r="V523" s="360"/>
    </row>
    <row r="524" ht="12.75" customHeight="1">
      <c r="M524" s="359"/>
      <c r="N524" s="281"/>
      <c r="O524" s="358"/>
      <c r="Q524" s="359"/>
      <c r="R524" s="360"/>
      <c r="T524" s="372"/>
      <c r="U524" s="281"/>
      <c r="V524" s="360"/>
    </row>
    <row r="525" ht="12.75" customHeight="1">
      <c r="M525" s="359"/>
      <c r="N525" s="281"/>
      <c r="O525" s="358"/>
      <c r="Q525" s="359"/>
      <c r="R525" s="360"/>
      <c r="T525" s="372"/>
      <c r="U525" s="281"/>
      <c r="V525" s="360"/>
    </row>
    <row r="526" ht="12.75" customHeight="1">
      <c r="M526" s="359"/>
      <c r="N526" s="281"/>
      <c r="O526" s="358"/>
      <c r="Q526" s="359"/>
      <c r="R526" s="360"/>
      <c r="T526" s="372"/>
      <c r="U526" s="281"/>
      <c r="V526" s="360"/>
    </row>
    <row r="527" ht="12.75" customHeight="1">
      <c r="M527" s="359"/>
      <c r="N527" s="281"/>
      <c r="O527" s="358"/>
      <c r="Q527" s="359"/>
      <c r="R527" s="360"/>
      <c r="T527" s="372"/>
      <c r="U527" s="281"/>
      <c r="V527" s="360"/>
    </row>
    <row r="528" ht="12.75" customHeight="1">
      <c r="M528" s="359"/>
      <c r="N528" s="281"/>
      <c r="O528" s="358"/>
      <c r="Q528" s="359"/>
      <c r="R528" s="360"/>
      <c r="T528" s="372"/>
      <c r="U528" s="281"/>
      <c r="V528" s="360"/>
    </row>
    <row r="529" ht="12.75" customHeight="1">
      <c r="M529" s="359"/>
      <c r="N529" s="281"/>
      <c r="O529" s="358"/>
      <c r="Q529" s="359"/>
      <c r="R529" s="360"/>
      <c r="T529" s="372"/>
      <c r="U529" s="281"/>
      <c r="V529" s="360"/>
    </row>
    <row r="530" ht="12.75" customHeight="1">
      <c r="M530" s="359"/>
      <c r="N530" s="281"/>
      <c r="O530" s="358"/>
      <c r="Q530" s="359"/>
      <c r="R530" s="360"/>
      <c r="T530" s="372"/>
      <c r="U530" s="281"/>
      <c r="V530" s="360"/>
    </row>
    <row r="531" ht="12.75" customHeight="1">
      <c r="M531" s="359"/>
      <c r="N531" s="281"/>
      <c r="O531" s="358"/>
      <c r="Q531" s="359"/>
      <c r="R531" s="360"/>
      <c r="T531" s="372"/>
      <c r="U531" s="281"/>
      <c r="V531" s="360"/>
    </row>
    <row r="532" ht="12.75" customHeight="1">
      <c r="M532" s="359"/>
      <c r="N532" s="281"/>
      <c r="O532" s="358"/>
      <c r="Q532" s="359"/>
      <c r="R532" s="360"/>
      <c r="T532" s="372"/>
      <c r="U532" s="281"/>
      <c r="V532" s="360"/>
    </row>
    <row r="533" ht="12.75" customHeight="1">
      <c r="M533" s="359"/>
      <c r="N533" s="281"/>
      <c r="O533" s="358"/>
      <c r="Q533" s="359"/>
      <c r="R533" s="360"/>
      <c r="T533" s="372"/>
      <c r="U533" s="281"/>
      <c r="V533" s="360"/>
    </row>
    <row r="534" ht="12.75" customHeight="1">
      <c r="M534" s="359"/>
      <c r="N534" s="281"/>
      <c r="O534" s="358"/>
      <c r="Q534" s="359"/>
      <c r="R534" s="360"/>
      <c r="T534" s="372"/>
      <c r="U534" s="281"/>
      <c r="V534" s="360"/>
    </row>
    <row r="535" ht="12.75" customHeight="1">
      <c r="M535" s="359"/>
      <c r="N535" s="281"/>
      <c r="O535" s="358"/>
      <c r="Q535" s="359"/>
      <c r="R535" s="360"/>
      <c r="T535" s="372"/>
      <c r="U535" s="281"/>
      <c r="V535" s="360"/>
    </row>
    <row r="536" ht="12.75" customHeight="1">
      <c r="M536" s="359"/>
      <c r="N536" s="281"/>
      <c r="O536" s="358"/>
      <c r="Q536" s="359"/>
      <c r="R536" s="360"/>
      <c r="T536" s="372"/>
      <c r="U536" s="281"/>
      <c r="V536" s="360"/>
    </row>
    <row r="537" ht="12.75" customHeight="1">
      <c r="M537" s="359"/>
      <c r="N537" s="281"/>
      <c r="O537" s="358"/>
      <c r="Q537" s="359"/>
      <c r="R537" s="360"/>
      <c r="T537" s="372"/>
      <c r="U537" s="281"/>
      <c r="V537" s="360"/>
    </row>
    <row r="538" ht="12.75" customHeight="1">
      <c r="M538" s="359"/>
      <c r="N538" s="281"/>
      <c r="O538" s="358"/>
      <c r="Q538" s="359"/>
      <c r="R538" s="360"/>
      <c r="T538" s="372"/>
      <c r="U538" s="281"/>
      <c r="V538" s="360"/>
    </row>
    <row r="539" ht="12.75" customHeight="1">
      <c r="M539" s="359"/>
      <c r="N539" s="281"/>
      <c r="O539" s="358"/>
      <c r="Q539" s="359"/>
      <c r="R539" s="360"/>
      <c r="T539" s="372"/>
      <c r="U539" s="281"/>
      <c r="V539" s="360"/>
    </row>
    <row r="540" ht="12.75" customHeight="1">
      <c r="M540" s="359"/>
      <c r="N540" s="281"/>
      <c r="O540" s="358"/>
      <c r="Q540" s="359"/>
      <c r="R540" s="360"/>
      <c r="T540" s="372"/>
      <c r="U540" s="281"/>
      <c r="V540" s="360"/>
    </row>
    <row r="541" ht="12.75" customHeight="1">
      <c r="M541" s="359"/>
      <c r="N541" s="281"/>
      <c r="O541" s="358"/>
      <c r="Q541" s="359"/>
      <c r="R541" s="360"/>
      <c r="T541" s="372"/>
      <c r="U541" s="281"/>
      <c r="V541" s="360"/>
    </row>
    <row r="542" ht="12.75" customHeight="1">
      <c r="M542" s="359"/>
      <c r="N542" s="281"/>
      <c r="O542" s="358"/>
      <c r="Q542" s="359"/>
      <c r="R542" s="360"/>
      <c r="T542" s="372"/>
      <c r="U542" s="281"/>
      <c r="V542" s="360"/>
    </row>
    <row r="543" ht="12.75" customHeight="1">
      <c r="M543" s="359"/>
      <c r="N543" s="281"/>
      <c r="O543" s="358"/>
      <c r="Q543" s="359"/>
      <c r="R543" s="360"/>
      <c r="T543" s="372"/>
      <c r="U543" s="281"/>
      <c r="V543" s="360"/>
    </row>
    <row r="544" ht="12.75" customHeight="1">
      <c r="M544" s="359"/>
      <c r="N544" s="281"/>
      <c r="O544" s="358"/>
      <c r="Q544" s="359"/>
      <c r="R544" s="360"/>
      <c r="T544" s="372"/>
      <c r="U544" s="281"/>
      <c r="V544" s="360"/>
    </row>
    <row r="545" ht="12.75" customHeight="1">
      <c r="M545" s="359"/>
      <c r="N545" s="281"/>
      <c r="O545" s="358"/>
      <c r="Q545" s="359"/>
      <c r="R545" s="360"/>
      <c r="T545" s="372"/>
      <c r="U545" s="281"/>
      <c r="V545" s="360"/>
    </row>
    <row r="546" ht="12.75" customHeight="1">
      <c r="M546" s="359"/>
      <c r="N546" s="281"/>
      <c r="O546" s="358"/>
      <c r="Q546" s="359"/>
      <c r="R546" s="360"/>
      <c r="T546" s="372"/>
      <c r="U546" s="281"/>
      <c r="V546" s="360"/>
    </row>
    <row r="547" ht="12.75" customHeight="1">
      <c r="M547" s="359"/>
      <c r="N547" s="281"/>
      <c r="O547" s="358"/>
      <c r="Q547" s="359"/>
      <c r="R547" s="360"/>
      <c r="T547" s="372"/>
      <c r="U547" s="281"/>
      <c r="V547" s="360"/>
    </row>
    <row r="548" ht="12.75" customHeight="1">
      <c r="M548" s="359"/>
      <c r="N548" s="281"/>
      <c r="O548" s="358"/>
      <c r="Q548" s="359"/>
      <c r="R548" s="360"/>
      <c r="T548" s="372"/>
      <c r="U548" s="281"/>
      <c r="V548" s="360"/>
    </row>
    <row r="549" ht="12.75" customHeight="1">
      <c r="M549" s="359"/>
      <c r="N549" s="281"/>
      <c r="O549" s="358"/>
      <c r="Q549" s="359"/>
      <c r="R549" s="360"/>
      <c r="T549" s="372"/>
      <c r="U549" s="281"/>
      <c r="V549" s="360"/>
    </row>
    <row r="550" ht="12.75" customHeight="1">
      <c r="M550" s="359"/>
      <c r="N550" s="281"/>
      <c r="O550" s="358"/>
      <c r="Q550" s="359"/>
      <c r="R550" s="360"/>
      <c r="T550" s="372"/>
      <c r="U550" s="281"/>
      <c r="V550" s="360"/>
    </row>
    <row r="551" ht="12.75" customHeight="1">
      <c r="M551" s="359"/>
      <c r="N551" s="281"/>
      <c r="O551" s="358"/>
      <c r="Q551" s="359"/>
      <c r="R551" s="360"/>
      <c r="T551" s="372"/>
      <c r="U551" s="281"/>
      <c r="V551" s="360"/>
    </row>
    <row r="552" ht="12.75" customHeight="1">
      <c r="M552" s="359"/>
      <c r="N552" s="281"/>
      <c r="O552" s="358"/>
      <c r="Q552" s="359"/>
      <c r="R552" s="360"/>
      <c r="T552" s="372"/>
      <c r="U552" s="281"/>
      <c r="V552" s="360"/>
    </row>
    <row r="553" ht="12.75" customHeight="1">
      <c r="M553" s="359"/>
      <c r="N553" s="281"/>
      <c r="O553" s="358"/>
      <c r="Q553" s="359"/>
      <c r="R553" s="360"/>
      <c r="T553" s="372"/>
      <c r="U553" s="281"/>
      <c r="V553" s="360"/>
    </row>
    <row r="554" ht="12.75" customHeight="1">
      <c r="M554" s="359"/>
      <c r="N554" s="281"/>
      <c r="O554" s="358"/>
      <c r="Q554" s="359"/>
      <c r="R554" s="360"/>
      <c r="T554" s="372"/>
      <c r="U554" s="281"/>
      <c r="V554" s="360"/>
    </row>
    <row r="555" ht="12.75" customHeight="1">
      <c r="M555" s="359"/>
      <c r="N555" s="281"/>
      <c r="O555" s="358"/>
      <c r="Q555" s="359"/>
      <c r="R555" s="360"/>
      <c r="T555" s="372"/>
      <c r="U555" s="281"/>
      <c r="V555" s="360"/>
    </row>
    <row r="556" ht="12.75" customHeight="1">
      <c r="M556" s="359"/>
      <c r="N556" s="281"/>
      <c r="O556" s="358"/>
      <c r="Q556" s="359"/>
      <c r="R556" s="360"/>
      <c r="T556" s="372"/>
      <c r="U556" s="281"/>
      <c r="V556" s="360"/>
    </row>
    <row r="557" ht="12.75" customHeight="1">
      <c r="M557" s="359"/>
      <c r="N557" s="281"/>
      <c r="O557" s="358"/>
      <c r="Q557" s="359"/>
      <c r="R557" s="360"/>
      <c r="T557" s="372"/>
      <c r="U557" s="281"/>
      <c r="V557" s="360"/>
    </row>
    <row r="558" ht="12.75" customHeight="1">
      <c r="M558" s="359"/>
      <c r="N558" s="281"/>
      <c r="O558" s="358"/>
      <c r="Q558" s="359"/>
      <c r="R558" s="360"/>
      <c r="T558" s="372"/>
      <c r="U558" s="281"/>
      <c r="V558" s="360"/>
    </row>
    <row r="559" ht="12.75" customHeight="1">
      <c r="M559" s="359"/>
      <c r="N559" s="281"/>
      <c r="O559" s="358"/>
      <c r="Q559" s="359"/>
      <c r="R559" s="360"/>
      <c r="T559" s="372"/>
      <c r="U559" s="281"/>
      <c r="V559" s="360"/>
    </row>
    <row r="560" ht="12.75" customHeight="1">
      <c r="M560" s="359"/>
      <c r="N560" s="281"/>
      <c r="O560" s="358"/>
      <c r="Q560" s="359"/>
      <c r="R560" s="360"/>
      <c r="T560" s="372"/>
      <c r="U560" s="281"/>
      <c r="V560" s="360"/>
    </row>
    <row r="561" ht="12.75" customHeight="1">
      <c r="M561" s="359"/>
      <c r="N561" s="281"/>
      <c r="O561" s="358"/>
      <c r="Q561" s="359"/>
      <c r="R561" s="360"/>
      <c r="T561" s="372"/>
      <c r="U561" s="281"/>
      <c r="V561" s="360"/>
    </row>
    <row r="562" ht="12.75" customHeight="1">
      <c r="M562" s="359"/>
      <c r="N562" s="281"/>
      <c r="O562" s="358"/>
      <c r="Q562" s="359"/>
      <c r="R562" s="360"/>
      <c r="T562" s="372"/>
      <c r="U562" s="281"/>
      <c r="V562" s="360"/>
    </row>
    <row r="563" ht="12.75" customHeight="1">
      <c r="M563" s="359"/>
      <c r="N563" s="281"/>
      <c r="O563" s="358"/>
      <c r="Q563" s="359"/>
      <c r="R563" s="360"/>
      <c r="T563" s="372"/>
      <c r="U563" s="281"/>
      <c r="V563" s="360"/>
    </row>
    <row r="564" ht="12.75" customHeight="1">
      <c r="M564" s="359"/>
      <c r="N564" s="281"/>
      <c r="O564" s="358"/>
      <c r="Q564" s="359"/>
      <c r="R564" s="360"/>
      <c r="T564" s="372"/>
      <c r="U564" s="281"/>
      <c r="V564" s="360"/>
    </row>
    <row r="565" ht="12.75" customHeight="1">
      <c r="M565" s="359"/>
      <c r="N565" s="281"/>
      <c r="O565" s="358"/>
      <c r="Q565" s="359"/>
      <c r="R565" s="360"/>
      <c r="T565" s="372"/>
      <c r="U565" s="281"/>
      <c r="V565" s="360"/>
    </row>
    <row r="566" ht="12.75" customHeight="1">
      <c r="M566" s="359"/>
      <c r="N566" s="281"/>
      <c r="O566" s="358"/>
      <c r="Q566" s="359"/>
      <c r="R566" s="360"/>
      <c r="T566" s="372"/>
      <c r="U566" s="281"/>
      <c r="V566" s="360"/>
    </row>
    <row r="567" ht="12.75" customHeight="1">
      <c r="M567" s="359"/>
      <c r="N567" s="281"/>
      <c r="O567" s="358"/>
      <c r="Q567" s="359"/>
      <c r="R567" s="360"/>
      <c r="T567" s="372"/>
      <c r="U567" s="281"/>
      <c r="V567" s="360"/>
    </row>
    <row r="568" ht="12.75" customHeight="1">
      <c r="M568" s="359"/>
      <c r="N568" s="281"/>
      <c r="O568" s="358"/>
      <c r="Q568" s="359"/>
      <c r="R568" s="360"/>
      <c r="T568" s="372"/>
      <c r="U568" s="281"/>
      <c r="V568" s="360"/>
    </row>
    <row r="569" ht="12.75" customHeight="1">
      <c r="M569" s="359"/>
      <c r="N569" s="281"/>
      <c r="O569" s="358"/>
      <c r="Q569" s="359"/>
      <c r="R569" s="360"/>
      <c r="T569" s="372"/>
      <c r="U569" s="281"/>
      <c r="V569" s="360"/>
    </row>
    <row r="570" ht="12.75" customHeight="1">
      <c r="M570" s="359"/>
      <c r="N570" s="281"/>
      <c r="O570" s="358"/>
      <c r="Q570" s="359"/>
      <c r="R570" s="360"/>
      <c r="T570" s="372"/>
      <c r="U570" s="281"/>
      <c r="V570" s="360"/>
    </row>
    <row r="571" ht="12.75" customHeight="1">
      <c r="M571" s="359"/>
      <c r="N571" s="281"/>
      <c r="O571" s="358"/>
      <c r="Q571" s="359"/>
      <c r="R571" s="360"/>
      <c r="T571" s="372"/>
      <c r="U571" s="281"/>
      <c r="V571" s="360"/>
    </row>
    <row r="572" ht="12.75" customHeight="1">
      <c r="M572" s="359"/>
      <c r="N572" s="281"/>
      <c r="O572" s="358"/>
      <c r="Q572" s="359"/>
      <c r="R572" s="360"/>
      <c r="T572" s="372"/>
      <c r="U572" s="281"/>
      <c r="V572" s="360"/>
    </row>
    <row r="573" ht="12.75" customHeight="1">
      <c r="M573" s="359"/>
      <c r="N573" s="281"/>
      <c r="O573" s="358"/>
      <c r="Q573" s="359"/>
      <c r="R573" s="360"/>
      <c r="T573" s="372"/>
      <c r="U573" s="281"/>
      <c r="V573" s="360"/>
    </row>
    <row r="574" ht="12.75" customHeight="1">
      <c r="M574" s="359"/>
      <c r="N574" s="281"/>
      <c r="O574" s="358"/>
      <c r="Q574" s="359"/>
      <c r="R574" s="360"/>
      <c r="T574" s="372"/>
      <c r="U574" s="281"/>
      <c r="V574" s="360"/>
    </row>
    <row r="575" ht="12.75" customHeight="1">
      <c r="M575" s="359"/>
      <c r="N575" s="281"/>
      <c r="O575" s="358"/>
      <c r="Q575" s="359"/>
      <c r="R575" s="360"/>
      <c r="T575" s="372"/>
      <c r="U575" s="281"/>
      <c r="V575" s="360"/>
    </row>
    <row r="576" ht="12.75" customHeight="1">
      <c r="M576" s="359"/>
      <c r="N576" s="281"/>
      <c r="O576" s="358"/>
      <c r="Q576" s="359"/>
      <c r="R576" s="360"/>
      <c r="T576" s="372"/>
      <c r="U576" s="281"/>
      <c r="V576" s="360"/>
    </row>
    <row r="577" ht="12.75" customHeight="1">
      <c r="M577" s="359"/>
      <c r="N577" s="281"/>
      <c r="O577" s="358"/>
      <c r="Q577" s="359"/>
      <c r="R577" s="360"/>
      <c r="T577" s="372"/>
      <c r="U577" s="281"/>
      <c r="V577" s="360"/>
    </row>
    <row r="578" ht="12.75" customHeight="1">
      <c r="M578" s="359"/>
      <c r="N578" s="281"/>
      <c r="O578" s="358"/>
      <c r="Q578" s="359"/>
      <c r="R578" s="360"/>
      <c r="T578" s="372"/>
      <c r="U578" s="281"/>
      <c r="V578" s="360"/>
    </row>
    <row r="579" ht="12.75" customHeight="1">
      <c r="M579" s="359"/>
      <c r="N579" s="281"/>
      <c r="O579" s="358"/>
      <c r="Q579" s="359"/>
      <c r="R579" s="360"/>
      <c r="T579" s="372"/>
      <c r="U579" s="281"/>
      <c r="V579" s="360"/>
    </row>
    <row r="580" ht="12.75" customHeight="1">
      <c r="M580" s="359"/>
      <c r="N580" s="281"/>
      <c r="O580" s="358"/>
      <c r="Q580" s="359"/>
      <c r="R580" s="360"/>
      <c r="T580" s="372"/>
      <c r="U580" s="281"/>
      <c r="V580" s="360"/>
    </row>
    <row r="581" ht="12.75" customHeight="1">
      <c r="M581" s="359"/>
      <c r="N581" s="281"/>
      <c r="O581" s="358"/>
      <c r="Q581" s="359"/>
      <c r="R581" s="360"/>
      <c r="T581" s="372"/>
      <c r="U581" s="281"/>
      <c r="V581" s="360"/>
    </row>
    <row r="582" ht="12.75" customHeight="1">
      <c r="M582" s="359"/>
      <c r="N582" s="281"/>
      <c r="O582" s="358"/>
      <c r="Q582" s="359"/>
      <c r="R582" s="360"/>
      <c r="T582" s="372"/>
      <c r="U582" s="281"/>
      <c r="V582" s="360"/>
    </row>
    <row r="583" ht="12.75" customHeight="1">
      <c r="M583" s="359"/>
      <c r="N583" s="281"/>
      <c r="O583" s="358"/>
      <c r="Q583" s="359"/>
      <c r="R583" s="360"/>
      <c r="T583" s="372"/>
      <c r="U583" s="281"/>
      <c r="V583" s="360"/>
    </row>
    <row r="584" ht="12.75" customHeight="1">
      <c r="M584" s="359"/>
      <c r="N584" s="281"/>
      <c r="O584" s="358"/>
      <c r="Q584" s="359"/>
      <c r="R584" s="360"/>
      <c r="T584" s="372"/>
      <c r="U584" s="281"/>
      <c r="V584" s="360"/>
    </row>
    <row r="585" ht="12.75" customHeight="1">
      <c r="M585" s="359"/>
      <c r="N585" s="281"/>
      <c r="O585" s="358"/>
      <c r="Q585" s="359"/>
      <c r="R585" s="360"/>
      <c r="T585" s="372"/>
      <c r="U585" s="281"/>
      <c r="V585" s="360"/>
    </row>
    <row r="586" ht="12.75" customHeight="1">
      <c r="M586" s="359"/>
      <c r="N586" s="281"/>
      <c r="O586" s="358"/>
      <c r="Q586" s="359"/>
      <c r="R586" s="360"/>
      <c r="T586" s="372"/>
      <c r="U586" s="281"/>
      <c r="V586" s="360"/>
    </row>
    <row r="587" ht="12.75" customHeight="1">
      <c r="M587" s="359"/>
      <c r="N587" s="281"/>
      <c r="O587" s="358"/>
      <c r="Q587" s="359"/>
      <c r="R587" s="360"/>
      <c r="T587" s="372"/>
      <c r="U587" s="281"/>
      <c r="V587" s="360"/>
    </row>
    <row r="588" ht="12.75" customHeight="1">
      <c r="M588" s="359"/>
      <c r="N588" s="281"/>
      <c r="O588" s="358"/>
      <c r="Q588" s="359"/>
      <c r="R588" s="360"/>
      <c r="T588" s="372"/>
      <c r="U588" s="281"/>
      <c r="V588" s="360"/>
    </row>
    <row r="589" ht="12.75" customHeight="1">
      <c r="M589" s="359"/>
      <c r="N589" s="281"/>
      <c r="O589" s="358"/>
      <c r="Q589" s="359"/>
      <c r="R589" s="360"/>
      <c r="T589" s="372"/>
      <c r="U589" s="281"/>
      <c r="V589" s="360"/>
    </row>
    <row r="590" ht="12.75" customHeight="1">
      <c r="M590" s="359"/>
      <c r="N590" s="281"/>
      <c r="O590" s="358"/>
      <c r="Q590" s="359"/>
      <c r="R590" s="360"/>
      <c r="T590" s="372"/>
      <c r="U590" s="281"/>
      <c r="V590" s="360"/>
    </row>
    <row r="591" ht="12.75" customHeight="1">
      <c r="M591" s="359"/>
      <c r="N591" s="281"/>
      <c r="O591" s="358"/>
      <c r="Q591" s="359"/>
      <c r="R591" s="360"/>
      <c r="T591" s="372"/>
      <c r="U591" s="281"/>
      <c r="V591" s="360"/>
    </row>
    <row r="592" ht="12.75" customHeight="1">
      <c r="M592" s="359"/>
      <c r="N592" s="281"/>
      <c r="O592" s="358"/>
      <c r="Q592" s="359"/>
      <c r="R592" s="360"/>
      <c r="T592" s="372"/>
      <c r="U592" s="281"/>
      <c r="V592" s="360"/>
    </row>
    <row r="593" ht="12.75" customHeight="1">
      <c r="M593" s="359"/>
      <c r="N593" s="281"/>
      <c r="O593" s="358"/>
      <c r="Q593" s="359"/>
      <c r="R593" s="360"/>
      <c r="T593" s="372"/>
      <c r="U593" s="281"/>
      <c r="V593" s="360"/>
    </row>
    <row r="594" ht="12.75" customHeight="1">
      <c r="M594" s="359"/>
      <c r="N594" s="281"/>
      <c r="O594" s="358"/>
      <c r="Q594" s="359"/>
      <c r="R594" s="360"/>
      <c r="T594" s="372"/>
      <c r="U594" s="281"/>
      <c r="V594" s="360"/>
    </row>
    <row r="595" ht="12.75" customHeight="1">
      <c r="M595" s="359"/>
      <c r="N595" s="281"/>
      <c r="O595" s="358"/>
      <c r="Q595" s="359"/>
      <c r="R595" s="360"/>
      <c r="T595" s="372"/>
      <c r="U595" s="281"/>
      <c r="V595" s="360"/>
    </row>
    <row r="596" ht="12.75" customHeight="1">
      <c r="M596" s="359"/>
      <c r="N596" s="281"/>
      <c r="O596" s="358"/>
      <c r="Q596" s="359"/>
      <c r="R596" s="360"/>
      <c r="T596" s="372"/>
      <c r="U596" s="281"/>
      <c r="V596" s="360"/>
    </row>
    <row r="597" ht="12.75" customHeight="1">
      <c r="M597" s="359"/>
      <c r="N597" s="281"/>
      <c r="O597" s="358"/>
      <c r="Q597" s="359"/>
      <c r="R597" s="360"/>
      <c r="T597" s="372"/>
      <c r="U597" s="281"/>
      <c r="V597" s="360"/>
    </row>
    <row r="598" ht="12.75" customHeight="1">
      <c r="M598" s="359"/>
      <c r="N598" s="281"/>
      <c r="O598" s="358"/>
      <c r="Q598" s="359"/>
      <c r="R598" s="360"/>
      <c r="T598" s="372"/>
      <c r="U598" s="281"/>
      <c r="V598" s="360"/>
    </row>
    <row r="599" ht="12.75" customHeight="1">
      <c r="M599" s="359"/>
      <c r="N599" s="281"/>
      <c r="O599" s="358"/>
      <c r="Q599" s="359"/>
      <c r="R599" s="360"/>
      <c r="T599" s="372"/>
      <c r="U599" s="281"/>
      <c r="V599" s="360"/>
    </row>
    <row r="600" ht="12.75" customHeight="1">
      <c r="M600" s="359"/>
      <c r="N600" s="281"/>
      <c r="O600" s="358"/>
      <c r="Q600" s="359"/>
      <c r="R600" s="360"/>
      <c r="T600" s="372"/>
      <c r="U600" s="281"/>
      <c r="V600" s="360"/>
    </row>
    <row r="601" ht="12.75" customHeight="1">
      <c r="M601" s="359"/>
      <c r="N601" s="281"/>
      <c r="O601" s="358"/>
      <c r="Q601" s="359"/>
      <c r="R601" s="360"/>
      <c r="T601" s="372"/>
      <c r="U601" s="281"/>
      <c r="V601" s="360"/>
    </row>
    <row r="602" ht="12.75" customHeight="1">
      <c r="M602" s="359"/>
      <c r="N602" s="281"/>
      <c r="O602" s="358"/>
      <c r="Q602" s="359"/>
      <c r="R602" s="360"/>
      <c r="T602" s="372"/>
      <c r="U602" s="281"/>
      <c r="V602" s="360"/>
    </row>
    <row r="603" ht="12.75" customHeight="1">
      <c r="M603" s="359"/>
      <c r="N603" s="281"/>
      <c r="O603" s="358"/>
      <c r="Q603" s="359"/>
      <c r="R603" s="360"/>
      <c r="T603" s="372"/>
      <c r="U603" s="281"/>
      <c r="V603" s="360"/>
    </row>
    <row r="604" ht="12.75" customHeight="1">
      <c r="M604" s="359"/>
      <c r="N604" s="281"/>
      <c r="O604" s="358"/>
      <c r="Q604" s="359"/>
      <c r="R604" s="360"/>
      <c r="T604" s="372"/>
      <c r="U604" s="281"/>
      <c r="V604" s="360"/>
    </row>
    <row r="605" ht="12.75" customHeight="1">
      <c r="M605" s="359"/>
      <c r="N605" s="281"/>
      <c r="O605" s="358"/>
      <c r="Q605" s="359"/>
      <c r="R605" s="360"/>
      <c r="T605" s="372"/>
      <c r="U605" s="281"/>
      <c r="V605" s="360"/>
    </row>
    <row r="606" ht="12.75" customHeight="1">
      <c r="M606" s="359"/>
      <c r="N606" s="281"/>
      <c r="O606" s="358"/>
      <c r="Q606" s="359"/>
      <c r="R606" s="360"/>
      <c r="T606" s="372"/>
      <c r="U606" s="281"/>
      <c r="V606" s="360"/>
    </row>
    <row r="607" ht="12.75" customHeight="1">
      <c r="M607" s="359"/>
      <c r="N607" s="281"/>
      <c r="O607" s="358"/>
      <c r="Q607" s="359"/>
      <c r="R607" s="360"/>
      <c r="T607" s="372"/>
      <c r="U607" s="281"/>
      <c r="V607" s="360"/>
    </row>
    <row r="608" ht="12.75" customHeight="1">
      <c r="M608" s="359"/>
      <c r="N608" s="281"/>
      <c r="O608" s="358"/>
      <c r="Q608" s="359"/>
      <c r="R608" s="360"/>
      <c r="T608" s="372"/>
      <c r="U608" s="281"/>
      <c r="V608" s="360"/>
    </row>
    <row r="609" ht="12.75" customHeight="1">
      <c r="M609" s="359"/>
      <c r="N609" s="281"/>
      <c r="O609" s="358"/>
      <c r="Q609" s="359"/>
      <c r="R609" s="360"/>
      <c r="T609" s="372"/>
      <c r="U609" s="281"/>
      <c r="V609" s="360"/>
    </row>
    <row r="610" ht="12.75" customHeight="1">
      <c r="M610" s="359"/>
      <c r="N610" s="281"/>
      <c r="O610" s="358"/>
      <c r="Q610" s="359"/>
      <c r="R610" s="360"/>
      <c r="T610" s="372"/>
      <c r="U610" s="281"/>
      <c r="V610" s="360"/>
    </row>
    <row r="611" ht="12.75" customHeight="1">
      <c r="M611" s="359"/>
      <c r="N611" s="281"/>
      <c r="O611" s="358"/>
      <c r="Q611" s="359"/>
      <c r="R611" s="360"/>
      <c r="T611" s="372"/>
      <c r="U611" s="281"/>
      <c r="V611" s="360"/>
    </row>
    <row r="612" ht="12.75" customHeight="1">
      <c r="M612" s="359"/>
      <c r="N612" s="281"/>
      <c r="O612" s="358"/>
      <c r="Q612" s="359"/>
      <c r="R612" s="360"/>
      <c r="T612" s="372"/>
      <c r="U612" s="281"/>
      <c r="V612" s="360"/>
    </row>
    <row r="613" ht="12.75" customHeight="1">
      <c r="M613" s="359"/>
      <c r="N613" s="281"/>
      <c r="O613" s="358"/>
      <c r="Q613" s="359"/>
      <c r="R613" s="360"/>
      <c r="T613" s="372"/>
      <c r="U613" s="281"/>
      <c r="V613" s="360"/>
    </row>
    <row r="614" ht="12.75" customHeight="1">
      <c r="M614" s="359"/>
      <c r="N614" s="281"/>
      <c r="O614" s="358"/>
      <c r="Q614" s="359"/>
      <c r="R614" s="360"/>
      <c r="T614" s="372"/>
      <c r="U614" s="281"/>
      <c r="V614" s="360"/>
    </row>
    <row r="615" ht="12.75" customHeight="1">
      <c r="M615" s="359"/>
      <c r="N615" s="281"/>
      <c r="O615" s="358"/>
      <c r="Q615" s="359"/>
      <c r="R615" s="360"/>
      <c r="T615" s="372"/>
      <c r="U615" s="281"/>
      <c r="V615" s="360"/>
    </row>
    <row r="616" ht="12.75" customHeight="1">
      <c r="M616" s="359"/>
      <c r="N616" s="281"/>
      <c r="O616" s="358"/>
      <c r="Q616" s="359"/>
      <c r="R616" s="360"/>
      <c r="T616" s="372"/>
      <c r="U616" s="281"/>
      <c r="V616" s="360"/>
    </row>
    <row r="617" ht="12.75" customHeight="1">
      <c r="M617" s="359"/>
      <c r="N617" s="281"/>
      <c r="O617" s="358"/>
      <c r="Q617" s="359"/>
      <c r="R617" s="360"/>
      <c r="T617" s="372"/>
      <c r="U617" s="281"/>
      <c r="V617" s="360"/>
    </row>
    <row r="618" ht="12.75" customHeight="1">
      <c r="M618" s="359"/>
      <c r="N618" s="281"/>
      <c r="O618" s="358"/>
      <c r="Q618" s="359"/>
      <c r="R618" s="360"/>
      <c r="T618" s="372"/>
      <c r="U618" s="281"/>
      <c r="V618" s="360"/>
    </row>
    <row r="619" ht="12.75" customHeight="1">
      <c r="M619" s="359"/>
      <c r="N619" s="281"/>
      <c r="O619" s="358"/>
      <c r="Q619" s="359"/>
      <c r="R619" s="360"/>
      <c r="T619" s="372"/>
      <c r="U619" s="281"/>
      <c r="V619" s="360"/>
    </row>
    <row r="620" ht="12.75" customHeight="1">
      <c r="M620" s="359"/>
      <c r="N620" s="281"/>
      <c r="O620" s="358"/>
      <c r="Q620" s="359"/>
      <c r="R620" s="360"/>
      <c r="T620" s="372"/>
      <c r="U620" s="281"/>
      <c r="V620" s="360"/>
    </row>
    <row r="621" ht="12.75" customHeight="1">
      <c r="M621" s="359"/>
      <c r="N621" s="281"/>
      <c r="O621" s="358"/>
      <c r="Q621" s="359"/>
      <c r="R621" s="360"/>
      <c r="T621" s="372"/>
      <c r="U621" s="281"/>
      <c r="V621" s="360"/>
    </row>
    <row r="622" ht="12.75" customHeight="1">
      <c r="M622" s="359"/>
      <c r="N622" s="281"/>
      <c r="O622" s="358"/>
      <c r="Q622" s="359"/>
      <c r="R622" s="360"/>
      <c r="T622" s="372"/>
      <c r="U622" s="281"/>
      <c r="V622" s="360"/>
    </row>
    <row r="623" ht="12.75" customHeight="1">
      <c r="M623" s="359"/>
      <c r="N623" s="281"/>
      <c r="O623" s="358"/>
      <c r="Q623" s="359"/>
      <c r="R623" s="360"/>
      <c r="T623" s="372"/>
      <c r="U623" s="281"/>
      <c r="V623" s="360"/>
    </row>
    <row r="624" ht="12.75" customHeight="1">
      <c r="M624" s="359"/>
      <c r="N624" s="281"/>
      <c r="O624" s="358"/>
      <c r="Q624" s="359"/>
      <c r="R624" s="360"/>
      <c r="T624" s="372"/>
      <c r="U624" s="281"/>
      <c r="V624" s="360"/>
    </row>
    <row r="625" ht="12.75" customHeight="1">
      <c r="M625" s="359"/>
      <c r="N625" s="281"/>
      <c r="O625" s="358"/>
      <c r="Q625" s="359"/>
      <c r="R625" s="360"/>
      <c r="T625" s="372"/>
      <c r="U625" s="281"/>
      <c r="V625" s="360"/>
    </row>
    <row r="626" ht="12.75" customHeight="1">
      <c r="M626" s="359"/>
      <c r="N626" s="281"/>
      <c r="O626" s="358"/>
      <c r="Q626" s="359"/>
      <c r="R626" s="360"/>
      <c r="T626" s="372"/>
      <c r="U626" s="281"/>
      <c r="V626" s="360"/>
    </row>
    <row r="627" ht="12.75" customHeight="1">
      <c r="M627" s="359"/>
      <c r="N627" s="281"/>
      <c r="O627" s="358"/>
      <c r="Q627" s="359"/>
      <c r="R627" s="360"/>
      <c r="T627" s="372"/>
      <c r="U627" s="281"/>
      <c r="V627" s="360"/>
    </row>
    <row r="628" ht="12.75" customHeight="1">
      <c r="M628" s="359"/>
      <c r="N628" s="281"/>
      <c r="O628" s="358"/>
      <c r="Q628" s="359"/>
      <c r="R628" s="360"/>
      <c r="T628" s="372"/>
      <c r="U628" s="281"/>
      <c r="V628" s="360"/>
    </row>
    <row r="629" ht="12.75" customHeight="1">
      <c r="M629" s="359"/>
      <c r="N629" s="281"/>
      <c r="O629" s="358"/>
      <c r="Q629" s="359"/>
      <c r="R629" s="360"/>
      <c r="T629" s="372"/>
      <c r="U629" s="281"/>
      <c r="V629" s="360"/>
    </row>
    <row r="630" ht="12.75" customHeight="1">
      <c r="M630" s="359"/>
      <c r="N630" s="281"/>
      <c r="O630" s="358"/>
      <c r="Q630" s="359"/>
      <c r="R630" s="360"/>
      <c r="T630" s="372"/>
      <c r="U630" s="281"/>
      <c r="V630" s="360"/>
    </row>
    <row r="631" ht="12.75" customHeight="1">
      <c r="M631" s="359"/>
      <c r="N631" s="281"/>
      <c r="O631" s="358"/>
      <c r="Q631" s="359"/>
      <c r="R631" s="360"/>
      <c r="T631" s="372"/>
      <c r="U631" s="281"/>
      <c r="V631" s="360"/>
    </row>
    <row r="632" ht="12.75" customHeight="1">
      <c r="M632" s="359"/>
      <c r="N632" s="281"/>
      <c r="O632" s="358"/>
      <c r="Q632" s="359"/>
      <c r="R632" s="360"/>
      <c r="T632" s="372"/>
      <c r="U632" s="281"/>
      <c r="V632" s="360"/>
    </row>
    <row r="633" ht="12.75" customHeight="1">
      <c r="M633" s="359"/>
      <c r="N633" s="281"/>
      <c r="O633" s="358"/>
      <c r="Q633" s="359"/>
      <c r="R633" s="360"/>
      <c r="T633" s="372"/>
      <c r="U633" s="281"/>
      <c r="V633" s="360"/>
    </row>
    <row r="634" ht="12.75" customHeight="1">
      <c r="M634" s="359"/>
      <c r="N634" s="281"/>
      <c r="O634" s="358"/>
      <c r="Q634" s="359"/>
      <c r="R634" s="360"/>
      <c r="T634" s="372"/>
      <c r="U634" s="281"/>
      <c r="V634" s="360"/>
    </row>
    <row r="635" ht="12.75" customHeight="1">
      <c r="M635" s="359"/>
      <c r="N635" s="281"/>
      <c r="O635" s="358"/>
      <c r="Q635" s="359"/>
      <c r="R635" s="360"/>
      <c r="T635" s="372"/>
      <c r="U635" s="281"/>
      <c r="V635" s="360"/>
    </row>
    <row r="636" ht="12.75" customHeight="1">
      <c r="M636" s="359"/>
      <c r="N636" s="281"/>
      <c r="O636" s="358"/>
      <c r="Q636" s="359"/>
      <c r="R636" s="360"/>
      <c r="T636" s="372"/>
      <c r="U636" s="281"/>
      <c r="V636" s="360"/>
    </row>
    <row r="637" ht="12.75" customHeight="1">
      <c r="M637" s="359"/>
      <c r="N637" s="281"/>
      <c r="O637" s="358"/>
      <c r="Q637" s="359"/>
      <c r="R637" s="360"/>
      <c r="T637" s="372"/>
      <c r="U637" s="281"/>
      <c r="V637" s="360"/>
    </row>
    <row r="638" ht="12.75" customHeight="1">
      <c r="M638" s="359"/>
      <c r="N638" s="281"/>
      <c r="O638" s="358"/>
      <c r="Q638" s="359"/>
      <c r="R638" s="360"/>
      <c r="T638" s="372"/>
      <c r="U638" s="281"/>
      <c r="V638" s="360"/>
    </row>
    <row r="639" ht="12.75" customHeight="1">
      <c r="M639" s="359"/>
      <c r="N639" s="281"/>
      <c r="O639" s="358"/>
      <c r="Q639" s="359"/>
      <c r="R639" s="360"/>
      <c r="T639" s="372"/>
      <c r="U639" s="281"/>
      <c r="V639" s="360"/>
    </row>
    <row r="640" ht="12.75" customHeight="1">
      <c r="M640" s="359"/>
      <c r="N640" s="281"/>
      <c r="O640" s="358"/>
      <c r="Q640" s="359"/>
      <c r="R640" s="360"/>
      <c r="T640" s="372"/>
      <c r="U640" s="281"/>
      <c r="V640" s="360"/>
    </row>
    <row r="641" ht="12.75" customHeight="1">
      <c r="M641" s="359"/>
      <c r="N641" s="281"/>
      <c r="O641" s="358"/>
      <c r="Q641" s="359"/>
      <c r="R641" s="360"/>
      <c r="T641" s="372"/>
      <c r="U641" s="281"/>
      <c r="V641" s="360"/>
    </row>
    <row r="642" ht="12.75" customHeight="1">
      <c r="M642" s="359"/>
      <c r="N642" s="281"/>
      <c r="O642" s="358"/>
      <c r="Q642" s="359"/>
      <c r="R642" s="360"/>
      <c r="T642" s="372"/>
      <c r="U642" s="281"/>
      <c r="V642" s="360"/>
    </row>
    <row r="643" ht="12.75" customHeight="1">
      <c r="M643" s="359"/>
      <c r="N643" s="281"/>
      <c r="O643" s="358"/>
      <c r="Q643" s="359"/>
      <c r="R643" s="360"/>
      <c r="T643" s="372"/>
      <c r="U643" s="281"/>
      <c r="V643" s="360"/>
    </row>
    <row r="644" ht="12.75" customHeight="1">
      <c r="M644" s="359"/>
      <c r="N644" s="281"/>
      <c r="O644" s="358"/>
      <c r="Q644" s="359"/>
      <c r="R644" s="360"/>
      <c r="T644" s="372"/>
      <c r="U644" s="281"/>
      <c r="V644" s="360"/>
    </row>
    <row r="645" ht="12.75" customHeight="1">
      <c r="M645" s="359"/>
      <c r="N645" s="281"/>
      <c r="O645" s="358"/>
      <c r="Q645" s="359"/>
      <c r="R645" s="360"/>
      <c r="T645" s="372"/>
      <c r="U645" s="281"/>
      <c r="V645" s="360"/>
    </row>
    <row r="646" ht="12.75" customHeight="1">
      <c r="M646" s="359"/>
      <c r="N646" s="281"/>
      <c r="O646" s="358"/>
      <c r="Q646" s="359"/>
      <c r="R646" s="360"/>
      <c r="T646" s="372"/>
      <c r="U646" s="281"/>
      <c r="V646" s="360"/>
    </row>
    <row r="647" ht="12.75" customHeight="1">
      <c r="M647" s="359"/>
      <c r="N647" s="281"/>
      <c r="O647" s="358"/>
      <c r="Q647" s="359"/>
      <c r="R647" s="360"/>
      <c r="T647" s="372"/>
      <c r="U647" s="281"/>
      <c r="V647" s="360"/>
    </row>
    <row r="648" ht="12.75" customHeight="1">
      <c r="M648" s="359"/>
      <c r="N648" s="281"/>
      <c r="O648" s="358"/>
      <c r="Q648" s="359"/>
      <c r="R648" s="360"/>
      <c r="T648" s="372"/>
      <c r="U648" s="281"/>
      <c r="V648" s="360"/>
    </row>
    <row r="649" ht="12.75" customHeight="1">
      <c r="M649" s="359"/>
      <c r="N649" s="281"/>
      <c r="O649" s="358"/>
      <c r="Q649" s="359"/>
      <c r="R649" s="360"/>
      <c r="T649" s="372"/>
      <c r="U649" s="281"/>
      <c r="V649" s="360"/>
    </row>
    <row r="650" ht="12.75" customHeight="1">
      <c r="M650" s="359"/>
      <c r="N650" s="281"/>
      <c r="O650" s="358"/>
      <c r="Q650" s="359"/>
      <c r="R650" s="360"/>
      <c r="T650" s="372"/>
      <c r="U650" s="281"/>
      <c r="V650" s="360"/>
    </row>
    <row r="651" ht="12.75" customHeight="1">
      <c r="M651" s="359"/>
      <c r="N651" s="281"/>
      <c r="O651" s="358"/>
      <c r="Q651" s="359"/>
      <c r="R651" s="360"/>
      <c r="T651" s="372"/>
      <c r="U651" s="281"/>
      <c r="V651" s="360"/>
    </row>
    <row r="652" ht="12.75" customHeight="1">
      <c r="M652" s="359"/>
      <c r="N652" s="281"/>
      <c r="O652" s="358"/>
      <c r="Q652" s="359"/>
      <c r="R652" s="360"/>
      <c r="T652" s="372"/>
      <c r="U652" s="281"/>
      <c r="V652" s="360"/>
    </row>
    <row r="653" ht="12.75" customHeight="1">
      <c r="M653" s="359"/>
      <c r="N653" s="281"/>
      <c r="O653" s="358"/>
      <c r="Q653" s="359"/>
      <c r="R653" s="360"/>
      <c r="T653" s="372"/>
      <c r="U653" s="281"/>
      <c r="V653" s="360"/>
    </row>
    <row r="654" ht="12.75" customHeight="1">
      <c r="M654" s="359"/>
      <c r="N654" s="281"/>
      <c r="O654" s="358"/>
      <c r="Q654" s="359"/>
      <c r="R654" s="360"/>
      <c r="T654" s="372"/>
      <c r="U654" s="281"/>
      <c r="V654" s="360"/>
    </row>
    <row r="655" ht="12.75" customHeight="1">
      <c r="M655" s="359"/>
      <c r="N655" s="281"/>
      <c r="O655" s="358"/>
      <c r="Q655" s="359"/>
      <c r="R655" s="360"/>
      <c r="T655" s="372"/>
      <c r="U655" s="281"/>
      <c r="V655" s="360"/>
    </row>
    <row r="656" ht="12.75" customHeight="1">
      <c r="M656" s="359"/>
      <c r="N656" s="281"/>
      <c r="O656" s="358"/>
      <c r="Q656" s="359"/>
      <c r="R656" s="360"/>
      <c r="T656" s="372"/>
      <c r="U656" s="281"/>
      <c r="V656" s="360"/>
    </row>
    <row r="657" ht="12.75" customHeight="1">
      <c r="M657" s="359"/>
      <c r="N657" s="281"/>
      <c r="O657" s="358"/>
      <c r="Q657" s="359"/>
      <c r="R657" s="360"/>
      <c r="T657" s="372"/>
      <c r="U657" s="281"/>
      <c r="V657" s="360"/>
    </row>
    <row r="658" ht="12.75" customHeight="1">
      <c r="M658" s="359"/>
      <c r="N658" s="281"/>
      <c r="O658" s="358"/>
      <c r="Q658" s="359"/>
      <c r="R658" s="360"/>
      <c r="T658" s="372"/>
      <c r="U658" s="281"/>
      <c r="V658" s="360"/>
    </row>
    <row r="659" ht="12.75" customHeight="1">
      <c r="M659" s="359"/>
      <c r="N659" s="281"/>
      <c r="O659" s="358"/>
      <c r="Q659" s="359"/>
      <c r="R659" s="360"/>
      <c r="T659" s="372"/>
      <c r="U659" s="281"/>
      <c r="V659" s="360"/>
    </row>
    <row r="660" ht="12.75" customHeight="1">
      <c r="M660" s="359"/>
      <c r="N660" s="281"/>
      <c r="O660" s="358"/>
      <c r="Q660" s="359"/>
      <c r="R660" s="360"/>
      <c r="T660" s="372"/>
      <c r="U660" s="281"/>
      <c r="V660" s="360"/>
    </row>
    <row r="661" ht="12.75" customHeight="1">
      <c r="M661" s="359"/>
      <c r="N661" s="281"/>
      <c r="O661" s="358"/>
      <c r="Q661" s="359"/>
      <c r="R661" s="360"/>
      <c r="T661" s="372"/>
      <c r="U661" s="281"/>
      <c r="V661" s="360"/>
    </row>
    <row r="662" ht="12.75" customHeight="1">
      <c r="M662" s="359"/>
      <c r="N662" s="281"/>
      <c r="O662" s="358"/>
      <c r="Q662" s="359"/>
      <c r="R662" s="360"/>
      <c r="T662" s="372"/>
      <c r="U662" s="281"/>
      <c r="V662" s="360"/>
    </row>
    <row r="663" ht="12.75" customHeight="1">
      <c r="M663" s="359"/>
      <c r="N663" s="281"/>
      <c r="O663" s="358"/>
      <c r="Q663" s="359"/>
      <c r="R663" s="360"/>
      <c r="T663" s="372"/>
      <c r="U663" s="281"/>
      <c r="V663" s="360"/>
    </row>
    <row r="664" ht="12.75" customHeight="1">
      <c r="M664" s="359"/>
      <c r="N664" s="281"/>
      <c r="O664" s="358"/>
      <c r="Q664" s="359"/>
      <c r="R664" s="360"/>
      <c r="T664" s="372"/>
      <c r="U664" s="281"/>
      <c r="V664" s="360"/>
    </row>
    <row r="665" ht="12.75" customHeight="1">
      <c r="M665" s="359"/>
      <c r="N665" s="281"/>
      <c r="O665" s="358"/>
      <c r="Q665" s="359"/>
      <c r="R665" s="360"/>
      <c r="T665" s="372"/>
      <c r="U665" s="281"/>
      <c r="V665" s="360"/>
    </row>
    <row r="666" ht="12.75" customHeight="1">
      <c r="M666" s="359"/>
      <c r="N666" s="281"/>
      <c r="O666" s="358"/>
      <c r="Q666" s="359"/>
      <c r="R666" s="360"/>
      <c r="T666" s="372"/>
      <c r="U666" s="281"/>
      <c r="V666" s="360"/>
    </row>
    <row r="667" ht="12.75" customHeight="1">
      <c r="M667" s="359"/>
      <c r="N667" s="281"/>
      <c r="O667" s="358"/>
      <c r="Q667" s="359"/>
      <c r="R667" s="360"/>
      <c r="T667" s="372"/>
      <c r="U667" s="281"/>
      <c r="V667" s="360"/>
    </row>
    <row r="668" ht="12.75" customHeight="1">
      <c r="M668" s="359"/>
      <c r="N668" s="281"/>
      <c r="O668" s="358"/>
      <c r="Q668" s="359"/>
      <c r="R668" s="360"/>
      <c r="T668" s="372"/>
      <c r="U668" s="281"/>
      <c r="V668" s="360"/>
    </row>
    <row r="669" ht="12.75" customHeight="1">
      <c r="M669" s="359"/>
      <c r="N669" s="281"/>
      <c r="O669" s="358"/>
      <c r="Q669" s="359"/>
      <c r="R669" s="360"/>
      <c r="T669" s="372"/>
      <c r="U669" s="281"/>
      <c r="V669" s="360"/>
    </row>
    <row r="670" ht="12.75" customHeight="1">
      <c r="M670" s="359"/>
      <c r="N670" s="281"/>
      <c r="O670" s="358"/>
      <c r="Q670" s="359"/>
      <c r="R670" s="360"/>
      <c r="T670" s="372"/>
      <c r="U670" s="281"/>
      <c r="V670" s="360"/>
    </row>
    <row r="671" ht="12.75" customHeight="1">
      <c r="M671" s="359"/>
      <c r="N671" s="281"/>
      <c r="O671" s="358"/>
      <c r="Q671" s="359"/>
      <c r="R671" s="360"/>
      <c r="T671" s="372"/>
      <c r="U671" s="281"/>
      <c r="V671" s="360"/>
    </row>
    <row r="672" ht="12.75" customHeight="1">
      <c r="M672" s="359"/>
      <c r="N672" s="281"/>
      <c r="O672" s="358"/>
      <c r="Q672" s="359"/>
      <c r="R672" s="360"/>
      <c r="T672" s="372"/>
      <c r="U672" s="281"/>
      <c r="V672" s="360"/>
    </row>
    <row r="673" ht="12.75" customHeight="1">
      <c r="M673" s="359"/>
      <c r="N673" s="281"/>
      <c r="O673" s="358"/>
      <c r="Q673" s="359"/>
      <c r="R673" s="360"/>
      <c r="T673" s="372"/>
      <c r="U673" s="281"/>
      <c r="V673" s="360"/>
    </row>
    <row r="674" ht="12.75" customHeight="1">
      <c r="M674" s="359"/>
      <c r="N674" s="281"/>
      <c r="O674" s="358"/>
      <c r="Q674" s="359"/>
      <c r="R674" s="360"/>
      <c r="T674" s="372"/>
      <c r="U674" s="281"/>
      <c r="V674" s="360"/>
    </row>
    <row r="675" ht="12.75" customHeight="1">
      <c r="M675" s="359"/>
      <c r="N675" s="281"/>
      <c r="O675" s="358"/>
      <c r="Q675" s="359"/>
      <c r="R675" s="360"/>
      <c r="T675" s="372"/>
      <c r="U675" s="281"/>
      <c r="V675" s="360"/>
    </row>
    <row r="676" ht="12.75" customHeight="1">
      <c r="M676" s="359"/>
      <c r="N676" s="281"/>
      <c r="O676" s="358"/>
      <c r="Q676" s="359"/>
      <c r="R676" s="360"/>
      <c r="T676" s="372"/>
      <c r="U676" s="281"/>
      <c r="V676" s="360"/>
    </row>
    <row r="677" ht="12.75" customHeight="1">
      <c r="M677" s="359"/>
      <c r="N677" s="281"/>
      <c r="O677" s="358"/>
      <c r="Q677" s="359"/>
      <c r="R677" s="360"/>
      <c r="T677" s="372"/>
      <c r="U677" s="281"/>
      <c r="V677" s="360"/>
    </row>
    <row r="678" ht="12.75" customHeight="1">
      <c r="M678" s="359"/>
      <c r="N678" s="281"/>
      <c r="O678" s="358"/>
      <c r="Q678" s="359"/>
      <c r="R678" s="360"/>
      <c r="T678" s="372"/>
      <c r="U678" s="281"/>
      <c r="V678" s="360"/>
    </row>
    <row r="679" ht="12.75" customHeight="1">
      <c r="M679" s="359"/>
      <c r="N679" s="281"/>
      <c r="O679" s="358"/>
      <c r="Q679" s="359"/>
      <c r="R679" s="360"/>
      <c r="T679" s="372"/>
      <c r="U679" s="281"/>
      <c r="V679" s="360"/>
    </row>
    <row r="680" ht="12.75" customHeight="1">
      <c r="M680" s="359"/>
      <c r="N680" s="281"/>
      <c r="O680" s="358"/>
      <c r="Q680" s="359"/>
      <c r="R680" s="360"/>
      <c r="T680" s="372"/>
      <c r="U680" s="281"/>
      <c r="V680" s="360"/>
    </row>
    <row r="681" ht="12.75" customHeight="1">
      <c r="M681" s="359"/>
      <c r="N681" s="281"/>
      <c r="O681" s="358"/>
      <c r="Q681" s="359"/>
      <c r="R681" s="360"/>
      <c r="T681" s="372"/>
      <c r="U681" s="281"/>
      <c r="V681" s="360"/>
    </row>
    <row r="682" ht="12.75" customHeight="1">
      <c r="M682" s="359"/>
      <c r="N682" s="281"/>
      <c r="O682" s="358"/>
      <c r="Q682" s="359"/>
      <c r="R682" s="360"/>
      <c r="T682" s="372"/>
      <c r="U682" s="281"/>
      <c r="V682" s="360"/>
    </row>
    <row r="683" ht="12.75" customHeight="1">
      <c r="M683" s="359"/>
      <c r="N683" s="281"/>
      <c r="O683" s="358"/>
      <c r="Q683" s="359"/>
      <c r="R683" s="360"/>
      <c r="T683" s="372"/>
      <c r="U683" s="281"/>
      <c r="V683" s="360"/>
    </row>
    <row r="684" ht="12.75" customHeight="1">
      <c r="M684" s="359"/>
      <c r="N684" s="281"/>
      <c r="O684" s="358"/>
      <c r="Q684" s="359"/>
      <c r="R684" s="360"/>
      <c r="T684" s="372"/>
      <c r="U684" s="281"/>
      <c r="V684" s="360"/>
    </row>
    <row r="685" ht="12.75" customHeight="1">
      <c r="M685" s="359"/>
      <c r="N685" s="281"/>
      <c r="O685" s="358"/>
      <c r="Q685" s="359"/>
      <c r="R685" s="360"/>
      <c r="T685" s="372"/>
      <c r="U685" s="281"/>
      <c r="V685" s="360"/>
    </row>
    <row r="686" ht="12.75" customHeight="1">
      <c r="M686" s="359"/>
      <c r="N686" s="281"/>
      <c r="O686" s="358"/>
      <c r="Q686" s="359"/>
      <c r="R686" s="360"/>
      <c r="T686" s="372"/>
      <c r="U686" s="281"/>
      <c r="V686" s="360"/>
    </row>
    <row r="687" ht="12.75" customHeight="1">
      <c r="M687" s="359"/>
      <c r="N687" s="281"/>
      <c r="O687" s="358"/>
      <c r="Q687" s="359"/>
      <c r="R687" s="360"/>
      <c r="T687" s="372"/>
      <c r="U687" s="281"/>
      <c r="V687" s="360"/>
    </row>
    <row r="688" ht="12.75" customHeight="1">
      <c r="M688" s="359"/>
      <c r="N688" s="281"/>
      <c r="O688" s="358"/>
      <c r="Q688" s="359"/>
      <c r="R688" s="360"/>
      <c r="T688" s="372"/>
      <c r="U688" s="281"/>
      <c r="V688" s="360"/>
    </row>
    <row r="689" ht="12.75" customHeight="1">
      <c r="M689" s="359"/>
      <c r="N689" s="281"/>
      <c r="O689" s="358"/>
      <c r="Q689" s="359"/>
      <c r="R689" s="360"/>
      <c r="T689" s="372"/>
      <c r="U689" s="281"/>
      <c r="V689" s="360"/>
    </row>
    <row r="690" ht="12.75" customHeight="1">
      <c r="M690" s="359"/>
      <c r="N690" s="281"/>
      <c r="O690" s="358"/>
      <c r="Q690" s="359"/>
      <c r="R690" s="360"/>
      <c r="T690" s="372"/>
      <c r="U690" s="281"/>
      <c r="V690" s="360"/>
    </row>
    <row r="691" ht="12.75" customHeight="1">
      <c r="M691" s="359"/>
      <c r="N691" s="281"/>
      <c r="O691" s="358"/>
      <c r="Q691" s="359"/>
      <c r="R691" s="360"/>
      <c r="T691" s="372"/>
      <c r="U691" s="281"/>
      <c r="V691" s="360"/>
    </row>
    <row r="692" ht="12.75" customHeight="1">
      <c r="M692" s="359"/>
      <c r="N692" s="281"/>
      <c r="O692" s="358"/>
      <c r="Q692" s="359"/>
      <c r="R692" s="360"/>
      <c r="T692" s="372"/>
      <c r="U692" s="281"/>
      <c r="V692" s="360"/>
    </row>
    <row r="693" ht="12.75" customHeight="1">
      <c r="M693" s="359"/>
      <c r="N693" s="281"/>
      <c r="O693" s="358"/>
      <c r="Q693" s="359"/>
      <c r="R693" s="360"/>
      <c r="T693" s="372"/>
      <c r="U693" s="281"/>
      <c r="V693" s="360"/>
    </row>
    <row r="694" ht="12.75" customHeight="1">
      <c r="M694" s="359"/>
      <c r="N694" s="281"/>
      <c r="O694" s="358"/>
      <c r="Q694" s="359"/>
      <c r="R694" s="360"/>
      <c r="T694" s="372"/>
      <c r="U694" s="281"/>
      <c r="V694" s="360"/>
    </row>
    <row r="695" ht="12.75" customHeight="1">
      <c r="M695" s="359"/>
      <c r="N695" s="281"/>
      <c r="O695" s="358"/>
      <c r="Q695" s="359"/>
      <c r="R695" s="360"/>
      <c r="T695" s="372"/>
      <c r="U695" s="281"/>
      <c r="V695" s="360"/>
    </row>
    <row r="696" ht="12.75" customHeight="1">
      <c r="M696" s="359"/>
      <c r="N696" s="281"/>
      <c r="O696" s="358"/>
      <c r="Q696" s="359"/>
      <c r="R696" s="360"/>
      <c r="T696" s="372"/>
      <c r="U696" s="281"/>
      <c r="V696" s="360"/>
    </row>
    <row r="697" ht="12.75" customHeight="1">
      <c r="M697" s="359"/>
      <c r="N697" s="281"/>
      <c r="O697" s="358"/>
      <c r="Q697" s="359"/>
      <c r="R697" s="360"/>
      <c r="T697" s="372"/>
      <c r="U697" s="281"/>
      <c r="V697" s="360"/>
    </row>
    <row r="698" ht="12.75" customHeight="1">
      <c r="M698" s="359"/>
      <c r="N698" s="281"/>
      <c r="O698" s="358"/>
      <c r="Q698" s="359"/>
      <c r="R698" s="360"/>
      <c r="T698" s="372"/>
      <c r="U698" s="281"/>
      <c r="V698" s="360"/>
    </row>
    <row r="699" ht="12.75" customHeight="1">
      <c r="M699" s="359"/>
      <c r="N699" s="281"/>
      <c r="O699" s="358"/>
      <c r="Q699" s="359"/>
      <c r="R699" s="360"/>
      <c r="T699" s="372"/>
      <c r="U699" s="281"/>
      <c r="V699" s="360"/>
    </row>
    <row r="700" ht="12.75" customHeight="1">
      <c r="M700" s="359"/>
      <c r="N700" s="281"/>
      <c r="O700" s="358"/>
      <c r="Q700" s="359"/>
      <c r="R700" s="360"/>
      <c r="T700" s="372"/>
      <c r="U700" s="281"/>
      <c r="V700" s="360"/>
    </row>
    <row r="701" ht="12.75" customHeight="1">
      <c r="M701" s="359"/>
      <c r="N701" s="281"/>
      <c r="O701" s="358"/>
      <c r="Q701" s="359"/>
      <c r="R701" s="360"/>
      <c r="T701" s="372"/>
      <c r="U701" s="281"/>
      <c r="V701" s="360"/>
    </row>
    <row r="702" ht="12.75" customHeight="1">
      <c r="M702" s="359"/>
      <c r="N702" s="281"/>
      <c r="O702" s="358"/>
      <c r="Q702" s="359"/>
      <c r="R702" s="360"/>
      <c r="T702" s="372"/>
      <c r="U702" s="281"/>
      <c r="V702" s="360"/>
    </row>
    <row r="703" ht="12.75" customHeight="1">
      <c r="M703" s="359"/>
      <c r="N703" s="281"/>
      <c r="O703" s="358"/>
      <c r="Q703" s="359"/>
      <c r="R703" s="360"/>
      <c r="T703" s="372"/>
      <c r="U703" s="281"/>
      <c r="V703" s="360"/>
    </row>
    <row r="704" ht="12.75" customHeight="1">
      <c r="M704" s="359"/>
      <c r="N704" s="281"/>
      <c r="O704" s="358"/>
      <c r="Q704" s="359"/>
      <c r="R704" s="360"/>
      <c r="T704" s="372"/>
      <c r="U704" s="281"/>
      <c r="V704" s="360"/>
    </row>
    <row r="705" ht="12.75" customHeight="1">
      <c r="M705" s="359"/>
      <c r="N705" s="281"/>
      <c r="O705" s="358"/>
      <c r="Q705" s="359"/>
      <c r="R705" s="360"/>
      <c r="T705" s="372"/>
      <c r="U705" s="281"/>
      <c r="V705" s="360"/>
    </row>
    <row r="706" ht="12.75" customHeight="1">
      <c r="M706" s="359"/>
      <c r="N706" s="281"/>
      <c r="O706" s="358"/>
      <c r="Q706" s="359"/>
      <c r="R706" s="360"/>
      <c r="T706" s="372"/>
      <c r="U706" s="281"/>
      <c r="V706" s="360"/>
    </row>
    <row r="707" ht="12.75" customHeight="1">
      <c r="M707" s="359"/>
      <c r="N707" s="281"/>
      <c r="O707" s="358"/>
      <c r="Q707" s="359"/>
      <c r="R707" s="360"/>
      <c r="T707" s="372"/>
      <c r="U707" s="281"/>
      <c r="V707" s="360"/>
    </row>
    <row r="708" ht="12.75" customHeight="1">
      <c r="M708" s="359"/>
      <c r="N708" s="281"/>
      <c r="O708" s="358"/>
      <c r="Q708" s="359"/>
      <c r="R708" s="360"/>
      <c r="T708" s="372"/>
      <c r="U708" s="281"/>
      <c r="V708" s="360"/>
    </row>
    <row r="709" ht="12.75" customHeight="1">
      <c r="M709" s="359"/>
      <c r="N709" s="281"/>
      <c r="O709" s="358"/>
      <c r="Q709" s="359"/>
      <c r="R709" s="360"/>
      <c r="T709" s="372"/>
      <c r="U709" s="281"/>
      <c r="V709" s="360"/>
    </row>
    <row r="710" ht="12.75" customHeight="1">
      <c r="M710" s="359"/>
      <c r="N710" s="281"/>
      <c r="O710" s="358"/>
      <c r="Q710" s="359"/>
      <c r="R710" s="360"/>
      <c r="T710" s="372"/>
      <c r="U710" s="281"/>
      <c r="V710" s="360"/>
    </row>
    <row r="711" ht="12.75" customHeight="1">
      <c r="M711" s="359"/>
      <c r="N711" s="281"/>
      <c r="O711" s="358"/>
      <c r="Q711" s="359"/>
      <c r="R711" s="360"/>
      <c r="T711" s="372"/>
      <c r="U711" s="281"/>
      <c r="V711" s="360"/>
    </row>
    <row r="712" ht="12.75" customHeight="1">
      <c r="M712" s="359"/>
      <c r="N712" s="281"/>
      <c r="O712" s="358"/>
      <c r="Q712" s="359"/>
      <c r="R712" s="360"/>
      <c r="T712" s="372"/>
      <c r="U712" s="281"/>
      <c r="V712" s="360"/>
    </row>
    <row r="713" ht="12.75" customHeight="1">
      <c r="M713" s="359"/>
      <c r="N713" s="281"/>
      <c r="O713" s="358"/>
      <c r="Q713" s="359"/>
      <c r="R713" s="360"/>
      <c r="T713" s="372"/>
      <c r="U713" s="281"/>
      <c r="V713" s="360"/>
    </row>
    <row r="714" ht="12.75" customHeight="1">
      <c r="M714" s="359"/>
      <c r="N714" s="281"/>
      <c r="O714" s="358"/>
      <c r="Q714" s="359"/>
      <c r="R714" s="360"/>
      <c r="T714" s="372"/>
      <c r="U714" s="281"/>
      <c r="V714" s="360"/>
    </row>
    <row r="715" ht="12.75" customHeight="1">
      <c r="M715" s="359"/>
      <c r="N715" s="281"/>
      <c r="O715" s="358"/>
      <c r="Q715" s="359"/>
      <c r="R715" s="360"/>
      <c r="T715" s="372"/>
      <c r="U715" s="281"/>
      <c r="V715" s="360"/>
    </row>
    <row r="716" ht="12.75" customHeight="1">
      <c r="M716" s="359"/>
      <c r="N716" s="281"/>
      <c r="O716" s="358"/>
      <c r="Q716" s="359"/>
      <c r="R716" s="360"/>
      <c r="T716" s="372"/>
      <c r="U716" s="281"/>
      <c r="V716" s="360"/>
    </row>
    <row r="717" ht="12.75" customHeight="1">
      <c r="M717" s="359"/>
      <c r="N717" s="281"/>
      <c r="O717" s="358"/>
      <c r="Q717" s="359"/>
      <c r="R717" s="360"/>
      <c r="T717" s="372"/>
      <c r="U717" s="281"/>
      <c r="V717" s="360"/>
    </row>
    <row r="718" ht="12.75" customHeight="1">
      <c r="M718" s="359"/>
      <c r="N718" s="281"/>
      <c r="O718" s="358"/>
      <c r="Q718" s="359"/>
      <c r="R718" s="360"/>
      <c r="T718" s="372"/>
      <c r="U718" s="281"/>
      <c r="V718" s="360"/>
    </row>
    <row r="719" ht="12.75" customHeight="1">
      <c r="M719" s="359"/>
      <c r="N719" s="281"/>
      <c r="O719" s="358"/>
      <c r="Q719" s="359"/>
      <c r="R719" s="360"/>
      <c r="T719" s="372"/>
      <c r="U719" s="281"/>
      <c r="V719" s="360"/>
    </row>
    <row r="720" ht="12.75" customHeight="1">
      <c r="M720" s="359"/>
      <c r="N720" s="281"/>
      <c r="O720" s="358"/>
      <c r="Q720" s="359"/>
      <c r="R720" s="360"/>
      <c r="T720" s="372"/>
      <c r="U720" s="281"/>
      <c r="V720" s="360"/>
    </row>
    <row r="721" ht="12.75" customHeight="1">
      <c r="M721" s="359"/>
      <c r="N721" s="281"/>
      <c r="O721" s="358"/>
      <c r="Q721" s="359"/>
      <c r="R721" s="360"/>
      <c r="T721" s="372"/>
      <c r="U721" s="281"/>
      <c r="V721" s="360"/>
    </row>
    <row r="722" ht="12.75" customHeight="1">
      <c r="M722" s="359"/>
      <c r="N722" s="281"/>
      <c r="O722" s="358"/>
      <c r="Q722" s="359"/>
      <c r="R722" s="360"/>
      <c r="T722" s="372"/>
      <c r="U722" s="281"/>
      <c r="V722" s="360"/>
    </row>
    <row r="723" ht="12.75" customHeight="1">
      <c r="M723" s="359"/>
      <c r="N723" s="281"/>
      <c r="O723" s="358"/>
      <c r="Q723" s="359"/>
      <c r="R723" s="360"/>
      <c r="T723" s="372"/>
      <c r="U723" s="281"/>
      <c r="V723" s="360"/>
    </row>
    <row r="724" ht="12.75" customHeight="1">
      <c r="M724" s="359"/>
      <c r="N724" s="281"/>
      <c r="O724" s="358"/>
      <c r="Q724" s="359"/>
      <c r="R724" s="360"/>
      <c r="T724" s="372"/>
      <c r="U724" s="281"/>
      <c r="V724" s="360"/>
    </row>
    <row r="725" ht="12.75" customHeight="1">
      <c r="M725" s="359"/>
      <c r="N725" s="281"/>
      <c r="O725" s="358"/>
      <c r="Q725" s="359"/>
      <c r="R725" s="360"/>
      <c r="T725" s="372"/>
      <c r="U725" s="281"/>
      <c r="V725" s="360"/>
    </row>
    <row r="726" ht="12.75" customHeight="1">
      <c r="M726" s="359"/>
      <c r="N726" s="281"/>
      <c r="O726" s="358"/>
      <c r="Q726" s="359"/>
      <c r="R726" s="360"/>
      <c r="T726" s="372"/>
      <c r="U726" s="281"/>
      <c r="V726" s="360"/>
    </row>
    <row r="727" ht="12.75" customHeight="1">
      <c r="M727" s="359"/>
      <c r="N727" s="281"/>
      <c r="O727" s="358"/>
      <c r="Q727" s="359"/>
      <c r="R727" s="360"/>
      <c r="T727" s="372"/>
      <c r="U727" s="281"/>
      <c r="V727" s="360"/>
    </row>
    <row r="728" ht="12.75" customHeight="1">
      <c r="M728" s="359"/>
      <c r="N728" s="281"/>
      <c r="O728" s="358"/>
      <c r="Q728" s="359"/>
      <c r="R728" s="360"/>
      <c r="T728" s="372"/>
      <c r="U728" s="281"/>
      <c r="V728" s="360"/>
    </row>
    <row r="729" ht="12.75" customHeight="1">
      <c r="M729" s="359"/>
      <c r="N729" s="281"/>
      <c r="O729" s="358"/>
      <c r="Q729" s="359"/>
      <c r="R729" s="360"/>
      <c r="T729" s="372"/>
      <c r="U729" s="281"/>
      <c r="V729" s="360"/>
    </row>
    <row r="730" ht="12.75" customHeight="1">
      <c r="M730" s="359"/>
      <c r="N730" s="281"/>
      <c r="O730" s="358"/>
      <c r="Q730" s="359"/>
      <c r="R730" s="360"/>
      <c r="T730" s="372"/>
      <c r="U730" s="281"/>
      <c r="V730" s="360"/>
    </row>
    <row r="731" ht="12.75" customHeight="1">
      <c r="M731" s="359"/>
      <c r="N731" s="281"/>
      <c r="O731" s="358"/>
      <c r="Q731" s="359"/>
      <c r="R731" s="360"/>
      <c r="T731" s="372"/>
      <c r="U731" s="281"/>
      <c r="V731" s="360"/>
    </row>
    <row r="732" ht="12.75" customHeight="1">
      <c r="M732" s="359"/>
      <c r="N732" s="281"/>
      <c r="O732" s="358"/>
      <c r="Q732" s="359"/>
      <c r="R732" s="360"/>
      <c r="T732" s="372"/>
      <c r="U732" s="281"/>
      <c r="V732" s="360"/>
    </row>
    <row r="733" ht="12.75" customHeight="1">
      <c r="M733" s="359"/>
      <c r="N733" s="281"/>
      <c r="O733" s="358"/>
      <c r="Q733" s="359"/>
      <c r="R733" s="360"/>
      <c r="T733" s="372"/>
      <c r="U733" s="281"/>
      <c r="V733" s="360"/>
    </row>
    <row r="734" ht="12.75" customHeight="1">
      <c r="M734" s="359"/>
      <c r="N734" s="281"/>
      <c r="O734" s="358"/>
      <c r="Q734" s="359"/>
      <c r="R734" s="360"/>
      <c r="T734" s="372"/>
      <c r="U734" s="281"/>
      <c r="V734" s="360"/>
    </row>
    <row r="735" ht="12.75" customHeight="1">
      <c r="M735" s="359"/>
      <c r="N735" s="281"/>
      <c r="O735" s="358"/>
      <c r="Q735" s="359"/>
      <c r="R735" s="360"/>
      <c r="T735" s="372"/>
      <c r="U735" s="281"/>
      <c r="V735" s="360"/>
    </row>
    <row r="736" ht="12.75" customHeight="1">
      <c r="M736" s="359"/>
      <c r="N736" s="281"/>
      <c r="O736" s="358"/>
      <c r="Q736" s="359"/>
      <c r="R736" s="360"/>
      <c r="T736" s="372"/>
      <c r="U736" s="281"/>
      <c r="V736" s="360"/>
    </row>
    <row r="737" ht="12.75" customHeight="1">
      <c r="M737" s="359"/>
      <c r="N737" s="281"/>
      <c r="O737" s="358"/>
      <c r="Q737" s="359"/>
      <c r="R737" s="360"/>
      <c r="T737" s="372"/>
      <c r="U737" s="281"/>
      <c r="V737" s="360"/>
    </row>
    <row r="738" ht="12.75" customHeight="1">
      <c r="M738" s="359"/>
      <c r="N738" s="281"/>
      <c r="O738" s="358"/>
      <c r="Q738" s="359"/>
      <c r="R738" s="360"/>
      <c r="T738" s="372"/>
      <c r="U738" s="281"/>
      <c r="V738" s="360"/>
    </row>
    <row r="739" ht="12.75" customHeight="1">
      <c r="M739" s="359"/>
      <c r="N739" s="281"/>
      <c r="O739" s="358"/>
      <c r="Q739" s="359"/>
      <c r="R739" s="360"/>
      <c r="T739" s="372"/>
      <c r="U739" s="281"/>
      <c r="V739" s="360"/>
    </row>
    <row r="740" ht="12.75" customHeight="1">
      <c r="M740" s="359"/>
      <c r="N740" s="281"/>
      <c r="O740" s="358"/>
      <c r="Q740" s="359"/>
      <c r="R740" s="360"/>
      <c r="T740" s="372"/>
      <c r="U740" s="281"/>
      <c r="V740" s="360"/>
    </row>
    <row r="741" ht="12.75" customHeight="1">
      <c r="M741" s="359"/>
      <c r="N741" s="281"/>
      <c r="O741" s="358"/>
      <c r="Q741" s="359"/>
      <c r="R741" s="360"/>
      <c r="T741" s="372"/>
      <c r="U741" s="281"/>
      <c r="V741" s="360"/>
    </row>
    <row r="742" ht="12.75" customHeight="1">
      <c r="M742" s="359"/>
      <c r="N742" s="281"/>
      <c r="O742" s="358"/>
      <c r="Q742" s="359"/>
      <c r="R742" s="360"/>
      <c r="T742" s="372"/>
      <c r="U742" s="281"/>
      <c r="V742" s="360"/>
    </row>
    <row r="743" ht="12.75" customHeight="1">
      <c r="M743" s="359"/>
      <c r="N743" s="281"/>
      <c r="O743" s="358"/>
      <c r="Q743" s="359"/>
      <c r="R743" s="360"/>
      <c r="T743" s="372"/>
      <c r="U743" s="281"/>
      <c r="V743" s="360"/>
    </row>
    <row r="744" ht="12.75" customHeight="1">
      <c r="M744" s="359"/>
      <c r="N744" s="281"/>
      <c r="O744" s="358"/>
      <c r="Q744" s="359"/>
      <c r="R744" s="360"/>
      <c r="T744" s="372"/>
      <c r="U744" s="281"/>
      <c r="V744" s="360"/>
    </row>
    <row r="745" ht="12.75" customHeight="1">
      <c r="M745" s="359"/>
      <c r="N745" s="281"/>
      <c r="O745" s="358"/>
      <c r="Q745" s="359"/>
      <c r="R745" s="360"/>
      <c r="T745" s="372"/>
      <c r="U745" s="281"/>
      <c r="V745" s="360"/>
    </row>
    <row r="746" ht="12.75" customHeight="1">
      <c r="M746" s="359"/>
      <c r="N746" s="281"/>
      <c r="O746" s="358"/>
      <c r="Q746" s="359"/>
      <c r="R746" s="360"/>
      <c r="T746" s="372"/>
      <c r="U746" s="281"/>
      <c r="V746" s="360"/>
    </row>
    <row r="747" ht="12.75" customHeight="1">
      <c r="M747" s="359"/>
      <c r="N747" s="281"/>
      <c r="O747" s="358"/>
      <c r="Q747" s="359"/>
      <c r="R747" s="360"/>
      <c r="T747" s="372"/>
      <c r="U747" s="281"/>
      <c r="V747" s="360"/>
    </row>
    <row r="748" ht="12.75" customHeight="1">
      <c r="M748" s="359"/>
      <c r="N748" s="281"/>
      <c r="O748" s="358"/>
      <c r="Q748" s="359"/>
      <c r="R748" s="360"/>
      <c r="T748" s="372"/>
      <c r="U748" s="281"/>
      <c r="V748" s="360"/>
    </row>
    <row r="749" ht="12.75" customHeight="1">
      <c r="M749" s="359"/>
      <c r="N749" s="281"/>
      <c r="O749" s="358"/>
      <c r="Q749" s="359"/>
      <c r="R749" s="360"/>
      <c r="T749" s="372"/>
      <c r="U749" s="281"/>
      <c r="V749" s="360"/>
    </row>
    <row r="750" ht="12.75" customHeight="1">
      <c r="M750" s="359"/>
      <c r="N750" s="281"/>
      <c r="O750" s="358"/>
      <c r="Q750" s="359"/>
      <c r="R750" s="360"/>
      <c r="T750" s="372"/>
      <c r="U750" s="281"/>
      <c r="V750" s="360"/>
    </row>
    <row r="751" ht="12.75" customHeight="1">
      <c r="M751" s="359"/>
      <c r="N751" s="281"/>
      <c r="O751" s="358"/>
      <c r="Q751" s="359"/>
      <c r="R751" s="360"/>
      <c r="T751" s="372"/>
      <c r="U751" s="281"/>
      <c r="V751" s="360"/>
    </row>
    <row r="752" ht="12.75" customHeight="1">
      <c r="M752" s="359"/>
      <c r="N752" s="281"/>
      <c r="O752" s="358"/>
      <c r="Q752" s="359"/>
      <c r="R752" s="360"/>
      <c r="T752" s="372"/>
      <c r="U752" s="281"/>
      <c r="V752" s="360"/>
    </row>
    <row r="753" ht="12.75" customHeight="1">
      <c r="M753" s="359"/>
      <c r="N753" s="281"/>
      <c r="O753" s="358"/>
      <c r="Q753" s="359"/>
      <c r="R753" s="360"/>
      <c r="T753" s="372"/>
      <c r="U753" s="281"/>
      <c r="V753" s="360"/>
    </row>
    <row r="754" ht="12.75" customHeight="1">
      <c r="M754" s="359"/>
      <c r="N754" s="281"/>
      <c r="O754" s="358"/>
      <c r="Q754" s="359"/>
      <c r="R754" s="360"/>
      <c r="T754" s="372"/>
      <c r="U754" s="281"/>
      <c r="V754" s="360"/>
    </row>
    <row r="755" ht="12.75" customHeight="1">
      <c r="M755" s="359"/>
      <c r="N755" s="281"/>
      <c r="O755" s="358"/>
      <c r="Q755" s="359"/>
      <c r="R755" s="360"/>
      <c r="T755" s="372"/>
      <c r="U755" s="281"/>
      <c r="V755" s="360"/>
    </row>
    <row r="756" ht="12.75" customHeight="1">
      <c r="M756" s="359"/>
      <c r="N756" s="281"/>
      <c r="O756" s="358"/>
      <c r="Q756" s="359"/>
      <c r="R756" s="360"/>
      <c r="T756" s="372"/>
      <c r="U756" s="281"/>
      <c r="V756" s="360"/>
    </row>
    <row r="757" ht="12.75" customHeight="1">
      <c r="M757" s="359"/>
      <c r="N757" s="281"/>
      <c r="O757" s="358"/>
      <c r="Q757" s="359"/>
      <c r="R757" s="360"/>
      <c r="T757" s="372"/>
      <c r="U757" s="281"/>
      <c r="V757" s="360"/>
    </row>
    <row r="758" ht="12.75" customHeight="1">
      <c r="M758" s="359"/>
      <c r="N758" s="281"/>
      <c r="O758" s="358"/>
      <c r="Q758" s="359"/>
      <c r="R758" s="360"/>
      <c r="T758" s="372"/>
      <c r="U758" s="281"/>
      <c r="V758" s="360"/>
    </row>
    <row r="759" ht="12.75" customHeight="1">
      <c r="M759" s="359"/>
      <c r="N759" s="281"/>
      <c r="O759" s="358"/>
      <c r="Q759" s="359"/>
      <c r="R759" s="360"/>
      <c r="T759" s="372"/>
      <c r="U759" s="281"/>
      <c r="V759" s="360"/>
    </row>
    <row r="760" ht="12.75" customHeight="1">
      <c r="M760" s="359"/>
      <c r="N760" s="281"/>
      <c r="O760" s="358"/>
      <c r="Q760" s="359"/>
      <c r="R760" s="360"/>
      <c r="T760" s="372"/>
      <c r="U760" s="281"/>
      <c r="V760" s="360"/>
    </row>
    <row r="761" ht="12.75" customHeight="1">
      <c r="M761" s="359"/>
      <c r="N761" s="281"/>
      <c r="O761" s="358"/>
      <c r="Q761" s="359"/>
      <c r="R761" s="360"/>
      <c r="T761" s="372"/>
      <c r="U761" s="281"/>
      <c r="V761" s="360"/>
    </row>
    <row r="762" ht="12.75" customHeight="1">
      <c r="M762" s="359"/>
      <c r="N762" s="281"/>
      <c r="O762" s="358"/>
      <c r="Q762" s="359"/>
      <c r="R762" s="360"/>
      <c r="T762" s="372"/>
      <c r="U762" s="281"/>
      <c r="V762" s="360"/>
    </row>
    <row r="763" ht="12.75" customHeight="1">
      <c r="M763" s="359"/>
      <c r="N763" s="281"/>
      <c r="O763" s="358"/>
      <c r="Q763" s="359"/>
      <c r="R763" s="360"/>
      <c r="T763" s="372"/>
      <c r="U763" s="281"/>
      <c r="V763" s="360"/>
    </row>
    <row r="764" ht="12.75" customHeight="1">
      <c r="M764" s="359"/>
      <c r="N764" s="281"/>
      <c r="O764" s="358"/>
      <c r="Q764" s="359"/>
      <c r="R764" s="360"/>
      <c r="T764" s="372"/>
      <c r="U764" s="281"/>
      <c r="V764" s="360"/>
    </row>
    <row r="765" ht="12.75" customHeight="1">
      <c r="M765" s="359"/>
      <c r="N765" s="281"/>
      <c r="O765" s="358"/>
      <c r="Q765" s="359"/>
      <c r="R765" s="360"/>
      <c r="T765" s="372"/>
      <c r="U765" s="281"/>
      <c r="V765" s="360"/>
    </row>
    <row r="766" ht="12.75" customHeight="1">
      <c r="M766" s="359"/>
      <c r="N766" s="281"/>
      <c r="O766" s="358"/>
      <c r="Q766" s="359"/>
      <c r="R766" s="360"/>
      <c r="T766" s="372"/>
      <c r="U766" s="281"/>
      <c r="V766" s="360"/>
    </row>
    <row r="767" ht="12.75" customHeight="1">
      <c r="M767" s="359"/>
      <c r="N767" s="281"/>
      <c r="O767" s="358"/>
      <c r="Q767" s="359"/>
      <c r="R767" s="360"/>
      <c r="T767" s="372"/>
      <c r="U767" s="281"/>
      <c r="V767" s="360"/>
    </row>
    <row r="768" ht="12.75" customHeight="1">
      <c r="M768" s="359"/>
      <c r="N768" s="281"/>
      <c r="O768" s="358"/>
      <c r="Q768" s="359"/>
      <c r="R768" s="360"/>
      <c r="T768" s="372"/>
      <c r="U768" s="281"/>
      <c r="V768" s="360"/>
    </row>
    <row r="769" ht="12.75" customHeight="1">
      <c r="M769" s="359"/>
      <c r="N769" s="281"/>
      <c r="O769" s="358"/>
      <c r="Q769" s="359"/>
      <c r="R769" s="360"/>
      <c r="T769" s="372"/>
      <c r="U769" s="281"/>
      <c r="V769" s="360"/>
    </row>
    <row r="770" ht="12.75" customHeight="1">
      <c r="M770" s="359"/>
      <c r="N770" s="281"/>
      <c r="O770" s="358"/>
      <c r="Q770" s="359"/>
      <c r="R770" s="360"/>
      <c r="T770" s="372"/>
      <c r="U770" s="281"/>
      <c r="V770" s="360"/>
    </row>
    <row r="771" ht="12.75" customHeight="1">
      <c r="M771" s="359"/>
      <c r="N771" s="281"/>
      <c r="O771" s="358"/>
      <c r="Q771" s="359"/>
      <c r="R771" s="360"/>
      <c r="T771" s="372"/>
      <c r="U771" s="281"/>
      <c r="V771" s="360"/>
    </row>
    <row r="772" ht="12.75" customHeight="1">
      <c r="M772" s="359"/>
      <c r="N772" s="281"/>
      <c r="O772" s="358"/>
      <c r="Q772" s="359"/>
      <c r="R772" s="360"/>
      <c r="T772" s="372"/>
      <c r="U772" s="281"/>
      <c r="V772" s="360"/>
    </row>
    <row r="773" ht="12.75" customHeight="1">
      <c r="M773" s="359"/>
      <c r="N773" s="281"/>
      <c r="O773" s="358"/>
      <c r="Q773" s="359"/>
      <c r="R773" s="360"/>
      <c r="T773" s="372"/>
      <c r="U773" s="281"/>
      <c r="V773" s="360"/>
    </row>
    <row r="774" ht="12.75" customHeight="1">
      <c r="M774" s="359"/>
      <c r="N774" s="281"/>
      <c r="O774" s="358"/>
      <c r="Q774" s="359"/>
      <c r="R774" s="360"/>
      <c r="T774" s="372"/>
      <c r="U774" s="281"/>
      <c r="V774" s="360"/>
    </row>
    <row r="775" ht="12.75" customHeight="1">
      <c r="M775" s="359"/>
      <c r="N775" s="281"/>
      <c r="O775" s="358"/>
      <c r="Q775" s="359"/>
      <c r="R775" s="360"/>
      <c r="T775" s="372"/>
      <c r="U775" s="281"/>
      <c r="V775" s="360"/>
    </row>
    <row r="776" ht="12.75" customHeight="1">
      <c r="M776" s="359"/>
      <c r="N776" s="281"/>
      <c r="O776" s="358"/>
      <c r="Q776" s="359"/>
      <c r="R776" s="360"/>
      <c r="T776" s="372"/>
      <c r="U776" s="281"/>
      <c r="V776" s="360"/>
    </row>
    <row r="777" ht="12.75" customHeight="1">
      <c r="M777" s="359"/>
      <c r="N777" s="281"/>
      <c r="O777" s="358"/>
      <c r="Q777" s="359"/>
      <c r="R777" s="360"/>
      <c r="T777" s="372"/>
      <c r="U777" s="281"/>
      <c r="V777" s="360"/>
    </row>
    <row r="778" ht="12.75" customHeight="1">
      <c r="M778" s="359"/>
      <c r="N778" s="281"/>
      <c r="O778" s="358"/>
      <c r="Q778" s="359"/>
      <c r="R778" s="360"/>
      <c r="T778" s="372"/>
      <c r="U778" s="281"/>
      <c r="V778" s="360"/>
    </row>
    <row r="779" ht="12.75" customHeight="1">
      <c r="M779" s="359"/>
      <c r="N779" s="281"/>
      <c r="O779" s="358"/>
      <c r="Q779" s="359"/>
      <c r="R779" s="360"/>
      <c r="T779" s="372"/>
      <c r="U779" s="281"/>
      <c r="V779" s="360"/>
    </row>
    <row r="780" ht="12.75" customHeight="1">
      <c r="M780" s="359"/>
      <c r="N780" s="281"/>
      <c r="O780" s="358"/>
      <c r="Q780" s="359"/>
      <c r="R780" s="360"/>
      <c r="T780" s="372"/>
      <c r="U780" s="281"/>
      <c r="V780" s="360"/>
    </row>
    <row r="781" ht="12.75" customHeight="1">
      <c r="M781" s="359"/>
      <c r="N781" s="281"/>
      <c r="O781" s="358"/>
      <c r="Q781" s="359"/>
      <c r="R781" s="360"/>
      <c r="T781" s="372"/>
      <c r="U781" s="281"/>
      <c r="V781" s="360"/>
    </row>
    <row r="782" ht="12.75" customHeight="1">
      <c r="M782" s="359"/>
      <c r="N782" s="281"/>
      <c r="O782" s="358"/>
      <c r="Q782" s="359"/>
      <c r="R782" s="360"/>
      <c r="T782" s="372"/>
      <c r="U782" s="281"/>
      <c r="V782" s="360"/>
    </row>
    <row r="783" ht="12.75" customHeight="1">
      <c r="M783" s="359"/>
      <c r="N783" s="281"/>
      <c r="O783" s="358"/>
      <c r="Q783" s="359"/>
      <c r="R783" s="360"/>
      <c r="T783" s="372"/>
      <c r="U783" s="281"/>
      <c r="V783" s="360"/>
    </row>
    <row r="784" ht="12.75" customHeight="1">
      <c r="M784" s="359"/>
      <c r="N784" s="281"/>
      <c r="O784" s="358"/>
      <c r="Q784" s="359"/>
      <c r="R784" s="360"/>
      <c r="T784" s="372"/>
      <c r="U784" s="281"/>
      <c r="V784" s="360"/>
    </row>
    <row r="785" ht="12.75" customHeight="1">
      <c r="M785" s="359"/>
      <c r="N785" s="281"/>
      <c r="O785" s="358"/>
      <c r="Q785" s="359"/>
      <c r="R785" s="360"/>
      <c r="T785" s="372"/>
      <c r="U785" s="281"/>
      <c r="V785" s="360"/>
    </row>
    <row r="786" ht="12.75" customHeight="1">
      <c r="M786" s="359"/>
      <c r="N786" s="281"/>
      <c r="O786" s="358"/>
      <c r="Q786" s="359"/>
      <c r="R786" s="360"/>
      <c r="T786" s="372"/>
      <c r="U786" s="281"/>
      <c r="V786" s="360"/>
    </row>
    <row r="787" ht="12.75" customHeight="1">
      <c r="M787" s="359"/>
      <c r="N787" s="281"/>
      <c r="O787" s="358"/>
      <c r="Q787" s="359"/>
      <c r="R787" s="360"/>
      <c r="T787" s="372"/>
      <c r="U787" s="281"/>
      <c r="V787" s="360"/>
    </row>
    <row r="788" ht="12.75" customHeight="1">
      <c r="M788" s="359"/>
      <c r="N788" s="281"/>
      <c r="O788" s="358"/>
      <c r="Q788" s="359"/>
      <c r="R788" s="360"/>
      <c r="T788" s="372"/>
      <c r="U788" s="281"/>
      <c r="V788" s="360"/>
    </row>
    <row r="789" ht="12.75" customHeight="1">
      <c r="M789" s="359"/>
      <c r="N789" s="281"/>
      <c r="O789" s="358"/>
      <c r="Q789" s="359"/>
      <c r="R789" s="360"/>
      <c r="T789" s="372"/>
      <c r="U789" s="281"/>
      <c r="V789" s="360"/>
    </row>
    <row r="790" ht="12.75" customHeight="1">
      <c r="M790" s="359"/>
      <c r="N790" s="281"/>
      <c r="O790" s="358"/>
      <c r="Q790" s="359"/>
      <c r="R790" s="360"/>
      <c r="T790" s="372"/>
      <c r="U790" s="281"/>
      <c r="V790" s="360"/>
    </row>
    <row r="791" ht="12.75" customHeight="1">
      <c r="M791" s="359"/>
      <c r="N791" s="281"/>
      <c r="O791" s="358"/>
      <c r="Q791" s="359"/>
      <c r="R791" s="360"/>
      <c r="T791" s="372"/>
      <c r="U791" s="281"/>
      <c r="V791" s="360"/>
    </row>
    <row r="792" ht="12.75" customHeight="1">
      <c r="M792" s="359"/>
      <c r="N792" s="281"/>
      <c r="O792" s="358"/>
      <c r="Q792" s="359"/>
      <c r="R792" s="360"/>
      <c r="T792" s="372"/>
      <c r="U792" s="281"/>
      <c r="V792" s="360"/>
    </row>
    <row r="793" ht="12.75" customHeight="1">
      <c r="M793" s="359"/>
      <c r="N793" s="281"/>
      <c r="O793" s="358"/>
      <c r="Q793" s="359"/>
      <c r="R793" s="360"/>
      <c r="T793" s="372"/>
      <c r="U793" s="281"/>
      <c r="V793" s="360"/>
    </row>
    <row r="794" ht="12.75" customHeight="1">
      <c r="M794" s="359"/>
      <c r="N794" s="281"/>
      <c r="O794" s="358"/>
      <c r="Q794" s="359"/>
      <c r="R794" s="360"/>
      <c r="T794" s="372"/>
      <c r="U794" s="281"/>
      <c r="V794" s="360"/>
    </row>
    <row r="795" ht="12.75" customHeight="1">
      <c r="M795" s="359"/>
      <c r="N795" s="281"/>
      <c r="O795" s="358"/>
      <c r="Q795" s="359"/>
      <c r="R795" s="360"/>
      <c r="T795" s="372"/>
      <c r="U795" s="281"/>
      <c r="V795" s="360"/>
    </row>
    <row r="796" ht="12.75" customHeight="1">
      <c r="M796" s="359"/>
      <c r="N796" s="281"/>
      <c r="O796" s="358"/>
      <c r="Q796" s="359"/>
      <c r="R796" s="360"/>
      <c r="T796" s="372"/>
      <c r="U796" s="281"/>
      <c r="V796" s="360"/>
    </row>
    <row r="797" ht="12.75" customHeight="1">
      <c r="M797" s="359"/>
      <c r="N797" s="281"/>
      <c r="O797" s="358"/>
      <c r="Q797" s="359"/>
      <c r="R797" s="360"/>
      <c r="T797" s="372"/>
      <c r="U797" s="281"/>
      <c r="V797" s="360"/>
    </row>
    <row r="798" ht="12.75" customHeight="1">
      <c r="M798" s="359"/>
      <c r="N798" s="281"/>
      <c r="O798" s="358"/>
      <c r="Q798" s="359"/>
      <c r="R798" s="360"/>
      <c r="T798" s="372"/>
      <c r="U798" s="281"/>
      <c r="V798" s="360"/>
    </row>
    <row r="799" ht="12.75" customHeight="1">
      <c r="M799" s="359"/>
      <c r="N799" s="281"/>
      <c r="O799" s="358"/>
      <c r="Q799" s="359"/>
      <c r="R799" s="360"/>
      <c r="T799" s="372"/>
      <c r="U799" s="281"/>
      <c r="V799" s="360"/>
    </row>
    <row r="800" ht="12.75" customHeight="1">
      <c r="M800" s="359"/>
      <c r="N800" s="281"/>
      <c r="O800" s="358"/>
      <c r="Q800" s="359"/>
      <c r="R800" s="360"/>
      <c r="T800" s="372"/>
      <c r="U800" s="281"/>
      <c r="V800" s="360"/>
    </row>
    <row r="801" ht="12.75" customHeight="1">
      <c r="M801" s="359"/>
      <c r="N801" s="281"/>
      <c r="O801" s="358"/>
      <c r="Q801" s="359"/>
      <c r="R801" s="360"/>
      <c r="T801" s="372"/>
      <c r="U801" s="281"/>
      <c r="V801" s="360"/>
    </row>
    <row r="802" ht="12.75" customHeight="1">
      <c r="M802" s="359"/>
      <c r="N802" s="281"/>
      <c r="O802" s="358"/>
      <c r="Q802" s="359"/>
      <c r="R802" s="360"/>
      <c r="T802" s="372"/>
      <c r="U802" s="281"/>
      <c r="V802" s="360"/>
    </row>
    <row r="803" ht="12.75" customHeight="1">
      <c r="M803" s="359"/>
      <c r="N803" s="281"/>
      <c r="O803" s="358"/>
      <c r="Q803" s="359"/>
      <c r="R803" s="360"/>
      <c r="T803" s="372"/>
      <c r="U803" s="281"/>
      <c r="V803" s="360"/>
    </row>
    <row r="804" ht="12.75" customHeight="1">
      <c r="M804" s="359"/>
      <c r="N804" s="281"/>
      <c r="O804" s="358"/>
      <c r="Q804" s="359"/>
      <c r="R804" s="360"/>
      <c r="T804" s="372"/>
      <c r="U804" s="281"/>
      <c r="V804" s="360"/>
    </row>
    <row r="805" ht="12.75" customHeight="1">
      <c r="M805" s="359"/>
      <c r="N805" s="281"/>
      <c r="O805" s="358"/>
      <c r="Q805" s="359"/>
      <c r="R805" s="360"/>
      <c r="T805" s="372"/>
      <c r="U805" s="281"/>
      <c r="V805" s="360"/>
    </row>
    <row r="806" ht="12.75" customHeight="1">
      <c r="M806" s="359"/>
      <c r="N806" s="281"/>
      <c r="O806" s="358"/>
      <c r="Q806" s="359"/>
      <c r="R806" s="360"/>
      <c r="T806" s="372"/>
      <c r="U806" s="281"/>
      <c r="V806" s="360"/>
    </row>
    <row r="807" ht="12.75" customHeight="1">
      <c r="M807" s="359"/>
      <c r="N807" s="281"/>
      <c r="O807" s="358"/>
      <c r="Q807" s="359"/>
      <c r="R807" s="360"/>
      <c r="T807" s="372"/>
      <c r="U807" s="281"/>
      <c r="V807" s="360"/>
    </row>
    <row r="808" ht="12.75" customHeight="1">
      <c r="M808" s="359"/>
      <c r="N808" s="281"/>
      <c r="O808" s="358"/>
      <c r="Q808" s="359"/>
      <c r="R808" s="360"/>
      <c r="T808" s="372"/>
      <c r="U808" s="281"/>
      <c r="V808" s="360"/>
    </row>
    <row r="809" ht="12.75" customHeight="1">
      <c r="M809" s="359"/>
      <c r="N809" s="281"/>
      <c r="O809" s="358"/>
      <c r="Q809" s="359"/>
      <c r="R809" s="360"/>
      <c r="T809" s="372"/>
      <c r="U809" s="281"/>
      <c r="V809" s="360"/>
    </row>
    <row r="810" ht="12.75" customHeight="1">
      <c r="M810" s="359"/>
      <c r="N810" s="281"/>
      <c r="O810" s="358"/>
      <c r="Q810" s="359"/>
      <c r="R810" s="360"/>
      <c r="T810" s="372"/>
      <c r="U810" s="281"/>
      <c r="V810" s="360"/>
    </row>
    <row r="811" ht="12.75" customHeight="1">
      <c r="M811" s="359"/>
      <c r="N811" s="281"/>
      <c r="O811" s="358"/>
      <c r="Q811" s="359"/>
      <c r="R811" s="360"/>
      <c r="T811" s="372"/>
      <c r="U811" s="281"/>
      <c r="V811" s="360"/>
    </row>
    <row r="812" ht="12.75" customHeight="1">
      <c r="M812" s="359"/>
      <c r="N812" s="281"/>
      <c r="O812" s="358"/>
      <c r="Q812" s="359"/>
      <c r="R812" s="360"/>
      <c r="T812" s="372"/>
      <c r="U812" s="281"/>
      <c r="V812" s="360"/>
    </row>
    <row r="813" ht="12.75" customHeight="1">
      <c r="M813" s="359"/>
      <c r="N813" s="281"/>
      <c r="O813" s="358"/>
      <c r="Q813" s="359"/>
      <c r="R813" s="360"/>
      <c r="T813" s="372"/>
      <c r="U813" s="281"/>
      <c r="V813" s="360"/>
    </row>
    <row r="814" ht="12.75" customHeight="1">
      <c r="M814" s="359"/>
      <c r="N814" s="281"/>
      <c r="O814" s="358"/>
      <c r="Q814" s="359"/>
      <c r="R814" s="360"/>
      <c r="T814" s="372"/>
      <c r="U814" s="281"/>
      <c r="V814" s="360"/>
    </row>
    <row r="815" ht="12.75" customHeight="1">
      <c r="M815" s="359"/>
      <c r="N815" s="281"/>
      <c r="O815" s="358"/>
      <c r="Q815" s="359"/>
      <c r="R815" s="360"/>
      <c r="T815" s="372"/>
      <c r="U815" s="281"/>
      <c r="V815" s="360"/>
    </row>
    <row r="816" ht="12.75" customHeight="1">
      <c r="M816" s="359"/>
      <c r="N816" s="281"/>
      <c r="O816" s="358"/>
      <c r="Q816" s="359"/>
      <c r="R816" s="360"/>
      <c r="T816" s="372"/>
      <c r="U816" s="281"/>
      <c r="V816" s="360"/>
    </row>
    <row r="817" ht="12.75" customHeight="1">
      <c r="M817" s="359"/>
      <c r="N817" s="281"/>
      <c r="O817" s="358"/>
      <c r="Q817" s="359"/>
      <c r="R817" s="360"/>
      <c r="T817" s="372"/>
      <c r="U817" s="281"/>
      <c r="V817" s="360"/>
    </row>
    <row r="818" ht="12.75" customHeight="1">
      <c r="M818" s="359"/>
      <c r="N818" s="281"/>
      <c r="O818" s="358"/>
      <c r="Q818" s="359"/>
      <c r="R818" s="360"/>
      <c r="T818" s="372"/>
      <c r="U818" s="281"/>
      <c r="V818" s="360"/>
    </row>
    <row r="819" ht="12.75" customHeight="1">
      <c r="M819" s="359"/>
      <c r="N819" s="281"/>
      <c r="O819" s="358"/>
      <c r="Q819" s="359"/>
      <c r="R819" s="360"/>
      <c r="T819" s="372"/>
      <c r="U819" s="281"/>
      <c r="V819" s="360"/>
    </row>
    <row r="820" ht="12.75" customHeight="1">
      <c r="M820" s="359"/>
      <c r="N820" s="281"/>
      <c r="O820" s="358"/>
      <c r="Q820" s="359"/>
      <c r="R820" s="360"/>
      <c r="T820" s="372"/>
      <c r="U820" s="281"/>
      <c r="V820" s="360"/>
    </row>
    <row r="821" ht="12.75" customHeight="1">
      <c r="M821" s="359"/>
      <c r="N821" s="281"/>
      <c r="O821" s="358"/>
      <c r="Q821" s="359"/>
      <c r="R821" s="360"/>
      <c r="T821" s="372"/>
      <c r="U821" s="281"/>
      <c r="V821" s="360"/>
    </row>
    <row r="822" ht="12.75" customHeight="1">
      <c r="M822" s="359"/>
      <c r="N822" s="281"/>
      <c r="O822" s="358"/>
      <c r="Q822" s="359"/>
      <c r="R822" s="360"/>
      <c r="T822" s="372"/>
      <c r="U822" s="281"/>
      <c r="V822" s="360"/>
    </row>
    <row r="823" ht="12.75" customHeight="1">
      <c r="M823" s="359"/>
      <c r="N823" s="281"/>
      <c r="O823" s="358"/>
      <c r="Q823" s="359"/>
      <c r="R823" s="360"/>
      <c r="T823" s="372"/>
      <c r="U823" s="281"/>
      <c r="V823" s="360"/>
    </row>
    <row r="824" ht="12.75" customHeight="1">
      <c r="M824" s="359"/>
      <c r="N824" s="281"/>
      <c r="O824" s="358"/>
      <c r="Q824" s="359"/>
      <c r="R824" s="360"/>
      <c r="T824" s="372"/>
      <c r="U824" s="281"/>
      <c r="V824" s="360"/>
    </row>
    <row r="825" ht="12.75" customHeight="1">
      <c r="M825" s="359"/>
      <c r="N825" s="281"/>
      <c r="O825" s="358"/>
      <c r="Q825" s="359"/>
      <c r="R825" s="360"/>
      <c r="T825" s="372"/>
      <c r="U825" s="281"/>
      <c r="V825" s="360"/>
    </row>
    <row r="826" ht="12.75" customHeight="1">
      <c r="M826" s="359"/>
      <c r="N826" s="281"/>
      <c r="O826" s="358"/>
      <c r="Q826" s="359"/>
      <c r="R826" s="360"/>
      <c r="T826" s="372"/>
      <c r="U826" s="281"/>
      <c r="V826" s="360"/>
    </row>
    <row r="827" ht="12.75" customHeight="1">
      <c r="M827" s="359"/>
      <c r="N827" s="281"/>
      <c r="O827" s="358"/>
      <c r="Q827" s="359"/>
      <c r="R827" s="360"/>
      <c r="T827" s="372"/>
      <c r="U827" s="281"/>
      <c r="V827" s="360"/>
    </row>
    <row r="828" ht="12.75" customHeight="1">
      <c r="M828" s="359"/>
      <c r="N828" s="281"/>
      <c r="O828" s="358"/>
      <c r="Q828" s="359"/>
      <c r="R828" s="360"/>
      <c r="T828" s="372"/>
      <c r="U828" s="281"/>
      <c r="V828" s="360"/>
    </row>
    <row r="829" ht="12.75" customHeight="1">
      <c r="M829" s="359"/>
      <c r="N829" s="281"/>
      <c r="O829" s="358"/>
      <c r="Q829" s="359"/>
      <c r="R829" s="360"/>
      <c r="T829" s="372"/>
      <c r="U829" s="281"/>
      <c r="V829" s="360"/>
    </row>
    <row r="830" ht="12.75" customHeight="1">
      <c r="M830" s="359"/>
      <c r="N830" s="281"/>
      <c r="O830" s="358"/>
      <c r="Q830" s="359"/>
      <c r="R830" s="360"/>
      <c r="T830" s="372"/>
      <c r="U830" s="281"/>
      <c r="V830" s="360"/>
    </row>
    <row r="831" ht="12.75" customHeight="1">
      <c r="M831" s="359"/>
      <c r="N831" s="281"/>
      <c r="O831" s="358"/>
      <c r="Q831" s="359"/>
      <c r="R831" s="360"/>
      <c r="T831" s="372"/>
      <c r="U831" s="281"/>
      <c r="V831" s="360"/>
    </row>
    <row r="832" ht="12.75" customHeight="1">
      <c r="M832" s="359"/>
      <c r="N832" s="281"/>
      <c r="O832" s="358"/>
      <c r="Q832" s="359"/>
      <c r="R832" s="360"/>
      <c r="T832" s="372"/>
      <c r="U832" s="281"/>
      <c r="V832" s="360"/>
    </row>
    <row r="833" ht="12.75" customHeight="1">
      <c r="M833" s="359"/>
      <c r="N833" s="281"/>
      <c r="O833" s="358"/>
      <c r="Q833" s="359"/>
      <c r="R833" s="360"/>
      <c r="T833" s="372"/>
      <c r="U833" s="281"/>
      <c r="V833" s="360"/>
    </row>
    <row r="834" ht="12.75" customHeight="1">
      <c r="M834" s="359"/>
      <c r="N834" s="281"/>
      <c r="O834" s="358"/>
      <c r="Q834" s="359"/>
      <c r="R834" s="360"/>
      <c r="T834" s="372"/>
      <c r="U834" s="281"/>
      <c r="V834" s="360"/>
    </row>
    <row r="835" ht="12.75" customHeight="1">
      <c r="M835" s="359"/>
      <c r="N835" s="281"/>
      <c r="O835" s="358"/>
      <c r="Q835" s="359"/>
      <c r="R835" s="360"/>
      <c r="T835" s="372"/>
      <c r="U835" s="281"/>
      <c r="V835" s="360"/>
    </row>
    <row r="836" ht="12.75" customHeight="1">
      <c r="M836" s="359"/>
      <c r="N836" s="281"/>
      <c r="O836" s="358"/>
      <c r="Q836" s="359"/>
      <c r="R836" s="360"/>
      <c r="T836" s="372"/>
      <c r="U836" s="281"/>
      <c r="V836" s="360"/>
    </row>
    <row r="837" ht="12.75" customHeight="1">
      <c r="M837" s="359"/>
      <c r="N837" s="281"/>
      <c r="O837" s="358"/>
      <c r="Q837" s="359"/>
      <c r="R837" s="360"/>
      <c r="T837" s="372"/>
      <c r="U837" s="281"/>
      <c r="V837" s="360"/>
    </row>
    <row r="838" ht="12.75" customHeight="1">
      <c r="M838" s="359"/>
      <c r="N838" s="281"/>
      <c r="O838" s="358"/>
      <c r="Q838" s="359"/>
      <c r="R838" s="360"/>
      <c r="T838" s="372"/>
      <c r="U838" s="281"/>
      <c r="V838" s="360"/>
    </row>
    <row r="839" ht="12.75" customHeight="1">
      <c r="M839" s="359"/>
      <c r="N839" s="281"/>
      <c r="O839" s="358"/>
      <c r="Q839" s="359"/>
      <c r="R839" s="360"/>
      <c r="T839" s="372"/>
      <c r="U839" s="281"/>
      <c r="V839" s="360"/>
    </row>
    <row r="840" ht="12.75" customHeight="1">
      <c r="M840" s="359"/>
      <c r="N840" s="281"/>
      <c r="O840" s="358"/>
      <c r="Q840" s="359"/>
      <c r="R840" s="360"/>
      <c r="T840" s="372"/>
      <c r="U840" s="281"/>
      <c r="V840" s="360"/>
    </row>
    <row r="841" ht="12.75" customHeight="1">
      <c r="M841" s="359"/>
      <c r="N841" s="281"/>
      <c r="O841" s="358"/>
      <c r="Q841" s="359"/>
      <c r="R841" s="360"/>
      <c r="T841" s="372"/>
      <c r="U841" s="281"/>
      <c r="V841" s="360"/>
    </row>
    <row r="842" ht="12.75" customHeight="1">
      <c r="M842" s="359"/>
      <c r="N842" s="281"/>
      <c r="O842" s="358"/>
      <c r="Q842" s="359"/>
      <c r="R842" s="360"/>
      <c r="T842" s="372"/>
      <c r="U842" s="281"/>
      <c r="V842" s="360"/>
    </row>
    <row r="843" ht="12.75" customHeight="1">
      <c r="M843" s="359"/>
      <c r="N843" s="281"/>
      <c r="O843" s="358"/>
      <c r="Q843" s="359"/>
      <c r="R843" s="360"/>
      <c r="T843" s="372"/>
      <c r="U843" s="281"/>
      <c r="V843" s="360"/>
    </row>
    <row r="844" ht="12.75" customHeight="1">
      <c r="M844" s="359"/>
      <c r="N844" s="281"/>
      <c r="O844" s="358"/>
      <c r="Q844" s="359"/>
      <c r="R844" s="360"/>
      <c r="T844" s="372"/>
      <c r="U844" s="281"/>
      <c r="V844" s="360"/>
    </row>
    <row r="845" ht="12.75" customHeight="1">
      <c r="M845" s="359"/>
      <c r="N845" s="281"/>
      <c r="O845" s="358"/>
      <c r="Q845" s="359"/>
      <c r="R845" s="360"/>
      <c r="T845" s="372"/>
      <c r="U845" s="281"/>
      <c r="V845" s="360"/>
    </row>
    <row r="846" ht="12.75" customHeight="1">
      <c r="M846" s="359"/>
      <c r="N846" s="281"/>
      <c r="O846" s="358"/>
      <c r="Q846" s="359"/>
      <c r="R846" s="360"/>
      <c r="T846" s="372"/>
      <c r="U846" s="281"/>
      <c r="V846" s="360"/>
    </row>
    <row r="847" ht="12.75" customHeight="1">
      <c r="M847" s="359"/>
      <c r="N847" s="281"/>
      <c r="O847" s="358"/>
      <c r="Q847" s="359"/>
      <c r="R847" s="360"/>
      <c r="T847" s="372"/>
      <c r="U847" s="281"/>
      <c r="V847" s="360"/>
    </row>
    <row r="848" ht="12.75" customHeight="1">
      <c r="M848" s="359"/>
      <c r="N848" s="281"/>
      <c r="O848" s="358"/>
      <c r="Q848" s="359"/>
      <c r="R848" s="360"/>
      <c r="T848" s="372"/>
      <c r="U848" s="281"/>
      <c r="V848" s="360"/>
    </row>
    <row r="849" ht="12.75" customHeight="1">
      <c r="M849" s="359"/>
      <c r="N849" s="281"/>
      <c r="O849" s="358"/>
      <c r="Q849" s="359"/>
      <c r="R849" s="360"/>
      <c r="T849" s="372"/>
      <c r="U849" s="281"/>
      <c r="V849" s="360"/>
    </row>
    <row r="850" ht="12.75" customHeight="1">
      <c r="M850" s="359"/>
      <c r="N850" s="281"/>
      <c r="O850" s="358"/>
      <c r="Q850" s="359"/>
      <c r="R850" s="360"/>
      <c r="T850" s="372"/>
      <c r="U850" s="281"/>
      <c r="V850" s="360"/>
    </row>
    <row r="851" ht="12.75" customHeight="1">
      <c r="M851" s="359"/>
      <c r="N851" s="281"/>
      <c r="O851" s="358"/>
      <c r="Q851" s="359"/>
      <c r="R851" s="360"/>
      <c r="T851" s="372"/>
      <c r="U851" s="281"/>
      <c r="V851" s="360"/>
    </row>
    <row r="852" ht="12.75" customHeight="1">
      <c r="M852" s="359"/>
      <c r="N852" s="281"/>
      <c r="O852" s="358"/>
      <c r="Q852" s="359"/>
      <c r="R852" s="360"/>
      <c r="T852" s="372"/>
      <c r="U852" s="281"/>
      <c r="V852" s="360"/>
    </row>
    <row r="853" ht="12.75" customHeight="1">
      <c r="M853" s="359"/>
      <c r="N853" s="281"/>
      <c r="O853" s="358"/>
      <c r="Q853" s="359"/>
      <c r="R853" s="360"/>
      <c r="T853" s="372"/>
      <c r="U853" s="281"/>
      <c r="V853" s="360"/>
    </row>
    <row r="854" ht="12.75" customHeight="1">
      <c r="M854" s="359"/>
      <c r="N854" s="281"/>
      <c r="O854" s="358"/>
      <c r="Q854" s="359"/>
      <c r="R854" s="360"/>
      <c r="T854" s="372"/>
      <c r="U854" s="281"/>
      <c r="V854" s="360"/>
    </row>
    <row r="855" ht="12.75" customHeight="1">
      <c r="M855" s="359"/>
      <c r="N855" s="281"/>
      <c r="O855" s="358"/>
      <c r="Q855" s="359"/>
      <c r="R855" s="360"/>
      <c r="T855" s="372"/>
      <c r="U855" s="281"/>
      <c r="V855" s="360"/>
    </row>
    <row r="856" ht="12.75" customHeight="1">
      <c r="M856" s="359"/>
      <c r="N856" s="281"/>
      <c r="O856" s="358"/>
      <c r="Q856" s="359"/>
      <c r="R856" s="360"/>
      <c r="T856" s="372"/>
      <c r="U856" s="281"/>
      <c r="V856" s="360"/>
    </row>
    <row r="857" ht="12.75" customHeight="1">
      <c r="M857" s="359"/>
      <c r="N857" s="281"/>
      <c r="O857" s="358"/>
      <c r="Q857" s="359"/>
      <c r="R857" s="360"/>
      <c r="T857" s="372"/>
      <c r="U857" s="281"/>
      <c r="V857" s="360"/>
    </row>
    <row r="858" ht="12.75" customHeight="1">
      <c r="M858" s="359"/>
      <c r="N858" s="281"/>
      <c r="O858" s="358"/>
      <c r="Q858" s="359"/>
      <c r="R858" s="360"/>
      <c r="T858" s="372"/>
      <c r="U858" s="281"/>
      <c r="V858" s="360"/>
    </row>
    <row r="859" ht="12.75" customHeight="1">
      <c r="M859" s="359"/>
      <c r="N859" s="281"/>
      <c r="O859" s="358"/>
      <c r="Q859" s="359"/>
      <c r="R859" s="360"/>
      <c r="T859" s="372"/>
      <c r="U859" s="281"/>
      <c r="V859" s="360"/>
    </row>
    <row r="860" ht="12.75" customHeight="1">
      <c r="M860" s="359"/>
      <c r="N860" s="281"/>
      <c r="O860" s="358"/>
      <c r="Q860" s="359"/>
      <c r="R860" s="360"/>
      <c r="T860" s="372"/>
      <c r="U860" s="281"/>
      <c r="V860" s="360"/>
    </row>
    <row r="861" ht="12.75" customHeight="1">
      <c r="M861" s="359"/>
      <c r="N861" s="281"/>
      <c r="O861" s="358"/>
      <c r="Q861" s="359"/>
      <c r="R861" s="360"/>
      <c r="T861" s="372"/>
      <c r="U861" s="281"/>
      <c r="V861" s="360"/>
    </row>
    <row r="862" ht="12.75" customHeight="1">
      <c r="M862" s="359"/>
      <c r="N862" s="281"/>
      <c r="O862" s="358"/>
      <c r="Q862" s="359"/>
      <c r="R862" s="360"/>
      <c r="T862" s="372"/>
      <c r="U862" s="281"/>
      <c r="V862" s="360"/>
    </row>
    <row r="863" ht="12.75" customHeight="1">
      <c r="M863" s="359"/>
      <c r="N863" s="281"/>
      <c r="O863" s="358"/>
      <c r="Q863" s="359"/>
      <c r="R863" s="360"/>
      <c r="T863" s="372"/>
      <c r="U863" s="281"/>
      <c r="V863" s="360"/>
    </row>
    <row r="864" ht="12.75" customHeight="1">
      <c r="M864" s="359"/>
      <c r="N864" s="281"/>
      <c r="O864" s="358"/>
      <c r="Q864" s="359"/>
      <c r="R864" s="360"/>
      <c r="T864" s="372"/>
      <c r="U864" s="281"/>
      <c r="V864" s="360"/>
    </row>
    <row r="865" ht="12.75" customHeight="1">
      <c r="M865" s="359"/>
      <c r="N865" s="281"/>
      <c r="O865" s="358"/>
      <c r="Q865" s="359"/>
      <c r="R865" s="360"/>
      <c r="T865" s="372"/>
      <c r="U865" s="281"/>
      <c r="V865" s="360"/>
    </row>
    <row r="866" ht="12.75" customHeight="1">
      <c r="M866" s="359"/>
      <c r="N866" s="281"/>
      <c r="O866" s="358"/>
      <c r="Q866" s="359"/>
      <c r="R866" s="360"/>
      <c r="T866" s="372"/>
      <c r="U866" s="281"/>
      <c r="V866" s="360"/>
    </row>
    <row r="867" ht="12.75" customHeight="1">
      <c r="M867" s="359"/>
      <c r="N867" s="281"/>
      <c r="O867" s="358"/>
      <c r="Q867" s="359"/>
      <c r="R867" s="360"/>
      <c r="T867" s="372"/>
      <c r="U867" s="281"/>
      <c r="V867" s="360"/>
    </row>
    <row r="868" ht="12.75" customHeight="1">
      <c r="M868" s="359"/>
      <c r="N868" s="281"/>
      <c r="O868" s="358"/>
      <c r="Q868" s="359"/>
      <c r="R868" s="360"/>
      <c r="T868" s="372"/>
      <c r="U868" s="281"/>
      <c r="V868" s="360"/>
    </row>
    <row r="869" ht="12.75" customHeight="1">
      <c r="M869" s="359"/>
      <c r="N869" s="281"/>
      <c r="O869" s="358"/>
      <c r="Q869" s="359"/>
      <c r="R869" s="360"/>
      <c r="T869" s="372"/>
      <c r="U869" s="281"/>
      <c r="V869" s="360"/>
    </row>
    <row r="870" ht="12.75" customHeight="1">
      <c r="M870" s="359"/>
      <c r="N870" s="281"/>
      <c r="O870" s="358"/>
      <c r="Q870" s="359"/>
      <c r="R870" s="360"/>
      <c r="T870" s="372"/>
      <c r="U870" s="281"/>
      <c r="V870" s="360"/>
    </row>
    <row r="871" ht="12.75" customHeight="1">
      <c r="M871" s="359"/>
      <c r="N871" s="281"/>
      <c r="O871" s="358"/>
      <c r="Q871" s="359"/>
      <c r="R871" s="360"/>
      <c r="T871" s="372"/>
      <c r="U871" s="281"/>
      <c r="V871" s="360"/>
    </row>
    <row r="872" ht="12.75" customHeight="1">
      <c r="M872" s="359"/>
      <c r="N872" s="281"/>
      <c r="O872" s="358"/>
      <c r="Q872" s="359"/>
      <c r="R872" s="360"/>
      <c r="T872" s="372"/>
      <c r="U872" s="281"/>
      <c r="V872" s="360"/>
    </row>
    <row r="873" ht="12.75" customHeight="1">
      <c r="M873" s="359"/>
      <c r="N873" s="281"/>
      <c r="O873" s="358"/>
      <c r="Q873" s="359"/>
      <c r="R873" s="360"/>
      <c r="T873" s="372"/>
      <c r="U873" s="281"/>
      <c r="V873" s="360"/>
    </row>
    <row r="874" ht="12.75" customHeight="1">
      <c r="M874" s="359"/>
      <c r="N874" s="281"/>
      <c r="O874" s="358"/>
      <c r="Q874" s="359"/>
      <c r="R874" s="360"/>
      <c r="T874" s="372"/>
      <c r="U874" s="281"/>
      <c r="V874" s="360"/>
    </row>
    <row r="875" ht="12.75" customHeight="1">
      <c r="M875" s="359"/>
      <c r="N875" s="281"/>
      <c r="O875" s="358"/>
      <c r="Q875" s="359"/>
      <c r="R875" s="360"/>
      <c r="T875" s="372"/>
      <c r="U875" s="281"/>
      <c r="V875" s="360"/>
    </row>
    <row r="876" ht="12.75" customHeight="1">
      <c r="M876" s="359"/>
      <c r="N876" s="281"/>
      <c r="O876" s="358"/>
      <c r="Q876" s="359"/>
      <c r="R876" s="360"/>
      <c r="T876" s="372"/>
      <c r="U876" s="281"/>
      <c r="V876" s="360"/>
    </row>
    <row r="877" ht="12.75" customHeight="1">
      <c r="M877" s="359"/>
      <c r="N877" s="281"/>
      <c r="O877" s="358"/>
      <c r="Q877" s="359"/>
      <c r="R877" s="360"/>
      <c r="T877" s="372"/>
      <c r="U877" s="281"/>
      <c r="V877" s="360"/>
    </row>
    <row r="878" ht="12.75" customHeight="1">
      <c r="M878" s="359"/>
      <c r="N878" s="281"/>
      <c r="O878" s="358"/>
      <c r="Q878" s="359"/>
      <c r="R878" s="360"/>
      <c r="T878" s="372"/>
      <c r="U878" s="281"/>
      <c r="V878" s="360"/>
    </row>
    <row r="879" ht="12.75" customHeight="1">
      <c r="M879" s="359"/>
      <c r="N879" s="281"/>
      <c r="O879" s="358"/>
      <c r="Q879" s="359"/>
      <c r="R879" s="360"/>
      <c r="T879" s="372"/>
      <c r="U879" s="281"/>
      <c r="V879" s="360"/>
    </row>
    <row r="880" ht="12.75" customHeight="1">
      <c r="M880" s="359"/>
      <c r="N880" s="281"/>
      <c r="O880" s="358"/>
      <c r="Q880" s="359"/>
      <c r="R880" s="360"/>
      <c r="T880" s="372"/>
      <c r="U880" s="281"/>
      <c r="V880" s="360"/>
    </row>
    <row r="881" ht="12.75" customHeight="1">
      <c r="M881" s="359"/>
      <c r="N881" s="281"/>
      <c r="O881" s="358"/>
      <c r="Q881" s="359"/>
      <c r="R881" s="360"/>
      <c r="T881" s="372"/>
      <c r="U881" s="281"/>
      <c r="V881" s="360"/>
    </row>
    <row r="882" ht="12.75" customHeight="1">
      <c r="M882" s="359"/>
      <c r="N882" s="281"/>
      <c r="O882" s="358"/>
      <c r="Q882" s="359"/>
      <c r="R882" s="360"/>
      <c r="T882" s="372"/>
      <c r="U882" s="281"/>
      <c r="V882" s="360"/>
    </row>
    <row r="883" ht="12.75" customHeight="1">
      <c r="M883" s="359"/>
      <c r="N883" s="281"/>
      <c r="O883" s="358"/>
      <c r="Q883" s="359"/>
      <c r="R883" s="360"/>
      <c r="T883" s="372"/>
      <c r="U883" s="281"/>
      <c r="V883" s="360"/>
    </row>
    <row r="884" ht="12.75" customHeight="1">
      <c r="M884" s="359"/>
      <c r="N884" s="281"/>
      <c r="O884" s="358"/>
      <c r="Q884" s="359"/>
      <c r="R884" s="360"/>
      <c r="T884" s="372"/>
      <c r="U884" s="281"/>
      <c r="V884" s="360"/>
    </row>
    <row r="885" ht="12.75" customHeight="1">
      <c r="M885" s="359"/>
      <c r="N885" s="281"/>
      <c r="O885" s="358"/>
      <c r="Q885" s="359"/>
      <c r="R885" s="360"/>
      <c r="T885" s="372"/>
      <c r="U885" s="281"/>
      <c r="V885" s="360"/>
    </row>
    <row r="886" ht="12.75" customHeight="1">
      <c r="M886" s="359"/>
      <c r="N886" s="281"/>
      <c r="O886" s="358"/>
      <c r="Q886" s="359"/>
      <c r="R886" s="360"/>
      <c r="T886" s="372"/>
      <c r="U886" s="281"/>
      <c r="V886" s="360"/>
    </row>
    <row r="887" ht="12.75" customHeight="1">
      <c r="M887" s="359"/>
      <c r="N887" s="281"/>
      <c r="O887" s="358"/>
      <c r="Q887" s="359"/>
      <c r="R887" s="360"/>
      <c r="T887" s="372"/>
      <c r="U887" s="281"/>
      <c r="V887" s="360"/>
    </row>
    <row r="888" ht="12.75" customHeight="1">
      <c r="M888" s="359"/>
      <c r="N888" s="281"/>
      <c r="O888" s="358"/>
      <c r="Q888" s="359"/>
      <c r="R888" s="360"/>
      <c r="T888" s="372"/>
      <c r="U888" s="281"/>
      <c r="V888" s="360"/>
    </row>
    <row r="889" ht="12.75" customHeight="1">
      <c r="M889" s="359"/>
      <c r="N889" s="281"/>
      <c r="O889" s="358"/>
      <c r="Q889" s="359"/>
      <c r="R889" s="360"/>
      <c r="T889" s="372"/>
      <c r="U889" s="281"/>
      <c r="V889" s="360"/>
    </row>
    <row r="890" ht="12.75" customHeight="1">
      <c r="M890" s="359"/>
      <c r="N890" s="281"/>
      <c r="O890" s="358"/>
      <c r="Q890" s="359"/>
      <c r="R890" s="360"/>
      <c r="T890" s="372"/>
      <c r="U890" s="281"/>
      <c r="V890" s="360"/>
    </row>
    <row r="891" ht="12.75" customHeight="1">
      <c r="M891" s="359"/>
      <c r="N891" s="281"/>
      <c r="O891" s="358"/>
      <c r="Q891" s="359"/>
      <c r="R891" s="360"/>
      <c r="T891" s="372"/>
      <c r="U891" s="281"/>
      <c r="V891" s="360"/>
    </row>
    <row r="892" ht="12.75" customHeight="1">
      <c r="M892" s="359"/>
      <c r="N892" s="281"/>
      <c r="O892" s="358"/>
      <c r="Q892" s="359"/>
      <c r="R892" s="360"/>
      <c r="T892" s="372"/>
      <c r="U892" s="281"/>
      <c r="V892" s="360"/>
    </row>
    <row r="893" ht="12.75" customHeight="1">
      <c r="M893" s="359"/>
      <c r="N893" s="281"/>
      <c r="O893" s="358"/>
      <c r="Q893" s="359"/>
      <c r="R893" s="360"/>
      <c r="T893" s="372"/>
      <c r="U893" s="281"/>
      <c r="V893" s="360"/>
    </row>
    <row r="894" ht="12.75" customHeight="1">
      <c r="M894" s="359"/>
      <c r="N894" s="281"/>
      <c r="O894" s="358"/>
      <c r="Q894" s="359"/>
      <c r="R894" s="360"/>
      <c r="T894" s="372"/>
      <c r="U894" s="281"/>
      <c r="V894" s="360"/>
    </row>
    <row r="895" ht="12.75" customHeight="1">
      <c r="M895" s="359"/>
      <c r="N895" s="281"/>
      <c r="O895" s="358"/>
      <c r="Q895" s="359"/>
      <c r="R895" s="360"/>
      <c r="T895" s="372"/>
      <c r="U895" s="281"/>
      <c r="V895" s="360"/>
    </row>
    <row r="896" ht="12.75" customHeight="1">
      <c r="M896" s="359"/>
      <c r="N896" s="281"/>
      <c r="O896" s="358"/>
      <c r="Q896" s="359"/>
      <c r="R896" s="360"/>
      <c r="T896" s="372"/>
      <c r="U896" s="281"/>
      <c r="V896" s="360"/>
    </row>
    <row r="897" ht="12.75" customHeight="1">
      <c r="M897" s="359"/>
      <c r="N897" s="281"/>
      <c r="O897" s="358"/>
      <c r="Q897" s="359"/>
      <c r="R897" s="360"/>
      <c r="T897" s="372"/>
      <c r="U897" s="281"/>
      <c r="V897" s="360"/>
    </row>
    <row r="898" ht="12.75" customHeight="1">
      <c r="M898" s="359"/>
      <c r="N898" s="281"/>
      <c r="O898" s="358"/>
      <c r="Q898" s="359"/>
      <c r="R898" s="360"/>
      <c r="T898" s="372"/>
      <c r="U898" s="281"/>
      <c r="V898" s="360"/>
    </row>
    <row r="899" ht="12.75" customHeight="1">
      <c r="M899" s="359"/>
      <c r="N899" s="281"/>
      <c r="O899" s="358"/>
      <c r="Q899" s="359"/>
      <c r="R899" s="360"/>
      <c r="T899" s="372"/>
      <c r="U899" s="281"/>
      <c r="V899" s="360"/>
    </row>
    <row r="900" ht="12.75" customHeight="1">
      <c r="M900" s="359"/>
      <c r="N900" s="281"/>
      <c r="O900" s="358"/>
      <c r="Q900" s="359"/>
      <c r="R900" s="360"/>
      <c r="T900" s="372"/>
      <c r="U900" s="281"/>
      <c r="V900" s="360"/>
    </row>
    <row r="901" ht="12.75" customHeight="1">
      <c r="M901" s="359"/>
      <c r="N901" s="281"/>
      <c r="O901" s="358"/>
      <c r="Q901" s="359"/>
      <c r="R901" s="360"/>
      <c r="T901" s="372"/>
      <c r="U901" s="281"/>
      <c r="V901" s="360"/>
    </row>
    <row r="902" ht="12.75" customHeight="1">
      <c r="M902" s="359"/>
      <c r="N902" s="281"/>
      <c r="O902" s="358"/>
      <c r="Q902" s="359"/>
      <c r="R902" s="360"/>
      <c r="T902" s="372"/>
      <c r="U902" s="281"/>
      <c r="V902" s="360"/>
    </row>
    <row r="903" ht="12.75" customHeight="1">
      <c r="M903" s="359"/>
      <c r="N903" s="281"/>
      <c r="O903" s="358"/>
      <c r="Q903" s="359"/>
      <c r="R903" s="360"/>
      <c r="T903" s="372"/>
      <c r="U903" s="281"/>
      <c r="V903" s="360"/>
    </row>
    <row r="904" ht="12.75" customHeight="1">
      <c r="M904" s="359"/>
      <c r="N904" s="281"/>
      <c r="O904" s="358"/>
      <c r="Q904" s="359"/>
      <c r="R904" s="360"/>
      <c r="T904" s="372"/>
      <c r="U904" s="281"/>
      <c r="V904" s="360"/>
    </row>
    <row r="905" ht="12.75" customHeight="1">
      <c r="M905" s="359"/>
      <c r="N905" s="281"/>
      <c r="O905" s="358"/>
      <c r="Q905" s="359"/>
      <c r="R905" s="360"/>
      <c r="T905" s="372"/>
      <c r="U905" s="281"/>
      <c r="V905" s="360"/>
    </row>
    <row r="906" ht="12.75" customHeight="1">
      <c r="M906" s="359"/>
      <c r="N906" s="281"/>
      <c r="O906" s="358"/>
      <c r="Q906" s="359"/>
      <c r="R906" s="360"/>
      <c r="T906" s="372"/>
      <c r="U906" s="281"/>
      <c r="V906" s="360"/>
    </row>
    <row r="907" ht="12.75" customHeight="1">
      <c r="M907" s="359"/>
      <c r="N907" s="281"/>
      <c r="O907" s="358"/>
      <c r="Q907" s="359"/>
      <c r="R907" s="360"/>
      <c r="T907" s="372"/>
      <c r="U907" s="281"/>
      <c r="V907" s="360"/>
    </row>
    <row r="908" ht="12.75" customHeight="1">
      <c r="M908" s="359"/>
      <c r="N908" s="281"/>
      <c r="O908" s="358"/>
      <c r="Q908" s="359"/>
      <c r="R908" s="360"/>
      <c r="T908" s="372"/>
      <c r="U908" s="281"/>
      <c r="V908" s="360"/>
    </row>
    <row r="909" ht="12.75" customHeight="1">
      <c r="M909" s="359"/>
      <c r="N909" s="281"/>
      <c r="O909" s="358"/>
      <c r="Q909" s="359"/>
      <c r="R909" s="360"/>
      <c r="T909" s="372"/>
      <c r="U909" s="281"/>
      <c r="V909" s="360"/>
    </row>
    <row r="910" ht="12.75" customHeight="1">
      <c r="M910" s="359"/>
      <c r="N910" s="281"/>
      <c r="O910" s="358"/>
      <c r="Q910" s="359"/>
      <c r="R910" s="360"/>
      <c r="T910" s="372"/>
      <c r="U910" s="281"/>
      <c r="V910" s="360"/>
    </row>
    <row r="911" ht="12.75" customHeight="1">
      <c r="M911" s="359"/>
      <c r="N911" s="281"/>
      <c r="O911" s="358"/>
      <c r="Q911" s="359"/>
      <c r="R911" s="360"/>
      <c r="T911" s="372"/>
      <c r="U911" s="281"/>
      <c r="V911" s="360"/>
    </row>
    <row r="912" ht="12.75" customHeight="1">
      <c r="M912" s="359"/>
      <c r="N912" s="281"/>
      <c r="O912" s="358"/>
      <c r="Q912" s="359"/>
      <c r="R912" s="360"/>
      <c r="T912" s="372"/>
      <c r="U912" s="281"/>
      <c r="V912" s="360"/>
    </row>
    <row r="913" ht="12.75" customHeight="1">
      <c r="M913" s="359"/>
      <c r="N913" s="281"/>
      <c r="O913" s="358"/>
      <c r="Q913" s="359"/>
      <c r="R913" s="360"/>
      <c r="T913" s="372"/>
      <c r="U913" s="281"/>
      <c r="V913" s="360"/>
    </row>
    <row r="914" ht="12.75" customHeight="1">
      <c r="M914" s="359"/>
      <c r="N914" s="281"/>
      <c r="O914" s="358"/>
      <c r="Q914" s="359"/>
      <c r="R914" s="360"/>
      <c r="T914" s="372"/>
      <c r="U914" s="281"/>
      <c r="V914" s="360"/>
    </row>
    <row r="915" ht="12.75" customHeight="1">
      <c r="M915" s="359"/>
      <c r="N915" s="281"/>
      <c r="O915" s="358"/>
      <c r="Q915" s="359"/>
      <c r="R915" s="360"/>
      <c r="T915" s="372"/>
      <c r="U915" s="281"/>
      <c r="V915" s="360"/>
    </row>
    <row r="916" ht="12.75" customHeight="1">
      <c r="M916" s="359"/>
      <c r="N916" s="281"/>
      <c r="O916" s="358"/>
      <c r="Q916" s="359"/>
      <c r="R916" s="360"/>
      <c r="T916" s="372"/>
      <c r="U916" s="281"/>
      <c r="V916" s="360"/>
    </row>
    <row r="917" ht="12.75" customHeight="1">
      <c r="M917" s="359"/>
      <c r="N917" s="281"/>
      <c r="O917" s="358"/>
      <c r="Q917" s="359"/>
      <c r="R917" s="360"/>
      <c r="T917" s="372"/>
      <c r="U917" s="281"/>
      <c r="V917" s="360"/>
    </row>
    <row r="918" ht="12.75" customHeight="1">
      <c r="M918" s="359"/>
      <c r="N918" s="281"/>
      <c r="O918" s="358"/>
      <c r="Q918" s="359"/>
      <c r="R918" s="360"/>
      <c r="T918" s="372"/>
      <c r="U918" s="281"/>
      <c r="V918" s="360"/>
    </row>
    <row r="919" ht="12.75" customHeight="1">
      <c r="M919" s="359"/>
      <c r="N919" s="281"/>
      <c r="O919" s="358"/>
      <c r="Q919" s="359"/>
      <c r="R919" s="360"/>
      <c r="T919" s="372"/>
      <c r="U919" s="281"/>
      <c r="V919" s="360"/>
    </row>
    <row r="920" ht="12.75" customHeight="1">
      <c r="M920" s="359"/>
      <c r="N920" s="281"/>
      <c r="O920" s="358"/>
      <c r="Q920" s="359"/>
      <c r="R920" s="360"/>
      <c r="T920" s="372"/>
      <c r="U920" s="281"/>
      <c r="V920" s="360"/>
    </row>
    <row r="921" ht="12.75" customHeight="1">
      <c r="M921" s="359"/>
      <c r="N921" s="281"/>
      <c r="O921" s="358"/>
      <c r="Q921" s="359"/>
      <c r="R921" s="360"/>
      <c r="T921" s="372"/>
      <c r="U921" s="281"/>
      <c r="V921" s="360"/>
    </row>
    <row r="922" ht="12.75" customHeight="1">
      <c r="M922" s="359"/>
      <c r="N922" s="281"/>
      <c r="O922" s="358"/>
      <c r="Q922" s="359"/>
      <c r="R922" s="360"/>
      <c r="T922" s="372"/>
      <c r="U922" s="281"/>
      <c r="V922" s="360"/>
    </row>
    <row r="923" ht="12.75" customHeight="1">
      <c r="M923" s="359"/>
      <c r="N923" s="281"/>
      <c r="O923" s="358"/>
      <c r="Q923" s="359"/>
      <c r="R923" s="360"/>
      <c r="T923" s="372"/>
      <c r="U923" s="281"/>
      <c r="V923" s="360"/>
    </row>
    <row r="924" ht="12.75" customHeight="1">
      <c r="M924" s="359"/>
      <c r="N924" s="281"/>
      <c r="O924" s="358"/>
      <c r="Q924" s="359"/>
      <c r="R924" s="360"/>
      <c r="T924" s="372"/>
      <c r="U924" s="281"/>
      <c r="V924" s="360"/>
    </row>
    <row r="925" ht="12.75" customHeight="1">
      <c r="M925" s="359"/>
      <c r="N925" s="281"/>
      <c r="O925" s="358"/>
      <c r="Q925" s="359"/>
      <c r="R925" s="360"/>
      <c r="T925" s="372"/>
      <c r="U925" s="281"/>
      <c r="V925" s="360"/>
    </row>
    <row r="926" ht="12.75" customHeight="1">
      <c r="M926" s="359"/>
      <c r="N926" s="281"/>
      <c r="O926" s="358"/>
      <c r="Q926" s="359"/>
      <c r="R926" s="360"/>
      <c r="T926" s="372"/>
      <c r="U926" s="281"/>
      <c r="V926" s="360"/>
    </row>
    <row r="927" ht="12.75" customHeight="1">
      <c r="M927" s="359"/>
      <c r="N927" s="281"/>
      <c r="O927" s="358"/>
      <c r="Q927" s="359"/>
      <c r="R927" s="360"/>
      <c r="T927" s="372"/>
      <c r="U927" s="281"/>
      <c r="V927" s="360"/>
    </row>
    <row r="928" ht="12.75" customHeight="1">
      <c r="M928" s="359"/>
      <c r="N928" s="281"/>
      <c r="O928" s="358"/>
      <c r="Q928" s="359"/>
      <c r="R928" s="360"/>
      <c r="T928" s="372"/>
      <c r="U928" s="281"/>
      <c r="V928" s="360"/>
    </row>
    <row r="929" ht="12.75" customHeight="1">
      <c r="M929" s="359"/>
      <c r="N929" s="281"/>
      <c r="O929" s="358"/>
      <c r="Q929" s="359"/>
      <c r="R929" s="360"/>
      <c r="T929" s="372"/>
      <c r="U929" s="281"/>
      <c r="V929" s="360"/>
    </row>
    <row r="930" ht="12.75" customHeight="1">
      <c r="M930" s="359"/>
      <c r="N930" s="281"/>
      <c r="O930" s="358"/>
      <c r="Q930" s="359"/>
      <c r="R930" s="360"/>
      <c r="T930" s="372"/>
      <c r="U930" s="281"/>
      <c r="V930" s="360"/>
    </row>
    <row r="931" ht="12.75" customHeight="1">
      <c r="M931" s="359"/>
      <c r="N931" s="281"/>
      <c r="O931" s="358"/>
      <c r="Q931" s="359"/>
      <c r="R931" s="360"/>
      <c r="T931" s="372"/>
      <c r="U931" s="281"/>
      <c r="V931" s="360"/>
    </row>
    <row r="932" ht="12.75" customHeight="1">
      <c r="M932" s="359"/>
      <c r="N932" s="281"/>
      <c r="O932" s="358"/>
      <c r="Q932" s="359"/>
      <c r="R932" s="360"/>
      <c r="T932" s="372"/>
      <c r="U932" s="281"/>
      <c r="V932" s="360"/>
    </row>
    <row r="933" ht="12.75" customHeight="1">
      <c r="M933" s="359"/>
      <c r="N933" s="281"/>
      <c r="O933" s="358"/>
      <c r="Q933" s="359"/>
      <c r="R933" s="360"/>
      <c r="T933" s="372"/>
      <c r="U933" s="281"/>
      <c r="V933" s="360"/>
    </row>
    <row r="934" ht="12.75" customHeight="1">
      <c r="M934" s="359"/>
      <c r="N934" s="281"/>
      <c r="O934" s="358"/>
      <c r="Q934" s="359"/>
      <c r="R934" s="360"/>
      <c r="T934" s="372"/>
      <c r="U934" s="281"/>
      <c r="V934" s="360"/>
    </row>
    <row r="935" ht="12.75" customHeight="1">
      <c r="M935" s="359"/>
      <c r="N935" s="281"/>
      <c r="O935" s="358"/>
      <c r="Q935" s="359"/>
      <c r="R935" s="360"/>
      <c r="T935" s="372"/>
      <c r="U935" s="281"/>
      <c r="V935" s="360"/>
    </row>
    <row r="936" ht="12.75" customHeight="1">
      <c r="M936" s="359"/>
      <c r="N936" s="281"/>
      <c r="O936" s="358"/>
      <c r="Q936" s="359"/>
      <c r="R936" s="360"/>
      <c r="T936" s="372"/>
      <c r="U936" s="281"/>
      <c r="V936" s="360"/>
    </row>
    <row r="937" ht="12.75" customHeight="1">
      <c r="M937" s="359"/>
      <c r="N937" s="281"/>
      <c r="O937" s="358"/>
      <c r="Q937" s="359"/>
      <c r="R937" s="360"/>
      <c r="T937" s="372"/>
      <c r="U937" s="281"/>
      <c r="V937" s="360"/>
    </row>
    <row r="938" ht="12.75" customHeight="1">
      <c r="M938" s="359"/>
      <c r="N938" s="281"/>
      <c r="O938" s="358"/>
      <c r="Q938" s="359"/>
      <c r="R938" s="360"/>
      <c r="T938" s="372"/>
      <c r="U938" s="281"/>
      <c r="V938" s="360"/>
    </row>
    <row r="939" ht="12.75" customHeight="1">
      <c r="M939" s="359"/>
      <c r="N939" s="281"/>
      <c r="O939" s="358"/>
      <c r="Q939" s="359"/>
      <c r="R939" s="360"/>
      <c r="T939" s="372"/>
      <c r="U939" s="281"/>
      <c r="V939" s="360"/>
    </row>
    <row r="940" ht="12.75" customHeight="1">
      <c r="M940" s="359"/>
      <c r="N940" s="281"/>
      <c r="O940" s="358"/>
      <c r="Q940" s="359"/>
      <c r="R940" s="360"/>
      <c r="T940" s="372"/>
      <c r="U940" s="281"/>
      <c r="V940" s="360"/>
    </row>
    <row r="941" ht="12.75" customHeight="1">
      <c r="M941" s="359"/>
      <c r="N941" s="281"/>
      <c r="O941" s="358"/>
      <c r="Q941" s="359"/>
      <c r="R941" s="360"/>
      <c r="T941" s="372"/>
      <c r="U941" s="281"/>
      <c r="V941" s="360"/>
    </row>
    <row r="942" ht="12.75" customHeight="1">
      <c r="M942" s="359"/>
      <c r="N942" s="281"/>
      <c r="O942" s="358"/>
      <c r="Q942" s="359"/>
      <c r="R942" s="360"/>
      <c r="T942" s="372"/>
      <c r="U942" s="281"/>
      <c r="V942" s="360"/>
    </row>
    <row r="943" ht="12.75" customHeight="1">
      <c r="M943" s="359"/>
      <c r="N943" s="281"/>
      <c r="O943" s="358"/>
      <c r="Q943" s="359"/>
      <c r="R943" s="360"/>
      <c r="T943" s="372"/>
      <c r="U943" s="281"/>
      <c r="V943" s="360"/>
    </row>
    <row r="944" ht="12.75" customHeight="1">
      <c r="M944" s="359"/>
      <c r="N944" s="281"/>
      <c r="O944" s="358"/>
      <c r="Q944" s="359"/>
      <c r="R944" s="360"/>
      <c r="T944" s="372"/>
      <c r="U944" s="281"/>
      <c r="V944" s="360"/>
    </row>
    <row r="945" ht="12.75" customHeight="1">
      <c r="M945" s="359"/>
      <c r="N945" s="281"/>
      <c r="O945" s="358"/>
      <c r="Q945" s="359"/>
      <c r="R945" s="360"/>
      <c r="T945" s="372"/>
      <c r="U945" s="281"/>
      <c r="V945" s="360"/>
    </row>
    <row r="946" ht="12.75" customHeight="1">
      <c r="M946" s="359"/>
      <c r="N946" s="281"/>
      <c r="O946" s="358"/>
      <c r="Q946" s="359"/>
      <c r="R946" s="360"/>
      <c r="T946" s="372"/>
      <c r="U946" s="281"/>
      <c r="V946" s="360"/>
    </row>
    <row r="947" ht="12.75" customHeight="1">
      <c r="M947" s="359"/>
      <c r="N947" s="281"/>
      <c r="O947" s="358"/>
      <c r="Q947" s="359"/>
      <c r="R947" s="360"/>
      <c r="T947" s="372"/>
      <c r="U947" s="281"/>
      <c r="V947" s="360"/>
    </row>
    <row r="948" ht="12.75" customHeight="1">
      <c r="M948" s="359"/>
      <c r="N948" s="281"/>
      <c r="O948" s="358"/>
      <c r="Q948" s="359"/>
      <c r="R948" s="360"/>
      <c r="T948" s="372"/>
      <c r="U948" s="281"/>
      <c r="V948" s="360"/>
    </row>
    <row r="949" ht="12.75" customHeight="1">
      <c r="M949" s="359"/>
      <c r="N949" s="281"/>
      <c r="O949" s="358"/>
      <c r="Q949" s="359"/>
      <c r="R949" s="360"/>
      <c r="T949" s="372"/>
      <c r="U949" s="281"/>
      <c r="V949" s="360"/>
    </row>
    <row r="950" ht="12.75" customHeight="1">
      <c r="M950" s="359"/>
      <c r="N950" s="281"/>
      <c r="O950" s="358"/>
      <c r="Q950" s="359"/>
      <c r="R950" s="360"/>
      <c r="T950" s="372"/>
      <c r="U950" s="281"/>
      <c r="V950" s="360"/>
    </row>
    <row r="951" ht="12.75" customHeight="1">
      <c r="M951" s="359"/>
      <c r="N951" s="281"/>
      <c r="O951" s="358"/>
      <c r="Q951" s="359"/>
      <c r="R951" s="360"/>
      <c r="T951" s="372"/>
      <c r="U951" s="281"/>
      <c r="V951" s="360"/>
    </row>
    <row r="952" ht="12.75" customHeight="1">
      <c r="M952" s="359"/>
      <c r="N952" s="281"/>
      <c r="O952" s="358"/>
      <c r="Q952" s="359"/>
      <c r="R952" s="360"/>
      <c r="T952" s="372"/>
      <c r="U952" s="281"/>
      <c r="V952" s="360"/>
    </row>
    <row r="953" ht="12.75" customHeight="1">
      <c r="M953" s="359"/>
      <c r="N953" s="281"/>
      <c r="O953" s="358"/>
      <c r="Q953" s="359"/>
      <c r="R953" s="360"/>
      <c r="T953" s="372"/>
      <c r="U953" s="281"/>
      <c r="V953" s="360"/>
    </row>
    <row r="954" ht="12.75" customHeight="1">
      <c r="M954" s="359"/>
      <c r="N954" s="281"/>
      <c r="O954" s="358"/>
      <c r="Q954" s="359"/>
      <c r="R954" s="360"/>
      <c r="T954" s="372"/>
      <c r="U954" s="281"/>
      <c r="V954" s="360"/>
    </row>
    <row r="955" ht="12.75" customHeight="1">
      <c r="M955" s="359"/>
      <c r="N955" s="281"/>
      <c r="O955" s="358"/>
      <c r="Q955" s="359"/>
      <c r="R955" s="360"/>
      <c r="T955" s="372"/>
      <c r="U955" s="281"/>
      <c r="V955" s="360"/>
    </row>
    <row r="956" ht="12.75" customHeight="1">
      <c r="M956" s="359"/>
      <c r="N956" s="281"/>
      <c r="O956" s="358"/>
      <c r="Q956" s="359"/>
      <c r="R956" s="360"/>
      <c r="T956" s="372"/>
      <c r="U956" s="281"/>
      <c r="V956" s="360"/>
    </row>
    <row r="957" ht="12.75" customHeight="1">
      <c r="M957" s="359"/>
      <c r="N957" s="281"/>
      <c r="O957" s="358"/>
      <c r="Q957" s="359"/>
      <c r="R957" s="360"/>
      <c r="T957" s="372"/>
      <c r="U957" s="281"/>
      <c r="V957" s="360"/>
    </row>
    <row r="958" ht="12.75" customHeight="1">
      <c r="M958" s="359"/>
      <c r="N958" s="281"/>
      <c r="O958" s="358"/>
      <c r="Q958" s="359"/>
      <c r="R958" s="360"/>
      <c r="T958" s="372"/>
      <c r="U958" s="281"/>
      <c r="V958" s="360"/>
    </row>
    <row r="959" ht="12.75" customHeight="1">
      <c r="M959" s="359"/>
      <c r="N959" s="281"/>
      <c r="O959" s="358"/>
      <c r="Q959" s="359"/>
      <c r="R959" s="360"/>
      <c r="T959" s="372"/>
      <c r="U959" s="281"/>
      <c r="V959" s="360"/>
    </row>
    <row r="960" ht="12.75" customHeight="1">
      <c r="M960" s="359"/>
      <c r="N960" s="281"/>
      <c r="O960" s="358"/>
      <c r="Q960" s="359"/>
      <c r="R960" s="360"/>
      <c r="T960" s="372"/>
      <c r="U960" s="281"/>
      <c r="V960" s="360"/>
    </row>
    <row r="961" ht="12.75" customHeight="1">
      <c r="M961" s="359"/>
      <c r="N961" s="281"/>
      <c r="O961" s="358"/>
      <c r="Q961" s="359"/>
      <c r="R961" s="360"/>
      <c r="T961" s="372"/>
      <c r="U961" s="281"/>
      <c r="V961" s="360"/>
    </row>
    <row r="962" ht="12.75" customHeight="1">
      <c r="M962" s="359"/>
      <c r="N962" s="281"/>
      <c r="O962" s="358"/>
      <c r="Q962" s="359"/>
      <c r="R962" s="360"/>
      <c r="T962" s="372"/>
      <c r="U962" s="281"/>
      <c r="V962" s="360"/>
    </row>
    <row r="963" ht="12.75" customHeight="1">
      <c r="M963" s="359"/>
      <c r="N963" s="281"/>
      <c r="O963" s="358"/>
      <c r="Q963" s="359"/>
      <c r="R963" s="360"/>
      <c r="T963" s="372"/>
      <c r="U963" s="281"/>
      <c r="V963" s="360"/>
    </row>
    <row r="964" ht="12.75" customHeight="1">
      <c r="M964" s="359"/>
      <c r="N964" s="281"/>
      <c r="O964" s="358"/>
      <c r="Q964" s="359"/>
      <c r="R964" s="360"/>
      <c r="T964" s="372"/>
      <c r="U964" s="281"/>
      <c r="V964" s="360"/>
    </row>
    <row r="965" ht="12.75" customHeight="1">
      <c r="M965" s="359"/>
      <c r="N965" s="281"/>
      <c r="O965" s="358"/>
      <c r="Q965" s="359"/>
      <c r="R965" s="360"/>
      <c r="T965" s="372"/>
      <c r="U965" s="281"/>
      <c r="V965" s="360"/>
    </row>
    <row r="966" ht="12.75" customHeight="1">
      <c r="M966" s="359"/>
      <c r="N966" s="281"/>
      <c r="O966" s="358"/>
      <c r="Q966" s="359"/>
      <c r="R966" s="360"/>
      <c r="T966" s="372"/>
      <c r="U966" s="281"/>
      <c r="V966" s="360"/>
    </row>
    <row r="967" ht="12.75" customHeight="1">
      <c r="M967" s="359"/>
      <c r="N967" s="281"/>
      <c r="O967" s="358"/>
      <c r="Q967" s="359"/>
      <c r="R967" s="360"/>
      <c r="T967" s="372"/>
      <c r="U967" s="281"/>
      <c r="V967" s="360"/>
    </row>
    <row r="968" ht="12.75" customHeight="1">
      <c r="M968" s="359"/>
      <c r="N968" s="281"/>
      <c r="O968" s="358"/>
      <c r="Q968" s="359"/>
      <c r="R968" s="360"/>
      <c r="T968" s="372"/>
      <c r="U968" s="281"/>
      <c r="V968" s="360"/>
    </row>
    <row r="969" ht="12.75" customHeight="1">
      <c r="M969" s="359"/>
      <c r="N969" s="281"/>
      <c r="O969" s="358"/>
      <c r="Q969" s="359"/>
      <c r="R969" s="360"/>
      <c r="T969" s="372"/>
      <c r="U969" s="281"/>
      <c r="V969" s="360"/>
    </row>
    <row r="970" ht="12.75" customHeight="1">
      <c r="M970" s="359"/>
      <c r="N970" s="281"/>
      <c r="O970" s="358"/>
      <c r="Q970" s="359"/>
      <c r="R970" s="360"/>
      <c r="T970" s="372"/>
      <c r="U970" s="281"/>
      <c r="V970" s="360"/>
    </row>
    <row r="971" ht="12.75" customHeight="1">
      <c r="M971" s="359"/>
      <c r="N971" s="281"/>
      <c r="O971" s="358"/>
      <c r="Q971" s="359"/>
      <c r="R971" s="360"/>
      <c r="T971" s="372"/>
      <c r="U971" s="281"/>
      <c r="V971" s="360"/>
    </row>
    <row r="972" ht="12.75" customHeight="1">
      <c r="M972" s="359"/>
      <c r="N972" s="281"/>
      <c r="O972" s="358"/>
      <c r="Q972" s="359"/>
      <c r="R972" s="360"/>
      <c r="T972" s="372"/>
      <c r="U972" s="281"/>
      <c r="V972" s="360"/>
    </row>
    <row r="973" ht="12.75" customHeight="1">
      <c r="M973" s="359"/>
      <c r="N973" s="281"/>
      <c r="O973" s="358"/>
      <c r="Q973" s="359"/>
      <c r="R973" s="360"/>
      <c r="T973" s="372"/>
      <c r="U973" s="281"/>
      <c r="V973" s="360"/>
    </row>
    <row r="974" ht="12.75" customHeight="1">
      <c r="M974" s="359"/>
      <c r="N974" s="281"/>
      <c r="O974" s="358"/>
      <c r="Q974" s="359"/>
      <c r="R974" s="360"/>
      <c r="T974" s="372"/>
      <c r="U974" s="281"/>
      <c r="V974" s="360"/>
    </row>
    <row r="975" ht="12.75" customHeight="1">
      <c r="M975" s="359"/>
      <c r="N975" s="281"/>
      <c r="O975" s="358"/>
      <c r="Q975" s="359"/>
      <c r="R975" s="360"/>
      <c r="T975" s="372"/>
      <c r="U975" s="281"/>
      <c r="V975" s="360"/>
    </row>
    <row r="976" ht="12.75" customHeight="1">
      <c r="M976" s="359"/>
      <c r="N976" s="281"/>
      <c r="O976" s="358"/>
      <c r="Q976" s="359"/>
      <c r="R976" s="360"/>
      <c r="T976" s="372"/>
      <c r="U976" s="281"/>
      <c r="V976" s="360"/>
    </row>
    <row r="977" ht="12.75" customHeight="1">
      <c r="M977" s="359"/>
      <c r="N977" s="281"/>
      <c r="O977" s="358"/>
      <c r="Q977" s="359"/>
      <c r="R977" s="360"/>
      <c r="T977" s="372"/>
      <c r="U977" s="281"/>
      <c r="V977" s="360"/>
    </row>
    <row r="978" ht="12.75" customHeight="1">
      <c r="M978" s="359"/>
      <c r="N978" s="281"/>
      <c r="O978" s="358"/>
      <c r="Q978" s="359"/>
      <c r="R978" s="360"/>
      <c r="T978" s="372"/>
      <c r="U978" s="281"/>
      <c r="V978" s="360"/>
    </row>
    <row r="979" ht="12.75" customHeight="1">
      <c r="M979" s="359"/>
      <c r="N979" s="281"/>
      <c r="O979" s="358"/>
      <c r="Q979" s="359"/>
      <c r="R979" s="360"/>
      <c r="T979" s="372"/>
      <c r="U979" s="281"/>
      <c r="V979" s="360"/>
    </row>
    <row r="980" ht="12.75" customHeight="1">
      <c r="M980" s="359"/>
      <c r="N980" s="281"/>
      <c r="O980" s="358"/>
      <c r="Q980" s="359"/>
      <c r="R980" s="360"/>
      <c r="T980" s="372"/>
      <c r="U980" s="281"/>
      <c r="V980" s="360"/>
    </row>
    <row r="981" ht="12.75" customHeight="1">
      <c r="M981" s="359"/>
      <c r="N981" s="281"/>
      <c r="O981" s="358"/>
      <c r="Q981" s="359"/>
      <c r="R981" s="360"/>
      <c r="T981" s="372"/>
      <c r="U981" s="281"/>
      <c r="V981" s="360"/>
    </row>
    <row r="982" ht="12.75" customHeight="1">
      <c r="M982" s="359"/>
      <c r="N982" s="281"/>
      <c r="O982" s="358"/>
      <c r="Q982" s="359"/>
      <c r="R982" s="360"/>
      <c r="T982" s="372"/>
      <c r="U982" s="281"/>
      <c r="V982" s="360"/>
    </row>
    <row r="983" ht="12.75" customHeight="1">
      <c r="M983" s="359"/>
      <c r="N983" s="281"/>
      <c r="O983" s="358"/>
      <c r="Q983" s="359"/>
      <c r="R983" s="360"/>
      <c r="T983" s="372"/>
      <c r="U983" s="281"/>
      <c r="V983" s="360"/>
    </row>
    <row r="984" ht="12.75" customHeight="1">
      <c r="M984" s="359"/>
      <c r="N984" s="281"/>
      <c r="O984" s="358"/>
      <c r="Q984" s="359"/>
      <c r="R984" s="360"/>
      <c r="T984" s="372"/>
      <c r="U984" s="281"/>
      <c r="V984" s="360"/>
    </row>
    <row r="985" ht="12.75" customHeight="1">
      <c r="M985" s="359"/>
      <c r="N985" s="281"/>
      <c r="O985" s="358"/>
      <c r="Q985" s="359"/>
      <c r="R985" s="360"/>
      <c r="T985" s="372"/>
      <c r="U985" s="281"/>
      <c r="V985" s="360"/>
    </row>
    <row r="986" ht="12.75" customHeight="1">
      <c r="M986" s="359"/>
      <c r="N986" s="281"/>
      <c r="O986" s="358"/>
      <c r="Q986" s="359"/>
      <c r="R986" s="360"/>
      <c r="T986" s="372"/>
      <c r="U986" s="281"/>
      <c r="V986" s="360"/>
    </row>
    <row r="987" ht="12.75" customHeight="1">
      <c r="M987" s="359"/>
      <c r="N987" s="281"/>
      <c r="O987" s="358"/>
      <c r="Q987" s="359"/>
      <c r="R987" s="360"/>
      <c r="T987" s="372"/>
      <c r="U987" s="281"/>
      <c r="V987" s="360"/>
    </row>
    <row r="988" ht="12.75" customHeight="1">
      <c r="M988" s="359"/>
      <c r="N988" s="281"/>
      <c r="O988" s="358"/>
      <c r="Q988" s="359"/>
      <c r="R988" s="360"/>
      <c r="T988" s="372"/>
      <c r="U988" s="281"/>
      <c r="V988" s="360"/>
    </row>
    <row r="989" ht="12.75" customHeight="1">
      <c r="M989" s="359"/>
      <c r="N989" s="281"/>
      <c r="O989" s="358"/>
      <c r="Q989" s="359"/>
      <c r="R989" s="360"/>
      <c r="T989" s="372"/>
      <c r="U989" s="281"/>
      <c r="V989" s="360"/>
    </row>
    <row r="990" ht="12.75" customHeight="1">
      <c r="M990" s="359"/>
      <c r="N990" s="281"/>
      <c r="O990" s="358"/>
      <c r="Q990" s="359"/>
      <c r="R990" s="360"/>
      <c r="T990" s="372"/>
      <c r="U990" s="281"/>
      <c r="V990" s="360"/>
    </row>
    <row r="991" ht="12.75" customHeight="1">
      <c r="M991" s="359"/>
      <c r="N991" s="281"/>
      <c r="O991" s="358"/>
      <c r="Q991" s="359"/>
      <c r="R991" s="360"/>
      <c r="T991" s="372"/>
      <c r="U991" s="281"/>
      <c r="V991" s="360"/>
    </row>
    <row r="992" ht="12.75" customHeight="1">
      <c r="M992" s="359"/>
      <c r="N992" s="281"/>
      <c r="O992" s="358"/>
      <c r="Q992" s="359"/>
      <c r="R992" s="360"/>
      <c r="T992" s="372"/>
      <c r="U992" s="281"/>
      <c r="V992" s="360"/>
    </row>
    <row r="993" ht="12.75" customHeight="1">
      <c r="M993" s="359"/>
      <c r="N993" s="281"/>
      <c r="O993" s="358"/>
      <c r="Q993" s="359"/>
      <c r="R993" s="360"/>
      <c r="T993" s="372"/>
      <c r="U993" s="281"/>
      <c r="V993" s="360"/>
    </row>
    <row r="994" ht="12.75" customHeight="1">
      <c r="M994" s="359"/>
      <c r="N994" s="281"/>
      <c r="O994" s="358"/>
      <c r="Q994" s="359"/>
      <c r="R994" s="360"/>
      <c r="T994" s="372"/>
      <c r="U994" s="281"/>
      <c r="V994" s="360"/>
    </row>
    <row r="995" ht="12.75" customHeight="1">
      <c r="M995" s="359"/>
      <c r="N995" s="281"/>
      <c r="O995" s="358"/>
      <c r="Q995" s="359"/>
      <c r="R995" s="360"/>
      <c r="T995" s="372"/>
      <c r="U995" s="281"/>
      <c r="V995" s="360"/>
    </row>
    <row r="996" ht="12.75" customHeight="1">
      <c r="M996" s="359"/>
      <c r="N996" s="281"/>
      <c r="O996" s="358"/>
      <c r="Q996" s="359"/>
      <c r="R996" s="360"/>
      <c r="T996" s="372"/>
      <c r="U996" s="281"/>
      <c r="V996" s="360"/>
    </row>
    <row r="997" ht="12.75" customHeight="1">
      <c r="M997" s="359"/>
      <c r="N997" s="281"/>
      <c r="O997" s="358"/>
      <c r="Q997" s="359"/>
      <c r="R997" s="360"/>
      <c r="T997" s="372"/>
      <c r="U997" s="281"/>
      <c r="V997" s="360"/>
    </row>
    <row r="998" ht="12.75" customHeight="1">
      <c r="M998" s="359"/>
      <c r="N998" s="281"/>
      <c r="O998" s="358"/>
      <c r="Q998" s="359"/>
      <c r="R998" s="360"/>
      <c r="T998" s="372"/>
      <c r="U998" s="281"/>
      <c r="V998" s="360"/>
    </row>
    <row r="999" ht="12.75" customHeight="1">
      <c r="M999" s="359"/>
      <c r="N999" s="281"/>
      <c r="O999" s="358"/>
      <c r="Q999" s="359"/>
      <c r="R999" s="360"/>
      <c r="T999" s="372"/>
      <c r="U999" s="281"/>
      <c r="V999" s="360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52" t="s">
        <v>743</v>
      </c>
      <c r="G1" s="356"/>
      <c r="H1" s="281"/>
      <c r="I1" s="381"/>
      <c r="K1" s="281"/>
      <c r="L1" s="365"/>
      <c r="O1" s="356"/>
      <c r="P1" s="281"/>
    </row>
    <row r="2" ht="12.75" customHeight="1">
      <c r="A2" s="382" t="s">
        <v>482</v>
      </c>
      <c r="B2" s="382" t="s">
        <v>506</v>
      </c>
      <c r="C2" s="382" t="s">
        <v>744</v>
      </c>
      <c r="D2" s="382" t="s">
        <v>483</v>
      </c>
      <c r="E2" s="382" t="s">
        <v>745</v>
      </c>
      <c r="G2" s="356"/>
      <c r="H2" s="281"/>
      <c r="I2" s="381"/>
      <c r="K2" s="281"/>
      <c r="L2" s="365"/>
      <c r="O2" s="356"/>
      <c r="P2" s="281"/>
    </row>
    <row r="3" ht="12.75" customHeight="1">
      <c r="A3" s="383" t="s">
        <v>452</v>
      </c>
      <c r="B3" s="366">
        <v>50.0</v>
      </c>
      <c r="C3" s="384">
        <f>IFERROR(__xludf.DUMMYFUNCTION("COUNTIF(ARRAYFORMULA(RIGHT(SPLIT($A$16:$A$87, ""★""), 1)), ""1"")"),21.0)</f>
        <v>21</v>
      </c>
      <c r="D3" s="385">
        <v>281.0</v>
      </c>
      <c r="E3" s="386">
        <f t="shared" ref="E3:E7" si="1">B3*D3 / SUMPRODUCT($B$3:$B$7, $D$3:$D$7)</f>
        <v>0.6863032435</v>
      </c>
      <c r="G3" s="356"/>
      <c r="H3" s="303" t="s">
        <v>746</v>
      </c>
      <c r="I3" s="381"/>
      <c r="K3" s="281"/>
      <c r="L3" s="365"/>
      <c r="O3" s="356"/>
      <c r="P3" s="281"/>
    </row>
    <row r="4" ht="12.75" customHeight="1">
      <c r="A4" s="35" t="s">
        <v>453</v>
      </c>
      <c r="B4" s="366">
        <v>20.0</v>
      </c>
      <c r="C4" s="384">
        <f>IFERROR(__xludf.DUMMYFUNCTION("COUNTIF(ARRAYFORMULA(RIGHT(SPLIT($A$16:$A$87, ""★""), 1)), ""2"")"),17.0)</f>
        <v>17</v>
      </c>
      <c r="D4" s="385">
        <v>215.0</v>
      </c>
      <c r="E4" s="386">
        <f t="shared" si="1"/>
        <v>0.2100429855</v>
      </c>
      <c r="G4" s="356"/>
      <c r="H4" s="303" t="s">
        <v>747</v>
      </c>
      <c r="I4" s="381"/>
      <c r="K4" s="281"/>
      <c r="L4" s="365"/>
      <c r="O4" s="356"/>
      <c r="P4" s="281"/>
    </row>
    <row r="5" ht="12.75" customHeight="1">
      <c r="A5" s="35" t="s">
        <v>454</v>
      </c>
      <c r="B5" s="366">
        <v>10.0</v>
      </c>
      <c r="C5" s="384">
        <f>IFERROR(__xludf.DUMMYFUNCTION("COUNTIF(ARRAYFORMULA(RIGHT(SPLIT($A$16:$A$87, ""★""), 1)), ""3"")"),11.0)</f>
        <v>11</v>
      </c>
      <c r="D5" s="385">
        <v>143.0</v>
      </c>
      <c r="E5" s="386">
        <f t="shared" si="1"/>
        <v>0.06985150449</v>
      </c>
      <c r="G5" s="356"/>
      <c r="H5" s="303" t="s">
        <v>748</v>
      </c>
      <c r="I5" s="387"/>
      <c r="K5" s="281"/>
      <c r="L5" s="365"/>
      <c r="O5" s="356"/>
      <c r="P5" s="281"/>
    </row>
    <row r="6" ht="12.75" customHeight="1">
      <c r="A6" s="35" t="s">
        <v>455</v>
      </c>
      <c r="B6" s="366">
        <v>5.0</v>
      </c>
      <c r="C6" s="384">
        <f>IFERROR(__xludf.DUMMYFUNCTION("COUNTIF(ARRAYFORMULA(RIGHT(SPLIT($A$16:$A$87, ""★""), 1)), ""4"")"),10.0)</f>
        <v>10</v>
      </c>
      <c r="D6" s="385">
        <v>112.0</v>
      </c>
      <c r="E6" s="386">
        <f t="shared" si="1"/>
        <v>0.02735443533</v>
      </c>
      <c r="G6" s="356"/>
      <c r="H6" s="303"/>
      <c r="I6" s="356"/>
      <c r="K6" s="281"/>
      <c r="L6" s="365"/>
      <c r="O6" s="356"/>
      <c r="P6" s="281"/>
    </row>
    <row r="7" ht="12.75" customHeight="1">
      <c r="A7" s="35" t="s">
        <v>456</v>
      </c>
      <c r="B7" s="366">
        <v>2.0</v>
      </c>
      <c r="C7" s="384">
        <f>IFERROR(__xludf.DUMMYFUNCTION("COUNTIF(ARRAYFORMULA(RIGHT(SPLIT($A$16:$A$87, ""★""), 1)), ""5"")"),13.0)</f>
        <v>13</v>
      </c>
      <c r="D7" s="385">
        <v>66.0</v>
      </c>
      <c r="E7" s="386">
        <f t="shared" si="1"/>
        <v>0.006447831184</v>
      </c>
      <c r="G7" s="356"/>
      <c r="H7" s="303"/>
      <c r="I7" s="387"/>
      <c r="K7" s="281"/>
      <c r="L7" s="365"/>
      <c r="O7" s="356"/>
      <c r="P7" s="281"/>
    </row>
    <row r="8" ht="12.75" customHeight="1">
      <c r="A8" s="356"/>
      <c r="C8" s="281"/>
      <c r="G8" s="356"/>
      <c r="H8" s="303"/>
      <c r="I8" s="381"/>
      <c r="K8" s="281"/>
      <c r="L8" s="365"/>
      <c r="O8" s="356"/>
      <c r="P8" s="281"/>
    </row>
    <row r="9" ht="12.75" customHeight="1">
      <c r="A9" s="356"/>
      <c r="G9" s="356"/>
      <c r="H9" s="281"/>
      <c r="I9" s="381"/>
      <c r="K9" s="281"/>
      <c r="L9" s="365"/>
      <c r="O9" s="356"/>
      <c r="P9" s="281"/>
    </row>
    <row r="10" ht="12.75" customHeight="1">
      <c r="A10" s="356"/>
      <c r="G10" s="356"/>
      <c r="H10" s="281"/>
      <c r="I10" s="381"/>
      <c r="K10" s="281"/>
      <c r="L10" s="365"/>
      <c r="O10" s="356"/>
      <c r="P10" s="281"/>
    </row>
    <row r="11" ht="12.75" customHeight="1">
      <c r="A11" s="356"/>
      <c r="G11" s="356"/>
      <c r="H11" s="281"/>
      <c r="I11" s="381"/>
      <c r="K11" s="356" t="s">
        <v>749</v>
      </c>
      <c r="O11" s="356"/>
      <c r="P11" s="281"/>
    </row>
    <row r="12" ht="12.75" customHeight="1">
      <c r="A12" s="356"/>
      <c r="G12" s="356"/>
      <c r="H12" s="281"/>
      <c r="I12" s="381"/>
      <c r="K12" s="303" t="s">
        <v>750</v>
      </c>
      <c r="L12" s="366">
        <v>55.0</v>
      </c>
      <c r="O12" s="356"/>
      <c r="P12" s="281"/>
    </row>
    <row r="13" ht="12.75" customHeight="1">
      <c r="A13" s="356"/>
      <c r="G13" s="356"/>
      <c r="H13" s="281"/>
      <c r="I13" s="381"/>
      <c r="K13" s="281"/>
      <c r="L13" s="365"/>
      <c r="O13" s="356"/>
      <c r="P13" s="281"/>
    </row>
    <row r="14" ht="12.75" customHeight="1">
      <c r="A14" s="356" t="s">
        <v>500</v>
      </c>
      <c r="G14" s="357" t="s">
        <v>751</v>
      </c>
      <c r="H14" s="281"/>
      <c r="I14" s="365"/>
      <c r="K14" s="281"/>
      <c r="L14" s="365"/>
      <c r="O14" s="357" t="s">
        <v>502</v>
      </c>
      <c r="P14" s="281"/>
      <c r="Q14" s="360"/>
    </row>
    <row r="15" ht="12.75" customHeight="1">
      <c r="A15" s="382" t="s">
        <v>505</v>
      </c>
      <c r="B15" s="382" t="s">
        <v>506</v>
      </c>
      <c r="C15" s="382" t="s">
        <v>507</v>
      </c>
      <c r="D15" s="281"/>
      <c r="E15" s="281"/>
      <c r="F15" s="281"/>
      <c r="G15" s="388" t="s">
        <v>505</v>
      </c>
      <c r="H15" s="382" t="s">
        <v>506</v>
      </c>
      <c r="I15" s="389" t="s">
        <v>508</v>
      </c>
      <c r="J15" s="356"/>
      <c r="K15" s="388" t="s">
        <v>624</v>
      </c>
      <c r="L15" s="388" t="s">
        <v>752</v>
      </c>
      <c r="M15" s="390"/>
      <c r="O15" s="388" t="s">
        <v>505</v>
      </c>
      <c r="P15" s="382" t="s">
        <v>506</v>
      </c>
      <c r="Q15" s="391" t="s">
        <v>508</v>
      </c>
    </row>
    <row r="16" ht="12.75" customHeight="1">
      <c r="A16" s="365" t="str">
        <f>AlbumConfig!B3&amp;" "&amp;AlbumConfig!E3</f>
        <v>Skull Isle - Compass 1★</v>
      </c>
      <c r="B16" s="384">
        <f>IFERROR(__xludf.DUMMYFUNCTION("index($B$3:$B$7, right(index(split(A16, ""★""),0,1)), 0)"),50.0)</f>
        <v>50</v>
      </c>
      <c r="C16" s="384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59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81">
        <v>50.0</v>
      </c>
      <c r="I16" s="358">
        <v>0.0024423602969910123</v>
      </c>
      <c r="K16" s="36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Pearl 1★ #58C")</f>
        <v>Kraken Lair - Pearl 1★ #58C</v>
      </c>
      <c r="L16" s="372"/>
      <c r="M16" s="374"/>
      <c r="O16" s="359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81">
        <f>IFERROR(__xludf.DUMMYFUNCTION("""COMPUTED_VALUE"""),50.0)</f>
        <v>50</v>
      </c>
      <c r="Q16" s="358">
        <f>IFERROR(__xludf.DUMMYFUNCTION("if(P16="""", """", P16/sum(filter($P$16:$P$949, $P$16:$P$949&lt;&gt;"""")))"),0.0024423602969910123)</f>
        <v>0.002442360297</v>
      </c>
    </row>
    <row r="17" ht="12.75" customHeight="1">
      <c r="A17" s="365" t="str">
        <f>AlbumConfig!B4&amp;" "&amp;AlbumConfig!E4</f>
        <v>Skull Isle - Map 1★</v>
      </c>
      <c r="B17" s="384">
        <f>IFERROR(__xludf.DUMMYFUNCTION("index($B$3:$B$7, right(index(split(A17, ""★""),0,1)), 0)"),50.0)</f>
        <v>50</v>
      </c>
      <c r="C17" s="384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59" t="s">
        <v>516</v>
      </c>
      <c r="H17" s="281">
        <v>50.0</v>
      </c>
      <c r="I17" s="358">
        <v>0.0024423602969910123</v>
      </c>
      <c r="K17" s="369" t="str">
        <f>IFERROR(__xludf.DUMMYFUNCTION("""COMPUTED_VALUE"""),"Cannon Fort - Ramrod 2★ #1D0")</f>
        <v>Cannon Fort - Ramrod 2★ #1D0</v>
      </c>
      <c r="L17" s="359"/>
      <c r="M17" s="374"/>
      <c r="O17" s="359" t="str">
        <f>IFERROR(__xludf.DUMMYFUNCTION("""COMPUTED_VALUE"""),"Skull Isle - Compass 1★ #9F5")</f>
        <v>Skull Isle - Compass 1★ #9F5</v>
      </c>
      <c r="P17" s="281">
        <f>IFERROR(__xludf.DUMMYFUNCTION("""COMPUTED_VALUE"""),50.0)</f>
        <v>50</v>
      </c>
      <c r="Q17" s="358">
        <f>IFERROR(__xludf.DUMMYFUNCTION("if(P17="""", """", P17/sum(filter($P$16:$P$949, $P$16:$P$949&lt;&gt;"""")))"),0.0024423602969910123)</f>
        <v>0.002442360297</v>
      </c>
    </row>
    <row r="18" ht="12.75" customHeight="1">
      <c r="A18" s="365" t="str">
        <f>AlbumConfig!B5&amp;" "&amp;AlbumConfig!E5</f>
        <v>Skull Isle - Spyglass 1★</v>
      </c>
      <c r="B18" s="384">
        <f>IFERROR(__xludf.DUMMYFUNCTION("index($B$3:$B$7, right(index(split(A18, ""★""),0,1)), 0)"),50.0)</f>
        <v>50</v>
      </c>
      <c r="C18" s="384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59" t="s">
        <v>519</v>
      </c>
      <c r="H18" s="281">
        <v>50.0</v>
      </c>
      <c r="I18" s="358">
        <v>0.0024423602969910123</v>
      </c>
      <c r="K18" s="369" t="str">
        <f>IFERROR(__xludf.DUMMYFUNCTION("""COMPUTED_VALUE"""),"Kraken Lair - Pearl 1★ #041")</f>
        <v>Kraken Lair - Pearl 1★ #041</v>
      </c>
      <c r="L18" s="369" t="s">
        <v>520</v>
      </c>
      <c r="M18" s="374"/>
      <c r="O18" s="359" t="str">
        <f>IFERROR(__xludf.DUMMYFUNCTION("""COMPUTED_VALUE"""),"Skull Isle - Compass 1★ #4AA")</f>
        <v>Skull Isle - Compass 1★ #4AA</v>
      </c>
      <c r="P18" s="281">
        <f>IFERROR(__xludf.DUMMYFUNCTION("""COMPUTED_VALUE"""),50.0)</f>
        <v>50</v>
      </c>
      <c r="Q18" s="358">
        <f>IFERROR(__xludf.DUMMYFUNCTION("if(P18="""", """", P18/sum(filter($P$16:$P$949, $P$16:$P$949&lt;&gt;"""")))"),0.0024423602969910123)</f>
        <v>0.002442360297</v>
      </c>
    </row>
    <row r="19" ht="12.75" customHeight="1">
      <c r="A19" s="365" t="str">
        <f>AlbumConfig!B6&amp;" "&amp;AlbumConfig!E6</f>
        <v>Skull Isle - Anchor 1★</v>
      </c>
      <c r="B19" s="384">
        <f>IFERROR(__xludf.DUMMYFUNCTION("index($B$3:$B$7, right(index(split(A19, ""★""),0,1)), 0)"),50.0)</f>
        <v>50</v>
      </c>
      <c r="C19" s="384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59" t="s">
        <v>523</v>
      </c>
      <c r="H19" s="281">
        <v>50.0</v>
      </c>
      <c r="I19" s="358">
        <v>0.0024423602969910123</v>
      </c>
      <c r="K19" s="369" t="str">
        <f>IFERROR(__xludf.DUMMYFUNCTION("""COMPUTED_VALUE"""),"Kraken Lair - Pearl 1★ #B15")</f>
        <v>Kraken Lair - Pearl 1★ #B15</v>
      </c>
      <c r="L19" s="37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92">
        <f>IFERROR(__xludf.DUMMYFUNCTION("""COMPUTED_VALUE"""),7.0)</f>
        <v>7</v>
      </c>
      <c r="O19" s="359" t="str">
        <f>IFERROR(__xludf.DUMMYFUNCTION("""COMPUTED_VALUE"""),"Skull Isle - Compass 1★ #F5F")</f>
        <v>Skull Isle - Compass 1★ #F5F</v>
      </c>
      <c r="P19" s="281">
        <f>IFERROR(__xludf.DUMMYFUNCTION("""COMPUTED_VALUE"""),50.0)</f>
        <v>50</v>
      </c>
      <c r="Q19" s="358">
        <f>IFERROR(__xludf.DUMMYFUNCTION("if(P19="""", """", P19/sum(filter($P$16:$P$949, $P$16:$P$949&lt;&gt;"""")))"),0.0024423602969910123)</f>
        <v>0.002442360297</v>
      </c>
    </row>
    <row r="20" ht="12.75" customHeight="1">
      <c r="A20" s="365" t="str">
        <f>AlbumConfig!B7&amp;" "&amp;AlbumConfig!E7</f>
        <v>Skull Isle - Helm 2★</v>
      </c>
      <c r="B20" s="384">
        <f>IFERROR(__xludf.DUMMYFUNCTION("index($B$3:$B$7, right(index(split(A20, ""★""),0,1)), 0)"),20.0)</f>
        <v>20</v>
      </c>
      <c r="C20" s="384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59" t="s">
        <v>526</v>
      </c>
      <c r="H20" s="281">
        <v>50.0</v>
      </c>
      <c r="I20" s="358">
        <v>0.0024423602969910123</v>
      </c>
      <c r="K20" s="369" t="str">
        <f>IFERROR(__xludf.DUMMYFUNCTION("""COMPUTED_VALUE"""),"Dead Man Bay - Jolly Roger 2★ #914")</f>
        <v>Dead Man Bay - Jolly Roger 2★ #914</v>
      </c>
      <c r="L20" s="367" t="str">
        <f>IFERROR(__xludf.DUMMYFUNCTION("""COMPUTED_VALUE"""),"2★")</f>
        <v>2★</v>
      </c>
      <c r="M20" s="392">
        <f>IFERROR(__xludf.DUMMYFUNCTION("""COMPUTED_VALUE"""),6.0)</f>
        <v>6</v>
      </c>
      <c r="O20" s="359" t="str">
        <f>IFERROR(__xludf.DUMMYFUNCTION("""COMPUTED_VALUE"""),"Skull Isle - Compass 1★ #A14")</f>
        <v>Skull Isle - Compass 1★ #A14</v>
      </c>
      <c r="P20" s="281">
        <f>IFERROR(__xludf.DUMMYFUNCTION("""COMPUTED_VALUE"""),50.0)</f>
        <v>50</v>
      </c>
      <c r="Q20" s="358">
        <f>IFERROR(__xludf.DUMMYFUNCTION("if(P20="""", """", P20/sum(filter($P$16:$P$949, $P$16:$P$949&lt;&gt;"""")))"),0.0024423602969910123)</f>
        <v>0.002442360297</v>
      </c>
    </row>
    <row r="21" ht="12.75" customHeight="1">
      <c r="A21" s="365" t="str">
        <f>AlbumConfig!B8&amp;" "&amp;AlbumConfig!E8</f>
        <v>Skull Isle - Cutlass 2★</v>
      </c>
      <c r="B21" s="384">
        <f>IFERROR(__xludf.DUMMYFUNCTION("index($B$3:$B$7, right(index(split(A21, ""★""),0,1)), 0)"),20.0)</f>
        <v>20</v>
      </c>
      <c r="C21" s="384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59" t="s">
        <v>529</v>
      </c>
      <c r="H21" s="281">
        <v>50.0</v>
      </c>
      <c r="I21" s="358">
        <v>0.0024423602969910123</v>
      </c>
      <c r="K21" s="369" t="str">
        <f>IFERROR(__xludf.DUMMYFUNCTION("""COMPUTED_VALUE"""),"Storm Port - Barrel 1★ #CBA")</f>
        <v>Storm Port - Barrel 1★ #CBA</v>
      </c>
      <c r="L21" s="367" t="str">
        <f>IFERROR(__xludf.DUMMYFUNCTION("""COMPUTED_VALUE"""),"3★")</f>
        <v>3★</v>
      </c>
      <c r="M21" s="392">
        <f>IFERROR(__xludf.DUMMYFUNCTION("""COMPUTED_VALUE"""),3.0)</f>
        <v>3</v>
      </c>
      <c r="O21" s="359" t="str">
        <f>IFERROR(__xludf.DUMMYFUNCTION("""COMPUTED_VALUE"""),"Skull Isle - Compass 1★ #4C9")</f>
        <v>Skull Isle - Compass 1★ #4C9</v>
      </c>
      <c r="P21" s="281">
        <f>IFERROR(__xludf.DUMMYFUNCTION("""COMPUTED_VALUE"""),50.0)</f>
        <v>50</v>
      </c>
      <c r="Q21" s="358">
        <f>IFERROR(__xludf.DUMMYFUNCTION("if(P21="""", """", P21/sum(filter($P$16:$P$949, $P$16:$P$949&lt;&gt;"""")))"),0.0024423602969910123)</f>
        <v>0.002442360297</v>
      </c>
    </row>
    <row r="22" ht="12.75" customHeight="1">
      <c r="A22" s="365" t="str">
        <f>AlbumConfig!B9&amp;" "&amp;AlbumConfig!E9</f>
        <v>Skull Isle - Parrot 2★</v>
      </c>
      <c r="B22" s="384">
        <f>IFERROR(__xludf.DUMMYFUNCTION("index($B$3:$B$7, right(index(split(A22, ""★""),0,1)), 0)"),20.0)</f>
        <v>20</v>
      </c>
      <c r="C22" s="384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59" t="s">
        <v>532</v>
      </c>
      <c r="H22" s="281">
        <v>50.0</v>
      </c>
      <c r="I22" s="358">
        <v>0.0024423602969910123</v>
      </c>
      <c r="K22" s="369" t="str">
        <f>IFERROR(__xludf.DUMMYFUNCTION("""COMPUTED_VALUE"""),"Siren Reef - Starfish 3★ #084")</f>
        <v>Siren Reef - Starfish 3★ #084</v>
      </c>
      <c r="L22" s="367"/>
      <c r="M22" s="374"/>
      <c r="O22" s="359" t="str">
        <f>IFERROR(__xludf.DUMMYFUNCTION("""COMPUTED_VALUE"""),"Skull Isle - Compass 1★ #F7E")</f>
        <v>Skull Isle - Compass 1★ #F7E</v>
      </c>
      <c r="P22" s="281">
        <f>IFERROR(__xludf.DUMMYFUNCTION("""COMPUTED_VALUE"""),50.0)</f>
        <v>50</v>
      </c>
      <c r="Q22" s="358">
        <f>IFERROR(__xludf.DUMMYFUNCTION("if(P22="""", """", P22/sum(filter($P$16:$P$949, $P$16:$P$949&lt;&gt;"""")))"),0.0024423602969910123)</f>
        <v>0.002442360297</v>
      </c>
    </row>
    <row r="23" ht="12.75" customHeight="1">
      <c r="A23" s="365" t="str">
        <f>AlbumConfig!B10&amp;" "&amp;AlbumConfig!E10</f>
        <v>Skull Isle - Chest 3★</v>
      </c>
      <c r="B23" s="384">
        <f>IFERROR(__xludf.DUMMYFUNCTION("index($B$3:$B$7, right(index(split(A23, ""★""),0,1)), 0)"),10.0)</f>
        <v>10</v>
      </c>
      <c r="C23" s="384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59" t="s">
        <v>535</v>
      </c>
      <c r="H23" s="281">
        <v>50.0</v>
      </c>
      <c r="I23" s="358">
        <v>0.0024423602969910123</v>
      </c>
      <c r="K23" s="369" t="str">
        <f>IFERROR(__xludf.DUMMYFUNCTION("""COMPUTED_VALUE"""),"Ghost Ship - Nest 3★ #59E")</f>
        <v>Ghost Ship - Nest 3★ #59E</v>
      </c>
      <c r="L23" s="367"/>
      <c r="M23" s="374"/>
      <c r="O23" s="359" t="str">
        <f>IFERROR(__xludf.DUMMYFUNCTION("""COMPUTED_VALUE"""),"Skull Isle - Compass 1★ #A33")</f>
        <v>Skull Isle - Compass 1★ #A33</v>
      </c>
      <c r="P23" s="281">
        <f>IFERROR(__xludf.DUMMYFUNCTION("""COMPUTED_VALUE"""),50.0)</f>
        <v>50</v>
      </c>
      <c r="Q23" s="358">
        <f>IFERROR(__xludf.DUMMYFUNCTION("if(P23="""", """", P23/sum(filter($P$16:$P$949, $P$16:$P$949&lt;&gt;"""")))"),0.0024423602969910123)</f>
        <v>0.002442360297</v>
      </c>
    </row>
    <row r="24" ht="12.75" customHeight="1">
      <c r="A24" s="365" t="str">
        <f>AlbumConfig!B11&amp;" "&amp;AlbumConfig!E11</f>
        <v>Skull Isle - Skull 3★</v>
      </c>
      <c r="B24" s="384">
        <f>IFERROR(__xludf.DUMMYFUNCTION("index($B$3:$B$7, right(index(split(A24, ""★""),0,1)), 0)"),10.0)</f>
        <v>10</v>
      </c>
      <c r="C24" s="384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59" t="s">
        <v>538</v>
      </c>
      <c r="H24" s="281">
        <v>50.0</v>
      </c>
      <c r="I24" s="358">
        <v>0.0024423602969910123</v>
      </c>
      <c r="K24" s="369" t="str">
        <f>IFERROR(__xludf.DUMMYFUNCTION("""COMPUTED_VALUE"""),"Kraken Lair - Tentacle 1★ #F49")</f>
        <v>Kraken Lair - Tentacle 1★ #F49</v>
      </c>
      <c r="L24" s="369" t="s">
        <v>753</v>
      </c>
      <c r="M24" s="374"/>
      <c r="O24" s="359" t="str">
        <f>IFERROR(__xludf.DUMMYFUNCTION("""COMPUTED_VALUE"""),"Skull Isle - Compass 1★ #4E8")</f>
        <v>Skull Isle - Compass 1★ #4E8</v>
      </c>
      <c r="P24" s="281">
        <f>IFERROR(__xludf.DUMMYFUNCTION("""COMPUTED_VALUE"""),50.0)</f>
        <v>50</v>
      </c>
      <c r="Q24" s="358">
        <f>IFERROR(__xludf.DUMMYFUNCTION("if(P24="""", """", P24/sum(filter($P$16:$P$949, $P$16:$P$949&lt;&gt;"""")))"),0.0024423602969910123)</f>
        <v>0.002442360297</v>
      </c>
    </row>
    <row r="25" ht="12.75" customHeight="1">
      <c r="A25" s="365" t="str">
        <f>AlbumConfig!B12&amp;" "&amp;AlbumConfig!E12</f>
        <v>Kraken Lair - Tentacle 1★</v>
      </c>
      <c r="B25" s="384">
        <f>IFERROR(__xludf.DUMMYFUNCTION("index($B$3:$B$7, right(index(split(A25, ""★""),0,1)), 0)"),50.0)</f>
        <v>50</v>
      </c>
      <c r="C25" s="384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59" t="s">
        <v>543</v>
      </c>
      <c r="H25" s="281">
        <v>50.0</v>
      </c>
      <c r="I25" s="358">
        <v>0.0024423602969910123</v>
      </c>
      <c r="K25" s="369" t="str">
        <f>IFERROR(__xludf.DUMMYFUNCTION("""COMPUTED_VALUE"""),"Siren Reef - Harp 1★ #E75")</f>
        <v>Siren Reef - Harp 1★ #E75</v>
      </c>
      <c r="L25" s="359" t="str">
        <f t="shared" ref="L25:L28" si="2">L19</f>
        <v>1★</v>
      </c>
      <c r="M25" s="393">
        <f t="shared" ref="M25:M28" si="3">if(L25="", "", M19/sum($M$19:$M$23))</f>
        <v>0.4375</v>
      </c>
      <c r="O25" s="359" t="str">
        <f>IFERROR(__xludf.DUMMYFUNCTION("""COMPUTED_VALUE"""),"Skull Isle - Compass 1★ #F9D")</f>
        <v>Skull Isle - Compass 1★ #F9D</v>
      </c>
      <c r="P25" s="281">
        <f>IFERROR(__xludf.DUMMYFUNCTION("""COMPUTED_VALUE"""),50.0)</f>
        <v>50</v>
      </c>
      <c r="Q25" s="358">
        <f>IFERROR(__xludf.DUMMYFUNCTION("if(P25="""", """", P25/sum(filter($P$16:$P$949, $P$16:$P$949&lt;&gt;"""")))"),0.0024423602969910123)</f>
        <v>0.002442360297</v>
      </c>
    </row>
    <row r="26" ht="12.75" customHeight="1">
      <c r="A26" s="365" t="str">
        <f>AlbumConfig!B13&amp;" "&amp;AlbumConfig!E13</f>
        <v>Kraken Lair - Ink Cloud 1★</v>
      </c>
      <c r="B26" s="384">
        <f>IFERROR(__xludf.DUMMYFUNCTION("index($B$3:$B$7, right(index(split(A26, ""★""),0,1)), 0)"),50.0)</f>
        <v>50</v>
      </c>
      <c r="C26" s="384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59" t="s">
        <v>754</v>
      </c>
      <c r="H26" s="281">
        <v>50.0</v>
      </c>
      <c r="I26" s="358">
        <v>0.0024423602969910123</v>
      </c>
      <c r="K26" s="369" t="str">
        <f>IFERROR(__xludf.DUMMYFUNCTION("""COMPUTED_VALUE"""),"Gold Cove - Diamond 2★ #557")</f>
        <v>Gold Cove - Diamond 2★ #557</v>
      </c>
      <c r="L26" s="359" t="str">
        <f t="shared" si="2"/>
        <v>2★</v>
      </c>
      <c r="M26" s="393">
        <f t="shared" si="3"/>
        <v>0.375</v>
      </c>
      <c r="O26" s="359" t="str">
        <f>IFERROR(__xludf.DUMMYFUNCTION("""COMPUTED_VALUE"""),"Skull Isle - Compass 1★ #A52")</f>
        <v>Skull Isle - Compass 1★ #A52</v>
      </c>
      <c r="P26" s="281">
        <f>IFERROR(__xludf.DUMMYFUNCTION("""COMPUTED_VALUE"""),50.0)</f>
        <v>50</v>
      </c>
      <c r="Q26" s="358">
        <f>IFERROR(__xludf.DUMMYFUNCTION("if(P26="""", """", P26/sum(filter($P$16:$P$949, $P$16:$P$949&lt;&gt;"""")))"),0.0024423602969910123)</f>
        <v>0.002442360297</v>
      </c>
    </row>
    <row r="27" ht="12.75" customHeight="1">
      <c r="A27" s="365" t="str">
        <f>AlbumConfig!B14&amp;" "&amp;AlbumConfig!E14</f>
        <v>Kraken Lair - Pearl 1★</v>
      </c>
      <c r="B27" s="384">
        <f>IFERROR(__xludf.DUMMYFUNCTION("index($B$3:$B$7, right(index(split(A27, ""★""),0,1)), 0)"),50.0)</f>
        <v>50</v>
      </c>
      <c r="C27" s="384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59" t="s">
        <v>755</v>
      </c>
      <c r="H27" s="281">
        <v>50.0</v>
      </c>
      <c r="I27" s="358">
        <v>0.0024423602969910123</v>
      </c>
      <c r="K27" s="369" t="str">
        <f>IFERROR(__xludf.DUMMYFUNCTION("""COMPUTED_VALUE"""),"Kraken Lair - Trident 1★ #B53")</f>
        <v>Kraken Lair - Trident 1★ #B53</v>
      </c>
      <c r="L27" s="359" t="str">
        <f t="shared" si="2"/>
        <v>3★</v>
      </c>
      <c r="M27" s="393">
        <f t="shared" si="3"/>
        <v>0.1875</v>
      </c>
      <c r="O27" s="359" t="str">
        <f>IFERROR(__xludf.DUMMYFUNCTION("""COMPUTED_VALUE"""),"Skull Isle - Compass 1★ #507")</f>
        <v>Skull Isle - Compass 1★ #507</v>
      </c>
      <c r="P27" s="281">
        <f>IFERROR(__xludf.DUMMYFUNCTION("""COMPUTED_VALUE"""),50.0)</f>
        <v>50</v>
      </c>
      <c r="Q27" s="358">
        <f>IFERROR(__xludf.DUMMYFUNCTION("if(P27="""", """", P27/sum(filter($P$16:$P$949, $P$16:$P$949&lt;&gt;"""")))"),0.0024423602969910123)</f>
        <v>0.002442360297</v>
      </c>
    </row>
    <row r="28" ht="12.75" customHeight="1">
      <c r="A28" s="365" t="str">
        <f>AlbumConfig!B15&amp;" "&amp;AlbumConfig!E15</f>
        <v>Kraken Lair - Trident 1★</v>
      </c>
      <c r="B28" s="384">
        <f>IFERROR(__xludf.DUMMYFUNCTION("index($B$3:$B$7, right(index(split(A28, ""★""),0,1)), 0)"),50.0)</f>
        <v>50</v>
      </c>
      <c r="C28" s="384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59" t="s">
        <v>756</v>
      </c>
      <c r="H28" s="281">
        <v>50.0</v>
      </c>
      <c r="I28" s="358">
        <v>0.0024423602969910123</v>
      </c>
      <c r="K28" s="369" t="str">
        <f>IFERROR(__xludf.DUMMYFUNCTION("""COMPUTED_VALUE"""),"Cannon Fort - Powder 1★ #BAC")</f>
        <v>Cannon Fort - Powder 1★ #BAC</v>
      </c>
      <c r="L28" s="359" t="str">
        <f t="shared" si="2"/>
        <v/>
      </c>
      <c r="M28" s="358" t="str">
        <f t="shared" si="3"/>
        <v/>
      </c>
      <c r="O28" s="359" t="str">
        <f>IFERROR(__xludf.DUMMYFUNCTION("""COMPUTED_VALUE"""),"Skull Isle - Compass 1★ #FBC")</f>
        <v>Skull Isle - Compass 1★ #FBC</v>
      </c>
      <c r="P28" s="281">
        <f>IFERROR(__xludf.DUMMYFUNCTION("""COMPUTED_VALUE"""),50.0)</f>
        <v>50</v>
      </c>
      <c r="Q28" s="358">
        <f>IFERROR(__xludf.DUMMYFUNCTION("if(P28="""", """", P28/sum(filter($P$16:$P$949, $P$16:$P$949&lt;&gt;"""")))"),0.0024423602969910123)</f>
        <v>0.002442360297</v>
      </c>
    </row>
    <row r="29" ht="12.75" customHeight="1">
      <c r="A29" s="365" t="str">
        <f>AlbumConfig!B16&amp;" "&amp;AlbumConfig!E16</f>
        <v>Kraken Lair - Shell 2★</v>
      </c>
      <c r="B29" s="384">
        <f>IFERROR(__xludf.DUMMYFUNCTION("index($B$3:$B$7, right(index(split(A29, ""★""),0,1)), 0)"),20.0)</f>
        <v>20</v>
      </c>
      <c r="C29" s="384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59" t="s">
        <v>757</v>
      </c>
      <c r="H29" s="281">
        <v>50.0</v>
      </c>
      <c r="I29" s="358">
        <v>0.0024423602969910123</v>
      </c>
      <c r="K29" s="369" t="str">
        <f>IFERROR(__xludf.DUMMYFUNCTION("""COMPUTED_VALUE"""),"Ghost Ship - Ghost Lamp 2★ #40B")</f>
        <v>Ghost Ship - Ghost Lamp 2★ #40B</v>
      </c>
      <c r="L29" s="372"/>
      <c r="M29" s="374"/>
      <c r="O29" s="359" t="str">
        <f>IFERROR(__xludf.DUMMYFUNCTION("""COMPUTED_VALUE"""),"Skull Isle - Compass 1★ #A71")</f>
        <v>Skull Isle - Compass 1★ #A71</v>
      </c>
      <c r="P29" s="281">
        <f>IFERROR(__xludf.DUMMYFUNCTION("""COMPUTED_VALUE"""),50.0)</f>
        <v>50</v>
      </c>
      <c r="Q29" s="358">
        <f>IFERROR(__xludf.DUMMYFUNCTION("if(P29="""", """", P29/sum(filter($P$16:$P$949, $P$16:$P$949&lt;&gt;"""")))"),0.0024423602969910123)</f>
        <v>0.002442360297</v>
      </c>
    </row>
    <row r="30" ht="12.75" customHeight="1">
      <c r="A30" s="365" t="str">
        <f>AlbumConfig!B17&amp;" "&amp;AlbumConfig!E17</f>
        <v>Kraken Lair - Coral 2★</v>
      </c>
      <c r="B30" s="384">
        <f>IFERROR(__xludf.DUMMYFUNCTION("index($B$3:$B$7, right(index(split(A30, ""★""),0,1)), 0)"),20.0)</f>
        <v>20</v>
      </c>
      <c r="C30" s="384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59" t="s">
        <v>558</v>
      </c>
      <c r="H30" s="281">
        <v>50.0</v>
      </c>
      <c r="I30" s="358">
        <v>0.0024423602969910123</v>
      </c>
      <c r="K30" s="369" t="str">
        <f>IFERROR(__xludf.DUMMYFUNCTION("""COMPUTED_VALUE"""),"Kraken Lair - Pearl 1★ #56D")</f>
        <v>Kraken Lair - Pearl 1★ #56D</v>
      </c>
      <c r="L30" s="372"/>
      <c r="M30" s="374"/>
      <c r="O30" s="359" t="str">
        <f>IFERROR(__xludf.DUMMYFUNCTION("""COMPUTED_VALUE"""),"Skull Isle - Map 1★ #526")</f>
        <v>Skull Isle - Map 1★ #526</v>
      </c>
      <c r="P30" s="281">
        <f>IFERROR(__xludf.DUMMYFUNCTION("""COMPUTED_VALUE"""),50.0)</f>
        <v>50</v>
      </c>
      <c r="Q30" s="358">
        <f>IFERROR(__xludf.DUMMYFUNCTION("if(P30="""", """", P30/sum(filter($P$16:$P$949, $P$16:$P$949&lt;&gt;"""")))"),0.0024423602969910123)</f>
        <v>0.002442360297</v>
      </c>
    </row>
    <row r="31" ht="12.75" customHeight="1">
      <c r="A31" s="365" t="str">
        <f>AlbumConfig!B18&amp;" "&amp;AlbumConfig!E18</f>
        <v>Kraken Lair - Lantern 3★</v>
      </c>
      <c r="B31" s="384">
        <f>IFERROR(__xludf.DUMMYFUNCTION("index($B$3:$B$7, right(index(split(A31, ""★""),0,1)), 0)"),10.0)</f>
        <v>10</v>
      </c>
      <c r="C31" s="384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59" t="s">
        <v>561</v>
      </c>
      <c r="H31" s="281">
        <v>50.0</v>
      </c>
      <c r="I31" s="358">
        <v>0.0024423602969910123</v>
      </c>
      <c r="K31" s="369" t="str">
        <f>IFERROR(__xludf.DUMMYFUNCTION("""COMPUTED_VALUE"""),"Skull Isle - Compass 1★ #4C9")</f>
        <v>Skull Isle - Compass 1★ #4C9</v>
      </c>
      <c r="L31" s="359" t="str">
        <f>L23</f>
        <v/>
      </c>
      <c r="M31" s="373" t="s">
        <v>562</v>
      </c>
      <c r="O31" s="359" t="str">
        <f>IFERROR(__xludf.DUMMYFUNCTION("""COMPUTED_VALUE"""),"Skull Isle - Map 1★ #FDB")</f>
        <v>Skull Isle - Map 1★ #FDB</v>
      </c>
      <c r="P31" s="281">
        <f>IFERROR(__xludf.DUMMYFUNCTION("""COMPUTED_VALUE"""),50.0)</f>
        <v>50</v>
      </c>
      <c r="Q31" s="358">
        <f>IFERROR(__xludf.DUMMYFUNCTION("if(P31="""", """", P31/sum(filter($P$16:$P$949, $P$16:$P$949&lt;&gt;"""")))"),0.0024423602969910123)</f>
        <v>0.002442360297</v>
      </c>
    </row>
    <row r="32" ht="12.75" customHeight="1">
      <c r="A32" s="365" t="str">
        <f>AlbumConfig!B19&amp;" "&amp;AlbumConfig!E19</f>
        <v>Kraken Lair - Hook 3★</v>
      </c>
      <c r="B32" s="384">
        <f>IFERROR(__xludf.DUMMYFUNCTION("index($B$3:$B$7, right(index(split(A32, ""★""),0,1)), 0)"),10.0)</f>
        <v>10</v>
      </c>
      <c r="C32" s="384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59" t="s">
        <v>565</v>
      </c>
      <c r="H32" s="281">
        <v>50.0</v>
      </c>
      <c r="I32" s="358">
        <v>0.0024423602969910123</v>
      </c>
      <c r="K32" s="369" t="str">
        <f>IFERROR(__xludf.DUMMYFUNCTION("""COMPUTED_VALUE"""),"Kraken Lair - Trident 1★ #0DC")</f>
        <v>Kraken Lair - Trident 1★ #0DC</v>
      </c>
      <c r="L32" s="372"/>
      <c r="M32" s="392">
        <f>IFERROR(__xludf.DUMMYFUNCTION("sum(arrayformula(right(index(split(filter($L$35:$L$48, $L$35:$L$48&lt;&gt;""""), ""★""), 0, 1), 1) * (filter($M$35:$M$48, $M$35:$M$48&lt;&gt;"""")-1)))"),15.0)</f>
        <v>15</v>
      </c>
      <c r="O32" s="359" t="str">
        <f>IFERROR(__xludf.DUMMYFUNCTION("""COMPUTED_VALUE"""),"Skull Isle - Map 1★ #A90")</f>
        <v>Skull Isle - Map 1★ #A90</v>
      </c>
      <c r="P32" s="281">
        <f>IFERROR(__xludf.DUMMYFUNCTION("""COMPUTED_VALUE"""),50.0)</f>
        <v>50</v>
      </c>
      <c r="Q32" s="358">
        <f>IFERROR(__xludf.DUMMYFUNCTION("if(P32="""", """", P32/sum(filter($P$16:$P$949, $P$16:$P$949&lt;&gt;"""")))"),0.0024423602969910123)</f>
        <v>0.002442360297</v>
      </c>
    </row>
    <row r="33" ht="12.75" customHeight="1">
      <c r="A33" s="365" t="str">
        <f>AlbumConfig!B20&amp;" "&amp;AlbumConfig!E20</f>
        <v>Kraken Lair - Eyepatch 4★</v>
      </c>
      <c r="B33" s="384">
        <f>IFERROR(__xludf.DUMMYFUNCTION("index($B$3:$B$7, right(index(split(A33, ""★""),0,1)), 0)"),5.0)</f>
        <v>5</v>
      </c>
      <c r="C33" s="384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59" t="s">
        <v>568</v>
      </c>
      <c r="H33" s="281">
        <v>50.0</v>
      </c>
      <c r="I33" s="358">
        <v>0.0024423602969910123</v>
      </c>
      <c r="K33" s="369" t="str">
        <f>IFERROR(__xludf.DUMMYFUNCTION("""COMPUTED_VALUE"""),"Gold Cove - Ruby 1★ #440")</f>
        <v>Gold Cove - Ruby 1★ #440</v>
      </c>
      <c r="L33" s="359"/>
      <c r="M33" s="374"/>
      <c r="O33" s="359" t="str">
        <f>IFERROR(__xludf.DUMMYFUNCTION("""COMPUTED_VALUE"""),"Skull Isle - Map 1★ #545")</f>
        <v>Skull Isle - Map 1★ #545</v>
      </c>
      <c r="P33" s="281">
        <f>IFERROR(__xludf.DUMMYFUNCTION("""COMPUTED_VALUE"""),50.0)</f>
        <v>50</v>
      </c>
      <c r="Q33" s="358">
        <f>IFERROR(__xludf.DUMMYFUNCTION("if(P33="""", """", P33/sum(filter($P$16:$P$949, $P$16:$P$949&lt;&gt;"""")))"),0.0024423602969910123)</f>
        <v>0.002442360297</v>
      </c>
    </row>
    <row r="34" ht="12.75" customHeight="1">
      <c r="A34" s="365" t="str">
        <f>AlbumConfig!B21&amp;" "&amp;AlbumConfig!E21</f>
        <v>Gold Cove - Doubloon 1★</v>
      </c>
      <c r="B34" s="384">
        <f>IFERROR(__xludf.DUMMYFUNCTION("index($B$3:$B$7, right(index(split(A34, ""★""),0,1)), 0)"),50.0)</f>
        <v>50</v>
      </c>
      <c r="C34" s="384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59" t="s">
        <v>572</v>
      </c>
      <c r="H34" s="281">
        <v>50.0</v>
      </c>
      <c r="I34" s="358">
        <v>0.0024423602969910123</v>
      </c>
      <c r="K34" s="369" t="str">
        <f>IFERROR(__xludf.DUMMYFUNCTION("""COMPUTED_VALUE"""),"Dead Man Bay - Treasure Map 2★ #898")</f>
        <v>Dead Man Bay - Treasure Map 2★ #898</v>
      </c>
      <c r="L34" s="357" t="s">
        <v>573</v>
      </c>
      <c r="M34" s="362" t="s">
        <v>574</v>
      </c>
      <c r="O34" s="359" t="str">
        <f>IFERROR(__xludf.DUMMYFUNCTION("""COMPUTED_VALUE"""),"Skull Isle - Map 1★ #FFA")</f>
        <v>Skull Isle - Map 1★ #FFA</v>
      </c>
      <c r="P34" s="281">
        <f>IFERROR(__xludf.DUMMYFUNCTION("""COMPUTED_VALUE"""),50.0)</f>
        <v>50</v>
      </c>
      <c r="Q34" s="358">
        <f>IFERROR(__xludf.DUMMYFUNCTION("if(P34="""", """", P34/sum(filter($P$16:$P$949, $P$16:$P$949&lt;&gt;"""")))"),0.0024423602969910123)</f>
        <v>0.002442360297</v>
      </c>
    </row>
    <row r="35" ht="12.75" customHeight="1">
      <c r="A35" s="365" t="str">
        <f>AlbumConfig!B22&amp;" "&amp;AlbumConfig!E22</f>
        <v>Gold Cove - Ruby 1★</v>
      </c>
      <c r="B35" s="384">
        <f>IFERROR(__xludf.DUMMYFUNCTION("index($B$3:$B$7, right(index(split(A35, ""★""),0,1)), 0)"),50.0)</f>
        <v>50</v>
      </c>
      <c r="C35" s="384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59" t="s">
        <v>577</v>
      </c>
      <c r="H35" s="281">
        <v>50.0</v>
      </c>
      <c r="I35" s="358">
        <v>0.0024423602969910123</v>
      </c>
      <c r="K35" s="369" t="str">
        <f>IFERROR(__xludf.DUMMYFUNCTION("""COMPUTED_VALUE"""),"Dead Man Bay - Gold Tooth 3★ #445")</f>
        <v>Dead Man Bay - Gold Tooth 3★ #445</v>
      </c>
      <c r="L35" s="375" t="str">
        <f>IFERROR(__xludf.DUMMYFUNCTION("unique(index(arrayformula(split(filter($K$16:$K$449, $K$16:$K$449&lt;&gt;""""), ""★"")&amp;""★""), 0, 1))"),"Kraken Lair - Pearl 1★")</f>
        <v>Kraken Lair - Pearl 1★</v>
      </c>
      <c r="M35" s="374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1)=L35)))"),7.0)</f>
        <v>7</v>
      </c>
      <c r="O35" s="359" t="str">
        <f>IFERROR(__xludf.DUMMYFUNCTION("""COMPUTED_VALUE"""),"Skull Isle - Map 1★ #AAF")</f>
        <v>Skull Isle - Map 1★ #AAF</v>
      </c>
      <c r="P35" s="281">
        <f>IFERROR(__xludf.DUMMYFUNCTION("""COMPUTED_VALUE"""),50.0)</f>
        <v>50</v>
      </c>
      <c r="Q35" s="358">
        <f>IFERROR(__xludf.DUMMYFUNCTION("if(P35="""", """", P35/sum(filter($P$16:$P$949, $P$16:$P$949&lt;&gt;"""")))"),0.0024423602969910123)</f>
        <v>0.002442360297</v>
      </c>
    </row>
    <row r="36" ht="12.75" customHeight="1">
      <c r="A36" s="365" t="str">
        <f>AlbumConfig!B23&amp;" "&amp;AlbumConfig!E23</f>
        <v>Gold Cove - Emerald 1★</v>
      </c>
      <c r="B36" s="384">
        <f>IFERROR(__xludf.DUMMYFUNCTION("index($B$3:$B$7, right(index(split(A36, ""★""),0,1)), 0)"),50.0)</f>
        <v>50</v>
      </c>
      <c r="C36" s="384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59" t="s">
        <v>758</v>
      </c>
      <c r="H36" s="281">
        <v>50.0</v>
      </c>
      <c r="I36" s="358">
        <v>0.0024423602969910123</v>
      </c>
      <c r="K36" s="369" t="str">
        <f>IFERROR(__xludf.DUMMYFUNCTION("""COMPUTED_VALUE"""),"Storm Port - Lightning 1★ #C5D")</f>
        <v>Storm Port - Lightning 1★ #C5D</v>
      </c>
      <c r="L36" s="375" t="str">
        <f>IFERROR(__xludf.DUMMYFUNCTION("""COMPUTED_VALUE"""),"Cannon Fort - Ramrod 2★")</f>
        <v>Cannon Fort - Ramrod 2★</v>
      </c>
      <c r="M36" s="374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359" t="str">
        <f>IFERROR(__xludf.DUMMYFUNCTION("""COMPUTED_VALUE"""),"Skull Isle - Map 1★ #564")</f>
        <v>Skull Isle - Map 1★ #564</v>
      </c>
      <c r="P36" s="281">
        <f>IFERROR(__xludf.DUMMYFUNCTION("""COMPUTED_VALUE"""),50.0)</f>
        <v>50</v>
      </c>
      <c r="Q36" s="358">
        <f>IFERROR(__xludf.DUMMYFUNCTION("if(P36="""", """", P36/sum(filter($P$16:$P$949, $P$16:$P$949&lt;&gt;"""")))"),0.0024423602969910123)</f>
        <v>0.002442360297</v>
      </c>
    </row>
    <row r="37" ht="12.75" customHeight="1">
      <c r="A37" s="365" t="str">
        <f>AlbumConfig!B24&amp;" "&amp;AlbumConfig!E24</f>
        <v>Gold Cove - Diamond 2★</v>
      </c>
      <c r="B37" s="384">
        <f>IFERROR(__xludf.DUMMYFUNCTION("index($B$3:$B$7, right(index(split(A37, ""★""),0,1)), 0)"),20.0)</f>
        <v>20</v>
      </c>
      <c r="C37" s="384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59" t="s">
        <v>759</v>
      </c>
      <c r="H37" s="281">
        <v>50.0</v>
      </c>
      <c r="I37" s="358">
        <v>0.0024423602969910123</v>
      </c>
      <c r="K37" s="369" t="str">
        <f>IFERROR(__xludf.DUMMYFUNCTION("""COMPUTED_VALUE"""),"Gold Cove - Emerald 1★ #F90")</f>
        <v>Gold Cove - Emerald 1★ #F90</v>
      </c>
      <c r="L37" s="375" t="str">
        <f>IFERROR(__xludf.DUMMYFUNCTION("""COMPUTED_VALUE"""),"Dead Man Bay - Jolly Roger 2★")</f>
        <v>Dead Man Bay - Jolly Roger 2★</v>
      </c>
      <c r="M37" s="374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359" t="str">
        <f>IFERROR(__xludf.DUMMYFUNCTION("""COMPUTED_VALUE"""),"Skull Isle - Map 1★ #019")</f>
        <v>Skull Isle - Map 1★ #019</v>
      </c>
      <c r="P37" s="281">
        <f>IFERROR(__xludf.DUMMYFUNCTION("""COMPUTED_VALUE"""),50.0)</f>
        <v>50</v>
      </c>
      <c r="Q37" s="358">
        <f>IFERROR(__xludf.DUMMYFUNCTION("if(P37="""", """", P37/sum(filter($P$16:$P$949, $P$16:$P$949&lt;&gt;"""")))"),0.0024423602969910123)</f>
        <v>0.002442360297</v>
      </c>
    </row>
    <row r="38" ht="12.75" customHeight="1">
      <c r="A38" s="365" t="str">
        <f>AlbumConfig!B25&amp;" "&amp;AlbumConfig!E25</f>
        <v>Gold Cove - Crown 2★</v>
      </c>
      <c r="B38" s="384">
        <f>IFERROR(__xludf.DUMMYFUNCTION("index($B$3:$B$7, right(index(split(A38, ""★""),0,1)), 0)"),20.0)</f>
        <v>20</v>
      </c>
      <c r="C38" s="384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59" t="s">
        <v>760</v>
      </c>
      <c r="H38" s="281">
        <v>50.0</v>
      </c>
      <c r="I38" s="358">
        <v>0.0024423602969910123</v>
      </c>
      <c r="K38" s="369" t="str">
        <f>IFERROR(__xludf.DUMMYFUNCTION("""COMPUTED_VALUE"""),"Storm Port - Lightning 1★ #205")</f>
        <v>Storm Port - Lightning 1★ #205</v>
      </c>
      <c r="L38" s="375" t="str">
        <f>IFERROR(__xludf.DUMMYFUNCTION("""COMPUTED_VALUE"""),"Storm Port - Barrel 1★")</f>
        <v>Storm Port - Barrel 1★</v>
      </c>
      <c r="M38" s="374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359" t="str">
        <f>IFERROR(__xludf.DUMMYFUNCTION("""COMPUTED_VALUE"""),"Skull Isle - Map 1★ #ACE")</f>
        <v>Skull Isle - Map 1★ #ACE</v>
      </c>
      <c r="P38" s="281">
        <f>IFERROR(__xludf.DUMMYFUNCTION("""COMPUTED_VALUE"""),50.0)</f>
        <v>50</v>
      </c>
      <c r="Q38" s="358">
        <f>IFERROR(__xludf.DUMMYFUNCTION("if(P38="""", """", P38/sum(filter($P$16:$P$949, $P$16:$P$949&lt;&gt;"""")))"),0.0024423602969910123)</f>
        <v>0.002442360297</v>
      </c>
    </row>
    <row r="39" ht="12.75" customHeight="1">
      <c r="A39" s="365" t="str">
        <f>AlbumConfig!B26&amp;" "&amp;AlbumConfig!E26</f>
        <v>Gold Cove - Goblet 3★</v>
      </c>
      <c r="B39" s="384">
        <f>IFERROR(__xludf.DUMMYFUNCTION("index($B$3:$B$7, right(index(split(A39, ""★""),0,1)), 0)"),10.0)</f>
        <v>10</v>
      </c>
      <c r="C39" s="384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59" t="s">
        <v>761</v>
      </c>
      <c r="H39" s="281">
        <v>50.0</v>
      </c>
      <c r="I39" s="358">
        <v>0.0024423602969910123</v>
      </c>
      <c r="K39" s="369" t="str">
        <f>IFERROR(__xludf.DUMMYFUNCTION("""COMPUTED_VALUE"""),"Skull Isle - Helm 2★ #754")</f>
        <v>Skull Isle - Helm 2★ #754</v>
      </c>
      <c r="L39" s="375" t="str">
        <f>IFERROR(__xludf.DUMMYFUNCTION("""COMPUTED_VALUE"""),"Siren Reef - Starfish 3★")</f>
        <v>Siren Reef - Starfish 3★</v>
      </c>
      <c r="M39" s="374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359" t="str">
        <f>IFERROR(__xludf.DUMMYFUNCTION("""COMPUTED_VALUE"""),"Skull Isle - Map 1★ #583")</f>
        <v>Skull Isle - Map 1★ #583</v>
      </c>
      <c r="P39" s="281">
        <f>IFERROR(__xludf.DUMMYFUNCTION("""COMPUTED_VALUE"""),50.0)</f>
        <v>50</v>
      </c>
      <c r="Q39" s="358">
        <f>IFERROR(__xludf.DUMMYFUNCTION("if(P39="""", """", P39/sum(filter($P$16:$P$949, $P$16:$P$949&lt;&gt;"""")))"),0.0024423602969910123)</f>
        <v>0.002442360297</v>
      </c>
    </row>
    <row r="40" ht="12.75" customHeight="1">
      <c r="A40" s="365" t="str">
        <f>AlbumConfig!B27&amp;" "&amp;AlbumConfig!E27</f>
        <v>Gold Cove - Necklace 4★</v>
      </c>
      <c r="B40" s="384">
        <f>IFERROR(__xludf.DUMMYFUNCTION("index($B$3:$B$7, right(index(split(A40, ""★""),0,1)), 0)"),5.0)</f>
        <v>5</v>
      </c>
      <c r="C40" s="384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59" t="s">
        <v>762</v>
      </c>
      <c r="H40" s="281">
        <v>50.0</v>
      </c>
      <c r="I40" s="358">
        <v>0.0024423602969910123</v>
      </c>
      <c r="K40" s="369" t="str">
        <f>IFERROR(__xludf.DUMMYFUNCTION("""COMPUTED_VALUE"""),"Storm Port - Lightning 1★ #1C7")</f>
        <v>Storm Port - Lightning 1★ #1C7</v>
      </c>
      <c r="L40" s="375" t="str">
        <f>IFERROR(__xludf.DUMMYFUNCTION("""COMPUTED_VALUE"""),"Ghost Ship - Nest 3★")</f>
        <v>Ghost Ship - Nest 3★</v>
      </c>
      <c r="M40" s="374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359" t="str">
        <f>IFERROR(__xludf.DUMMYFUNCTION("""COMPUTED_VALUE"""),"Skull Isle - Map 1★ #038")</f>
        <v>Skull Isle - Map 1★ #038</v>
      </c>
      <c r="P40" s="281">
        <f>IFERROR(__xludf.DUMMYFUNCTION("""COMPUTED_VALUE"""),50.0)</f>
        <v>50</v>
      </c>
      <c r="Q40" s="358">
        <f>IFERROR(__xludf.DUMMYFUNCTION("if(P40="""", """", P40/sum(filter($P$16:$P$949, $P$16:$P$949&lt;&gt;"""")))"),0.0024423602969910123)</f>
        <v>0.002442360297</v>
      </c>
    </row>
    <row r="41" ht="12.75" customHeight="1">
      <c r="A41" s="365" t="str">
        <f>AlbumConfig!B28&amp;" "&amp;AlbumConfig!E28</f>
        <v>Gold Cove - Ring 4★</v>
      </c>
      <c r="B41" s="384">
        <f>IFERROR(__xludf.DUMMYFUNCTION("index($B$3:$B$7, right(index(split(A41, ""★""),0,1)), 0)"),5.0)</f>
        <v>5</v>
      </c>
      <c r="C41" s="384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59" t="s">
        <v>763</v>
      </c>
      <c r="H41" s="281">
        <v>50.0</v>
      </c>
      <c r="I41" s="358">
        <v>0.0024423602969910123</v>
      </c>
      <c r="K41" s="369" t="str">
        <f>IFERROR(__xludf.DUMMYFUNCTION("""COMPUTED_VALUE"""),"Siren Reef - Comb 2★ #4F6")</f>
        <v>Siren Reef - Comb 2★ #4F6</v>
      </c>
      <c r="L41" s="375" t="str">
        <f>IFERROR(__xludf.DUMMYFUNCTION("""COMPUTED_VALUE"""),"Kraken Lair - Tentacle 1★")</f>
        <v>Kraken Lair - Tentacle 1★</v>
      </c>
      <c r="M41" s="374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359" t="str">
        <f>IFERROR(__xludf.DUMMYFUNCTION("""COMPUTED_VALUE"""),"Skull Isle - Map 1★ #AED")</f>
        <v>Skull Isle - Map 1★ #AED</v>
      </c>
      <c r="P41" s="281">
        <f>IFERROR(__xludf.DUMMYFUNCTION("""COMPUTED_VALUE"""),50.0)</f>
        <v>50</v>
      </c>
      <c r="Q41" s="358">
        <f>IFERROR(__xludf.DUMMYFUNCTION("if(P41="""", """", P41/sum(filter($P$16:$P$949, $P$16:$P$949&lt;&gt;"""")))"),0.0024423602969910123)</f>
        <v>0.002442360297</v>
      </c>
    </row>
    <row r="42" ht="12.75" customHeight="1">
      <c r="A42" s="365" t="str">
        <f>AlbumConfig!B29&amp;" "&amp;AlbumConfig!E29</f>
        <v>Gold Cove - Scepter 5★</v>
      </c>
      <c r="B42" s="384">
        <f>IFERROR(__xludf.DUMMYFUNCTION("index($B$3:$B$7, right(index(split(A42, ""★""),0,1)), 0)"),2.0)</f>
        <v>2</v>
      </c>
      <c r="C42" s="384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59" t="s">
        <v>764</v>
      </c>
      <c r="H42" s="281">
        <v>50.0</v>
      </c>
      <c r="I42" s="358">
        <v>0.0024423602969910123</v>
      </c>
      <c r="K42" s="369" t="str">
        <f>IFERROR(__xludf.DUMMYFUNCTION("""COMPUTED_VALUE"""),"Siren Reef - Mirror 1★ #A03")</f>
        <v>Siren Reef - Mirror 1★ #A03</v>
      </c>
      <c r="L42" s="375" t="str">
        <f>IFERROR(__xludf.DUMMYFUNCTION("""COMPUTED_VALUE"""),"Siren Reef - Harp 1★")</f>
        <v>Siren Reef - Harp 1★</v>
      </c>
      <c r="M42" s="374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359" t="str">
        <f>IFERROR(__xludf.DUMMYFUNCTION("""COMPUTED_VALUE"""),"Skull Isle - Map 1★ #5A2")</f>
        <v>Skull Isle - Map 1★ #5A2</v>
      </c>
      <c r="P42" s="281">
        <f>IFERROR(__xludf.DUMMYFUNCTION("""COMPUTED_VALUE"""),50.0)</f>
        <v>50</v>
      </c>
      <c r="Q42" s="358">
        <f>IFERROR(__xludf.DUMMYFUNCTION("if(P42="""", """", P42/sum(filter($P$16:$P$949, $P$16:$P$949&lt;&gt;"""")))"),0.0024423602969910123)</f>
        <v>0.002442360297</v>
      </c>
    </row>
    <row r="43" ht="12.75" customHeight="1">
      <c r="A43" s="365" t="str">
        <f>AlbumConfig!B30&amp;" "&amp;AlbumConfig!E30</f>
        <v>Ghost Ship - Fog Horn 1★</v>
      </c>
      <c r="B43" s="384">
        <f>IFERROR(__xludf.DUMMYFUNCTION("index($B$3:$B$7, right(index(split(A43, ""★""),0,1)), 0)"),50.0)</f>
        <v>50</v>
      </c>
      <c r="C43" s="384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59" t="s">
        <v>765</v>
      </c>
      <c r="H43" s="281">
        <v>50.0</v>
      </c>
      <c r="I43" s="358">
        <v>0.0024423602969910123</v>
      </c>
      <c r="K43" s="369" t="str">
        <f>IFERROR(__xludf.DUMMYFUNCTION("""COMPUTED_VALUE"""),"Kraken Lair - Hook 3★ #DBF")</f>
        <v>Kraken Lair - Hook 3★ #DBF</v>
      </c>
      <c r="L43" s="375" t="str">
        <f>IFERROR(__xludf.DUMMYFUNCTION("""COMPUTED_VALUE"""),"Gold Cove - Diamond 2★")</f>
        <v>Gold Cove - Diamond 2★</v>
      </c>
      <c r="M43" s="374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359" t="str">
        <f>IFERROR(__xludf.DUMMYFUNCTION("""COMPUTED_VALUE"""),"Skull Isle - Map 1★ #057")</f>
        <v>Skull Isle - Map 1★ #057</v>
      </c>
      <c r="P43" s="281">
        <f>IFERROR(__xludf.DUMMYFUNCTION("""COMPUTED_VALUE"""),50.0)</f>
        <v>50</v>
      </c>
      <c r="Q43" s="358">
        <f>IFERROR(__xludf.DUMMYFUNCTION("if(P43="""", """", P43/sum(filter($P$16:$P$949, $P$16:$P$949&lt;&gt;"""")))"),0.0024423602969910123)</f>
        <v>0.002442360297</v>
      </c>
    </row>
    <row r="44" ht="12.75" customHeight="1">
      <c r="A44" s="365" t="str">
        <f>AlbumConfig!B31&amp;" "&amp;AlbumConfig!E31</f>
        <v>Ghost Ship - Sail 1★</v>
      </c>
      <c r="B44" s="384">
        <f>IFERROR(__xludf.DUMMYFUNCTION("index($B$3:$B$7, right(index(split(A44, ""★""),0,1)), 0)"),50.0)</f>
        <v>50</v>
      </c>
      <c r="C44" s="384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59" t="s">
        <v>605</v>
      </c>
      <c r="H44" s="281">
        <v>50.0</v>
      </c>
      <c r="I44" s="358">
        <v>0.0024423602969910123</v>
      </c>
      <c r="K44" s="369" t="str">
        <f>IFERROR(__xludf.DUMMYFUNCTION("""COMPUTED_VALUE"""),"Siren Reef - Mirror 1★ #EF1")</f>
        <v>Siren Reef - Mirror 1★ #EF1</v>
      </c>
      <c r="L44" s="375" t="str">
        <f>IFERROR(__xludf.DUMMYFUNCTION("""COMPUTED_VALUE"""),"Kraken Lair - Trident 1★")</f>
        <v>Kraken Lair - Trident 1★</v>
      </c>
      <c r="M44" s="374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1)=L44)))"),3.0)</f>
        <v>3</v>
      </c>
      <c r="O44" s="359" t="str">
        <f>IFERROR(__xludf.DUMMYFUNCTION("""COMPUTED_VALUE"""),"Skull Isle - Spyglass 1★ #B0C")</f>
        <v>Skull Isle - Spyglass 1★ #B0C</v>
      </c>
      <c r="P44" s="281">
        <f>IFERROR(__xludf.DUMMYFUNCTION("""COMPUTED_VALUE"""),50.0)</f>
        <v>50</v>
      </c>
      <c r="Q44" s="358">
        <f>IFERROR(__xludf.DUMMYFUNCTION("if(P44="""", """", P44/sum(filter($P$16:$P$949, $P$16:$P$949&lt;&gt;"""")))"),0.0024423602969910123)</f>
        <v>0.002442360297</v>
      </c>
    </row>
    <row r="45" ht="12.75" customHeight="1">
      <c r="A45" s="365" t="str">
        <f>AlbumConfig!B32&amp;" "&amp;AlbumConfig!E32</f>
        <v>Ghost Ship - Ghost Lamp 2★</v>
      </c>
      <c r="B45" s="384">
        <f>IFERROR(__xludf.DUMMYFUNCTION("index($B$3:$B$7, right(index(split(A45, ""★""),0,1)), 0)"),20.0)</f>
        <v>20</v>
      </c>
      <c r="C45" s="384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59" t="s">
        <v>608</v>
      </c>
      <c r="H45" s="281">
        <v>50.0</v>
      </c>
      <c r="I45" s="358">
        <v>0.0024423602969910123</v>
      </c>
      <c r="K45" s="369" t="str">
        <f>IFERROR(__xludf.DUMMYFUNCTION("""COMPUTED_VALUE"""),"Kraken Lair - Pearl 1★ #AB8")</f>
        <v>Kraken Lair - Pearl 1★ #AB8</v>
      </c>
      <c r="L45" s="375" t="str">
        <f>IFERROR(__xludf.DUMMYFUNCTION("""COMPUTED_VALUE"""),"Cannon Fort - Powder 1★")</f>
        <v>Cannon Fort - Powder 1★</v>
      </c>
      <c r="M45" s="374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359" t="str">
        <f>IFERROR(__xludf.DUMMYFUNCTION("""COMPUTED_VALUE"""),"Skull Isle - Spyglass 1★ #5C1")</f>
        <v>Skull Isle - Spyglass 1★ #5C1</v>
      </c>
      <c r="P45" s="281">
        <f>IFERROR(__xludf.DUMMYFUNCTION("""COMPUTED_VALUE"""),50.0)</f>
        <v>50</v>
      </c>
      <c r="Q45" s="358">
        <f>IFERROR(__xludf.DUMMYFUNCTION("if(P45="""", """", P45/sum(filter($P$16:$P$949, $P$16:$P$949&lt;&gt;"""")))"),0.0024423602969910123)</f>
        <v>0.002442360297</v>
      </c>
    </row>
    <row r="46" ht="12.75" customHeight="1">
      <c r="A46" s="365" t="str">
        <f>AlbumConfig!B33&amp;" "&amp;AlbumConfig!E33</f>
        <v>Ghost Ship - Key 2★</v>
      </c>
      <c r="B46" s="384">
        <f>IFERROR(__xludf.DUMMYFUNCTION("index($B$3:$B$7, right(index(split(A46, ""★""),0,1)), 0)"),20.0)</f>
        <v>20</v>
      </c>
      <c r="C46" s="384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59" t="s">
        <v>766</v>
      </c>
      <c r="H46" s="281">
        <v>50.0</v>
      </c>
      <c r="I46" s="358">
        <v>0.0024423602969910123</v>
      </c>
      <c r="K46" s="369" t="str">
        <f>IFERROR(__xludf.DUMMYFUNCTION("""COMPUTED_VALUE"""),"Kraken Lair - Shell 2★ #177")</f>
        <v>Kraken Lair - Shell 2★ #177</v>
      </c>
      <c r="L46" s="375" t="str">
        <f>IFERROR(__xludf.DUMMYFUNCTION("""COMPUTED_VALUE"""),"Ghost Ship - Ghost Lamp 2★")</f>
        <v>Ghost Ship - Ghost Lamp 2★</v>
      </c>
      <c r="M46" s="374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59" t="str">
        <f>IFERROR(__xludf.DUMMYFUNCTION("""COMPUTED_VALUE"""),"Skull Isle - Spyglass 1★ #076")</f>
        <v>Skull Isle - Spyglass 1★ #076</v>
      </c>
      <c r="P46" s="281">
        <f>IFERROR(__xludf.DUMMYFUNCTION("""COMPUTED_VALUE"""),50.0)</f>
        <v>50</v>
      </c>
      <c r="Q46" s="358">
        <f>IFERROR(__xludf.DUMMYFUNCTION("if(P46="""", """", P46/sum(filter($P$16:$P$949, $P$16:$P$949&lt;&gt;"""")))"),0.0024423602969910123)</f>
        <v>0.002442360297</v>
      </c>
    </row>
    <row r="47" ht="12.75" customHeight="1">
      <c r="A47" s="365" t="str">
        <f>AlbumConfig!B34&amp;" "&amp;AlbumConfig!E34</f>
        <v>Ghost Ship - Plank 3★</v>
      </c>
      <c r="B47" s="384">
        <f>IFERROR(__xludf.DUMMYFUNCTION("index($B$3:$B$7, right(index(split(A47, ""★""),0,1)), 0)"),10.0)</f>
        <v>10</v>
      </c>
      <c r="C47" s="384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59" t="s">
        <v>767</v>
      </c>
      <c r="H47" s="281">
        <v>50.0</v>
      </c>
      <c r="I47" s="358">
        <v>0.0024423602969910123</v>
      </c>
      <c r="K47" s="369" t="str">
        <f>IFERROR(__xludf.DUMMYFUNCTION("""COMPUTED_VALUE"""),"Skull Isle - Compass 1★ #A33")</f>
        <v>Skull Isle - Compass 1★ #A33</v>
      </c>
      <c r="L47" s="375" t="str">
        <f>IFERROR(__xludf.DUMMYFUNCTION("""COMPUTED_VALUE"""),"Skull Isle - Compass 1★")</f>
        <v>Skull Isle - Compass 1★</v>
      </c>
      <c r="M47" s="374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359" t="str">
        <f>IFERROR(__xludf.DUMMYFUNCTION("""COMPUTED_VALUE"""),"Skull Isle - Spyglass 1★ #B2B")</f>
        <v>Skull Isle - Spyglass 1★ #B2B</v>
      </c>
      <c r="P47" s="281">
        <f>IFERROR(__xludf.DUMMYFUNCTION("""COMPUTED_VALUE"""),50.0)</f>
        <v>50</v>
      </c>
      <c r="Q47" s="358">
        <f>IFERROR(__xludf.DUMMYFUNCTION("if(P47="""", """", P47/sum(filter($P$16:$P$949, $P$16:$P$949&lt;&gt;"""")))"),0.0024423602969910123)</f>
        <v>0.002442360297</v>
      </c>
    </row>
    <row r="48" ht="12.75" customHeight="1">
      <c r="A48" s="365" t="str">
        <f>AlbumConfig!B35&amp;" "&amp;AlbumConfig!E35</f>
        <v>Ghost Ship - Nest 3★</v>
      </c>
      <c r="B48" s="384">
        <f>IFERROR(__xludf.DUMMYFUNCTION("index($B$3:$B$7, right(index(split(A48, ""★""),0,1)), 0)"),10.0)</f>
        <v>10</v>
      </c>
      <c r="C48" s="384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59" t="s">
        <v>768</v>
      </c>
      <c r="H48" s="281">
        <v>50.0</v>
      </c>
      <c r="I48" s="358">
        <v>0.0024423602969910123</v>
      </c>
      <c r="K48" s="369" t="str">
        <f>IFERROR(__xludf.DUMMYFUNCTION("""COMPUTED_VALUE"""),"Storm Port - Lightning 1★ #750")</f>
        <v>Storm Port - Lightning 1★ #750</v>
      </c>
      <c r="L48" s="375" t="str">
        <f>IFERROR(__xludf.DUMMYFUNCTION("""COMPUTED_VALUE"""),"Gold Cove - Ruby 1★")</f>
        <v>Gold Cove - Ruby 1★</v>
      </c>
      <c r="M48" s="374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359" t="str">
        <f>IFERROR(__xludf.DUMMYFUNCTION("""COMPUTED_VALUE"""),"Skull Isle - Spyglass 1★ #5E0")</f>
        <v>Skull Isle - Spyglass 1★ #5E0</v>
      </c>
      <c r="P48" s="281">
        <f>IFERROR(__xludf.DUMMYFUNCTION("""COMPUTED_VALUE"""),50.0)</f>
        <v>50</v>
      </c>
      <c r="Q48" s="358">
        <f>IFERROR(__xludf.DUMMYFUNCTION("if(P48="""", """", P48/sum(filter($P$16:$P$949, $P$16:$P$949&lt;&gt;"""")))"),0.0024423602969910123)</f>
        <v>0.002442360297</v>
      </c>
    </row>
    <row r="49" ht="12.75" customHeight="1">
      <c r="A49" s="365" t="str">
        <f>AlbumConfig!B36&amp;" "&amp;AlbumConfig!E36</f>
        <v>Ghost Ship - Flag 4★</v>
      </c>
      <c r="B49" s="384">
        <f>IFERROR(__xludf.DUMMYFUNCTION("index($B$3:$B$7, right(index(split(A49, ""★""),0,1)), 0)"),5.0)</f>
        <v>5</v>
      </c>
      <c r="C49" s="384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59" t="s">
        <v>769</v>
      </c>
      <c r="H49" s="281">
        <v>50.0</v>
      </c>
      <c r="I49" s="358">
        <v>0.0024423602969910123</v>
      </c>
      <c r="K49" s="369" t="str">
        <f>IFERROR(__xludf.DUMMYFUNCTION("""COMPUTED_VALUE"""),"Kraken Lair - Pearl 1★ #A99")</f>
        <v>Kraken Lair - Pearl 1★ #A99</v>
      </c>
      <c r="L49" s="375" t="str">
        <f>IFERROR(__xludf.DUMMYFUNCTION("""COMPUTED_VALUE"""),"Dead Man Bay - Treasure Map 2★")</f>
        <v>Dead Man Bay - Treasure Map 2★</v>
      </c>
      <c r="M49" s="374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359" t="str">
        <f>IFERROR(__xludf.DUMMYFUNCTION("""COMPUTED_VALUE"""),"Skull Isle - Spyglass 1★ #095")</f>
        <v>Skull Isle - Spyglass 1★ #095</v>
      </c>
      <c r="P49" s="281">
        <f>IFERROR(__xludf.DUMMYFUNCTION("""COMPUTED_VALUE"""),50.0)</f>
        <v>50</v>
      </c>
      <c r="Q49" s="358">
        <f>IFERROR(__xludf.DUMMYFUNCTION("if(P49="""", """", P49/sum(filter($P$16:$P$949, $P$16:$P$949&lt;&gt;"""")))"),0.0024423602969910123)</f>
        <v>0.002442360297</v>
      </c>
    </row>
    <row r="50" ht="12.75" customHeight="1">
      <c r="A50" s="365" t="str">
        <f>AlbumConfig!B37&amp;" "&amp;AlbumConfig!E37</f>
        <v>Ghost Ship - Chain 4★</v>
      </c>
      <c r="B50" s="384">
        <f>IFERROR(__xludf.DUMMYFUNCTION("index($B$3:$B$7, right(index(split(A50, ""★""),0,1)), 0)"),5.0)</f>
        <v>5</v>
      </c>
      <c r="C50" s="384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59" t="s">
        <v>770</v>
      </c>
      <c r="H50" s="281">
        <v>50.0</v>
      </c>
      <c r="I50" s="358">
        <v>0.0024423602969910123</v>
      </c>
      <c r="K50" s="369" t="str">
        <f>IFERROR(__xludf.DUMMYFUNCTION("""COMPUTED_VALUE"""),"Skull Isle - Anchor 1★ #C04")</f>
        <v>Skull Isle - Anchor 1★ #C04</v>
      </c>
      <c r="L50" s="281" t="str">
        <f>IFERROR(__xludf.DUMMYFUNCTION("""COMPUTED_VALUE"""),"Dead Man Bay - Gold Tooth 3★")</f>
        <v>Dead Man Bay - Gold Tooth 3★</v>
      </c>
      <c r="M50" s="374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359" t="str">
        <f>IFERROR(__xludf.DUMMYFUNCTION("""COMPUTED_VALUE"""),"Skull Isle - Spyglass 1★ #B4A")</f>
        <v>Skull Isle - Spyglass 1★ #B4A</v>
      </c>
      <c r="P50" s="281">
        <f>IFERROR(__xludf.DUMMYFUNCTION("""COMPUTED_VALUE"""),50.0)</f>
        <v>50</v>
      </c>
      <c r="Q50" s="358">
        <f>IFERROR(__xludf.DUMMYFUNCTION("if(P50="""", """", P50/sum(filter($P$16:$P$949, $P$16:$P$949&lt;&gt;"""")))"),0.0024423602969910123)</f>
        <v>0.002442360297</v>
      </c>
    </row>
    <row r="51" ht="12.75" customHeight="1">
      <c r="A51" s="365" t="str">
        <f>AlbumConfig!B38&amp;" "&amp;AlbumConfig!E38</f>
        <v>Ghost Ship - Log 5★</v>
      </c>
      <c r="B51" s="384">
        <f>IFERROR(__xludf.DUMMYFUNCTION("index($B$3:$B$7, right(index(split(A51, ""★""),0,1)), 0)"),2.0)</f>
        <v>2</v>
      </c>
      <c r="C51" s="384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59" t="s">
        <v>771</v>
      </c>
      <c r="H51" s="281">
        <v>50.0</v>
      </c>
      <c r="I51" s="358">
        <v>0.0024423602969910123</v>
      </c>
      <c r="K51" s="281" t="str">
        <f>IFERROR(__xludf.DUMMYFUNCTION("""COMPUTED_VALUE"""),"Skull Isle - Anchor 1★ #BA7")</f>
        <v>Skull Isle - Anchor 1★ #BA7</v>
      </c>
      <c r="L51" s="281" t="str">
        <f>IFERROR(__xludf.DUMMYFUNCTION("""COMPUTED_VALUE"""),"Storm Port - Lightning 1★")</f>
        <v>Storm Port - Lightning 1★</v>
      </c>
      <c r="M51" s="374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1)=L51)))"),5.0)</f>
        <v>5</v>
      </c>
      <c r="O51" s="359" t="str">
        <f>IFERROR(__xludf.DUMMYFUNCTION("""COMPUTED_VALUE"""),"Skull Isle - Spyglass 1★ #5FF")</f>
        <v>Skull Isle - Spyglass 1★ #5FF</v>
      </c>
      <c r="P51" s="281">
        <f>IFERROR(__xludf.DUMMYFUNCTION("""COMPUTED_VALUE"""),50.0)</f>
        <v>50</v>
      </c>
      <c r="Q51" s="358">
        <f>IFERROR(__xludf.DUMMYFUNCTION("if(P51="""", """", P51/sum(filter($P$16:$P$949, $P$16:$P$949&lt;&gt;"""")))"),0.0024423602969910123)</f>
        <v>0.002442360297</v>
      </c>
    </row>
    <row r="52" ht="12.75" customHeight="1">
      <c r="A52" s="365" t="str">
        <f>AlbumConfig!B39&amp;" "&amp;AlbumConfig!E39</f>
        <v>Storm Port - Lightning 1★</v>
      </c>
      <c r="B52" s="384">
        <f>IFERROR(__xludf.DUMMYFUNCTION("index($B$3:$B$7, right(index(split(A52, ""★""),0,1)), 0)"),50.0)</f>
        <v>50</v>
      </c>
      <c r="C52" s="384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59" t="s">
        <v>772</v>
      </c>
      <c r="H52" s="281">
        <v>50.0</v>
      </c>
      <c r="I52" s="358">
        <v>0.0024423602969910123</v>
      </c>
      <c r="K52" s="281" t="str">
        <f>IFERROR(__xludf.DUMMYFUNCTION("""COMPUTED_VALUE"""),"Skull Isle - Compass 1★ #FBC")</f>
        <v>Skull Isle - Compass 1★ #FBC</v>
      </c>
      <c r="L52" s="375" t="str">
        <f>IFERROR(__xludf.DUMMYFUNCTION("""COMPUTED_VALUE"""),"Gold Cove - Emerald 1★")</f>
        <v>Gold Cove - Emerald 1★</v>
      </c>
      <c r="M52" s="374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59" t="str">
        <f>IFERROR(__xludf.DUMMYFUNCTION("""COMPUTED_VALUE"""),"Skull Isle - Spyglass 1★ #0B4")</f>
        <v>Skull Isle - Spyglass 1★ #0B4</v>
      </c>
      <c r="P52" s="281">
        <f>IFERROR(__xludf.DUMMYFUNCTION("""COMPUTED_VALUE"""),50.0)</f>
        <v>50</v>
      </c>
      <c r="Q52" s="358">
        <f>IFERROR(__xludf.DUMMYFUNCTION("if(P52="""", """", P52/sum(filter($P$16:$P$949, $P$16:$P$949&lt;&gt;"""")))"),0.0024423602969910123)</f>
        <v>0.002442360297</v>
      </c>
    </row>
    <row r="53" ht="12.75" customHeight="1">
      <c r="A53" s="365" t="str">
        <f>AlbumConfig!B40&amp;" "&amp;AlbumConfig!E40</f>
        <v>Storm Port - Barrel 1★</v>
      </c>
      <c r="B53" s="384">
        <f>IFERROR(__xludf.DUMMYFUNCTION("index($B$3:$B$7, right(index(split(A53, ""★""),0,1)), 0)"),50.0)</f>
        <v>50</v>
      </c>
      <c r="C53" s="384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59" t="s">
        <v>773</v>
      </c>
      <c r="H53" s="281">
        <v>50.0</v>
      </c>
      <c r="I53" s="358">
        <v>0.0024423602969910123</v>
      </c>
      <c r="K53" s="281" t="str">
        <f>IFERROR(__xludf.DUMMYFUNCTION("""COMPUTED_VALUE"""),"Dead Man Bay - Rum 1★ #D86")</f>
        <v>Dead Man Bay - Rum 1★ #D86</v>
      </c>
      <c r="L53" s="375" t="str">
        <f>IFERROR(__xludf.DUMMYFUNCTION("""COMPUTED_VALUE"""),"Skull Isle - Helm 2★")</f>
        <v>Skull Isle - Helm 2★</v>
      </c>
      <c r="M53" s="374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1)=L53)))"),2.0)</f>
        <v>2</v>
      </c>
      <c r="O53" s="359" t="str">
        <f>IFERROR(__xludf.DUMMYFUNCTION("""COMPUTED_VALUE"""),"Skull Isle - Spyglass 1★ #B69")</f>
        <v>Skull Isle - Spyglass 1★ #B69</v>
      </c>
      <c r="P53" s="281">
        <f>IFERROR(__xludf.DUMMYFUNCTION("""COMPUTED_VALUE"""),50.0)</f>
        <v>50</v>
      </c>
      <c r="Q53" s="358">
        <f>IFERROR(__xludf.DUMMYFUNCTION("if(P53="""", """", P53/sum(filter($P$16:$P$949, $P$16:$P$949&lt;&gt;"""")))"),0.0024423602969910123)</f>
        <v>0.002442360297</v>
      </c>
    </row>
    <row r="54" ht="12.75" customHeight="1">
      <c r="A54" s="365" t="str">
        <f>AlbumConfig!B41&amp;" "&amp;AlbumConfig!E41</f>
        <v>Storm Port - Rope 2★</v>
      </c>
      <c r="B54" s="384">
        <f>IFERROR(__xludf.DUMMYFUNCTION("index($B$3:$B$7, right(index(split(A54, ""★""),0,1)), 0)"),20.0)</f>
        <v>20</v>
      </c>
      <c r="C54" s="384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59" t="s">
        <v>774</v>
      </c>
      <c r="H54" s="281">
        <v>50.0</v>
      </c>
      <c r="I54" s="358">
        <v>0.0024423602969910123</v>
      </c>
      <c r="K54" s="281" t="str">
        <f>IFERROR(__xludf.DUMMYFUNCTION("""COMPUTED_VALUE"""),"Skull Isle - Chest 3★ #33F")</f>
        <v>Skull Isle - Chest 3★ #33F</v>
      </c>
      <c r="L54" s="375" t="str">
        <f>IFERROR(__xludf.DUMMYFUNCTION("""COMPUTED_VALUE"""),"Siren Reef - Comb 2★")</f>
        <v>Siren Reef - Comb 2★</v>
      </c>
      <c r="M54" s="374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359" t="str">
        <f>IFERROR(__xludf.DUMMYFUNCTION("""COMPUTED_VALUE"""),"Skull Isle - Spyglass 1★ #61E")</f>
        <v>Skull Isle - Spyglass 1★ #61E</v>
      </c>
      <c r="P54" s="281">
        <f>IFERROR(__xludf.DUMMYFUNCTION("""COMPUTED_VALUE"""),50.0)</f>
        <v>50</v>
      </c>
      <c r="Q54" s="358">
        <f>IFERROR(__xludf.DUMMYFUNCTION("if(P54="""", """", P54/sum(filter($P$16:$P$949, $P$16:$P$949&lt;&gt;"""")))"),0.0024423602969910123)</f>
        <v>0.002442360297</v>
      </c>
    </row>
    <row r="55" ht="12.75" customHeight="1">
      <c r="A55" s="365" t="str">
        <f>AlbumConfig!B42&amp;" "&amp;AlbumConfig!E42</f>
        <v>Storm Port - Cleat 2★</v>
      </c>
      <c r="B55" s="384">
        <f>IFERROR(__xludf.DUMMYFUNCTION("index($B$3:$B$7, right(index(split(A55, ""★""),0,1)), 0)"),20.0)</f>
        <v>20</v>
      </c>
      <c r="C55" s="384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59" t="s">
        <v>775</v>
      </c>
      <c r="H55" s="281">
        <v>50.0</v>
      </c>
      <c r="I55" s="358">
        <v>0.0024423602969910123</v>
      </c>
      <c r="K55" s="281" t="str">
        <f>IFERROR(__xludf.DUMMYFUNCTION("""COMPUTED_VALUE"""),"Cannon Fort - Powder 1★ #604")</f>
        <v>Cannon Fort - Powder 1★ #604</v>
      </c>
      <c r="L55" s="375" t="str">
        <f>IFERROR(__xludf.DUMMYFUNCTION("""COMPUTED_VALUE"""),"Siren Reef - Mirror 1★")</f>
        <v>Siren Reef - Mirror 1★</v>
      </c>
      <c r="M55" s="374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1)=L55)))"),3.0)</f>
        <v>3</v>
      </c>
      <c r="O55" s="359" t="str">
        <f>IFERROR(__xludf.DUMMYFUNCTION("""COMPUTED_VALUE"""),"Skull Isle - Spyglass 1★ #0D3")</f>
        <v>Skull Isle - Spyglass 1★ #0D3</v>
      </c>
      <c r="P55" s="281">
        <f>IFERROR(__xludf.DUMMYFUNCTION("""COMPUTED_VALUE"""),50.0)</f>
        <v>50</v>
      </c>
      <c r="Q55" s="358">
        <f>IFERROR(__xludf.DUMMYFUNCTION("if(P55="""", """", P55/sum(filter($P$16:$P$949, $P$16:$P$949&lt;&gt;"""")))"),0.0024423602969910123)</f>
        <v>0.002442360297</v>
      </c>
    </row>
    <row r="56" ht="12.75" customHeight="1">
      <c r="A56" s="365" t="str">
        <f>AlbumConfig!B43&amp;" "&amp;AlbumConfig!E43</f>
        <v>Storm Port - Flare 3★</v>
      </c>
      <c r="B56" s="384">
        <f>IFERROR(__xludf.DUMMYFUNCTION("index($B$3:$B$7, right(index(split(A56, ""★""),0,1)), 0)"),10.0)</f>
        <v>10</v>
      </c>
      <c r="C56" s="384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59" t="s">
        <v>776</v>
      </c>
      <c r="H56" s="281">
        <v>50.0</v>
      </c>
      <c r="I56" s="358">
        <v>0.0024423602969910123</v>
      </c>
      <c r="K56" s="281" t="str">
        <f>IFERROR(__xludf.DUMMYFUNCTION("""COMPUTED_VALUE"""),"Gold Cove - Ruby 1★ #EF5")</f>
        <v>Gold Cove - Ruby 1★ #EF5</v>
      </c>
      <c r="L56" s="375" t="str">
        <f>IFERROR(__xludf.DUMMYFUNCTION("""COMPUTED_VALUE"""),"Kraken Lair - Hook 3★")</f>
        <v>Kraken Lair - Hook 3★</v>
      </c>
      <c r="M56" s="374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359" t="str">
        <f>IFERROR(__xludf.DUMMYFUNCTION("""COMPUTED_VALUE"""),"Skull Isle - Spyglass 1★ #B88")</f>
        <v>Skull Isle - Spyglass 1★ #B88</v>
      </c>
      <c r="P56" s="281">
        <f>IFERROR(__xludf.DUMMYFUNCTION("""COMPUTED_VALUE"""),50.0)</f>
        <v>50</v>
      </c>
      <c r="Q56" s="358">
        <f>IFERROR(__xludf.DUMMYFUNCTION("if(P56="""", """", P56/sum(filter($P$16:$P$949, $P$16:$P$949&lt;&gt;"""")))"),0.0024423602969910123)</f>
        <v>0.002442360297</v>
      </c>
    </row>
    <row r="57" ht="12.75" customHeight="1">
      <c r="A57" s="365" t="str">
        <f>AlbumConfig!B44&amp;" "&amp;AlbumConfig!E44</f>
        <v>Storm Port - Bucket 4★</v>
      </c>
      <c r="B57" s="384">
        <f>IFERROR(__xludf.DUMMYFUNCTION("index($B$3:$B$7, right(index(split(A57, ""★""),0,1)), 0)"),5.0)</f>
        <v>5</v>
      </c>
      <c r="C57" s="384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59" t="s">
        <v>777</v>
      </c>
      <c r="H57" s="281">
        <v>50.0</v>
      </c>
      <c r="I57" s="358">
        <v>0.0024423602969910123</v>
      </c>
      <c r="K57" s="281" t="str">
        <f>IFERROR(__xludf.DUMMYFUNCTION("""COMPUTED_VALUE"""),"Gold Cove - Crown 2★ #630")</f>
        <v>Gold Cove - Crown 2★ #630</v>
      </c>
      <c r="L57" s="375" t="str">
        <f>IFERROR(__xludf.DUMMYFUNCTION("""COMPUTED_VALUE"""),"Kraken Lair - Shell 2★")</f>
        <v>Kraken Lair - Shell 2★</v>
      </c>
      <c r="M57" s="374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359" t="str">
        <f>IFERROR(__xludf.DUMMYFUNCTION("""COMPUTED_VALUE"""),"Skull Isle - Spyglass 1★ #63D")</f>
        <v>Skull Isle - Spyglass 1★ #63D</v>
      </c>
      <c r="P57" s="281">
        <f>IFERROR(__xludf.DUMMYFUNCTION("""COMPUTED_VALUE"""),50.0)</f>
        <v>50</v>
      </c>
      <c r="Q57" s="358">
        <f>IFERROR(__xludf.DUMMYFUNCTION("if(P57="""", """", P57/sum(filter($P$16:$P$949, $P$16:$P$949&lt;&gt;"""")))"),0.0024423602969910123)</f>
        <v>0.002442360297</v>
      </c>
    </row>
    <row r="58" ht="12.75" customHeight="1">
      <c r="A58" s="365" t="str">
        <f>AlbumConfig!B45&amp;" "&amp;AlbumConfig!E45</f>
        <v>Storm Port - Windmill 4★</v>
      </c>
      <c r="B58" s="384">
        <f>IFERROR(__xludf.DUMMYFUNCTION("index($B$3:$B$7, right(index(split(A58, ""★""),0,1)), 0)"),5.0)</f>
        <v>5</v>
      </c>
      <c r="C58" s="384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59" t="s">
        <v>778</v>
      </c>
      <c r="H58" s="281">
        <v>50.0</v>
      </c>
      <c r="I58" s="358">
        <v>0.0024423602969910123</v>
      </c>
      <c r="K58" s="281" t="str">
        <f>IFERROR(__xludf.DUMMYFUNCTION("""COMPUTED_VALUE"""),"Skull Isle - Cutlass 2★ #D1B")</f>
        <v>Skull Isle - Cutlass 2★ #D1B</v>
      </c>
      <c r="L58" s="375" t="str">
        <f>IFERROR(__xludf.DUMMYFUNCTION("""COMPUTED_VALUE"""),"Skull Isle - Anchor 1★")</f>
        <v>Skull Isle - Anchor 1★</v>
      </c>
      <c r="M58" s="374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1)=L58)))"),3.0)</f>
        <v>3</v>
      </c>
      <c r="O58" s="359" t="str">
        <f>IFERROR(__xludf.DUMMYFUNCTION("""COMPUTED_VALUE"""),"Skull Isle - Anchor 1★ #0F2")</f>
        <v>Skull Isle - Anchor 1★ #0F2</v>
      </c>
      <c r="P58" s="281">
        <f>IFERROR(__xludf.DUMMYFUNCTION("""COMPUTED_VALUE"""),50.0)</f>
        <v>50</v>
      </c>
      <c r="Q58" s="358">
        <f>IFERROR(__xludf.DUMMYFUNCTION("if(P58="""", """", P58/sum(filter($P$16:$P$949, $P$16:$P$949&lt;&gt;"""")))"),0.0024423602969910123)</f>
        <v>0.002442360297</v>
      </c>
    </row>
    <row r="59" ht="12.75" customHeight="1">
      <c r="A59" s="365" t="str">
        <f>AlbumConfig!B46&amp;" "&amp;AlbumConfig!E46</f>
        <v>Storm Port - Lighthouse 5★</v>
      </c>
      <c r="B59" s="384">
        <f>IFERROR(__xludf.DUMMYFUNCTION("index($B$3:$B$7, right(index(split(A59, ""★""),0,1)), 0)"),2.0)</f>
        <v>2</v>
      </c>
      <c r="C59" s="384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59" t="s">
        <v>779</v>
      </c>
      <c r="H59" s="281">
        <v>50.0</v>
      </c>
      <c r="I59" s="358">
        <v>0.0024423602969910123</v>
      </c>
      <c r="K59" s="281" t="str">
        <f>IFERROR(__xludf.DUMMYFUNCTION("""COMPUTED_VALUE"""),"Skull Isle - Anchor 1★ #130")</f>
        <v>Skull Isle - Anchor 1★ #130</v>
      </c>
      <c r="L59" s="375" t="str">
        <f>IFERROR(__xludf.DUMMYFUNCTION("""COMPUTED_VALUE"""),"Dead Man Bay - Rum 1★")</f>
        <v>Dead Man Bay - Rum 1★</v>
      </c>
      <c r="M59" s="374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72" t="str">
        <f>IFERROR(__xludf.DUMMYFUNCTION("""COMPUTED_VALUE"""),"Skull Isle - Anchor 1★ #BA7")</f>
        <v>Skull Isle - Anchor 1★ #BA7</v>
      </c>
      <c r="P59" s="281">
        <f>IFERROR(__xludf.DUMMYFUNCTION("""COMPUTED_VALUE"""),50.0)</f>
        <v>50</v>
      </c>
      <c r="Q59" s="358">
        <f>IFERROR(__xludf.DUMMYFUNCTION("if(P59="""", """", P59/sum(filter($P$16:$P$949, $P$16:$P$949&lt;&gt;"""")))"),0.0024423602969910123)</f>
        <v>0.002442360297</v>
      </c>
    </row>
    <row r="60" ht="12.75" customHeight="1">
      <c r="A60" s="365" t="str">
        <f>AlbumConfig!B47&amp;" "&amp;AlbumConfig!E47</f>
        <v>Storm Port - Drum 5★</v>
      </c>
      <c r="B60" s="384">
        <f>IFERROR(__xludf.DUMMYFUNCTION("index($B$3:$B$7, right(index(split(A60, ""★""),0,1)), 0)"),2.0)</f>
        <v>2</v>
      </c>
      <c r="C60" s="384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59" t="s">
        <v>780</v>
      </c>
      <c r="H60" s="281">
        <v>50.0</v>
      </c>
      <c r="I60" s="358">
        <v>0.0024423602969910123</v>
      </c>
      <c r="K60" s="281" t="str">
        <f>IFERROR(__xludf.DUMMYFUNCTION("""COMPUTED_VALUE"""),"Cannon Fort - Ramrod 2★ #71B")</f>
        <v>Cannon Fort - Ramrod 2★ #71B</v>
      </c>
      <c r="L60" s="375" t="str">
        <f>IFERROR(__xludf.DUMMYFUNCTION("""COMPUTED_VALUE"""),"Skull Isle - Chest 3★")</f>
        <v>Skull Isle - Chest 3★</v>
      </c>
      <c r="M60" s="374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72" t="str">
        <f>IFERROR(__xludf.DUMMYFUNCTION("""COMPUTED_VALUE"""),"Skull Isle - Anchor 1★ #65C")</f>
        <v>Skull Isle - Anchor 1★ #65C</v>
      </c>
      <c r="P60" s="281">
        <f>IFERROR(__xludf.DUMMYFUNCTION("""COMPUTED_VALUE"""),50.0)</f>
        <v>50</v>
      </c>
      <c r="Q60" s="358">
        <f>IFERROR(__xludf.DUMMYFUNCTION("if(P60="""", """", P60/sum(filter($P$16:$P$949, $P$16:$P$949&lt;&gt;"""")))"),0.0024423602969910123)</f>
        <v>0.002442360297</v>
      </c>
    </row>
    <row r="61" ht="12.75" customHeight="1">
      <c r="A61" s="365" t="str">
        <f>AlbumConfig!B48&amp;" "&amp;AlbumConfig!E48</f>
        <v>Cannon Fort - Cannonball 1★</v>
      </c>
      <c r="B61" s="384">
        <f>IFERROR(__xludf.DUMMYFUNCTION("index($B$3:$B$7, right(index(split(A61, ""★""),0,1)), 0)"),50.0)</f>
        <v>50</v>
      </c>
      <c r="C61" s="384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59" t="s">
        <v>781</v>
      </c>
      <c r="H61" s="281">
        <v>50.0</v>
      </c>
      <c r="I61" s="358">
        <v>0.0024423602969910123</v>
      </c>
      <c r="K61" s="281" t="str">
        <f>IFERROR(__xludf.DUMMYFUNCTION("""COMPUTED_VALUE"""),"Skull Isle - Helm 2★ #716")</f>
        <v>Skull Isle - Helm 2★ #716</v>
      </c>
      <c r="L61" s="375" t="str">
        <f>IFERROR(__xludf.DUMMYFUNCTION("""COMPUTED_VALUE"""),"Gold Cove - Crown 2★")</f>
        <v>Gold Cove - Crown 2★</v>
      </c>
      <c r="M61" s="374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72" t="str">
        <f>IFERROR(__xludf.DUMMYFUNCTION("""COMPUTED_VALUE"""),"Skull Isle - Anchor 1★ #111")</f>
        <v>Skull Isle - Anchor 1★ #111</v>
      </c>
      <c r="P61" s="281">
        <f>IFERROR(__xludf.DUMMYFUNCTION("""COMPUTED_VALUE"""),50.0)</f>
        <v>50</v>
      </c>
      <c r="Q61" s="358">
        <f>IFERROR(__xludf.DUMMYFUNCTION("if(P61="""", """", P61/sum(filter($P$16:$P$949, $P$16:$P$949&lt;&gt;"""")))"),0.0024423602969910123)</f>
        <v>0.002442360297</v>
      </c>
    </row>
    <row r="62" ht="12.75" customHeight="1">
      <c r="A62" s="365" t="str">
        <f>AlbumConfig!B49&amp;" "&amp;AlbumConfig!E49</f>
        <v>Cannon Fort - Powder 1★</v>
      </c>
      <c r="B62" s="384">
        <f>IFERROR(__xludf.DUMMYFUNCTION("index($B$3:$B$7, right(index(split(A62, ""★""),0,1)), 0)"),50.0)</f>
        <v>50</v>
      </c>
      <c r="C62" s="384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59" t="s">
        <v>782</v>
      </c>
      <c r="H62" s="281">
        <v>50.0</v>
      </c>
      <c r="I62" s="358">
        <v>0.0024423602969910123</v>
      </c>
      <c r="K62" s="281" t="str">
        <f>IFERROR(__xludf.DUMMYFUNCTION("""COMPUTED_VALUE"""),"Cannon Fort - Fuse 2★ #6BE")</f>
        <v>Cannon Fort - Fuse 2★ #6BE</v>
      </c>
      <c r="L62" s="375" t="str">
        <f>IFERROR(__xludf.DUMMYFUNCTION("""COMPUTED_VALUE"""),"Skull Isle - Cutlass 2★")</f>
        <v>Skull Isle - Cutlass 2★</v>
      </c>
      <c r="M62" s="374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72" t="str">
        <f>IFERROR(__xludf.DUMMYFUNCTION("""COMPUTED_VALUE"""),"Skull Isle - Anchor 1★ #BC6")</f>
        <v>Skull Isle - Anchor 1★ #BC6</v>
      </c>
      <c r="P62" s="281">
        <f>IFERROR(__xludf.DUMMYFUNCTION("""COMPUTED_VALUE"""),50.0)</f>
        <v>50</v>
      </c>
      <c r="Q62" s="358">
        <f>IFERROR(__xludf.DUMMYFUNCTION("if(P62="""", """", P62/sum(filter($P$16:$P$949, $P$16:$P$949&lt;&gt;"""")))"),0.0024423602969910123)</f>
        <v>0.002442360297</v>
      </c>
    </row>
    <row r="63" ht="12.75" customHeight="1">
      <c r="A63" s="365" t="str">
        <f>AlbumConfig!B50&amp;" "&amp;AlbumConfig!E50</f>
        <v>Cannon Fort - Fuse 2★</v>
      </c>
      <c r="B63" s="384">
        <f>IFERROR(__xludf.DUMMYFUNCTION("index($B$3:$B$7, right(index(split(A63, ""★""),0,1)), 0)"),20.0)</f>
        <v>20</v>
      </c>
      <c r="C63" s="384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59" t="s">
        <v>783</v>
      </c>
      <c r="H63" s="281">
        <v>50.0</v>
      </c>
      <c r="I63" s="358">
        <v>0.0024423602969910123</v>
      </c>
      <c r="K63" s="281" t="str">
        <f>IFERROR(__xludf.DUMMYFUNCTION("""COMPUTED_VALUE"""),"Storm Port - Lightning 1★ #712")</f>
        <v>Storm Port - Lightning 1★ #712</v>
      </c>
      <c r="L63" s="375" t="str">
        <f>IFERROR(__xludf.DUMMYFUNCTION("""COMPUTED_VALUE"""),"Cannon Fort - Fuse 2★")</f>
        <v>Cannon Fort - Fuse 2★</v>
      </c>
      <c r="M63" s="374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72" t="str">
        <f>IFERROR(__xludf.DUMMYFUNCTION("""COMPUTED_VALUE"""),"Skull Isle - Anchor 1★ #67B")</f>
        <v>Skull Isle - Anchor 1★ #67B</v>
      </c>
      <c r="P63" s="281">
        <f>IFERROR(__xludf.DUMMYFUNCTION("""COMPUTED_VALUE"""),50.0)</f>
        <v>50</v>
      </c>
      <c r="Q63" s="358">
        <f>IFERROR(__xludf.DUMMYFUNCTION("if(P63="""", """", P63/sum(filter($P$16:$P$949, $P$16:$P$949&lt;&gt;"""")))"),0.0024423602969910123)</f>
        <v>0.002442360297</v>
      </c>
    </row>
    <row r="64" ht="12.75" customHeight="1">
      <c r="A64" s="365" t="str">
        <f>AlbumConfig!B51&amp;" "&amp;AlbumConfig!E51</f>
        <v>Cannon Fort - Ramrod 2★</v>
      </c>
      <c r="B64" s="384">
        <f>IFERROR(__xludf.DUMMYFUNCTION("index($B$3:$B$7, right(index(split(A64, ""★""),0,1)), 0)"),20.0)</f>
        <v>20</v>
      </c>
      <c r="C64" s="384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59" t="s">
        <v>784</v>
      </c>
      <c r="H64" s="281">
        <v>50.0</v>
      </c>
      <c r="I64" s="358">
        <v>0.0024423602969910123</v>
      </c>
      <c r="K64" s="281" t="str">
        <f>IFERROR(__xludf.DUMMYFUNCTION("""COMPUTED_VALUE"""),"Ghost Ship - Sail 1★ #E06")</f>
        <v>Ghost Ship - Sail 1★ #E06</v>
      </c>
      <c r="L64" s="375" t="str">
        <f>IFERROR(__xludf.DUMMYFUNCTION("""COMPUTED_VALUE"""),"Ghost Ship - Sail 1★")</f>
        <v>Ghost Ship - Sail 1★</v>
      </c>
      <c r="M64" s="374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72" t="str">
        <f>IFERROR(__xludf.DUMMYFUNCTION("""COMPUTED_VALUE"""),"Skull Isle - Anchor 1★ #130")</f>
        <v>Skull Isle - Anchor 1★ #130</v>
      </c>
      <c r="P64" s="281">
        <f>IFERROR(__xludf.DUMMYFUNCTION("""COMPUTED_VALUE"""),50.0)</f>
        <v>50</v>
      </c>
      <c r="Q64" s="358">
        <f>IFERROR(__xludf.DUMMYFUNCTION("if(P64="""", """", P64/sum(filter($P$16:$P$949, $P$16:$P$949&lt;&gt;"""")))"),0.0024423602969910123)</f>
        <v>0.002442360297</v>
      </c>
    </row>
    <row r="65" ht="12.75" customHeight="1">
      <c r="A65" s="365" t="str">
        <f>AlbumConfig!B52&amp;" "&amp;AlbumConfig!E52</f>
        <v>Cannon Fort - War Flag 3★</v>
      </c>
      <c r="B65" s="384">
        <f>IFERROR(__xludf.DUMMYFUNCTION("index($B$3:$B$7, right(index(split(A65, ""★""),0,1)), 0)"),10.0)</f>
        <v>10</v>
      </c>
      <c r="C65" s="384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59" t="s">
        <v>785</v>
      </c>
      <c r="H65" s="281">
        <v>50.0</v>
      </c>
      <c r="I65" s="358">
        <v>0.0024423602969910123</v>
      </c>
      <c r="K65" s="281" t="str">
        <f>IFERROR(__xludf.DUMMYFUNCTION("""COMPUTED_VALUE"""),"Kraken Lair - Pearl 1★ #AF6")</f>
        <v>Kraken Lair - Pearl 1★ #AF6</v>
      </c>
      <c r="L65" s="375" t="str">
        <f>IFERROR(__xludf.DUMMYFUNCTION("""COMPUTED_VALUE"""),"Ghost Ship - Fog Horn 1★")</f>
        <v>Ghost Ship - Fog Horn 1★</v>
      </c>
      <c r="M65" s="374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72" t="str">
        <f>IFERROR(__xludf.DUMMYFUNCTION("""COMPUTED_VALUE"""),"Skull Isle - Anchor 1★ #BE5")</f>
        <v>Skull Isle - Anchor 1★ #BE5</v>
      </c>
      <c r="P65" s="281">
        <f>IFERROR(__xludf.DUMMYFUNCTION("""COMPUTED_VALUE"""),50.0)</f>
        <v>50</v>
      </c>
      <c r="Q65" s="358">
        <f>IFERROR(__xludf.DUMMYFUNCTION("if(P65="""", """", P65/sum(filter($P$16:$P$949, $P$16:$P$949&lt;&gt;"""")))"),0.0024423602969910123)</f>
        <v>0.002442360297</v>
      </c>
    </row>
    <row r="66" ht="12.75" customHeight="1">
      <c r="A66" s="365" t="str">
        <f>AlbumConfig!B53&amp;" "&amp;AlbumConfig!E53</f>
        <v>Cannon Fort - Tower 4★</v>
      </c>
      <c r="B66" s="384">
        <f>IFERROR(__xludf.DUMMYFUNCTION("index($B$3:$B$7, right(index(split(A66, ""★""),0,1)), 0)"),5.0)</f>
        <v>5</v>
      </c>
      <c r="C66" s="384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59" t="s">
        <v>786</v>
      </c>
      <c r="H66" s="281">
        <v>50.0</v>
      </c>
      <c r="I66" s="358">
        <v>0.0024423602969910123</v>
      </c>
      <c r="K66" s="281" t="str">
        <f>IFERROR(__xludf.DUMMYFUNCTION("""COMPUTED_VALUE"""),"Ghost Ship - Fog Horn 1★ #DC8")</f>
        <v>Ghost Ship - Fog Horn 1★ #DC8</v>
      </c>
      <c r="L66" s="375" t="str">
        <f>IFERROR(__xludf.DUMMYFUNCTION("""COMPUTED_VALUE"""),"Cannon Fort - War Flag 3★")</f>
        <v>Cannon Fort - War Flag 3★</v>
      </c>
      <c r="M66" s="374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72" t="str">
        <f>IFERROR(__xludf.DUMMYFUNCTION("""COMPUTED_VALUE"""),"Skull Isle - Anchor 1★ #69A")</f>
        <v>Skull Isle - Anchor 1★ #69A</v>
      </c>
      <c r="P66" s="281">
        <f>IFERROR(__xludf.DUMMYFUNCTION("""COMPUTED_VALUE"""),50.0)</f>
        <v>50</v>
      </c>
      <c r="Q66" s="358">
        <f>IFERROR(__xludf.DUMMYFUNCTION("if(P66="""", """", P66/sum(filter($P$16:$P$949, $P$16:$P$949&lt;&gt;"""")))"),0.0024423602969910123)</f>
        <v>0.002442360297</v>
      </c>
    </row>
    <row r="67" ht="12.75" customHeight="1">
      <c r="A67" s="365" t="str">
        <f>AlbumConfig!B54&amp;" "&amp;AlbumConfig!E54</f>
        <v>Cannon Fort - Bridge 5★</v>
      </c>
      <c r="B67" s="384">
        <f>IFERROR(__xludf.DUMMYFUNCTION("index($B$3:$B$7, right(index(split(A67, ""★""),0,1)), 0)"),2.0)</f>
        <v>2</v>
      </c>
      <c r="C67" s="384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59" t="s">
        <v>787</v>
      </c>
      <c r="H67" s="281">
        <v>50.0</v>
      </c>
      <c r="I67" s="358">
        <v>0.0024423602969910123</v>
      </c>
      <c r="K67" s="281" t="str">
        <f>IFERROR(__xludf.DUMMYFUNCTION("""COMPUTED_VALUE"""),"Kraken Lair - Trident 1★ #0FB")</f>
        <v>Kraken Lair - Trident 1★ #0FB</v>
      </c>
      <c r="L67" s="375"/>
      <c r="M67" s="374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372" t="str">
        <f>IFERROR(__xludf.DUMMYFUNCTION("""COMPUTED_VALUE"""),"Skull Isle - Anchor 1★ #14F")</f>
        <v>Skull Isle - Anchor 1★ #14F</v>
      </c>
      <c r="P67" s="281">
        <f>IFERROR(__xludf.DUMMYFUNCTION("""COMPUTED_VALUE"""),50.0)</f>
        <v>50</v>
      </c>
      <c r="Q67" s="358">
        <f>IFERROR(__xludf.DUMMYFUNCTION("if(P67="""", """", P67/sum(filter($P$16:$P$949, $P$16:$P$949&lt;&gt;"""")))"),0.0024423602969910123)</f>
        <v>0.002442360297</v>
      </c>
    </row>
    <row r="68" ht="12.75" customHeight="1">
      <c r="A68" s="365" t="str">
        <f>AlbumConfig!B55&amp;" "&amp;AlbumConfig!E55</f>
        <v>Cannon Fort - Catapult 5★</v>
      </c>
      <c r="B68" s="384">
        <f>IFERROR(__xludf.DUMMYFUNCTION("index($B$3:$B$7, right(index(split(A68, ""★""),0,1)), 0)"),2.0)</f>
        <v>2</v>
      </c>
      <c r="C68" s="384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59" t="s">
        <v>788</v>
      </c>
      <c r="H68" s="281">
        <v>50.0</v>
      </c>
      <c r="I68" s="358">
        <v>0.0024423602969910123</v>
      </c>
      <c r="K68" s="281" t="str">
        <f>IFERROR(__xludf.DUMMYFUNCTION("""COMPUTED_VALUE"""),"Cannon Fort - Powder 1★ #B6E")</f>
        <v>Cannon Fort - Powder 1★ #B6E</v>
      </c>
      <c r="L68" s="375"/>
      <c r="M68" s="374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372" t="str">
        <f>IFERROR(__xludf.DUMMYFUNCTION("""COMPUTED_VALUE"""),"Skull Isle - Anchor 1★ #C04")</f>
        <v>Skull Isle - Anchor 1★ #C04</v>
      </c>
      <c r="P68" s="281">
        <f>IFERROR(__xludf.DUMMYFUNCTION("""COMPUTED_VALUE"""),50.0)</f>
        <v>50</v>
      </c>
      <c r="Q68" s="358">
        <f>IFERROR(__xludf.DUMMYFUNCTION("if(P68="""", """", P68/sum(filter($P$16:$P$949, $P$16:$P$949&lt;&gt;"""")))"),0.0024423602969910123)</f>
        <v>0.002442360297</v>
      </c>
    </row>
    <row r="69" ht="12.75" customHeight="1">
      <c r="A69" s="365" t="str">
        <f>AlbumConfig!B56&amp;" "&amp;AlbumConfig!E56</f>
        <v>Cannon Fort - Horn 5★</v>
      </c>
      <c r="B69" s="384">
        <f>IFERROR(__xludf.DUMMYFUNCTION("index($B$3:$B$7, right(index(split(A69, ""★""),0,1)), 0)"),2.0)</f>
        <v>2</v>
      </c>
      <c r="C69" s="384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59" t="s">
        <v>789</v>
      </c>
      <c r="H69" s="281">
        <v>50.0</v>
      </c>
      <c r="I69" s="358">
        <v>0.0024423602969910123</v>
      </c>
      <c r="K69" s="281" t="str">
        <f>IFERROR(__xludf.DUMMYFUNCTION("""COMPUTED_VALUE"""),"Cannon Fort - War Flag 3★ #28A")</f>
        <v>Cannon Fort - War Flag 3★ #28A</v>
      </c>
      <c r="L69" s="375"/>
      <c r="M69" s="374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72" t="str">
        <f>IFERROR(__xludf.DUMMYFUNCTION("""COMPUTED_VALUE"""),"Skull Isle - Anchor 1★ #6B9")</f>
        <v>Skull Isle - Anchor 1★ #6B9</v>
      </c>
      <c r="P69" s="281">
        <f>IFERROR(__xludf.DUMMYFUNCTION("""COMPUTED_VALUE"""),50.0)</f>
        <v>50</v>
      </c>
      <c r="Q69" s="358">
        <f>IFERROR(__xludf.DUMMYFUNCTION("if(P69="""", """", P69/sum(filter($P$16:$P$949, $P$16:$P$949&lt;&gt;"""")))"),0.0024423602969910123)</f>
        <v>0.002442360297</v>
      </c>
    </row>
    <row r="70" ht="12.75" customHeight="1">
      <c r="A70" s="365" t="str">
        <f>AlbumConfig!B57&amp;" "&amp;AlbumConfig!E57</f>
        <v>Siren Reef - Harp 1★</v>
      </c>
      <c r="B70" s="384">
        <f>IFERROR(__xludf.DUMMYFUNCTION("index($B$3:$B$7, right(index(split(A70, ""★""),0,1)), 0)"),50.0)</f>
        <v>50</v>
      </c>
      <c r="C70" s="384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59" t="s">
        <v>790</v>
      </c>
      <c r="H70" s="281">
        <v>50.0</v>
      </c>
      <c r="I70" s="358">
        <v>0.0024423602969910123</v>
      </c>
      <c r="K70" s="281" t="str">
        <f>IFERROR(__xludf.DUMMYFUNCTION("""COMPUTED_VALUE"""),"Siren Reef - Mirror 1★ #F4E")</f>
        <v>Siren Reef - Mirror 1★ #F4E</v>
      </c>
      <c r="L70" s="375"/>
      <c r="M70" s="374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72" t="str">
        <f>IFERROR(__xludf.DUMMYFUNCTION("""COMPUTED_VALUE"""),"Skull Isle - Anchor 1★ #16E")</f>
        <v>Skull Isle - Anchor 1★ #16E</v>
      </c>
      <c r="P70" s="281">
        <f>IFERROR(__xludf.DUMMYFUNCTION("""COMPUTED_VALUE"""),50.0)</f>
        <v>50</v>
      </c>
      <c r="Q70" s="358">
        <f>IFERROR(__xludf.DUMMYFUNCTION("if(P70="""", """", P70/sum(filter($P$16:$P$949, $P$16:$P$949&lt;&gt;"""")))"),0.0024423602969910123)</f>
        <v>0.002442360297</v>
      </c>
    </row>
    <row r="71" ht="12.75" customHeight="1">
      <c r="A71" s="365" t="str">
        <f>AlbumConfig!B58&amp;" "&amp;AlbumConfig!E58</f>
        <v>Siren Reef - Mirror 1★</v>
      </c>
      <c r="B71" s="384">
        <f>IFERROR(__xludf.DUMMYFUNCTION("index($B$3:$B$7, right(index(split(A71, ""★""),0,1)), 0)"),50.0)</f>
        <v>50</v>
      </c>
      <c r="C71" s="384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59" t="s">
        <v>791</v>
      </c>
      <c r="H71" s="281">
        <v>50.0</v>
      </c>
      <c r="I71" s="358">
        <v>0.0024423602969910123</v>
      </c>
      <c r="K71" s="281"/>
      <c r="L71" s="375"/>
      <c r="M71" s="374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72" t="str">
        <f>IFERROR(__xludf.DUMMYFUNCTION("""COMPUTED_VALUE"""),"Skull Isle - Anchor 1★ #C23")</f>
        <v>Skull Isle - Anchor 1★ #C23</v>
      </c>
      <c r="P71" s="281">
        <f>IFERROR(__xludf.DUMMYFUNCTION("""COMPUTED_VALUE"""),50.0)</f>
        <v>50</v>
      </c>
      <c r="Q71" s="358">
        <f>IFERROR(__xludf.DUMMYFUNCTION("if(P71="""", """", P71/sum(filter($P$16:$P$949, $P$16:$P$949&lt;&gt;"""")))"),0.0024423602969910123)</f>
        <v>0.002442360297</v>
      </c>
    </row>
    <row r="72" ht="12.75" customHeight="1">
      <c r="A72" s="365" t="str">
        <f>AlbumConfig!B59&amp;" "&amp;AlbumConfig!E59</f>
        <v>Siren Reef - Comb 2★</v>
      </c>
      <c r="B72" s="384">
        <f>IFERROR(__xludf.DUMMYFUNCTION("index($B$3:$B$7, right(index(split(A72, ""★""),0,1)), 0)"),20.0)</f>
        <v>20</v>
      </c>
      <c r="C72" s="384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59" t="s">
        <v>792</v>
      </c>
      <c r="H72" s="281">
        <v>20.0</v>
      </c>
      <c r="I72" s="358">
        <v>9.769441187964048E-4</v>
      </c>
      <c r="K72" s="281"/>
      <c r="L72" s="375"/>
      <c r="M72" s="374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72" t="str">
        <f>IFERROR(__xludf.DUMMYFUNCTION("""COMPUTED_VALUE"""),"Skull Isle - Helm 2★ #6D8")</f>
        <v>Skull Isle - Helm 2★ #6D8</v>
      </c>
      <c r="P72" s="281">
        <f>IFERROR(__xludf.DUMMYFUNCTION("""COMPUTED_VALUE"""),20.0)</f>
        <v>20</v>
      </c>
      <c r="Q72" s="358">
        <f>IFERROR(__xludf.DUMMYFUNCTION("if(P72="""", """", P72/sum(filter($P$16:$P$949, $P$16:$P$949&lt;&gt;"""")))"),9.769441187964048E-4)</f>
        <v>0.0009769441188</v>
      </c>
    </row>
    <row r="73" ht="12.75" customHeight="1">
      <c r="A73" s="365" t="str">
        <f>AlbumConfig!B60&amp;" "&amp;AlbumConfig!E60</f>
        <v>Siren Reef - Witch 2★</v>
      </c>
      <c r="B73" s="384">
        <f>IFERROR(__xludf.DUMMYFUNCTION("index($B$3:$B$7, right(index(split(A73, ""★""),0,1)), 0)"),20.0)</f>
        <v>20</v>
      </c>
      <c r="C73" s="384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59" t="s">
        <v>793</v>
      </c>
      <c r="H73" s="281">
        <v>20.0</v>
      </c>
      <c r="I73" s="358">
        <v>9.769441187964048E-4</v>
      </c>
      <c r="K73" s="281"/>
      <c r="L73" s="375"/>
      <c r="M73" s="374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72" t="str">
        <f>IFERROR(__xludf.DUMMYFUNCTION("""COMPUTED_VALUE"""),"Skull Isle - Helm 2★ #18D")</f>
        <v>Skull Isle - Helm 2★ #18D</v>
      </c>
      <c r="P73" s="281">
        <f>IFERROR(__xludf.DUMMYFUNCTION("""COMPUTED_VALUE"""),20.0)</f>
        <v>20</v>
      </c>
      <c r="Q73" s="358">
        <f>IFERROR(__xludf.DUMMYFUNCTION("if(P73="""", """", P73/sum(filter($P$16:$P$949, $P$16:$P$949&lt;&gt;"""")))"),9.769441187964048E-4)</f>
        <v>0.0009769441188</v>
      </c>
    </row>
    <row r="74" ht="12.75" customHeight="1">
      <c r="A74" s="365" t="str">
        <f>AlbumConfig!B61&amp;" "&amp;AlbumConfig!E61</f>
        <v>Siren Reef - Starfish 3★</v>
      </c>
      <c r="B74" s="384">
        <f>IFERROR(__xludf.DUMMYFUNCTION("index($B$3:$B$7, right(index(split(A74, ""★""),0,1)), 0)"),10.0)</f>
        <v>10</v>
      </c>
      <c r="C74" s="384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59" t="s">
        <v>794</v>
      </c>
      <c r="H74" s="281">
        <v>20.0</v>
      </c>
      <c r="I74" s="358">
        <v>9.769441187964048E-4</v>
      </c>
      <c r="K74" s="281"/>
      <c r="L74" s="375"/>
      <c r="M74" s="374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72" t="str">
        <f>IFERROR(__xludf.DUMMYFUNCTION("""COMPUTED_VALUE"""),"Skull Isle - Helm 2★ #C42")</f>
        <v>Skull Isle - Helm 2★ #C42</v>
      </c>
      <c r="P74" s="281">
        <f>IFERROR(__xludf.DUMMYFUNCTION("""COMPUTED_VALUE"""),20.0)</f>
        <v>20</v>
      </c>
      <c r="Q74" s="358">
        <f>IFERROR(__xludf.DUMMYFUNCTION("if(P74="""", """", P74/sum(filter($P$16:$P$949, $P$16:$P$949&lt;&gt;"""")))"),9.769441187964048E-4)</f>
        <v>0.0009769441188</v>
      </c>
    </row>
    <row r="75" ht="12.75" customHeight="1">
      <c r="A75" s="365" t="str">
        <f>AlbumConfig!B62&amp;" "&amp;AlbumConfig!E62</f>
        <v>Siren Reef - Moonstone 4★</v>
      </c>
      <c r="B75" s="384">
        <f>IFERROR(__xludf.DUMMYFUNCTION("index($B$3:$B$7, right(index(split(A75, ""★""),0,1)), 0)"),5.0)</f>
        <v>5</v>
      </c>
      <c r="C75" s="384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59" t="s">
        <v>795</v>
      </c>
      <c r="H75" s="281">
        <v>20.0</v>
      </c>
      <c r="I75" s="358">
        <v>9.769441187964048E-4</v>
      </c>
      <c r="K75" s="281"/>
      <c r="L75" s="375"/>
      <c r="M75" s="374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72" t="str">
        <f>IFERROR(__xludf.DUMMYFUNCTION("""COMPUTED_VALUE"""),"Skull Isle - Helm 2★ #6F7")</f>
        <v>Skull Isle - Helm 2★ #6F7</v>
      </c>
      <c r="P75" s="281">
        <f>IFERROR(__xludf.DUMMYFUNCTION("""COMPUTED_VALUE"""),20.0)</f>
        <v>20</v>
      </c>
      <c r="Q75" s="358">
        <f>IFERROR(__xludf.DUMMYFUNCTION("if(P75="""", """", P75/sum(filter($P$16:$P$949, $P$16:$P$949&lt;&gt;"""")))"),9.769441187964048E-4)</f>
        <v>0.0009769441188</v>
      </c>
    </row>
    <row r="76" ht="12.75" customHeight="1">
      <c r="A76" s="365" t="str">
        <f>AlbumConfig!B63&amp;" "&amp;AlbumConfig!E63</f>
        <v>Siren Reef - Wave 5★</v>
      </c>
      <c r="B76" s="384">
        <f>IFERROR(__xludf.DUMMYFUNCTION("index($B$3:$B$7, right(index(split(A76, ""★""),0,1)), 0)"),2.0)</f>
        <v>2</v>
      </c>
      <c r="C76" s="384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59" t="s">
        <v>796</v>
      </c>
      <c r="H76" s="281">
        <v>20.0</v>
      </c>
      <c r="I76" s="358">
        <v>9.769441187964048E-4</v>
      </c>
      <c r="K76" s="281"/>
      <c r="L76" s="375"/>
      <c r="M76" s="374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72" t="str">
        <f>IFERROR(__xludf.DUMMYFUNCTION("""COMPUTED_VALUE"""),"Skull Isle - Helm 2★ #1AC")</f>
        <v>Skull Isle - Helm 2★ #1AC</v>
      </c>
      <c r="P76" s="281">
        <f>IFERROR(__xludf.DUMMYFUNCTION("""COMPUTED_VALUE"""),20.0)</f>
        <v>20</v>
      </c>
      <c r="Q76" s="358">
        <f>IFERROR(__xludf.DUMMYFUNCTION("if(P76="""", """", P76/sum(filter($P$16:$P$949, $P$16:$P$949&lt;&gt;"""")))"),9.769441187964048E-4)</f>
        <v>0.0009769441188</v>
      </c>
    </row>
    <row r="77" ht="12.75" customHeight="1">
      <c r="A77" s="365" t="str">
        <f>AlbumConfig!B64&amp;" "&amp;AlbumConfig!E64</f>
        <v>Siren Reef - Driftwood 5★</v>
      </c>
      <c r="B77" s="384">
        <f>IFERROR(__xludf.DUMMYFUNCTION("index($B$3:$B$7, right(index(split(A77, ""★""),0,1)), 0)"),2.0)</f>
        <v>2</v>
      </c>
      <c r="C77" s="384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59" t="s">
        <v>797</v>
      </c>
      <c r="H77" s="281">
        <v>20.0</v>
      </c>
      <c r="I77" s="358">
        <v>9.769441187964048E-4</v>
      </c>
      <c r="K77" s="281"/>
      <c r="L77" s="375"/>
      <c r="M77" s="374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72" t="str">
        <f>IFERROR(__xludf.DUMMYFUNCTION("""COMPUTED_VALUE"""),"Skull Isle - Helm 2★ #C61")</f>
        <v>Skull Isle - Helm 2★ #C61</v>
      </c>
      <c r="P77" s="281">
        <f>IFERROR(__xludf.DUMMYFUNCTION("""COMPUTED_VALUE"""),20.0)</f>
        <v>20</v>
      </c>
      <c r="Q77" s="358">
        <f>IFERROR(__xludf.DUMMYFUNCTION("if(P77="""", """", P77/sum(filter($P$16:$P$949, $P$16:$P$949&lt;&gt;"""")))"),9.769441187964048E-4)</f>
        <v>0.0009769441188</v>
      </c>
    </row>
    <row r="78" ht="12.75" customHeight="1">
      <c r="A78" s="365" t="str">
        <f>AlbumConfig!B65&amp;" "&amp;AlbumConfig!E65</f>
        <v>Siren Reef - Conch 5★</v>
      </c>
      <c r="B78" s="384">
        <f>IFERROR(__xludf.DUMMYFUNCTION("index($B$3:$B$7, right(index(split(A78, ""★""),0,1)), 0)"),2.0)</f>
        <v>2</v>
      </c>
      <c r="C78" s="384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59" t="s">
        <v>798</v>
      </c>
      <c r="H78" s="281">
        <v>20.0</v>
      </c>
      <c r="I78" s="358">
        <v>9.769441187964048E-4</v>
      </c>
      <c r="K78" s="281"/>
      <c r="L78" s="375"/>
      <c r="M78" s="374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72" t="str">
        <f>IFERROR(__xludf.DUMMYFUNCTION("""COMPUTED_VALUE"""),"Skull Isle - Helm 2★ #716")</f>
        <v>Skull Isle - Helm 2★ #716</v>
      </c>
      <c r="P78" s="281">
        <f>IFERROR(__xludf.DUMMYFUNCTION("""COMPUTED_VALUE"""),20.0)</f>
        <v>20</v>
      </c>
      <c r="Q78" s="358">
        <f>IFERROR(__xludf.DUMMYFUNCTION("if(P78="""", """", P78/sum(filter($P$16:$P$949, $P$16:$P$949&lt;&gt;"""")))"),9.769441187964048E-4)</f>
        <v>0.0009769441188</v>
      </c>
    </row>
    <row r="79" ht="12.75" customHeight="1">
      <c r="A79" s="365" t="str">
        <f>AlbumConfig!B66&amp;" "&amp;AlbumConfig!E66</f>
        <v>Dead Man Bay - Pistol 1★</v>
      </c>
      <c r="B79" s="384">
        <f>IFERROR(__xludf.DUMMYFUNCTION("index($B$3:$B$7, right(index(split(A79, ""★""),0,1)), 0)"),50.0)</f>
        <v>50</v>
      </c>
      <c r="C79" s="384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59" t="s">
        <v>799</v>
      </c>
      <c r="H79" s="281">
        <v>20.0</v>
      </c>
      <c r="I79" s="358">
        <v>9.769441187964048E-4</v>
      </c>
      <c r="K79" s="281"/>
      <c r="L79" s="375"/>
      <c r="M79" s="374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72" t="str">
        <f>IFERROR(__xludf.DUMMYFUNCTION("""COMPUTED_VALUE"""),"Skull Isle - Helm 2★ #1CB")</f>
        <v>Skull Isle - Helm 2★ #1CB</v>
      </c>
      <c r="P79" s="281">
        <f>IFERROR(__xludf.DUMMYFUNCTION("""COMPUTED_VALUE"""),20.0)</f>
        <v>20</v>
      </c>
      <c r="Q79" s="358">
        <f>IFERROR(__xludf.DUMMYFUNCTION("if(P79="""", """", P79/sum(filter($P$16:$P$949, $P$16:$P$949&lt;&gt;"""")))"),9.769441187964048E-4)</f>
        <v>0.0009769441188</v>
      </c>
    </row>
    <row r="80" ht="12.75" customHeight="1">
      <c r="A80" s="365" t="str">
        <f>AlbumConfig!B67&amp;" "&amp;AlbumConfig!E67</f>
        <v>Dead Man Bay - Rum 1★</v>
      </c>
      <c r="B80" s="384">
        <f>IFERROR(__xludf.DUMMYFUNCTION("index($B$3:$B$7, right(index(split(A80, ""★""),0,1)), 0)"),50.0)</f>
        <v>50</v>
      </c>
      <c r="C80" s="384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59" t="s">
        <v>800</v>
      </c>
      <c r="H80" s="281">
        <v>20.0</v>
      </c>
      <c r="I80" s="358">
        <v>9.769441187964048E-4</v>
      </c>
      <c r="K80" s="281"/>
      <c r="L80" s="375"/>
      <c r="M80" s="374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72" t="str">
        <f>IFERROR(__xludf.DUMMYFUNCTION("""COMPUTED_VALUE"""),"Skull Isle - Helm 2★ #C80")</f>
        <v>Skull Isle - Helm 2★ #C80</v>
      </c>
      <c r="P80" s="281">
        <f>IFERROR(__xludf.DUMMYFUNCTION("""COMPUTED_VALUE"""),20.0)</f>
        <v>20</v>
      </c>
      <c r="Q80" s="358">
        <f>IFERROR(__xludf.DUMMYFUNCTION("if(P80="""", """", P80/sum(filter($P$16:$P$949, $P$16:$P$949&lt;&gt;"""")))"),9.769441187964048E-4)</f>
        <v>0.0009769441188</v>
      </c>
    </row>
    <row r="81" ht="12.75" customHeight="1">
      <c r="A81" s="365" t="str">
        <f>AlbumConfig!B68&amp;" "&amp;AlbumConfig!E68</f>
        <v>Dead Man Bay - Treasure Map 2★</v>
      </c>
      <c r="B81" s="384">
        <f>IFERROR(__xludf.DUMMYFUNCTION("index($B$3:$B$7, right(index(split(A81, ""★""),0,1)), 0)"),20.0)</f>
        <v>20</v>
      </c>
      <c r="C81" s="384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59" t="s">
        <v>801</v>
      </c>
      <c r="H81" s="281">
        <v>20.0</v>
      </c>
      <c r="I81" s="358">
        <v>9.769441187964048E-4</v>
      </c>
      <c r="K81" s="281"/>
      <c r="L81" s="375"/>
      <c r="M81" s="374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72" t="str">
        <f>IFERROR(__xludf.DUMMYFUNCTION("""COMPUTED_VALUE"""),"Skull Isle - Helm 2★ #735")</f>
        <v>Skull Isle - Helm 2★ #735</v>
      </c>
      <c r="P81" s="281">
        <f>IFERROR(__xludf.DUMMYFUNCTION("""COMPUTED_VALUE"""),20.0)</f>
        <v>20</v>
      </c>
      <c r="Q81" s="358">
        <f>IFERROR(__xludf.DUMMYFUNCTION("if(P81="""", """", P81/sum(filter($P$16:$P$949, $P$16:$P$949&lt;&gt;"""")))"),9.769441187964048E-4)</f>
        <v>0.0009769441188</v>
      </c>
    </row>
    <row r="82" ht="12.75" customHeight="1">
      <c r="A82" s="365" t="str">
        <f>AlbumConfig!B69&amp;" "&amp;AlbumConfig!E69</f>
        <v>Dead Man Bay - Jolly Roger 2★</v>
      </c>
      <c r="B82" s="384">
        <f>IFERROR(__xludf.DUMMYFUNCTION("index($B$3:$B$7, right(index(split(A82, ""★""),0,1)), 0)"),20.0)</f>
        <v>20</v>
      </c>
      <c r="C82" s="384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59" t="s">
        <v>802</v>
      </c>
      <c r="H82" s="281">
        <v>20.0</v>
      </c>
      <c r="I82" s="358">
        <v>9.769441187964048E-4</v>
      </c>
      <c r="K82" s="281"/>
      <c r="L82" s="375"/>
      <c r="M82" s="374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72" t="str">
        <f>IFERROR(__xludf.DUMMYFUNCTION("""COMPUTED_VALUE"""),"Skull Isle - Helm 2★ #1EA")</f>
        <v>Skull Isle - Helm 2★ #1EA</v>
      </c>
      <c r="P82" s="281">
        <f>IFERROR(__xludf.DUMMYFUNCTION("""COMPUTED_VALUE"""),20.0)</f>
        <v>20</v>
      </c>
      <c r="Q82" s="358">
        <f>IFERROR(__xludf.DUMMYFUNCTION("if(P82="""", """", P82/sum(filter($P$16:$P$949, $P$16:$P$949&lt;&gt;"""")))"),9.769441187964048E-4)</f>
        <v>0.0009769441188</v>
      </c>
    </row>
    <row r="83" ht="12.75" customHeight="1">
      <c r="A83" s="365" t="str">
        <f>AlbumConfig!B70&amp;" "&amp;AlbumConfig!E70</f>
        <v>Dead Man Bay - Gold Tooth 3★</v>
      </c>
      <c r="B83" s="384">
        <f>IFERROR(__xludf.DUMMYFUNCTION("index($B$3:$B$7, right(index(split(A83, ""★""),0,1)), 0)"),10.0)</f>
        <v>10</v>
      </c>
      <c r="C83" s="384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59" t="s">
        <v>803</v>
      </c>
      <c r="H83" s="281">
        <v>20.0</v>
      </c>
      <c r="I83" s="358">
        <v>9.769441187964048E-4</v>
      </c>
      <c r="K83" s="281"/>
      <c r="L83" s="375"/>
      <c r="M83" s="374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72" t="str">
        <f>IFERROR(__xludf.DUMMYFUNCTION("""COMPUTED_VALUE"""),"Skull Isle - Helm 2★ #C9F")</f>
        <v>Skull Isle - Helm 2★ #C9F</v>
      </c>
      <c r="P83" s="281">
        <f>IFERROR(__xludf.DUMMYFUNCTION("""COMPUTED_VALUE"""),20.0)</f>
        <v>20</v>
      </c>
      <c r="Q83" s="358">
        <f>IFERROR(__xludf.DUMMYFUNCTION("if(P83="""", """", P83/sum(filter($P$16:$P$949, $P$16:$P$949&lt;&gt;"""")))"),9.769441187964048E-4)</f>
        <v>0.0009769441188</v>
      </c>
    </row>
    <row r="84" ht="12.75" customHeight="1">
      <c r="A84" s="365" t="str">
        <f>AlbumConfig!B71&amp;" "&amp;AlbumConfig!E71</f>
        <v>Dead Man Bay - Dagger 4★</v>
      </c>
      <c r="B84" s="384">
        <f>IFERROR(__xludf.DUMMYFUNCTION("index($B$3:$B$7, right(index(split(A84, ""★""),0,1)), 0)"),5.0)</f>
        <v>5</v>
      </c>
      <c r="C84" s="384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59" t="s">
        <v>804</v>
      </c>
      <c r="H84" s="281">
        <v>20.0</v>
      </c>
      <c r="I84" s="358">
        <v>9.769441187964048E-4</v>
      </c>
      <c r="K84" s="281"/>
      <c r="L84" s="375"/>
      <c r="M84" s="374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72" t="str">
        <f>IFERROR(__xludf.DUMMYFUNCTION("""COMPUTED_VALUE"""),"Skull Isle - Helm 2★ #754")</f>
        <v>Skull Isle - Helm 2★ #754</v>
      </c>
      <c r="P84" s="281">
        <f>IFERROR(__xludf.DUMMYFUNCTION("""COMPUTED_VALUE"""),20.0)</f>
        <v>20</v>
      </c>
      <c r="Q84" s="358">
        <f>IFERROR(__xludf.DUMMYFUNCTION("if(P84="""", """", P84/sum(filter($P$16:$P$949, $P$16:$P$949&lt;&gt;"""")))"),9.769441187964048E-4)</f>
        <v>0.0009769441188</v>
      </c>
    </row>
    <row r="85" ht="12.75" customHeight="1">
      <c r="A85" s="365" t="str">
        <f>AlbumConfig!B72&amp;" "&amp;AlbumConfig!E72</f>
        <v>Dead Man Bay - Bandana 5★</v>
      </c>
      <c r="B85" s="384">
        <f>IFERROR(__xludf.DUMMYFUNCTION("index($B$3:$B$7, right(index(split(A85, ""★""),0,1)), 0)"),2.0)</f>
        <v>2</v>
      </c>
      <c r="C85" s="384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59" t="s">
        <v>805</v>
      </c>
      <c r="H85" s="281">
        <v>20.0</v>
      </c>
      <c r="I85" s="358">
        <v>9.769441187964048E-4</v>
      </c>
      <c r="K85" s="281"/>
      <c r="L85" s="375"/>
      <c r="M85" s="374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72" t="str">
        <f>IFERROR(__xludf.DUMMYFUNCTION("""COMPUTED_VALUE"""),"Skull Isle - Cutlass 2★ #209")</f>
        <v>Skull Isle - Cutlass 2★ #209</v>
      </c>
      <c r="P85" s="281">
        <f>IFERROR(__xludf.DUMMYFUNCTION("""COMPUTED_VALUE"""),20.0)</f>
        <v>20</v>
      </c>
      <c r="Q85" s="358">
        <f>IFERROR(__xludf.DUMMYFUNCTION("if(P85="""", """", P85/sum(filter($P$16:$P$949, $P$16:$P$949&lt;&gt;"""")))"),9.769441187964048E-4)</f>
        <v>0.0009769441188</v>
      </c>
    </row>
    <row r="86" ht="12.75" customHeight="1">
      <c r="A86" s="365" t="str">
        <f>AlbumConfig!B73&amp;" "&amp;AlbumConfig!E73</f>
        <v>Dead Man Bay - Boots 5★</v>
      </c>
      <c r="B86" s="384">
        <f>IFERROR(__xludf.DUMMYFUNCTION("index($B$3:$B$7, right(index(split(A86, ""★""),0,1)), 0)"),2.0)</f>
        <v>2</v>
      </c>
      <c r="C86" s="384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59" t="s">
        <v>806</v>
      </c>
      <c r="H86" s="281">
        <v>20.0</v>
      </c>
      <c r="I86" s="358">
        <v>9.769441187964048E-4</v>
      </c>
      <c r="K86" s="281"/>
      <c r="L86" s="375"/>
      <c r="M86" s="374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72" t="str">
        <f>IFERROR(__xludf.DUMMYFUNCTION("""COMPUTED_VALUE"""),"Skull Isle - Cutlass 2★ #CBE")</f>
        <v>Skull Isle - Cutlass 2★ #CBE</v>
      </c>
      <c r="P86" s="281">
        <f>IFERROR(__xludf.DUMMYFUNCTION("""COMPUTED_VALUE"""),20.0)</f>
        <v>20</v>
      </c>
      <c r="Q86" s="358">
        <f>IFERROR(__xludf.DUMMYFUNCTION("if(P86="""", """", P86/sum(filter($P$16:$P$949, $P$16:$P$949&lt;&gt;"""")))"),9.769441187964048E-4)</f>
        <v>0.0009769441188</v>
      </c>
    </row>
    <row r="87" ht="12.75" customHeight="1">
      <c r="A87" s="365" t="str">
        <f>AlbumConfig!B74&amp;" "&amp;AlbumConfig!E74</f>
        <v>Dead Man Bay - Beard 5★</v>
      </c>
      <c r="B87" s="384">
        <f>IFERROR(__xludf.DUMMYFUNCTION("index($B$3:$B$7, right(index(split(A87, ""★""),0,1)), 0)"),2.0)</f>
        <v>2</v>
      </c>
      <c r="C87" s="384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59" t="s">
        <v>807</v>
      </c>
      <c r="H87" s="281">
        <v>20.0</v>
      </c>
      <c r="I87" s="358">
        <v>9.769441187964048E-4</v>
      </c>
      <c r="K87" s="281"/>
      <c r="L87" s="375"/>
      <c r="M87" s="374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72" t="str">
        <f>IFERROR(__xludf.DUMMYFUNCTION("""COMPUTED_VALUE"""),"Skull Isle - Cutlass 2★ #773")</f>
        <v>Skull Isle - Cutlass 2★ #773</v>
      </c>
      <c r="P87" s="281">
        <f>IFERROR(__xludf.DUMMYFUNCTION("""COMPUTED_VALUE"""),20.0)</f>
        <v>20</v>
      </c>
      <c r="Q87" s="358">
        <f>IFERROR(__xludf.DUMMYFUNCTION("if(P87="""", """", P87/sum(filter($P$16:$P$949, $P$16:$P$949&lt;&gt;"""")))"),9.769441187964048E-4)</f>
        <v>0.0009769441188</v>
      </c>
    </row>
    <row r="88" ht="12.75" customHeight="1">
      <c r="A88" s="365" t="str">
        <f>AlbumConfig!B75&amp;" "&amp;AlbumConfig!E75</f>
        <v> </v>
      </c>
      <c r="G88" s="359" t="s">
        <v>808</v>
      </c>
      <c r="H88" s="281">
        <v>20.0</v>
      </c>
      <c r="I88" s="358">
        <v>9.769441187964048E-4</v>
      </c>
      <c r="K88" s="281"/>
      <c r="L88" s="375"/>
      <c r="M88" s="374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72" t="str">
        <f>IFERROR(__xludf.DUMMYFUNCTION("""COMPUTED_VALUE"""),"Skull Isle - Cutlass 2★ #228")</f>
        <v>Skull Isle - Cutlass 2★ #228</v>
      </c>
      <c r="P88" s="281">
        <f>IFERROR(__xludf.DUMMYFUNCTION("""COMPUTED_VALUE"""),20.0)</f>
        <v>20</v>
      </c>
      <c r="Q88" s="358">
        <f>IFERROR(__xludf.DUMMYFUNCTION("if(P88="""", """", P88/sum(filter($P$16:$P$949, $P$16:$P$949&lt;&gt;"""")))"),9.769441187964048E-4)</f>
        <v>0.0009769441188</v>
      </c>
    </row>
    <row r="89" ht="12.75" customHeight="1">
      <c r="A89" s="365" t="str">
        <f>AlbumConfig!B76&amp;" "&amp;AlbumConfig!E76</f>
        <v> </v>
      </c>
      <c r="G89" s="359" t="s">
        <v>809</v>
      </c>
      <c r="H89" s="281">
        <v>20.0</v>
      </c>
      <c r="I89" s="358">
        <v>9.769441187964048E-4</v>
      </c>
      <c r="K89" s="281"/>
      <c r="L89" s="375"/>
      <c r="M89" s="374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72" t="str">
        <f>IFERROR(__xludf.DUMMYFUNCTION("""COMPUTED_VALUE"""),"Skull Isle - Cutlass 2★ #CDD")</f>
        <v>Skull Isle - Cutlass 2★ #CDD</v>
      </c>
      <c r="P89" s="281">
        <f>IFERROR(__xludf.DUMMYFUNCTION("""COMPUTED_VALUE"""),20.0)</f>
        <v>20</v>
      </c>
      <c r="Q89" s="358">
        <f>IFERROR(__xludf.DUMMYFUNCTION("if(P89="""", """", P89/sum(filter($P$16:$P$949, $P$16:$P$949&lt;&gt;"""")))"),9.769441187964048E-4)</f>
        <v>0.0009769441188</v>
      </c>
    </row>
    <row r="90" ht="12.75" customHeight="1">
      <c r="A90" s="365" t="str">
        <f>AlbumConfig!B77&amp;" "&amp;AlbumConfig!E77</f>
        <v> </v>
      </c>
      <c r="G90" s="359" t="s">
        <v>810</v>
      </c>
      <c r="H90" s="281">
        <v>20.0</v>
      </c>
      <c r="I90" s="358">
        <v>9.769441187964048E-4</v>
      </c>
      <c r="K90" s="281"/>
      <c r="L90" s="375"/>
      <c r="M90" s="374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72" t="str">
        <f>IFERROR(__xludf.DUMMYFUNCTION("""COMPUTED_VALUE"""),"Skull Isle - Cutlass 2★ #792")</f>
        <v>Skull Isle - Cutlass 2★ #792</v>
      </c>
      <c r="P90" s="281">
        <f>IFERROR(__xludf.DUMMYFUNCTION("""COMPUTED_VALUE"""),20.0)</f>
        <v>20</v>
      </c>
      <c r="Q90" s="358">
        <f>IFERROR(__xludf.DUMMYFUNCTION("if(P90="""", """", P90/sum(filter($P$16:$P$949, $P$16:$P$949&lt;&gt;"""")))"),9.769441187964048E-4)</f>
        <v>0.0009769441188</v>
      </c>
    </row>
    <row r="91" ht="12.75" customHeight="1">
      <c r="A91" s="365"/>
      <c r="G91" s="359" t="s">
        <v>811</v>
      </c>
      <c r="H91" s="281">
        <v>20.0</v>
      </c>
      <c r="I91" s="358">
        <v>9.769441187964048E-4</v>
      </c>
      <c r="K91" s="281"/>
      <c r="L91" s="375"/>
      <c r="M91" s="374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72" t="str">
        <f>IFERROR(__xludf.DUMMYFUNCTION("""COMPUTED_VALUE"""),"Skull Isle - Cutlass 2★ #247")</f>
        <v>Skull Isle - Cutlass 2★ #247</v>
      </c>
      <c r="P91" s="281">
        <f>IFERROR(__xludf.DUMMYFUNCTION("""COMPUTED_VALUE"""),20.0)</f>
        <v>20</v>
      </c>
      <c r="Q91" s="358">
        <f>IFERROR(__xludf.DUMMYFUNCTION("if(P91="""", """", P91/sum(filter($P$16:$P$949, $P$16:$P$949&lt;&gt;"""")))"),9.769441187964048E-4)</f>
        <v>0.0009769441188</v>
      </c>
    </row>
    <row r="92" ht="12.75" customHeight="1">
      <c r="A92" s="365"/>
      <c r="G92" s="359" t="s">
        <v>812</v>
      </c>
      <c r="H92" s="281">
        <v>20.0</v>
      </c>
      <c r="I92" s="358">
        <v>9.769441187964048E-4</v>
      </c>
      <c r="K92" s="281"/>
      <c r="L92" s="375"/>
      <c r="M92" s="374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72" t="str">
        <f>IFERROR(__xludf.DUMMYFUNCTION("""COMPUTED_VALUE"""),"Skull Isle - Cutlass 2★ #CFC")</f>
        <v>Skull Isle - Cutlass 2★ #CFC</v>
      </c>
      <c r="P92" s="281">
        <f>IFERROR(__xludf.DUMMYFUNCTION("""COMPUTED_VALUE"""),20.0)</f>
        <v>20</v>
      </c>
      <c r="Q92" s="358">
        <f>IFERROR(__xludf.DUMMYFUNCTION("if(P92="""", """", P92/sum(filter($P$16:$P$949, $P$16:$P$949&lt;&gt;"""")))"),9.769441187964048E-4)</f>
        <v>0.0009769441188</v>
      </c>
    </row>
    <row r="93" ht="12.75" customHeight="1">
      <c r="A93" s="365"/>
      <c r="G93" s="359" t="s">
        <v>813</v>
      </c>
      <c r="H93" s="281">
        <v>20.0</v>
      </c>
      <c r="I93" s="358">
        <v>9.769441187964048E-4</v>
      </c>
      <c r="K93" s="281"/>
      <c r="L93" s="375"/>
      <c r="M93" s="374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72" t="str">
        <f>IFERROR(__xludf.DUMMYFUNCTION("""COMPUTED_VALUE"""),"Skull Isle - Cutlass 2★ #7B1")</f>
        <v>Skull Isle - Cutlass 2★ #7B1</v>
      </c>
      <c r="P93" s="281">
        <f>IFERROR(__xludf.DUMMYFUNCTION("""COMPUTED_VALUE"""),20.0)</f>
        <v>20</v>
      </c>
      <c r="Q93" s="358">
        <f>IFERROR(__xludf.DUMMYFUNCTION("if(P93="""", """", P93/sum(filter($P$16:$P$949, $P$16:$P$949&lt;&gt;"""")))"),9.769441187964048E-4)</f>
        <v>0.0009769441188</v>
      </c>
    </row>
    <row r="94" ht="12.75" customHeight="1">
      <c r="A94" s="365"/>
      <c r="G94" s="359" t="s">
        <v>814</v>
      </c>
      <c r="H94" s="281">
        <v>20.0</v>
      </c>
      <c r="I94" s="358">
        <v>9.769441187964048E-4</v>
      </c>
      <c r="K94" s="281"/>
      <c r="L94" s="375"/>
      <c r="M94" s="374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72" t="str">
        <f>IFERROR(__xludf.DUMMYFUNCTION("""COMPUTED_VALUE"""),"Skull Isle - Cutlass 2★ #266")</f>
        <v>Skull Isle - Cutlass 2★ #266</v>
      </c>
      <c r="P94" s="281">
        <f>IFERROR(__xludf.DUMMYFUNCTION("""COMPUTED_VALUE"""),20.0)</f>
        <v>20</v>
      </c>
      <c r="Q94" s="358">
        <f>IFERROR(__xludf.DUMMYFUNCTION("if(P94="""", """", P94/sum(filter($P$16:$P$949, $P$16:$P$949&lt;&gt;"""")))"),9.769441187964048E-4)</f>
        <v>0.0009769441188</v>
      </c>
    </row>
    <row r="95" ht="12.75" customHeight="1">
      <c r="A95" s="365"/>
      <c r="G95" s="359" t="s">
        <v>815</v>
      </c>
      <c r="H95" s="281">
        <v>20.0</v>
      </c>
      <c r="I95" s="358">
        <v>9.769441187964048E-4</v>
      </c>
      <c r="K95" s="281"/>
      <c r="L95" s="375"/>
      <c r="M95" s="374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72" t="str">
        <f>IFERROR(__xludf.DUMMYFUNCTION("""COMPUTED_VALUE"""),"Skull Isle - Cutlass 2★ #D1B")</f>
        <v>Skull Isle - Cutlass 2★ #D1B</v>
      </c>
      <c r="P95" s="281">
        <f>IFERROR(__xludf.DUMMYFUNCTION("""COMPUTED_VALUE"""),20.0)</f>
        <v>20</v>
      </c>
      <c r="Q95" s="358">
        <f>IFERROR(__xludf.DUMMYFUNCTION("if(P95="""", """", P95/sum(filter($P$16:$P$949, $P$16:$P$949&lt;&gt;"""")))"),9.769441187964048E-4)</f>
        <v>0.0009769441188</v>
      </c>
    </row>
    <row r="96" ht="12.75" customHeight="1">
      <c r="A96" s="365"/>
      <c r="G96" s="359" t="s">
        <v>816</v>
      </c>
      <c r="H96" s="281">
        <v>20.0</v>
      </c>
      <c r="I96" s="358">
        <v>9.769441187964048E-4</v>
      </c>
      <c r="K96" s="281"/>
      <c r="L96" s="375"/>
      <c r="M96" s="374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72" t="str">
        <f>IFERROR(__xludf.DUMMYFUNCTION("""COMPUTED_VALUE"""),"Skull Isle - Cutlass 2★ #7D0")</f>
        <v>Skull Isle - Cutlass 2★ #7D0</v>
      </c>
      <c r="P96" s="281">
        <f>IFERROR(__xludf.DUMMYFUNCTION("""COMPUTED_VALUE"""),20.0)</f>
        <v>20</v>
      </c>
      <c r="Q96" s="358">
        <f>IFERROR(__xludf.DUMMYFUNCTION("if(P96="""", """", P96/sum(filter($P$16:$P$949, $P$16:$P$949&lt;&gt;"""")))"),9.769441187964048E-4)</f>
        <v>0.0009769441188</v>
      </c>
    </row>
    <row r="97" ht="12.75" customHeight="1">
      <c r="A97" s="365"/>
      <c r="G97" s="359" t="s">
        <v>817</v>
      </c>
      <c r="H97" s="281">
        <v>20.0</v>
      </c>
      <c r="I97" s="358">
        <v>9.769441187964048E-4</v>
      </c>
      <c r="K97" s="281"/>
      <c r="L97" s="375"/>
      <c r="M97" s="374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72" t="str">
        <f>IFERROR(__xludf.DUMMYFUNCTION("""COMPUTED_VALUE"""),"Skull Isle - Cutlass 2★ #285")</f>
        <v>Skull Isle - Cutlass 2★ #285</v>
      </c>
      <c r="P97" s="281">
        <f>IFERROR(__xludf.DUMMYFUNCTION("""COMPUTED_VALUE"""),20.0)</f>
        <v>20</v>
      </c>
      <c r="Q97" s="358">
        <f>IFERROR(__xludf.DUMMYFUNCTION("if(P97="""", """", P97/sum(filter($P$16:$P$949, $P$16:$P$949&lt;&gt;"""")))"),9.769441187964048E-4)</f>
        <v>0.0009769441188</v>
      </c>
    </row>
    <row r="98" ht="12.75" customHeight="1">
      <c r="A98" s="365"/>
      <c r="G98" s="359" t="s">
        <v>818</v>
      </c>
      <c r="H98" s="281">
        <v>20.0</v>
      </c>
      <c r="I98" s="358">
        <v>9.769441187964048E-4</v>
      </c>
      <c r="K98" s="281"/>
      <c r="L98" s="375"/>
      <c r="M98" s="374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72" t="str">
        <f>IFERROR(__xludf.DUMMYFUNCTION("""COMPUTED_VALUE"""),"Skull Isle - Parrot 2★ #D3A")</f>
        <v>Skull Isle - Parrot 2★ #D3A</v>
      </c>
      <c r="P98" s="281">
        <f>IFERROR(__xludf.DUMMYFUNCTION("""COMPUTED_VALUE"""),20.0)</f>
        <v>20</v>
      </c>
      <c r="Q98" s="358">
        <f>IFERROR(__xludf.DUMMYFUNCTION("if(P98="""", """", P98/sum(filter($P$16:$P$949, $P$16:$P$949&lt;&gt;"""")))"),9.769441187964048E-4)</f>
        <v>0.0009769441188</v>
      </c>
    </row>
    <row r="99" ht="12.75" customHeight="1">
      <c r="A99" s="365"/>
      <c r="G99" s="359" t="s">
        <v>819</v>
      </c>
      <c r="H99" s="281">
        <v>20.0</v>
      </c>
      <c r="I99" s="358">
        <v>9.769441187964048E-4</v>
      </c>
      <c r="K99" s="281"/>
      <c r="L99" s="375"/>
      <c r="M99" s="374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72" t="str">
        <f>IFERROR(__xludf.DUMMYFUNCTION("""COMPUTED_VALUE"""),"Skull Isle - Parrot 2★ #7EF")</f>
        <v>Skull Isle - Parrot 2★ #7EF</v>
      </c>
      <c r="P99" s="281">
        <f>IFERROR(__xludf.DUMMYFUNCTION("""COMPUTED_VALUE"""),20.0)</f>
        <v>20</v>
      </c>
      <c r="Q99" s="358">
        <f>IFERROR(__xludf.DUMMYFUNCTION("if(P99="""", """", P99/sum(filter($P$16:$P$949, $P$16:$P$949&lt;&gt;"""")))"),9.769441187964048E-4)</f>
        <v>0.0009769441188</v>
      </c>
    </row>
    <row r="100" ht="12.75" customHeight="1">
      <c r="A100" s="365"/>
      <c r="G100" s="359" t="s">
        <v>820</v>
      </c>
      <c r="H100" s="281">
        <v>20.0</v>
      </c>
      <c r="I100" s="358">
        <v>9.769441187964048E-4</v>
      </c>
      <c r="K100" s="281"/>
      <c r="L100" s="375"/>
      <c r="M100" s="374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72" t="str">
        <f>IFERROR(__xludf.DUMMYFUNCTION("""COMPUTED_VALUE"""),"Skull Isle - Parrot 2★ #2A4")</f>
        <v>Skull Isle - Parrot 2★ #2A4</v>
      </c>
      <c r="P100" s="281">
        <f>IFERROR(__xludf.DUMMYFUNCTION("""COMPUTED_VALUE"""),20.0)</f>
        <v>20</v>
      </c>
      <c r="Q100" s="358">
        <f>IFERROR(__xludf.DUMMYFUNCTION("if(P100="""", """", P100/sum(filter($P$16:$P$949, $P$16:$P$949&lt;&gt;"""")))"),9.769441187964048E-4)</f>
        <v>0.0009769441188</v>
      </c>
    </row>
    <row r="101" ht="12.75" customHeight="1">
      <c r="G101" s="359" t="s">
        <v>821</v>
      </c>
      <c r="H101" s="281">
        <v>20.0</v>
      </c>
      <c r="I101" s="358">
        <v>9.769441187964048E-4</v>
      </c>
      <c r="K101" s="281"/>
      <c r="L101" s="375"/>
      <c r="M101" s="374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72" t="str">
        <f>IFERROR(__xludf.DUMMYFUNCTION("""COMPUTED_VALUE"""),"Skull Isle - Parrot 2★ #D59")</f>
        <v>Skull Isle - Parrot 2★ #D59</v>
      </c>
      <c r="P101" s="281">
        <f>IFERROR(__xludf.DUMMYFUNCTION("""COMPUTED_VALUE"""),20.0)</f>
        <v>20</v>
      </c>
      <c r="Q101" s="358">
        <f>IFERROR(__xludf.DUMMYFUNCTION("if(P101="""", """", P101/sum(filter($P$16:$P$949, $P$16:$P$949&lt;&gt;"""")))"),9.769441187964048E-4)</f>
        <v>0.0009769441188</v>
      </c>
    </row>
    <row r="102" ht="12.75" customHeight="1">
      <c r="G102" s="359" t="s">
        <v>822</v>
      </c>
      <c r="H102" s="281">
        <v>20.0</v>
      </c>
      <c r="I102" s="358">
        <v>9.769441187964048E-4</v>
      </c>
      <c r="K102" s="281"/>
      <c r="L102" s="375"/>
      <c r="M102" s="374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72" t="str">
        <f>IFERROR(__xludf.DUMMYFUNCTION("""COMPUTED_VALUE"""),"Skull Isle - Parrot 2★ #80E")</f>
        <v>Skull Isle - Parrot 2★ #80E</v>
      </c>
      <c r="P102" s="281">
        <f>IFERROR(__xludf.DUMMYFUNCTION("""COMPUTED_VALUE"""),20.0)</f>
        <v>20</v>
      </c>
      <c r="Q102" s="358">
        <f>IFERROR(__xludf.DUMMYFUNCTION("if(P102="""", """", P102/sum(filter($P$16:$P$949, $P$16:$P$949&lt;&gt;"""")))"),9.769441187964048E-4)</f>
        <v>0.0009769441188</v>
      </c>
    </row>
    <row r="103" ht="12.75" customHeight="1">
      <c r="G103" s="359" t="s">
        <v>823</v>
      </c>
      <c r="H103" s="281">
        <v>20.0</v>
      </c>
      <c r="I103" s="358">
        <v>9.769441187964048E-4</v>
      </c>
      <c r="K103" s="281"/>
      <c r="L103" s="375"/>
      <c r="M103" s="374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72" t="str">
        <f>IFERROR(__xludf.DUMMYFUNCTION("""COMPUTED_VALUE"""),"Skull Isle - Parrot 2★ #2C3")</f>
        <v>Skull Isle - Parrot 2★ #2C3</v>
      </c>
      <c r="P103" s="281">
        <f>IFERROR(__xludf.DUMMYFUNCTION("""COMPUTED_VALUE"""),20.0)</f>
        <v>20</v>
      </c>
      <c r="Q103" s="358">
        <f>IFERROR(__xludf.DUMMYFUNCTION("if(P103="""", """", P103/sum(filter($P$16:$P$949, $P$16:$P$949&lt;&gt;"""")))"),9.769441187964048E-4)</f>
        <v>0.0009769441188</v>
      </c>
    </row>
    <row r="104" ht="12.75" customHeight="1">
      <c r="G104" s="359" t="s">
        <v>824</v>
      </c>
      <c r="H104" s="281">
        <v>20.0</v>
      </c>
      <c r="I104" s="358">
        <v>9.769441187964048E-4</v>
      </c>
      <c r="K104" s="281"/>
      <c r="L104" s="359"/>
      <c r="M104" s="374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72" t="str">
        <f>IFERROR(__xludf.DUMMYFUNCTION("""COMPUTED_VALUE"""),"Skull Isle - Parrot 2★ #D78")</f>
        <v>Skull Isle - Parrot 2★ #D78</v>
      </c>
      <c r="P104" s="281">
        <f>IFERROR(__xludf.DUMMYFUNCTION("""COMPUTED_VALUE"""),20.0)</f>
        <v>20</v>
      </c>
      <c r="Q104" s="358">
        <f>IFERROR(__xludf.DUMMYFUNCTION("if(P104="""", """", P104/sum(filter($P$16:$P$949, $P$16:$P$949&lt;&gt;"""")))"),9.769441187964048E-4)</f>
        <v>0.0009769441188</v>
      </c>
    </row>
    <row r="105" ht="12.75" customHeight="1">
      <c r="G105" s="359" t="s">
        <v>825</v>
      </c>
      <c r="H105" s="281">
        <v>20.0</v>
      </c>
      <c r="I105" s="358">
        <v>9.769441187964048E-4</v>
      </c>
      <c r="K105" s="281"/>
      <c r="L105" s="359"/>
      <c r="M105" s="374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72" t="str">
        <f>IFERROR(__xludf.DUMMYFUNCTION("""COMPUTED_VALUE"""),"Skull Isle - Parrot 2★ #82D")</f>
        <v>Skull Isle - Parrot 2★ #82D</v>
      </c>
      <c r="P105" s="281">
        <f>IFERROR(__xludf.DUMMYFUNCTION("""COMPUTED_VALUE"""),20.0)</f>
        <v>20</v>
      </c>
      <c r="Q105" s="358">
        <f>IFERROR(__xludf.DUMMYFUNCTION("if(P105="""", """", P105/sum(filter($P$16:$P$949, $P$16:$P$949&lt;&gt;"""")))"),9.769441187964048E-4)</f>
        <v>0.0009769441188</v>
      </c>
    </row>
    <row r="106" ht="12.75" customHeight="1">
      <c r="G106" s="359" t="s">
        <v>826</v>
      </c>
      <c r="H106" s="281">
        <v>20.0</v>
      </c>
      <c r="I106" s="358">
        <v>9.769441187964048E-4</v>
      </c>
      <c r="K106" s="281"/>
      <c r="L106" s="359"/>
      <c r="M106" s="374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72" t="str">
        <f>IFERROR(__xludf.DUMMYFUNCTION("""COMPUTED_VALUE"""),"Skull Isle - Parrot 2★ #2E2")</f>
        <v>Skull Isle - Parrot 2★ #2E2</v>
      </c>
      <c r="P106" s="281">
        <f>IFERROR(__xludf.DUMMYFUNCTION("""COMPUTED_VALUE"""),20.0)</f>
        <v>20</v>
      </c>
      <c r="Q106" s="358">
        <f>IFERROR(__xludf.DUMMYFUNCTION("if(P106="""", """", P106/sum(filter($P$16:$P$949, $P$16:$P$949&lt;&gt;"""")))"),9.769441187964048E-4)</f>
        <v>0.0009769441188</v>
      </c>
    </row>
    <row r="107" ht="12.75" customHeight="1">
      <c r="G107" s="359" t="s">
        <v>827</v>
      </c>
      <c r="H107" s="281">
        <v>20.0</v>
      </c>
      <c r="I107" s="358">
        <v>9.769441187964048E-4</v>
      </c>
      <c r="K107" s="281"/>
      <c r="L107" s="359"/>
      <c r="M107" s="374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72" t="str">
        <f>IFERROR(__xludf.DUMMYFUNCTION("""COMPUTED_VALUE"""),"Skull Isle - Parrot 2★ #D97")</f>
        <v>Skull Isle - Parrot 2★ #D97</v>
      </c>
      <c r="P107" s="281">
        <f>IFERROR(__xludf.DUMMYFUNCTION("""COMPUTED_VALUE"""),20.0)</f>
        <v>20</v>
      </c>
      <c r="Q107" s="358">
        <f>IFERROR(__xludf.DUMMYFUNCTION("if(P107="""", """", P107/sum(filter($P$16:$P$949, $P$16:$P$949&lt;&gt;"""")))"),9.769441187964048E-4)</f>
        <v>0.0009769441188</v>
      </c>
    </row>
    <row r="108" ht="12.75" customHeight="1">
      <c r="G108" s="359" t="s">
        <v>828</v>
      </c>
      <c r="H108" s="281">
        <v>20.0</v>
      </c>
      <c r="I108" s="358">
        <v>9.769441187964048E-4</v>
      </c>
      <c r="K108" s="281"/>
      <c r="L108" s="359"/>
      <c r="M108" s="374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72" t="str">
        <f>IFERROR(__xludf.DUMMYFUNCTION("""COMPUTED_VALUE"""),"Skull Isle - Parrot 2★ #84C")</f>
        <v>Skull Isle - Parrot 2★ #84C</v>
      </c>
      <c r="P108" s="281">
        <f>IFERROR(__xludf.DUMMYFUNCTION("""COMPUTED_VALUE"""),20.0)</f>
        <v>20</v>
      </c>
      <c r="Q108" s="358">
        <f>IFERROR(__xludf.DUMMYFUNCTION("if(P108="""", """", P108/sum(filter($P$16:$P$949, $P$16:$P$949&lt;&gt;"""")))"),9.769441187964048E-4)</f>
        <v>0.0009769441188</v>
      </c>
    </row>
    <row r="109" ht="12.75" customHeight="1">
      <c r="G109" s="359" t="s">
        <v>829</v>
      </c>
      <c r="H109" s="281">
        <v>20.0</v>
      </c>
      <c r="I109" s="358">
        <v>9.769441187964048E-4</v>
      </c>
      <c r="K109" s="281"/>
      <c r="L109" s="359"/>
      <c r="M109" s="374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72" t="str">
        <f>IFERROR(__xludf.DUMMYFUNCTION("""COMPUTED_VALUE"""),"Skull Isle - Parrot 2★ #301")</f>
        <v>Skull Isle - Parrot 2★ #301</v>
      </c>
      <c r="P109" s="281">
        <f>IFERROR(__xludf.DUMMYFUNCTION("""COMPUTED_VALUE"""),20.0)</f>
        <v>20</v>
      </c>
      <c r="Q109" s="358">
        <f>IFERROR(__xludf.DUMMYFUNCTION("if(P109="""", """", P109/sum(filter($P$16:$P$949, $P$16:$P$949&lt;&gt;"""")))"),9.769441187964048E-4)</f>
        <v>0.0009769441188</v>
      </c>
    </row>
    <row r="110" ht="12.75" customHeight="1">
      <c r="G110" s="359" t="s">
        <v>830</v>
      </c>
      <c r="H110" s="281">
        <v>20.0</v>
      </c>
      <c r="I110" s="358">
        <v>9.769441187964048E-4</v>
      </c>
      <c r="K110" s="281"/>
      <c r="L110" s="359"/>
      <c r="M110" s="374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72" t="str">
        <f>IFERROR(__xludf.DUMMYFUNCTION("""COMPUTED_VALUE"""),"Skull Isle - Parrot 2★ #DB6")</f>
        <v>Skull Isle - Parrot 2★ #DB6</v>
      </c>
      <c r="P110" s="281">
        <f>IFERROR(__xludf.DUMMYFUNCTION("""COMPUTED_VALUE"""),20.0)</f>
        <v>20</v>
      </c>
      <c r="Q110" s="358">
        <f>IFERROR(__xludf.DUMMYFUNCTION("if(P110="""", """", P110/sum(filter($P$16:$P$949, $P$16:$P$949&lt;&gt;"""")))"),9.769441187964048E-4)</f>
        <v>0.0009769441188</v>
      </c>
    </row>
    <row r="111" ht="12.75" customHeight="1">
      <c r="G111" s="359" t="s">
        <v>831</v>
      </c>
      <c r="H111" s="281">
        <v>10.0</v>
      </c>
      <c r="I111" s="358">
        <v>4.884720593982024E-4</v>
      </c>
      <c r="K111" s="281"/>
      <c r="L111" s="359"/>
      <c r="M111" s="374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72" t="str">
        <f>IFERROR(__xludf.DUMMYFUNCTION("""COMPUTED_VALUE"""),"Skull Isle - Chest 3★ #86B")</f>
        <v>Skull Isle - Chest 3★ #86B</v>
      </c>
      <c r="P111" s="281">
        <f>IFERROR(__xludf.DUMMYFUNCTION("""COMPUTED_VALUE"""),10.0)</f>
        <v>10</v>
      </c>
      <c r="Q111" s="358">
        <f>IFERROR(__xludf.DUMMYFUNCTION("if(P111="""", """", P111/sum(filter($P$16:$P$949, $P$16:$P$949&lt;&gt;"""")))"),4.884720593982024E-4)</f>
        <v>0.0004884720594</v>
      </c>
    </row>
    <row r="112" ht="12.75" customHeight="1">
      <c r="G112" s="359" t="s">
        <v>832</v>
      </c>
      <c r="H112" s="281">
        <v>10.0</v>
      </c>
      <c r="I112" s="358">
        <v>4.884720593982024E-4</v>
      </c>
      <c r="K112" s="281"/>
      <c r="L112" s="359"/>
      <c r="M112" s="374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72" t="str">
        <f>IFERROR(__xludf.DUMMYFUNCTION("""COMPUTED_VALUE"""),"Skull Isle - Chest 3★ #320")</f>
        <v>Skull Isle - Chest 3★ #320</v>
      </c>
      <c r="P112" s="281">
        <f>IFERROR(__xludf.DUMMYFUNCTION("""COMPUTED_VALUE"""),10.0)</f>
        <v>10</v>
      </c>
      <c r="Q112" s="358">
        <f>IFERROR(__xludf.DUMMYFUNCTION("if(P112="""", """", P112/sum(filter($P$16:$P$949, $P$16:$P$949&lt;&gt;"""")))"),4.884720593982024E-4)</f>
        <v>0.0004884720594</v>
      </c>
    </row>
    <row r="113" ht="12.75" customHeight="1">
      <c r="G113" s="359" t="s">
        <v>833</v>
      </c>
      <c r="H113" s="281">
        <v>10.0</v>
      </c>
      <c r="I113" s="358">
        <v>4.884720593982024E-4</v>
      </c>
      <c r="K113" s="281"/>
      <c r="L113" s="359"/>
      <c r="M113" s="374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72" t="str">
        <f>IFERROR(__xludf.DUMMYFUNCTION("""COMPUTED_VALUE"""),"Skull Isle - Chest 3★ #DD5")</f>
        <v>Skull Isle - Chest 3★ #DD5</v>
      </c>
      <c r="P113" s="281">
        <f>IFERROR(__xludf.DUMMYFUNCTION("""COMPUTED_VALUE"""),10.0)</f>
        <v>10</v>
      </c>
      <c r="Q113" s="358">
        <f>IFERROR(__xludf.DUMMYFUNCTION("if(P113="""", """", P113/sum(filter($P$16:$P$949, $P$16:$P$949&lt;&gt;"""")))"),4.884720593982024E-4)</f>
        <v>0.0004884720594</v>
      </c>
    </row>
    <row r="114" ht="12.75" customHeight="1">
      <c r="G114" s="359" t="s">
        <v>834</v>
      </c>
      <c r="H114" s="281">
        <v>10.0</v>
      </c>
      <c r="I114" s="358">
        <v>4.884720593982024E-4</v>
      </c>
      <c r="K114" s="281"/>
      <c r="L114" s="359"/>
      <c r="M114" s="374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72" t="str">
        <f>IFERROR(__xludf.DUMMYFUNCTION("""COMPUTED_VALUE"""),"Skull Isle - Chest 3★ #88A")</f>
        <v>Skull Isle - Chest 3★ #88A</v>
      </c>
      <c r="P114" s="281">
        <f>IFERROR(__xludf.DUMMYFUNCTION("""COMPUTED_VALUE"""),10.0)</f>
        <v>10</v>
      </c>
      <c r="Q114" s="358">
        <f>IFERROR(__xludf.DUMMYFUNCTION("if(P114="""", """", P114/sum(filter($P$16:$P$949, $P$16:$P$949&lt;&gt;"""")))"),4.884720593982024E-4)</f>
        <v>0.0004884720594</v>
      </c>
    </row>
    <row r="115" ht="12.75" customHeight="1">
      <c r="G115" s="359" t="s">
        <v>835</v>
      </c>
      <c r="H115" s="281">
        <v>10.0</v>
      </c>
      <c r="I115" s="358">
        <v>4.884720593982024E-4</v>
      </c>
      <c r="K115" s="281"/>
      <c r="L115" s="359"/>
      <c r="M115" s="374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72" t="str">
        <f>IFERROR(__xludf.DUMMYFUNCTION("""COMPUTED_VALUE"""),"Skull Isle - Chest 3★ #33F")</f>
        <v>Skull Isle - Chest 3★ #33F</v>
      </c>
      <c r="P115" s="281">
        <f>IFERROR(__xludf.DUMMYFUNCTION("""COMPUTED_VALUE"""),10.0)</f>
        <v>10</v>
      </c>
      <c r="Q115" s="358">
        <f>IFERROR(__xludf.DUMMYFUNCTION("if(P115="""", """", P115/sum(filter($P$16:$P$949, $P$16:$P$949&lt;&gt;"""")))"),4.884720593982024E-4)</f>
        <v>0.0004884720594</v>
      </c>
    </row>
    <row r="116" ht="12.75" customHeight="1">
      <c r="G116" s="359" t="s">
        <v>836</v>
      </c>
      <c r="H116" s="281">
        <v>10.0</v>
      </c>
      <c r="I116" s="358">
        <v>4.884720593982024E-4</v>
      </c>
      <c r="K116" s="281"/>
      <c r="L116" s="359"/>
      <c r="M116" s="374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72" t="str">
        <f>IFERROR(__xludf.DUMMYFUNCTION("""COMPUTED_VALUE"""),"Skull Isle - Chest 3★ #DF4")</f>
        <v>Skull Isle - Chest 3★ #DF4</v>
      </c>
      <c r="P116" s="281">
        <f>IFERROR(__xludf.DUMMYFUNCTION("""COMPUTED_VALUE"""),10.0)</f>
        <v>10</v>
      </c>
      <c r="Q116" s="358">
        <f>IFERROR(__xludf.DUMMYFUNCTION("if(P116="""", """", P116/sum(filter($P$16:$P$949, $P$16:$P$949&lt;&gt;"""")))"),4.884720593982024E-4)</f>
        <v>0.0004884720594</v>
      </c>
    </row>
    <row r="117" ht="12.75" customHeight="1">
      <c r="G117" s="359" t="s">
        <v>837</v>
      </c>
      <c r="H117" s="281">
        <v>10.0</v>
      </c>
      <c r="I117" s="358">
        <v>4.884720593982024E-4</v>
      </c>
      <c r="K117" s="281"/>
      <c r="L117" s="359"/>
      <c r="M117" s="374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72" t="str">
        <f>IFERROR(__xludf.DUMMYFUNCTION("""COMPUTED_VALUE"""),"Skull Isle - Chest 3★ #8A9")</f>
        <v>Skull Isle - Chest 3★ #8A9</v>
      </c>
      <c r="P117" s="281">
        <f>IFERROR(__xludf.DUMMYFUNCTION("""COMPUTED_VALUE"""),10.0)</f>
        <v>10</v>
      </c>
      <c r="Q117" s="358">
        <f>IFERROR(__xludf.DUMMYFUNCTION("if(P117="""", """", P117/sum(filter($P$16:$P$949, $P$16:$P$949&lt;&gt;"""")))"),4.884720593982024E-4)</f>
        <v>0.0004884720594</v>
      </c>
    </row>
    <row r="118" ht="12.75" customHeight="1">
      <c r="G118" s="359" t="s">
        <v>838</v>
      </c>
      <c r="H118" s="281">
        <v>10.0</v>
      </c>
      <c r="I118" s="358">
        <v>4.884720593982024E-4</v>
      </c>
      <c r="K118" s="281"/>
      <c r="L118" s="359"/>
      <c r="M118" s="374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72" t="str">
        <f>IFERROR(__xludf.DUMMYFUNCTION("""COMPUTED_VALUE"""),"Skull Isle - Chest 3★ #35E")</f>
        <v>Skull Isle - Chest 3★ #35E</v>
      </c>
      <c r="P118" s="281">
        <f>IFERROR(__xludf.DUMMYFUNCTION("""COMPUTED_VALUE"""),10.0)</f>
        <v>10</v>
      </c>
      <c r="Q118" s="358">
        <f>IFERROR(__xludf.DUMMYFUNCTION("if(P118="""", """", P118/sum(filter($P$16:$P$949, $P$16:$P$949&lt;&gt;"""")))"),4.884720593982024E-4)</f>
        <v>0.0004884720594</v>
      </c>
    </row>
    <row r="119" ht="12.75" customHeight="1">
      <c r="G119" s="359" t="s">
        <v>839</v>
      </c>
      <c r="H119" s="281">
        <v>10.0</v>
      </c>
      <c r="I119" s="358">
        <v>4.884720593982024E-4</v>
      </c>
      <c r="K119" s="281"/>
      <c r="L119" s="359"/>
      <c r="M119" s="374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72" t="str">
        <f>IFERROR(__xludf.DUMMYFUNCTION("""COMPUTED_VALUE"""),"Skull Isle - Chest 3★ #E13")</f>
        <v>Skull Isle - Chest 3★ #E13</v>
      </c>
      <c r="P119" s="281">
        <f>IFERROR(__xludf.DUMMYFUNCTION("""COMPUTED_VALUE"""),10.0)</f>
        <v>10</v>
      </c>
      <c r="Q119" s="358">
        <f>IFERROR(__xludf.DUMMYFUNCTION("if(P119="""", """", P119/sum(filter($P$16:$P$949, $P$16:$P$949&lt;&gt;"""")))"),4.884720593982024E-4)</f>
        <v>0.0004884720594</v>
      </c>
    </row>
    <row r="120" ht="12.75" customHeight="1">
      <c r="G120" s="359" t="s">
        <v>840</v>
      </c>
      <c r="H120" s="281">
        <v>10.0</v>
      </c>
      <c r="I120" s="358">
        <v>4.884720593982024E-4</v>
      </c>
      <c r="K120" s="281"/>
      <c r="L120" s="359"/>
      <c r="M120" s="374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72" t="str">
        <f>IFERROR(__xludf.DUMMYFUNCTION("""COMPUTED_VALUE"""),"Skull Isle - Chest 3★ #8C8")</f>
        <v>Skull Isle - Chest 3★ #8C8</v>
      </c>
      <c r="P120" s="281">
        <f>IFERROR(__xludf.DUMMYFUNCTION("""COMPUTED_VALUE"""),10.0)</f>
        <v>10</v>
      </c>
      <c r="Q120" s="358">
        <f>IFERROR(__xludf.DUMMYFUNCTION("if(P120="""", """", P120/sum(filter($P$16:$P$949, $P$16:$P$949&lt;&gt;"""")))"),4.884720593982024E-4)</f>
        <v>0.0004884720594</v>
      </c>
    </row>
    <row r="121" ht="12.75" customHeight="1">
      <c r="G121" s="359" t="s">
        <v>841</v>
      </c>
      <c r="H121" s="281">
        <v>10.0</v>
      </c>
      <c r="I121" s="358">
        <v>4.884720593982024E-4</v>
      </c>
      <c r="K121" s="281"/>
      <c r="L121" s="359"/>
      <c r="M121" s="374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72" t="str">
        <f>IFERROR(__xludf.DUMMYFUNCTION("""COMPUTED_VALUE"""),"Skull Isle - Chest 3★ #37D")</f>
        <v>Skull Isle - Chest 3★ #37D</v>
      </c>
      <c r="P121" s="281">
        <f>IFERROR(__xludf.DUMMYFUNCTION("""COMPUTED_VALUE"""),10.0)</f>
        <v>10</v>
      </c>
      <c r="Q121" s="358">
        <f>IFERROR(__xludf.DUMMYFUNCTION("if(P121="""", """", P121/sum(filter($P$16:$P$949, $P$16:$P$949&lt;&gt;"""")))"),4.884720593982024E-4)</f>
        <v>0.0004884720594</v>
      </c>
    </row>
    <row r="122" ht="12.75" customHeight="1">
      <c r="G122" s="359" t="s">
        <v>842</v>
      </c>
      <c r="H122" s="281">
        <v>10.0</v>
      </c>
      <c r="I122" s="358">
        <v>4.884720593982024E-4</v>
      </c>
      <c r="K122" s="281"/>
      <c r="L122" s="359"/>
      <c r="M122" s="374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72" t="str">
        <f>IFERROR(__xludf.DUMMYFUNCTION("""COMPUTED_VALUE"""),"Skull Isle - Chest 3★ #E32")</f>
        <v>Skull Isle - Chest 3★ #E32</v>
      </c>
      <c r="P122" s="281">
        <f>IFERROR(__xludf.DUMMYFUNCTION("""COMPUTED_VALUE"""),10.0)</f>
        <v>10</v>
      </c>
      <c r="Q122" s="358">
        <f>IFERROR(__xludf.DUMMYFUNCTION("if(P122="""", """", P122/sum(filter($P$16:$P$949, $P$16:$P$949&lt;&gt;"""")))"),4.884720593982024E-4)</f>
        <v>0.0004884720594</v>
      </c>
    </row>
    <row r="123" ht="12.75" customHeight="1">
      <c r="G123" s="359" t="s">
        <v>843</v>
      </c>
      <c r="H123" s="281">
        <v>10.0</v>
      </c>
      <c r="I123" s="358">
        <v>4.884720593982024E-4</v>
      </c>
      <c r="K123" s="281"/>
      <c r="L123" s="359"/>
      <c r="M123" s="374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72" t="str">
        <f>IFERROR(__xludf.DUMMYFUNCTION("""COMPUTED_VALUE"""),"Skull Isle - Chest 3★ #8E7")</f>
        <v>Skull Isle - Chest 3★ #8E7</v>
      </c>
      <c r="P123" s="281">
        <f>IFERROR(__xludf.DUMMYFUNCTION("""COMPUTED_VALUE"""),10.0)</f>
        <v>10</v>
      </c>
      <c r="Q123" s="358">
        <f>IFERROR(__xludf.DUMMYFUNCTION("if(P123="""", """", P123/sum(filter($P$16:$P$949, $P$16:$P$949&lt;&gt;"""")))"),4.884720593982024E-4)</f>
        <v>0.0004884720594</v>
      </c>
    </row>
    <row r="124" ht="12.75" customHeight="1">
      <c r="G124" s="359" t="s">
        <v>844</v>
      </c>
      <c r="H124" s="281">
        <v>10.0</v>
      </c>
      <c r="I124" s="358">
        <v>4.884720593982024E-4</v>
      </c>
      <c r="K124" s="281"/>
      <c r="L124" s="359"/>
      <c r="M124" s="374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72" t="str">
        <f>IFERROR(__xludf.DUMMYFUNCTION("""COMPUTED_VALUE"""),"Skull Isle - Skull 3★ #39C")</f>
        <v>Skull Isle - Skull 3★ #39C</v>
      </c>
      <c r="P124" s="281">
        <f>IFERROR(__xludf.DUMMYFUNCTION("""COMPUTED_VALUE"""),10.0)</f>
        <v>10</v>
      </c>
      <c r="Q124" s="358">
        <f>IFERROR(__xludf.DUMMYFUNCTION("if(P124="""", """", P124/sum(filter($P$16:$P$949, $P$16:$P$949&lt;&gt;"""")))"),4.884720593982024E-4)</f>
        <v>0.0004884720594</v>
      </c>
    </row>
    <row r="125" ht="12.75" customHeight="1">
      <c r="G125" s="359" t="s">
        <v>845</v>
      </c>
      <c r="H125" s="281">
        <v>10.0</v>
      </c>
      <c r="I125" s="358">
        <v>4.884720593982024E-4</v>
      </c>
      <c r="K125" s="281"/>
      <c r="L125" s="359"/>
      <c r="M125" s="374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72" t="str">
        <f>IFERROR(__xludf.DUMMYFUNCTION("""COMPUTED_VALUE"""),"Skull Isle - Skull 3★ #E51")</f>
        <v>Skull Isle - Skull 3★ #E51</v>
      </c>
      <c r="P125" s="281">
        <f>IFERROR(__xludf.DUMMYFUNCTION("""COMPUTED_VALUE"""),10.0)</f>
        <v>10</v>
      </c>
      <c r="Q125" s="358">
        <f>IFERROR(__xludf.DUMMYFUNCTION("if(P125="""", """", P125/sum(filter($P$16:$P$949, $P$16:$P$949&lt;&gt;"""")))"),4.884720593982024E-4)</f>
        <v>0.0004884720594</v>
      </c>
    </row>
    <row r="126" ht="12.75" customHeight="1">
      <c r="G126" s="359" t="s">
        <v>846</v>
      </c>
      <c r="H126" s="281">
        <v>10.0</v>
      </c>
      <c r="I126" s="358">
        <v>4.884720593982024E-4</v>
      </c>
      <c r="K126" s="281"/>
      <c r="L126" s="359"/>
      <c r="M126" s="374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72" t="str">
        <f>IFERROR(__xludf.DUMMYFUNCTION("""COMPUTED_VALUE"""),"Skull Isle - Skull 3★ #906")</f>
        <v>Skull Isle - Skull 3★ #906</v>
      </c>
      <c r="P126" s="281">
        <f>IFERROR(__xludf.DUMMYFUNCTION("""COMPUTED_VALUE"""),10.0)</f>
        <v>10</v>
      </c>
      <c r="Q126" s="358">
        <f>IFERROR(__xludf.DUMMYFUNCTION("if(P126="""", """", P126/sum(filter($P$16:$P$949, $P$16:$P$949&lt;&gt;"""")))"),4.884720593982024E-4)</f>
        <v>0.0004884720594</v>
      </c>
    </row>
    <row r="127" ht="12.75" customHeight="1">
      <c r="G127" s="359" t="s">
        <v>847</v>
      </c>
      <c r="H127" s="281">
        <v>10.0</v>
      </c>
      <c r="I127" s="358">
        <v>4.884720593982024E-4</v>
      </c>
      <c r="K127" s="281"/>
      <c r="L127" s="359"/>
      <c r="M127" s="374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72" t="str">
        <f>IFERROR(__xludf.DUMMYFUNCTION("""COMPUTED_VALUE"""),"Skull Isle - Skull 3★ #3BB")</f>
        <v>Skull Isle - Skull 3★ #3BB</v>
      </c>
      <c r="P127" s="281">
        <f>IFERROR(__xludf.DUMMYFUNCTION("""COMPUTED_VALUE"""),10.0)</f>
        <v>10</v>
      </c>
      <c r="Q127" s="358">
        <f>IFERROR(__xludf.DUMMYFUNCTION("if(P127="""", """", P127/sum(filter($P$16:$P$949, $P$16:$P$949&lt;&gt;"""")))"),4.884720593982024E-4)</f>
        <v>0.0004884720594</v>
      </c>
    </row>
    <row r="128" ht="12.75" customHeight="1">
      <c r="G128" s="359" t="s">
        <v>848</v>
      </c>
      <c r="H128" s="281">
        <v>10.0</v>
      </c>
      <c r="I128" s="358">
        <v>4.884720593982024E-4</v>
      </c>
      <c r="K128" s="281"/>
      <c r="L128" s="359"/>
      <c r="M128" s="374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72" t="str">
        <f>IFERROR(__xludf.DUMMYFUNCTION("""COMPUTED_VALUE"""),"Skull Isle - Skull 3★ #E70")</f>
        <v>Skull Isle - Skull 3★ #E70</v>
      </c>
      <c r="P128" s="281">
        <f>IFERROR(__xludf.DUMMYFUNCTION("""COMPUTED_VALUE"""),10.0)</f>
        <v>10</v>
      </c>
      <c r="Q128" s="358">
        <f>IFERROR(__xludf.DUMMYFUNCTION("if(P128="""", """", P128/sum(filter($P$16:$P$949, $P$16:$P$949&lt;&gt;"""")))"),4.884720593982024E-4)</f>
        <v>0.0004884720594</v>
      </c>
    </row>
    <row r="129" ht="12.75" customHeight="1">
      <c r="G129" s="359" t="s">
        <v>849</v>
      </c>
      <c r="H129" s="281">
        <v>10.0</v>
      </c>
      <c r="I129" s="358">
        <v>4.884720593982024E-4</v>
      </c>
      <c r="K129" s="281"/>
      <c r="L129" s="359"/>
      <c r="M129" s="374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72" t="str">
        <f>IFERROR(__xludf.DUMMYFUNCTION("""COMPUTED_VALUE"""),"Skull Isle - Skull 3★ #925")</f>
        <v>Skull Isle - Skull 3★ #925</v>
      </c>
      <c r="P129" s="281">
        <f>IFERROR(__xludf.DUMMYFUNCTION("""COMPUTED_VALUE"""),10.0)</f>
        <v>10</v>
      </c>
      <c r="Q129" s="358">
        <f>IFERROR(__xludf.DUMMYFUNCTION("if(P129="""", """", P129/sum(filter($P$16:$P$949, $P$16:$P$949&lt;&gt;"""")))"),4.884720593982024E-4)</f>
        <v>0.0004884720594</v>
      </c>
    </row>
    <row r="130" ht="12.75" customHeight="1">
      <c r="G130" s="359" t="s">
        <v>850</v>
      </c>
      <c r="H130" s="281">
        <v>10.0</v>
      </c>
      <c r="I130" s="358">
        <v>4.884720593982024E-4</v>
      </c>
      <c r="K130" s="281"/>
      <c r="L130" s="359"/>
      <c r="M130" s="374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72" t="str">
        <f>IFERROR(__xludf.DUMMYFUNCTION("""COMPUTED_VALUE"""),"Skull Isle - Skull 3★ #3DA")</f>
        <v>Skull Isle - Skull 3★ #3DA</v>
      </c>
      <c r="P130" s="281">
        <f>IFERROR(__xludf.DUMMYFUNCTION("""COMPUTED_VALUE"""),10.0)</f>
        <v>10</v>
      </c>
      <c r="Q130" s="358">
        <f>IFERROR(__xludf.DUMMYFUNCTION("if(P130="""", """", P130/sum(filter($P$16:$P$949, $P$16:$P$949&lt;&gt;"""")))"),4.884720593982024E-4)</f>
        <v>0.0004884720594</v>
      </c>
    </row>
    <row r="131" ht="12.75" customHeight="1">
      <c r="G131" s="359" t="s">
        <v>851</v>
      </c>
      <c r="H131" s="281">
        <v>10.0</v>
      </c>
      <c r="I131" s="358">
        <v>4.884720593982024E-4</v>
      </c>
      <c r="K131" s="281"/>
      <c r="L131" s="359"/>
      <c r="M131" s="374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72" t="str">
        <f>IFERROR(__xludf.DUMMYFUNCTION("""COMPUTED_VALUE"""),"Skull Isle - Skull 3★ #E8F")</f>
        <v>Skull Isle - Skull 3★ #E8F</v>
      </c>
      <c r="P131" s="281">
        <f>IFERROR(__xludf.DUMMYFUNCTION("""COMPUTED_VALUE"""),10.0)</f>
        <v>10</v>
      </c>
      <c r="Q131" s="358">
        <f>IFERROR(__xludf.DUMMYFUNCTION("if(P131="""", """", P131/sum(filter($P$16:$P$949, $P$16:$P$949&lt;&gt;"""")))"),4.884720593982024E-4)</f>
        <v>0.0004884720594</v>
      </c>
    </row>
    <row r="132" ht="12.75" customHeight="1">
      <c r="G132" s="359" t="s">
        <v>852</v>
      </c>
      <c r="H132" s="281">
        <v>10.0</v>
      </c>
      <c r="I132" s="358">
        <v>4.884720593982024E-4</v>
      </c>
      <c r="K132" s="281"/>
      <c r="L132" s="359"/>
      <c r="M132" s="374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72" t="str">
        <f>IFERROR(__xludf.DUMMYFUNCTION("""COMPUTED_VALUE"""),"Skull Isle - Skull 3★ #944")</f>
        <v>Skull Isle - Skull 3★ #944</v>
      </c>
      <c r="P132" s="281">
        <f>IFERROR(__xludf.DUMMYFUNCTION("""COMPUTED_VALUE"""),10.0)</f>
        <v>10</v>
      </c>
      <c r="Q132" s="358">
        <f>IFERROR(__xludf.DUMMYFUNCTION("if(P132="""", """", P132/sum(filter($P$16:$P$949, $P$16:$P$949&lt;&gt;"""")))"),4.884720593982024E-4)</f>
        <v>0.0004884720594</v>
      </c>
    </row>
    <row r="133" ht="12.75" customHeight="1">
      <c r="G133" s="359" t="s">
        <v>853</v>
      </c>
      <c r="H133" s="281">
        <v>10.0</v>
      </c>
      <c r="I133" s="358">
        <v>4.884720593982024E-4</v>
      </c>
      <c r="K133" s="281"/>
      <c r="L133" s="359"/>
      <c r="M133" s="374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72" t="str">
        <f>IFERROR(__xludf.DUMMYFUNCTION("""COMPUTED_VALUE"""),"Skull Isle - Skull 3★ #3F9")</f>
        <v>Skull Isle - Skull 3★ #3F9</v>
      </c>
      <c r="P133" s="281">
        <f>IFERROR(__xludf.DUMMYFUNCTION("""COMPUTED_VALUE"""),10.0)</f>
        <v>10</v>
      </c>
      <c r="Q133" s="358">
        <f>IFERROR(__xludf.DUMMYFUNCTION("if(P133="""", """", P133/sum(filter($P$16:$P$949, $P$16:$P$949&lt;&gt;"""")))"),4.884720593982024E-4)</f>
        <v>0.0004884720594</v>
      </c>
    </row>
    <row r="134" ht="12.75" customHeight="1">
      <c r="G134" s="359" t="s">
        <v>854</v>
      </c>
      <c r="H134" s="281">
        <v>10.0</v>
      </c>
      <c r="I134" s="358">
        <v>4.884720593982024E-4</v>
      </c>
      <c r="K134" s="281"/>
      <c r="L134" s="359"/>
      <c r="M134" s="374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72" t="str">
        <f>IFERROR(__xludf.DUMMYFUNCTION("""COMPUTED_VALUE"""),"Skull Isle - Skull 3★ #EAE")</f>
        <v>Skull Isle - Skull 3★ #EAE</v>
      </c>
      <c r="P134" s="281">
        <f>IFERROR(__xludf.DUMMYFUNCTION("""COMPUTED_VALUE"""),10.0)</f>
        <v>10</v>
      </c>
      <c r="Q134" s="358">
        <f>IFERROR(__xludf.DUMMYFUNCTION("if(P134="""", """", P134/sum(filter($P$16:$P$949, $P$16:$P$949&lt;&gt;"""")))"),4.884720593982024E-4)</f>
        <v>0.0004884720594</v>
      </c>
    </row>
    <row r="135" ht="12.75" customHeight="1">
      <c r="G135" s="359" t="s">
        <v>855</v>
      </c>
      <c r="H135" s="281">
        <v>10.0</v>
      </c>
      <c r="I135" s="358">
        <v>4.884720593982024E-4</v>
      </c>
      <c r="K135" s="281"/>
      <c r="L135" s="359"/>
      <c r="M135" s="374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72" t="str">
        <f>IFERROR(__xludf.DUMMYFUNCTION("""COMPUTED_VALUE"""),"Skull Isle - Skull 3★ #963")</f>
        <v>Skull Isle - Skull 3★ #963</v>
      </c>
      <c r="P135" s="281">
        <f>IFERROR(__xludf.DUMMYFUNCTION("""COMPUTED_VALUE"""),10.0)</f>
        <v>10</v>
      </c>
      <c r="Q135" s="358">
        <f>IFERROR(__xludf.DUMMYFUNCTION("if(P135="""", """", P135/sum(filter($P$16:$P$949, $P$16:$P$949&lt;&gt;"""")))"),4.884720593982024E-4)</f>
        <v>0.0004884720594</v>
      </c>
    </row>
    <row r="136" ht="12.75" customHeight="1">
      <c r="G136" s="359" t="s">
        <v>856</v>
      </c>
      <c r="H136" s="281">
        <v>10.0</v>
      </c>
      <c r="I136" s="358">
        <v>4.884720593982024E-4</v>
      </c>
      <c r="K136" s="281"/>
      <c r="L136" s="359"/>
      <c r="M136" s="374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72" t="str">
        <f>IFERROR(__xludf.DUMMYFUNCTION("""COMPUTED_VALUE"""),"Skull Isle - Skull 3★ #418")</f>
        <v>Skull Isle - Skull 3★ #418</v>
      </c>
      <c r="P136" s="281">
        <f>IFERROR(__xludf.DUMMYFUNCTION("""COMPUTED_VALUE"""),10.0)</f>
        <v>10</v>
      </c>
      <c r="Q136" s="358">
        <f>IFERROR(__xludf.DUMMYFUNCTION("if(P136="""", """", P136/sum(filter($P$16:$P$949, $P$16:$P$949&lt;&gt;"""")))"),4.884720593982024E-4)</f>
        <v>0.0004884720594</v>
      </c>
    </row>
    <row r="137" ht="12.75" customHeight="1">
      <c r="G137" s="359" t="s">
        <v>857</v>
      </c>
      <c r="H137" s="281">
        <v>50.0</v>
      </c>
      <c r="I137" s="358">
        <v>0.0024423602969910123</v>
      </c>
      <c r="K137" s="281"/>
      <c r="L137" s="359"/>
      <c r="M137" s="374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72" t="str">
        <f>IFERROR(__xludf.DUMMYFUNCTION("""COMPUTED_VALUE"""),"Kraken Lair - Tentacle 1★ #ECD")</f>
        <v>Kraken Lair - Tentacle 1★ #ECD</v>
      </c>
      <c r="P137" s="281">
        <f>IFERROR(__xludf.DUMMYFUNCTION("""COMPUTED_VALUE"""),50.0)</f>
        <v>50</v>
      </c>
      <c r="Q137" s="358">
        <f>IFERROR(__xludf.DUMMYFUNCTION("if(P137="""", """", P137/sum(filter($P$16:$P$949, $P$16:$P$949&lt;&gt;"""")))"),0.0024423602969910123)</f>
        <v>0.002442360297</v>
      </c>
    </row>
    <row r="138" ht="12.75" customHeight="1">
      <c r="G138" s="359" t="s">
        <v>858</v>
      </c>
      <c r="H138" s="281">
        <v>50.0</v>
      </c>
      <c r="I138" s="358">
        <v>0.0024423602969910123</v>
      </c>
      <c r="K138" s="281"/>
      <c r="L138" s="359"/>
      <c r="M138" s="374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72" t="str">
        <f>IFERROR(__xludf.DUMMYFUNCTION("""COMPUTED_VALUE"""),"Kraken Lair - Tentacle 1★ #982")</f>
        <v>Kraken Lair - Tentacle 1★ #982</v>
      </c>
      <c r="P138" s="281">
        <f>IFERROR(__xludf.DUMMYFUNCTION("""COMPUTED_VALUE"""),50.0)</f>
        <v>50</v>
      </c>
      <c r="Q138" s="358">
        <f>IFERROR(__xludf.DUMMYFUNCTION("if(P138="""", """", P138/sum(filter($P$16:$P$949, $P$16:$P$949&lt;&gt;"""")))"),0.0024423602969910123)</f>
        <v>0.002442360297</v>
      </c>
    </row>
    <row r="139" ht="12.75" customHeight="1">
      <c r="G139" s="359" t="s">
        <v>859</v>
      </c>
      <c r="H139" s="281">
        <v>50.0</v>
      </c>
      <c r="I139" s="358">
        <v>0.0024423602969910123</v>
      </c>
      <c r="K139" s="281"/>
      <c r="L139" s="359"/>
      <c r="M139" s="374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72" t="str">
        <f>IFERROR(__xludf.DUMMYFUNCTION("""COMPUTED_VALUE"""),"Kraken Lair - Tentacle 1★ #437")</f>
        <v>Kraken Lair - Tentacle 1★ #437</v>
      </c>
      <c r="P139" s="281">
        <f>IFERROR(__xludf.DUMMYFUNCTION("""COMPUTED_VALUE"""),50.0)</f>
        <v>50</v>
      </c>
      <c r="Q139" s="358">
        <f>IFERROR(__xludf.DUMMYFUNCTION("if(P139="""", """", P139/sum(filter($P$16:$P$949, $P$16:$P$949&lt;&gt;"""")))"),0.0024423602969910123)</f>
        <v>0.002442360297</v>
      </c>
    </row>
    <row r="140" ht="12.75" customHeight="1">
      <c r="G140" s="359" t="s">
        <v>860</v>
      </c>
      <c r="H140" s="281">
        <v>50.0</v>
      </c>
      <c r="I140" s="358">
        <v>0.0024423602969910123</v>
      </c>
      <c r="K140" s="281"/>
      <c r="L140" s="359"/>
      <c r="M140" s="374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72" t="str">
        <f>IFERROR(__xludf.DUMMYFUNCTION("""COMPUTED_VALUE"""),"Kraken Lair - Tentacle 1★ #EEC")</f>
        <v>Kraken Lair - Tentacle 1★ #EEC</v>
      </c>
      <c r="P140" s="281">
        <f>IFERROR(__xludf.DUMMYFUNCTION("""COMPUTED_VALUE"""),50.0)</f>
        <v>50</v>
      </c>
      <c r="Q140" s="358">
        <f>IFERROR(__xludf.DUMMYFUNCTION("if(P140="""", """", P140/sum(filter($P$16:$P$949, $P$16:$P$949&lt;&gt;"""")))"),0.0024423602969910123)</f>
        <v>0.002442360297</v>
      </c>
    </row>
    <row r="141" ht="12.75" customHeight="1">
      <c r="G141" s="359" t="s">
        <v>861</v>
      </c>
      <c r="H141" s="281">
        <v>50.0</v>
      </c>
      <c r="I141" s="358">
        <v>0.0024423602969910123</v>
      </c>
      <c r="K141" s="281"/>
      <c r="L141" s="359"/>
      <c r="M141" s="374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72" t="str">
        <f>IFERROR(__xludf.DUMMYFUNCTION("""COMPUTED_VALUE"""),"Kraken Lair - Tentacle 1★ #9A1")</f>
        <v>Kraken Lair - Tentacle 1★ #9A1</v>
      </c>
      <c r="P141" s="281">
        <f>IFERROR(__xludf.DUMMYFUNCTION("""COMPUTED_VALUE"""),50.0)</f>
        <v>50</v>
      </c>
      <c r="Q141" s="358">
        <f>IFERROR(__xludf.DUMMYFUNCTION("if(P141="""", """", P141/sum(filter($P$16:$P$949, $P$16:$P$949&lt;&gt;"""")))"),0.0024423602969910123)</f>
        <v>0.002442360297</v>
      </c>
    </row>
    <row r="142" ht="12.75" customHeight="1">
      <c r="G142" s="359" t="s">
        <v>862</v>
      </c>
      <c r="H142" s="281">
        <v>50.0</v>
      </c>
      <c r="I142" s="358">
        <v>0.0024423602969910123</v>
      </c>
      <c r="K142" s="281"/>
      <c r="L142" s="359"/>
      <c r="M142" s="374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72" t="str">
        <f>IFERROR(__xludf.DUMMYFUNCTION("""COMPUTED_VALUE"""),"Kraken Lair - Tentacle 1★ #456")</f>
        <v>Kraken Lair - Tentacle 1★ #456</v>
      </c>
      <c r="P142" s="281">
        <f>IFERROR(__xludf.DUMMYFUNCTION("""COMPUTED_VALUE"""),50.0)</f>
        <v>50</v>
      </c>
      <c r="Q142" s="358">
        <f>IFERROR(__xludf.DUMMYFUNCTION("if(P142="""", """", P142/sum(filter($P$16:$P$949, $P$16:$P$949&lt;&gt;"""")))"),0.0024423602969910123)</f>
        <v>0.002442360297</v>
      </c>
    </row>
    <row r="143" ht="12.75" customHeight="1">
      <c r="G143" s="359" t="s">
        <v>863</v>
      </c>
      <c r="H143" s="281">
        <v>50.0</v>
      </c>
      <c r="I143" s="358">
        <v>0.0024423602969910123</v>
      </c>
      <c r="K143" s="281"/>
      <c r="L143" s="359"/>
      <c r="M143" s="374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72" t="str">
        <f>IFERROR(__xludf.DUMMYFUNCTION("""COMPUTED_VALUE"""),"Kraken Lair - Tentacle 1★ #F0B")</f>
        <v>Kraken Lair - Tentacle 1★ #F0B</v>
      </c>
      <c r="P143" s="281">
        <f>IFERROR(__xludf.DUMMYFUNCTION("""COMPUTED_VALUE"""),50.0)</f>
        <v>50</v>
      </c>
      <c r="Q143" s="358">
        <f>IFERROR(__xludf.DUMMYFUNCTION("if(P143="""", """", P143/sum(filter($P$16:$P$949, $P$16:$P$949&lt;&gt;"""")))"),0.0024423602969910123)</f>
        <v>0.002442360297</v>
      </c>
    </row>
    <row r="144" ht="12.75" customHeight="1">
      <c r="G144" s="359" t="s">
        <v>864</v>
      </c>
      <c r="H144" s="281">
        <v>50.0</v>
      </c>
      <c r="I144" s="358">
        <v>0.0024423602969910123</v>
      </c>
      <c r="K144" s="281"/>
      <c r="L144" s="359"/>
      <c r="M144" s="374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72" t="str">
        <f>IFERROR(__xludf.DUMMYFUNCTION("""COMPUTED_VALUE"""),"Kraken Lair - Tentacle 1★ #9C0")</f>
        <v>Kraken Lair - Tentacle 1★ #9C0</v>
      </c>
      <c r="P144" s="281">
        <f>IFERROR(__xludf.DUMMYFUNCTION("""COMPUTED_VALUE"""),50.0)</f>
        <v>50</v>
      </c>
      <c r="Q144" s="358">
        <f>IFERROR(__xludf.DUMMYFUNCTION("if(P144="""", """", P144/sum(filter($P$16:$P$949, $P$16:$P$949&lt;&gt;"""")))"),0.0024423602969910123)</f>
        <v>0.002442360297</v>
      </c>
    </row>
    <row r="145" ht="12.75" customHeight="1">
      <c r="G145" s="359" t="s">
        <v>865</v>
      </c>
      <c r="H145" s="281">
        <v>50.0</v>
      </c>
      <c r="I145" s="358">
        <v>0.0024423602969910123</v>
      </c>
      <c r="K145" s="281"/>
      <c r="L145" s="359"/>
      <c r="M145" s="374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72" t="str">
        <f>IFERROR(__xludf.DUMMYFUNCTION("""COMPUTED_VALUE"""),"Kraken Lair - Tentacle 1★ #475")</f>
        <v>Kraken Lair - Tentacle 1★ #475</v>
      </c>
      <c r="P145" s="281">
        <f>IFERROR(__xludf.DUMMYFUNCTION("""COMPUTED_VALUE"""),50.0)</f>
        <v>50</v>
      </c>
      <c r="Q145" s="358">
        <f>IFERROR(__xludf.DUMMYFUNCTION("if(P145="""", """", P145/sum(filter($P$16:$P$949, $P$16:$P$949&lt;&gt;"""")))"),0.0024423602969910123)</f>
        <v>0.002442360297</v>
      </c>
    </row>
    <row r="146" ht="12.75" customHeight="1">
      <c r="G146" s="359" t="s">
        <v>866</v>
      </c>
      <c r="H146" s="281">
        <v>50.0</v>
      </c>
      <c r="I146" s="358">
        <v>0.0024423602969910123</v>
      </c>
      <c r="K146" s="281"/>
      <c r="L146" s="359"/>
      <c r="M146" s="374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72" t="str">
        <f>IFERROR(__xludf.DUMMYFUNCTION("""COMPUTED_VALUE"""),"Kraken Lair - Tentacle 1★ #F2A")</f>
        <v>Kraken Lair - Tentacle 1★ #F2A</v>
      </c>
      <c r="P146" s="281">
        <f>IFERROR(__xludf.DUMMYFUNCTION("""COMPUTED_VALUE"""),50.0)</f>
        <v>50</v>
      </c>
      <c r="Q146" s="358">
        <f>IFERROR(__xludf.DUMMYFUNCTION("if(P146="""", """", P146/sum(filter($P$16:$P$949, $P$16:$P$949&lt;&gt;"""")))"),0.0024423602969910123)</f>
        <v>0.002442360297</v>
      </c>
    </row>
    <row r="147" ht="12.75" customHeight="1">
      <c r="G147" s="359" t="s">
        <v>867</v>
      </c>
      <c r="H147" s="281">
        <v>50.0</v>
      </c>
      <c r="I147" s="358">
        <v>0.0024423602969910123</v>
      </c>
      <c r="K147" s="281"/>
      <c r="L147" s="359"/>
      <c r="M147" s="374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72" t="str">
        <f>IFERROR(__xludf.DUMMYFUNCTION("""COMPUTED_VALUE"""),"Kraken Lair - Tentacle 1★ #9DF")</f>
        <v>Kraken Lair - Tentacle 1★ #9DF</v>
      </c>
      <c r="P147" s="281">
        <f>IFERROR(__xludf.DUMMYFUNCTION("""COMPUTED_VALUE"""),50.0)</f>
        <v>50</v>
      </c>
      <c r="Q147" s="358">
        <f>IFERROR(__xludf.DUMMYFUNCTION("if(P147="""", """", P147/sum(filter($P$16:$P$949, $P$16:$P$949&lt;&gt;"""")))"),0.0024423602969910123)</f>
        <v>0.002442360297</v>
      </c>
    </row>
    <row r="148" ht="12.75" customHeight="1">
      <c r="G148" s="359" t="s">
        <v>868</v>
      </c>
      <c r="H148" s="281">
        <v>50.0</v>
      </c>
      <c r="I148" s="358">
        <v>0.0024423602969910123</v>
      </c>
      <c r="K148" s="281"/>
      <c r="L148" s="359"/>
      <c r="M148" s="374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72" t="str">
        <f>IFERROR(__xludf.DUMMYFUNCTION("""COMPUTED_VALUE"""),"Kraken Lair - Tentacle 1★ #494")</f>
        <v>Kraken Lair - Tentacle 1★ #494</v>
      </c>
      <c r="P148" s="281">
        <f>IFERROR(__xludf.DUMMYFUNCTION("""COMPUTED_VALUE"""),50.0)</f>
        <v>50</v>
      </c>
      <c r="Q148" s="358">
        <f>IFERROR(__xludf.DUMMYFUNCTION("if(P148="""", """", P148/sum(filter($P$16:$P$949, $P$16:$P$949&lt;&gt;"""")))"),0.0024423602969910123)</f>
        <v>0.002442360297</v>
      </c>
    </row>
    <row r="149" ht="12.75" customHeight="1">
      <c r="G149" s="359" t="s">
        <v>869</v>
      </c>
      <c r="H149" s="281">
        <v>50.0</v>
      </c>
      <c r="I149" s="358">
        <v>0.0024423602969910123</v>
      </c>
      <c r="K149" s="281"/>
      <c r="L149" s="359"/>
      <c r="M149" s="374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72" t="str">
        <f>IFERROR(__xludf.DUMMYFUNCTION("""COMPUTED_VALUE"""),"Kraken Lair - Tentacle 1★ #F49")</f>
        <v>Kraken Lair - Tentacle 1★ #F49</v>
      </c>
      <c r="P149" s="281">
        <f>IFERROR(__xludf.DUMMYFUNCTION("""COMPUTED_VALUE"""),50.0)</f>
        <v>50</v>
      </c>
      <c r="Q149" s="358">
        <f>IFERROR(__xludf.DUMMYFUNCTION("if(P149="""", """", P149/sum(filter($P$16:$P$949, $P$16:$P$949&lt;&gt;"""")))"),0.0024423602969910123)</f>
        <v>0.002442360297</v>
      </c>
    </row>
    <row r="150" ht="12.75" customHeight="1">
      <c r="G150" s="359" t="s">
        <v>870</v>
      </c>
      <c r="H150" s="281">
        <v>50.0</v>
      </c>
      <c r="I150" s="358">
        <v>0.0024423602969910123</v>
      </c>
      <c r="K150" s="281"/>
      <c r="L150" s="359"/>
      <c r="M150" s="374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72" t="str">
        <f>IFERROR(__xludf.DUMMYFUNCTION("""COMPUTED_VALUE"""),"Kraken Lair - Tentacle 1★ #9FE")</f>
        <v>Kraken Lair - Tentacle 1★ #9FE</v>
      </c>
      <c r="P150" s="281">
        <f>IFERROR(__xludf.DUMMYFUNCTION("""COMPUTED_VALUE"""),50.0)</f>
        <v>50</v>
      </c>
      <c r="Q150" s="358">
        <f>IFERROR(__xludf.DUMMYFUNCTION("if(P150="""", """", P150/sum(filter($P$16:$P$949, $P$16:$P$949&lt;&gt;"""")))"),0.0024423602969910123)</f>
        <v>0.002442360297</v>
      </c>
    </row>
    <row r="151" ht="12.75" customHeight="1">
      <c r="G151" s="359" t="s">
        <v>871</v>
      </c>
      <c r="H151" s="281">
        <v>50.0</v>
      </c>
      <c r="I151" s="358">
        <v>0.0024423602969910123</v>
      </c>
      <c r="K151" s="281"/>
      <c r="L151" s="359"/>
      <c r="M151" s="374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72" t="str">
        <f>IFERROR(__xludf.DUMMYFUNCTION("""COMPUTED_VALUE"""),"Kraken Lair - Ink Cloud 1★ #4B3")</f>
        <v>Kraken Lair - Ink Cloud 1★ #4B3</v>
      </c>
      <c r="P151" s="281">
        <f>IFERROR(__xludf.DUMMYFUNCTION("""COMPUTED_VALUE"""),50.0)</f>
        <v>50</v>
      </c>
      <c r="Q151" s="358">
        <f>IFERROR(__xludf.DUMMYFUNCTION("if(P151="""", """", P151/sum(filter($P$16:$P$949, $P$16:$P$949&lt;&gt;"""")))"),0.0024423602969910123)</f>
        <v>0.002442360297</v>
      </c>
    </row>
    <row r="152" ht="12.75" customHeight="1">
      <c r="G152" s="359" t="s">
        <v>872</v>
      </c>
      <c r="H152" s="281">
        <v>50.0</v>
      </c>
      <c r="I152" s="358">
        <v>0.0024423602969910123</v>
      </c>
      <c r="K152" s="281"/>
      <c r="L152" s="359"/>
      <c r="M152" s="360"/>
      <c r="O152" s="372" t="str">
        <f>IFERROR(__xludf.DUMMYFUNCTION("""COMPUTED_VALUE"""),"Kraken Lair - Ink Cloud 1★ #F68")</f>
        <v>Kraken Lair - Ink Cloud 1★ #F68</v>
      </c>
      <c r="P152" s="281">
        <f>IFERROR(__xludf.DUMMYFUNCTION("""COMPUTED_VALUE"""),50.0)</f>
        <v>50</v>
      </c>
      <c r="Q152" s="358">
        <f>IFERROR(__xludf.DUMMYFUNCTION("if(P152="""", """", P152/sum(filter($P$16:$P$949, $P$16:$P$949&lt;&gt;"""")))"),0.0024423602969910123)</f>
        <v>0.002442360297</v>
      </c>
    </row>
    <row r="153" ht="12.75" customHeight="1">
      <c r="G153" s="359" t="s">
        <v>873</v>
      </c>
      <c r="H153" s="281">
        <v>50.0</v>
      </c>
      <c r="I153" s="358">
        <v>0.0024423602969910123</v>
      </c>
      <c r="K153" s="281"/>
      <c r="L153" s="359"/>
      <c r="M153" s="360"/>
      <c r="O153" s="372" t="str">
        <f>IFERROR(__xludf.DUMMYFUNCTION("""COMPUTED_VALUE"""),"Kraken Lair - Ink Cloud 1★ #A1D")</f>
        <v>Kraken Lair - Ink Cloud 1★ #A1D</v>
      </c>
      <c r="P153" s="281">
        <f>IFERROR(__xludf.DUMMYFUNCTION("""COMPUTED_VALUE"""),50.0)</f>
        <v>50</v>
      </c>
      <c r="Q153" s="358">
        <f>IFERROR(__xludf.DUMMYFUNCTION("if(P153="""", """", P153/sum(filter($P$16:$P$949, $P$16:$P$949&lt;&gt;"""")))"),0.0024423602969910123)</f>
        <v>0.002442360297</v>
      </c>
    </row>
    <row r="154" ht="12.75" customHeight="1">
      <c r="G154" s="359" t="s">
        <v>874</v>
      </c>
      <c r="H154" s="281">
        <v>50.0</v>
      </c>
      <c r="I154" s="358">
        <v>0.0024423602969910123</v>
      </c>
      <c r="K154" s="281"/>
      <c r="L154" s="359"/>
      <c r="M154" s="360"/>
      <c r="O154" s="372" t="str">
        <f>IFERROR(__xludf.DUMMYFUNCTION("""COMPUTED_VALUE"""),"Kraken Lair - Ink Cloud 1★ #4D2")</f>
        <v>Kraken Lair - Ink Cloud 1★ #4D2</v>
      </c>
      <c r="P154" s="281">
        <f>IFERROR(__xludf.DUMMYFUNCTION("""COMPUTED_VALUE"""),50.0)</f>
        <v>50</v>
      </c>
      <c r="Q154" s="358">
        <f>IFERROR(__xludf.DUMMYFUNCTION("if(P154="""", """", P154/sum(filter($P$16:$P$949, $P$16:$P$949&lt;&gt;"""")))"),0.0024423602969910123)</f>
        <v>0.002442360297</v>
      </c>
    </row>
    <row r="155" ht="12.75" customHeight="1">
      <c r="G155" s="359" t="s">
        <v>875</v>
      </c>
      <c r="H155" s="281">
        <v>50.0</v>
      </c>
      <c r="I155" s="358">
        <v>0.0024423602969910123</v>
      </c>
      <c r="K155" s="281"/>
      <c r="L155" s="359"/>
      <c r="M155" s="360"/>
      <c r="O155" s="372" t="str">
        <f>IFERROR(__xludf.DUMMYFUNCTION("""COMPUTED_VALUE"""),"Kraken Lair - Ink Cloud 1★ #F87")</f>
        <v>Kraken Lair - Ink Cloud 1★ #F87</v>
      </c>
      <c r="P155" s="281">
        <f>IFERROR(__xludf.DUMMYFUNCTION("""COMPUTED_VALUE"""),50.0)</f>
        <v>50</v>
      </c>
      <c r="Q155" s="358">
        <f>IFERROR(__xludf.DUMMYFUNCTION("if(P155="""", """", P155/sum(filter($P$16:$P$949, $P$16:$P$949&lt;&gt;"""")))"),0.0024423602969910123)</f>
        <v>0.002442360297</v>
      </c>
    </row>
    <row r="156" ht="12.75" customHeight="1">
      <c r="G156" s="359" t="s">
        <v>876</v>
      </c>
      <c r="H156" s="281">
        <v>50.0</v>
      </c>
      <c r="I156" s="358">
        <v>0.0024423602969910123</v>
      </c>
      <c r="K156" s="281"/>
      <c r="L156" s="359"/>
      <c r="M156" s="360"/>
      <c r="O156" s="372" t="str">
        <f>IFERROR(__xludf.DUMMYFUNCTION("""COMPUTED_VALUE"""),"Kraken Lair - Ink Cloud 1★ #A3C")</f>
        <v>Kraken Lair - Ink Cloud 1★ #A3C</v>
      </c>
      <c r="P156" s="281">
        <f>IFERROR(__xludf.DUMMYFUNCTION("""COMPUTED_VALUE"""),50.0)</f>
        <v>50</v>
      </c>
      <c r="Q156" s="358">
        <f>IFERROR(__xludf.DUMMYFUNCTION("if(P156="""", """", P156/sum(filter($P$16:$P$949, $P$16:$P$949&lt;&gt;"""")))"),0.0024423602969910123)</f>
        <v>0.002442360297</v>
      </c>
    </row>
    <row r="157" ht="12.75" customHeight="1">
      <c r="G157" s="359" t="s">
        <v>877</v>
      </c>
      <c r="H157" s="281">
        <v>50.0</v>
      </c>
      <c r="I157" s="358">
        <v>0.0024423602969910123</v>
      </c>
      <c r="K157" s="281"/>
      <c r="L157" s="359"/>
      <c r="M157" s="360"/>
      <c r="O157" s="372" t="str">
        <f>IFERROR(__xludf.DUMMYFUNCTION("""COMPUTED_VALUE"""),"Kraken Lair - Ink Cloud 1★ #4F1")</f>
        <v>Kraken Lair - Ink Cloud 1★ #4F1</v>
      </c>
      <c r="P157" s="281">
        <f>IFERROR(__xludf.DUMMYFUNCTION("""COMPUTED_VALUE"""),50.0)</f>
        <v>50</v>
      </c>
      <c r="Q157" s="358">
        <f>IFERROR(__xludf.DUMMYFUNCTION("if(P157="""", """", P157/sum(filter($P$16:$P$949, $P$16:$P$949&lt;&gt;"""")))"),0.0024423602969910123)</f>
        <v>0.002442360297</v>
      </c>
    </row>
    <row r="158" ht="12.75" customHeight="1">
      <c r="G158" s="359" t="s">
        <v>878</v>
      </c>
      <c r="H158" s="281">
        <v>50.0</v>
      </c>
      <c r="I158" s="358">
        <v>0.0024423602969910123</v>
      </c>
      <c r="K158" s="281"/>
      <c r="L158" s="359"/>
      <c r="M158" s="360"/>
      <c r="O158" s="372" t="str">
        <f>IFERROR(__xludf.DUMMYFUNCTION("""COMPUTED_VALUE"""),"Kraken Lair - Ink Cloud 1★ #FA6")</f>
        <v>Kraken Lair - Ink Cloud 1★ #FA6</v>
      </c>
      <c r="P158" s="281">
        <f>IFERROR(__xludf.DUMMYFUNCTION("""COMPUTED_VALUE"""),50.0)</f>
        <v>50</v>
      </c>
      <c r="Q158" s="358">
        <f>IFERROR(__xludf.DUMMYFUNCTION("if(P158="""", """", P158/sum(filter($P$16:$P$949, $P$16:$P$949&lt;&gt;"""")))"),0.0024423602969910123)</f>
        <v>0.002442360297</v>
      </c>
    </row>
    <row r="159" ht="12.75" customHeight="1">
      <c r="G159" s="359" t="s">
        <v>879</v>
      </c>
      <c r="H159" s="281">
        <v>50.0</v>
      </c>
      <c r="I159" s="358">
        <v>0.0024423602969910123</v>
      </c>
      <c r="K159" s="281"/>
      <c r="L159" s="359"/>
      <c r="M159" s="360"/>
      <c r="O159" s="372" t="str">
        <f>IFERROR(__xludf.DUMMYFUNCTION("""COMPUTED_VALUE"""),"Kraken Lair - Ink Cloud 1★ #A5B")</f>
        <v>Kraken Lair - Ink Cloud 1★ #A5B</v>
      </c>
      <c r="P159" s="281">
        <f>IFERROR(__xludf.DUMMYFUNCTION("""COMPUTED_VALUE"""),50.0)</f>
        <v>50</v>
      </c>
      <c r="Q159" s="358">
        <f>IFERROR(__xludf.DUMMYFUNCTION("if(P159="""", """", P159/sum(filter($P$16:$P$949, $P$16:$P$949&lt;&gt;"""")))"),0.0024423602969910123)</f>
        <v>0.002442360297</v>
      </c>
    </row>
    <row r="160" ht="12.75" customHeight="1">
      <c r="G160" s="359" t="s">
        <v>880</v>
      </c>
      <c r="H160" s="281">
        <v>50.0</v>
      </c>
      <c r="I160" s="358">
        <v>0.0024423602969910123</v>
      </c>
      <c r="K160" s="281"/>
      <c r="L160" s="359"/>
      <c r="M160" s="360"/>
      <c r="O160" s="372" t="str">
        <f>IFERROR(__xludf.DUMMYFUNCTION("""COMPUTED_VALUE"""),"Kraken Lair - Ink Cloud 1★ #510")</f>
        <v>Kraken Lair - Ink Cloud 1★ #510</v>
      </c>
      <c r="P160" s="281">
        <f>IFERROR(__xludf.DUMMYFUNCTION("""COMPUTED_VALUE"""),50.0)</f>
        <v>50</v>
      </c>
      <c r="Q160" s="358">
        <f>IFERROR(__xludf.DUMMYFUNCTION("if(P160="""", """", P160/sum(filter($P$16:$P$949, $P$16:$P$949&lt;&gt;"""")))"),0.0024423602969910123)</f>
        <v>0.002442360297</v>
      </c>
    </row>
    <row r="161" ht="12.75" customHeight="1">
      <c r="G161" s="359" t="s">
        <v>881</v>
      </c>
      <c r="H161" s="281">
        <v>50.0</v>
      </c>
      <c r="I161" s="358">
        <v>0.0024423602969910123</v>
      </c>
      <c r="K161" s="281"/>
      <c r="L161" s="359"/>
      <c r="M161" s="360"/>
      <c r="O161" s="372" t="str">
        <f>IFERROR(__xludf.DUMMYFUNCTION("""COMPUTED_VALUE"""),"Kraken Lair - Ink Cloud 1★ #FC5")</f>
        <v>Kraken Lair - Ink Cloud 1★ #FC5</v>
      </c>
      <c r="P161" s="281">
        <f>IFERROR(__xludf.DUMMYFUNCTION("""COMPUTED_VALUE"""),50.0)</f>
        <v>50</v>
      </c>
      <c r="Q161" s="360"/>
    </row>
    <row r="162" ht="12.75" customHeight="1">
      <c r="G162" s="359" t="s">
        <v>882</v>
      </c>
      <c r="H162" s="281">
        <v>50.0</v>
      </c>
      <c r="I162" s="358">
        <v>0.0024423602969910123</v>
      </c>
      <c r="K162" s="281"/>
      <c r="L162" s="359"/>
      <c r="M162" s="360"/>
      <c r="O162" s="372" t="str">
        <f>IFERROR(__xludf.DUMMYFUNCTION("""COMPUTED_VALUE"""),"Kraken Lair - Ink Cloud 1★ #A7A")</f>
        <v>Kraken Lair - Ink Cloud 1★ #A7A</v>
      </c>
      <c r="P162" s="281">
        <f>IFERROR(__xludf.DUMMYFUNCTION("""COMPUTED_VALUE"""),50.0)</f>
        <v>50</v>
      </c>
      <c r="Q162" s="360"/>
    </row>
    <row r="163" ht="12.75" customHeight="1">
      <c r="G163" s="359" t="s">
        <v>883</v>
      </c>
      <c r="H163" s="281">
        <v>50.0</v>
      </c>
      <c r="I163" s="358">
        <v>0.0024423602969910123</v>
      </c>
      <c r="K163" s="281"/>
      <c r="L163" s="359"/>
      <c r="M163" s="360"/>
      <c r="O163" s="372" t="str">
        <f>IFERROR(__xludf.DUMMYFUNCTION("""COMPUTED_VALUE"""),"Kraken Lair - Ink Cloud 1★ #52F")</f>
        <v>Kraken Lair - Ink Cloud 1★ #52F</v>
      </c>
      <c r="P163" s="281">
        <f>IFERROR(__xludf.DUMMYFUNCTION("""COMPUTED_VALUE"""),50.0)</f>
        <v>50</v>
      </c>
      <c r="Q163" s="360"/>
    </row>
    <row r="164" ht="12.75" customHeight="1">
      <c r="G164" s="359" t="s">
        <v>884</v>
      </c>
      <c r="H164" s="281">
        <v>50.0</v>
      </c>
      <c r="I164" s="358">
        <v>0.0024423602969910123</v>
      </c>
      <c r="K164" s="281"/>
      <c r="L164" s="359"/>
      <c r="M164" s="360"/>
      <c r="O164" s="372" t="str">
        <f>IFERROR(__xludf.DUMMYFUNCTION("""COMPUTED_VALUE"""),"Kraken Lair - Ink Cloud 1★ #FE4")</f>
        <v>Kraken Lair - Ink Cloud 1★ #FE4</v>
      </c>
      <c r="P164" s="281">
        <f>IFERROR(__xludf.DUMMYFUNCTION("""COMPUTED_VALUE"""),50.0)</f>
        <v>50</v>
      </c>
      <c r="Q164" s="360"/>
    </row>
    <row r="165" ht="12.75" customHeight="1">
      <c r="G165" s="359" t="s">
        <v>885</v>
      </c>
      <c r="H165" s="281">
        <v>50.0</v>
      </c>
      <c r="I165" s="358">
        <v>0.0024423602969910123</v>
      </c>
      <c r="K165" s="281"/>
      <c r="L165" s="359"/>
      <c r="M165" s="360"/>
      <c r="O165" s="372" t="str">
        <f>IFERROR(__xludf.DUMMYFUNCTION("""COMPUTED_VALUE"""),"Kraken Lair - Pearl 1★ #A99")</f>
        <v>Kraken Lair - Pearl 1★ #A99</v>
      </c>
      <c r="P165" s="281">
        <f>IFERROR(__xludf.DUMMYFUNCTION("""COMPUTED_VALUE"""),50.0)</f>
        <v>50</v>
      </c>
      <c r="Q165" s="360"/>
    </row>
    <row r="166" ht="12.75" customHeight="1">
      <c r="G166" s="359" t="s">
        <v>886</v>
      </c>
      <c r="H166" s="281">
        <v>50.0</v>
      </c>
      <c r="I166" s="358">
        <v>0.0024423602969910123</v>
      </c>
      <c r="K166" s="281"/>
      <c r="L166" s="359"/>
      <c r="M166" s="360"/>
      <c r="O166" s="372" t="str">
        <f>IFERROR(__xludf.DUMMYFUNCTION("""COMPUTED_VALUE"""),"Kraken Lair - Pearl 1★ #54E")</f>
        <v>Kraken Lair - Pearl 1★ #54E</v>
      </c>
      <c r="P166" s="281">
        <f>IFERROR(__xludf.DUMMYFUNCTION("""COMPUTED_VALUE"""),50.0)</f>
        <v>50</v>
      </c>
      <c r="Q166" s="360"/>
    </row>
    <row r="167" ht="12.75" customHeight="1">
      <c r="G167" s="359" t="s">
        <v>887</v>
      </c>
      <c r="H167" s="281">
        <v>50.0</v>
      </c>
      <c r="I167" s="358">
        <v>0.0024423602969910123</v>
      </c>
      <c r="K167" s="281"/>
      <c r="L167" s="359"/>
      <c r="M167" s="360"/>
      <c r="O167" s="372" t="str">
        <f>IFERROR(__xludf.DUMMYFUNCTION("""COMPUTED_VALUE"""),"Kraken Lair - Pearl 1★ #003")</f>
        <v>Kraken Lair - Pearl 1★ #003</v>
      </c>
      <c r="P167" s="281">
        <f>IFERROR(__xludf.DUMMYFUNCTION("""COMPUTED_VALUE"""),50.0)</f>
        <v>50</v>
      </c>
      <c r="Q167" s="360"/>
    </row>
    <row r="168" ht="12.75" customHeight="1">
      <c r="G168" s="359" t="s">
        <v>888</v>
      </c>
      <c r="H168" s="281">
        <v>50.0</v>
      </c>
      <c r="I168" s="358">
        <v>0.0024423602969910123</v>
      </c>
      <c r="K168" s="281"/>
      <c r="L168" s="359"/>
      <c r="M168" s="360"/>
      <c r="O168" s="372" t="str">
        <f>IFERROR(__xludf.DUMMYFUNCTION("""COMPUTED_VALUE"""),"Kraken Lair - Pearl 1★ #AB8")</f>
        <v>Kraken Lair - Pearl 1★ #AB8</v>
      </c>
      <c r="P168" s="281">
        <f>IFERROR(__xludf.DUMMYFUNCTION("""COMPUTED_VALUE"""),50.0)</f>
        <v>50</v>
      </c>
      <c r="Q168" s="360"/>
    </row>
    <row r="169" ht="12.75" customHeight="1">
      <c r="G169" s="359" t="s">
        <v>889</v>
      </c>
      <c r="H169" s="281">
        <v>50.0</v>
      </c>
      <c r="I169" s="358">
        <v>0.0024423602969910123</v>
      </c>
      <c r="K169" s="281"/>
      <c r="L169" s="359"/>
      <c r="M169" s="360"/>
      <c r="O169" s="372" t="str">
        <f>IFERROR(__xludf.DUMMYFUNCTION("""COMPUTED_VALUE"""),"Kraken Lair - Pearl 1★ #56D")</f>
        <v>Kraken Lair - Pearl 1★ #56D</v>
      </c>
      <c r="P169" s="281">
        <f>IFERROR(__xludf.DUMMYFUNCTION("""COMPUTED_VALUE"""),50.0)</f>
        <v>50</v>
      </c>
      <c r="Q169" s="360"/>
    </row>
    <row r="170" ht="12.75" customHeight="1">
      <c r="G170" s="359" t="s">
        <v>890</v>
      </c>
      <c r="H170" s="281">
        <v>50.0</v>
      </c>
      <c r="I170" s="358">
        <v>0.0024423602969910123</v>
      </c>
      <c r="K170" s="281"/>
      <c r="L170" s="359"/>
      <c r="M170" s="360"/>
      <c r="O170" s="372" t="str">
        <f>IFERROR(__xludf.DUMMYFUNCTION("""COMPUTED_VALUE"""),"Kraken Lair - Pearl 1★ #022")</f>
        <v>Kraken Lair - Pearl 1★ #022</v>
      </c>
      <c r="P170" s="281">
        <f>IFERROR(__xludf.DUMMYFUNCTION("""COMPUTED_VALUE"""),50.0)</f>
        <v>50</v>
      </c>
      <c r="Q170" s="360"/>
    </row>
    <row r="171" ht="12.75" customHeight="1">
      <c r="G171" s="359" t="s">
        <v>891</v>
      </c>
      <c r="H171" s="281">
        <v>50.0</v>
      </c>
      <c r="I171" s="358">
        <v>0.0024423602969910123</v>
      </c>
      <c r="K171" s="281"/>
      <c r="L171" s="359"/>
      <c r="M171" s="360"/>
      <c r="O171" s="372" t="str">
        <f>IFERROR(__xludf.DUMMYFUNCTION("""COMPUTED_VALUE"""),"Kraken Lair - Pearl 1★ #AD7")</f>
        <v>Kraken Lair - Pearl 1★ #AD7</v>
      </c>
      <c r="P171" s="281">
        <f>IFERROR(__xludf.DUMMYFUNCTION("""COMPUTED_VALUE"""),50.0)</f>
        <v>50</v>
      </c>
      <c r="Q171" s="360"/>
    </row>
    <row r="172" ht="12.75" customHeight="1">
      <c r="G172" s="359" t="s">
        <v>892</v>
      </c>
      <c r="H172" s="281">
        <v>50.0</v>
      </c>
      <c r="I172" s="358">
        <v>0.0024423602969910123</v>
      </c>
      <c r="K172" s="281"/>
      <c r="L172" s="359"/>
      <c r="M172" s="360"/>
      <c r="O172" s="372" t="str">
        <f>IFERROR(__xludf.DUMMYFUNCTION("""COMPUTED_VALUE"""),"Kraken Lair - Pearl 1★ #58C")</f>
        <v>Kraken Lair - Pearl 1★ #58C</v>
      </c>
      <c r="P172" s="281">
        <f>IFERROR(__xludf.DUMMYFUNCTION("""COMPUTED_VALUE"""),50.0)</f>
        <v>50</v>
      </c>
      <c r="Q172" s="360"/>
    </row>
    <row r="173" ht="12.75" customHeight="1">
      <c r="G173" s="359" t="s">
        <v>893</v>
      </c>
      <c r="H173" s="281">
        <v>50.0</v>
      </c>
      <c r="I173" s="358">
        <v>0.0024423602969910123</v>
      </c>
      <c r="K173" s="281"/>
      <c r="L173" s="359"/>
      <c r="M173" s="360"/>
      <c r="O173" s="372" t="str">
        <f>IFERROR(__xludf.DUMMYFUNCTION("""COMPUTED_VALUE"""),"Kraken Lair - Pearl 1★ #041")</f>
        <v>Kraken Lair - Pearl 1★ #041</v>
      </c>
      <c r="P173" s="281">
        <f>IFERROR(__xludf.DUMMYFUNCTION("""COMPUTED_VALUE"""),50.0)</f>
        <v>50</v>
      </c>
      <c r="Q173" s="360"/>
    </row>
    <row r="174" ht="12.75" customHeight="1">
      <c r="G174" s="359" t="s">
        <v>894</v>
      </c>
      <c r="H174" s="281">
        <v>50.0</v>
      </c>
      <c r="I174" s="358">
        <v>0.0024423602969910123</v>
      </c>
      <c r="K174" s="281"/>
      <c r="L174" s="359"/>
      <c r="M174" s="360"/>
      <c r="O174" s="372" t="str">
        <f>IFERROR(__xludf.DUMMYFUNCTION("""COMPUTED_VALUE"""),"Kraken Lair - Pearl 1★ #AF6")</f>
        <v>Kraken Lair - Pearl 1★ #AF6</v>
      </c>
      <c r="P174" s="281">
        <f>IFERROR(__xludf.DUMMYFUNCTION("""COMPUTED_VALUE"""),50.0)</f>
        <v>50</v>
      </c>
      <c r="Q174" s="360"/>
    </row>
    <row r="175" ht="12.75" customHeight="1">
      <c r="G175" s="359" t="s">
        <v>895</v>
      </c>
      <c r="H175" s="281">
        <v>50.0</v>
      </c>
      <c r="I175" s="358">
        <v>0.0024423602969910123</v>
      </c>
      <c r="K175" s="281"/>
      <c r="L175" s="359"/>
      <c r="M175" s="360"/>
      <c r="O175" s="372" t="str">
        <f>IFERROR(__xludf.DUMMYFUNCTION("""COMPUTED_VALUE"""),"Kraken Lair - Pearl 1★ #5AB")</f>
        <v>Kraken Lair - Pearl 1★ #5AB</v>
      </c>
      <c r="P175" s="281">
        <f>IFERROR(__xludf.DUMMYFUNCTION("""COMPUTED_VALUE"""),50.0)</f>
        <v>50</v>
      </c>
      <c r="Q175" s="360"/>
    </row>
    <row r="176" ht="12.75" customHeight="1">
      <c r="G176" s="359" t="s">
        <v>896</v>
      </c>
      <c r="H176" s="281">
        <v>50.0</v>
      </c>
      <c r="I176" s="358">
        <v>0.0024423602969910123</v>
      </c>
      <c r="K176" s="281"/>
      <c r="L176" s="359"/>
      <c r="M176" s="360"/>
      <c r="O176" s="372" t="str">
        <f>IFERROR(__xludf.DUMMYFUNCTION("""COMPUTED_VALUE"""),"Kraken Lair - Pearl 1★ #060")</f>
        <v>Kraken Lair - Pearl 1★ #060</v>
      </c>
      <c r="P176" s="281">
        <f>IFERROR(__xludf.DUMMYFUNCTION("""COMPUTED_VALUE"""),50.0)</f>
        <v>50</v>
      </c>
      <c r="Q176" s="360"/>
    </row>
    <row r="177" ht="12.75" customHeight="1">
      <c r="G177" s="359" t="s">
        <v>897</v>
      </c>
      <c r="H177" s="281">
        <v>50.0</v>
      </c>
      <c r="I177" s="358">
        <v>0.0024423602969910123</v>
      </c>
      <c r="K177" s="281"/>
      <c r="L177" s="359"/>
      <c r="M177" s="360"/>
      <c r="O177" s="372" t="str">
        <f>IFERROR(__xludf.DUMMYFUNCTION("""COMPUTED_VALUE"""),"Kraken Lair - Pearl 1★ #B15")</f>
        <v>Kraken Lair - Pearl 1★ #B15</v>
      </c>
      <c r="P177" s="281">
        <f>IFERROR(__xludf.DUMMYFUNCTION("""COMPUTED_VALUE"""),50.0)</f>
        <v>50</v>
      </c>
      <c r="Q177" s="360"/>
    </row>
    <row r="178" ht="12.75" customHeight="1">
      <c r="G178" s="359" t="s">
        <v>898</v>
      </c>
      <c r="H178" s="281">
        <v>50.0</v>
      </c>
      <c r="I178" s="358">
        <v>0.0024423602969910123</v>
      </c>
      <c r="K178" s="281"/>
      <c r="L178" s="359"/>
      <c r="M178" s="360"/>
      <c r="O178" s="372" t="str">
        <f>IFERROR(__xludf.DUMMYFUNCTION("""COMPUTED_VALUE"""),"Kraken Lair - Pearl 1★ #5CA")</f>
        <v>Kraken Lair - Pearl 1★ #5CA</v>
      </c>
      <c r="P178" s="281">
        <f>IFERROR(__xludf.DUMMYFUNCTION("""COMPUTED_VALUE"""),50.0)</f>
        <v>50</v>
      </c>
      <c r="Q178" s="360"/>
    </row>
    <row r="179" ht="12.75" customHeight="1">
      <c r="G179" s="359" t="s">
        <v>899</v>
      </c>
      <c r="H179" s="281">
        <v>50.0</v>
      </c>
      <c r="I179" s="358">
        <v>0.0024423602969910123</v>
      </c>
      <c r="K179" s="281"/>
      <c r="L179" s="359"/>
      <c r="M179" s="360"/>
      <c r="O179" s="372" t="str">
        <f>IFERROR(__xludf.DUMMYFUNCTION("""COMPUTED_VALUE"""),"Kraken Lair - Trident 1★ #07F")</f>
        <v>Kraken Lair - Trident 1★ #07F</v>
      </c>
      <c r="P179" s="281">
        <f>IFERROR(__xludf.DUMMYFUNCTION("""COMPUTED_VALUE"""),50.0)</f>
        <v>50</v>
      </c>
      <c r="Q179" s="360"/>
    </row>
    <row r="180" ht="12.75" customHeight="1">
      <c r="G180" s="359" t="s">
        <v>900</v>
      </c>
      <c r="H180" s="281">
        <v>50.0</v>
      </c>
      <c r="I180" s="358">
        <v>0.0024423602969910123</v>
      </c>
      <c r="K180" s="281"/>
      <c r="L180" s="359"/>
      <c r="M180" s="360"/>
      <c r="O180" s="372" t="str">
        <f>IFERROR(__xludf.DUMMYFUNCTION("""COMPUTED_VALUE"""),"Kraken Lair - Trident 1★ #B34")</f>
        <v>Kraken Lair - Trident 1★ #B34</v>
      </c>
      <c r="P180" s="281">
        <f>IFERROR(__xludf.DUMMYFUNCTION("""COMPUTED_VALUE"""),50.0)</f>
        <v>50</v>
      </c>
      <c r="Q180" s="360"/>
    </row>
    <row r="181" ht="12.75" customHeight="1">
      <c r="G181" s="359" t="s">
        <v>901</v>
      </c>
      <c r="H181" s="281">
        <v>50.0</v>
      </c>
      <c r="I181" s="358">
        <v>0.0024423602969910123</v>
      </c>
      <c r="K181" s="281"/>
      <c r="L181" s="359"/>
      <c r="M181" s="360"/>
      <c r="O181" s="372" t="str">
        <f>IFERROR(__xludf.DUMMYFUNCTION("""COMPUTED_VALUE"""),"Kraken Lair - Trident 1★ #5E9")</f>
        <v>Kraken Lair - Trident 1★ #5E9</v>
      </c>
      <c r="P181" s="281">
        <f>IFERROR(__xludf.DUMMYFUNCTION("""COMPUTED_VALUE"""),50.0)</f>
        <v>50</v>
      </c>
      <c r="Q181" s="360"/>
    </row>
    <row r="182" ht="12.75" customHeight="1">
      <c r="G182" s="359" t="s">
        <v>902</v>
      </c>
      <c r="H182" s="281">
        <v>50.0</v>
      </c>
      <c r="I182" s="358">
        <v>0.0024423602969910123</v>
      </c>
      <c r="K182" s="281"/>
      <c r="L182" s="359"/>
      <c r="M182" s="360"/>
      <c r="O182" s="372" t="str">
        <f>IFERROR(__xludf.DUMMYFUNCTION("""COMPUTED_VALUE"""),"Kraken Lair - Trident 1★ #09E")</f>
        <v>Kraken Lair - Trident 1★ #09E</v>
      </c>
      <c r="P182" s="281">
        <f>IFERROR(__xludf.DUMMYFUNCTION("""COMPUTED_VALUE"""),50.0)</f>
        <v>50</v>
      </c>
      <c r="Q182" s="360"/>
    </row>
    <row r="183" ht="12.75" customHeight="1">
      <c r="G183" s="359" t="s">
        <v>903</v>
      </c>
      <c r="H183" s="281">
        <v>50.0</v>
      </c>
      <c r="I183" s="358">
        <v>0.0024423602969910123</v>
      </c>
      <c r="K183" s="281"/>
      <c r="L183" s="359"/>
      <c r="M183" s="360"/>
      <c r="O183" s="372" t="str">
        <f>IFERROR(__xludf.DUMMYFUNCTION("""COMPUTED_VALUE"""),"Kraken Lair - Trident 1★ #B53")</f>
        <v>Kraken Lair - Trident 1★ #B53</v>
      </c>
      <c r="P183" s="281">
        <f>IFERROR(__xludf.DUMMYFUNCTION("""COMPUTED_VALUE"""),50.0)</f>
        <v>50</v>
      </c>
      <c r="Q183" s="360"/>
    </row>
    <row r="184" ht="12.75" customHeight="1">
      <c r="G184" s="359" t="s">
        <v>904</v>
      </c>
      <c r="H184" s="281">
        <v>50.0</v>
      </c>
      <c r="I184" s="358">
        <v>0.0024423602969910123</v>
      </c>
      <c r="K184" s="281"/>
      <c r="L184" s="359"/>
      <c r="M184" s="360"/>
      <c r="O184" s="372" t="str">
        <f>IFERROR(__xludf.DUMMYFUNCTION("""COMPUTED_VALUE"""),"Kraken Lair - Trident 1★ #608")</f>
        <v>Kraken Lair - Trident 1★ #608</v>
      </c>
      <c r="P184" s="281">
        <f>IFERROR(__xludf.DUMMYFUNCTION("""COMPUTED_VALUE"""),50.0)</f>
        <v>50</v>
      </c>
      <c r="Q184" s="360"/>
    </row>
    <row r="185" ht="12.75" customHeight="1">
      <c r="G185" s="359" t="s">
        <v>905</v>
      </c>
      <c r="H185" s="281">
        <v>50.0</v>
      </c>
      <c r="I185" s="358">
        <v>0.0024423602969910123</v>
      </c>
      <c r="K185" s="281"/>
      <c r="L185" s="359"/>
      <c r="M185" s="360"/>
      <c r="O185" s="372" t="str">
        <f>IFERROR(__xludf.DUMMYFUNCTION("""COMPUTED_VALUE"""),"Kraken Lair - Trident 1★ #0BD")</f>
        <v>Kraken Lair - Trident 1★ #0BD</v>
      </c>
      <c r="P185" s="281">
        <f>IFERROR(__xludf.DUMMYFUNCTION("""COMPUTED_VALUE"""),50.0)</f>
        <v>50</v>
      </c>
      <c r="Q185" s="360"/>
    </row>
    <row r="186" ht="12.75" customHeight="1">
      <c r="G186" s="359" t="s">
        <v>906</v>
      </c>
      <c r="H186" s="281">
        <v>50.0</v>
      </c>
      <c r="I186" s="358">
        <v>0.0024423602969910123</v>
      </c>
      <c r="K186" s="281"/>
      <c r="L186" s="359"/>
      <c r="M186" s="360"/>
      <c r="O186" s="372" t="str">
        <f>IFERROR(__xludf.DUMMYFUNCTION("""COMPUTED_VALUE"""),"Kraken Lair - Trident 1★ #B72")</f>
        <v>Kraken Lair - Trident 1★ #B72</v>
      </c>
      <c r="P186" s="281">
        <f>IFERROR(__xludf.DUMMYFUNCTION("""COMPUTED_VALUE"""),50.0)</f>
        <v>50</v>
      </c>
      <c r="Q186" s="360"/>
    </row>
    <row r="187" ht="12.75" customHeight="1">
      <c r="G187" s="359" t="s">
        <v>907</v>
      </c>
      <c r="H187" s="281">
        <v>50.0</v>
      </c>
      <c r="I187" s="358">
        <v>0.0024423602969910123</v>
      </c>
      <c r="K187" s="281"/>
      <c r="L187" s="359"/>
      <c r="M187" s="360"/>
      <c r="O187" s="372" t="str">
        <f>IFERROR(__xludf.DUMMYFUNCTION("""COMPUTED_VALUE"""),"Kraken Lair - Trident 1★ #627")</f>
        <v>Kraken Lair - Trident 1★ #627</v>
      </c>
      <c r="P187" s="281">
        <f>IFERROR(__xludf.DUMMYFUNCTION("""COMPUTED_VALUE"""),50.0)</f>
        <v>50</v>
      </c>
      <c r="Q187" s="360"/>
    </row>
    <row r="188" ht="12.75" customHeight="1">
      <c r="B188" s="194" t="str">
        <f>IFERROR(__xludf.DUMMYFUNCTION("iferror(filter(#REF!, #REF!=#REF!, #REF!=#REF!), """")"),"")</f>
        <v/>
      </c>
      <c r="G188" s="359" t="s">
        <v>908</v>
      </c>
      <c r="H188" s="281">
        <v>50.0</v>
      </c>
      <c r="I188" s="358">
        <v>0.0024423602969910123</v>
      </c>
      <c r="K188" s="281"/>
      <c r="L188" s="359"/>
      <c r="M188" s="360"/>
      <c r="O188" s="372" t="str">
        <f>IFERROR(__xludf.DUMMYFUNCTION("""COMPUTED_VALUE"""),"Kraken Lair - Trident 1★ #0DC")</f>
        <v>Kraken Lair - Trident 1★ #0DC</v>
      </c>
      <c r="P188" s="281">
        <f>IFERROR(__xludf.DUMMYFUNCTION("""COMPUTED_VALUE"""),50.0)</f>
        <v>50</v>
      </c>
      <c r="Q188" s="360"/>
    </row>
    <row r="189" ht="12.75" customHeight="1">
      <c r="G189" s="359" t="s">
        <v>909</v>
      </c>
      <c r="H189" s="281">
        <v>50.0</v>
      </c>
      <c r="I189" s="358">
        <v>0.0024423602969910123</v>
      </c>
      <c r="K189" s="281"/>
      <c r="L189" s="359"/>
      <c r="M189" s="360"/>
      <c r="O189" s="372" t="str">
        <f>IFERROR(__xludf.DUMMYFUNCTION("""COMPUTED_VALUE"""),"Kraken Lair - Trident 1★ #B91")</f>
        <v>Kraken Lair - Trident 1★ #B91</v>
      </c>
      <c r="P189" s="281">
        <f>IFERROR(__xludf.DUMMYFUNCTION("""COMPUTED_VALUE"""),50.0)</f>
        <v>50</v>
      </c>
      <c r="Q189" s="360"/>
    </row>
    <row r="190" ht="12.75" customHeight="1">
      <c r="G190" s="359" t="s">
        <v>910</v>
      </c>
      <c r="H190" s="281">
        <v>50.0</v>
      </c>
      <c r="I190" s="358">
        <v>0.0024423602969910123</v>
      </c>
      <c r="K190" s="281"/>
      <c r="L190" s="359"/>
      <c r="M190" s="360"/>
      <c r="O190" s="372" t="str">
        <f>IFERROR(__xludf.DUMMYFUNCTION("""COMPUTED_VALUE"""),"Kraken Lair - Trident 1★ #646")</f>
        <v>Kraken Lair - Trident 1★ #646</v>
      </c>
      <c r="P190" s="281">
        <f>IFERROR(__xludf.DUMMYFUNCTION("""COMPUTED_VALUE"""),50.0)</f>
        <v>50</v>
      </c>
      <c r="Q190" s="360"/>
    </row>
    <row r="191" ht="12.75" customHeight="1">
      <c r="G191" s="359" t="s">
        <v>911</v>
      </c>
      <c r="H191" s="281">
        <v>50.0</v>
      </c>
      <c r="I191" s="358">
        <v>0.0024423602969910123</v>
      </c>
      <c r="K191" s="281"/>
      <c r="L191" s="359"/>
      <c r="M191" s="360"/>
      <c r="O191" s="372" t="str">
        <f>IFERROR(__xludf.DUMMYFUNCTION("""COMPUTED_VALUE"""),"Kraken Lair - Trident 1★ #0FB")</f>
        <v>Kraken Lair - Trident 1★ #0FB</v>
      </c>
      <c r="P191" s="281">
        <f>IFERROR(__xludf.DUMMYFUNCTION("""COMPUTED_VALUE"""),50.0)</f>
        <v>50</v>
      </c>
      <c r="Q191" s="360"/>
    </row>
    <row r="192" ht="12.75" customHeight="1">
      <c r="G192" s="359" t="s">
        <v>912</v>
      </c>
      <c r="H192" s="281">
        <v>50.0</v>
      </c>
      <c r="I192" s="358">
        <v>0.0024423602969910123</v>
      </c>
      <c r="K192" s="281"/>
      <c r="L192" s="359"/>
      <c r="M192" s="360"/>
      <c r="O192" s="372" t="str">
        <f>IFERROR(__xludf.DUMMYFUNCTION("""COMPUTED_VALUE"""),"Kraken Lair - Trident 1★ #BB0")</f>
        <v>Kraken Lair - Trident 1★ #BB0</v>
      </c>
      <c r="P192" s="281">
        <f>IFERROR(__xludf.DUMMYFUNCTION("""COMPUTED_VALUE"""),50.0)</f>
        <v>50</v>
      </c>
      <c r="Q192" s="360"/>
    </row>
    <row r="193" ht="12.75" customHeight="1">
      <c r="G193" s="359" t="s">
        <v>913</v>
      </c>
      <c r="H193" s="281">
        <v>20.0</v>
      </c>
      <c r="I193" s="358">
        <v>9.769441187964048E-4</v>
      </c>
      <c r="K193" s="281"/>
      <c r="L193" s="359"/>
      <c r="M193" s="360"/>
      <c r="O193" s="372" t="str">
        <f>IFERROR(__xludf.DUMMYFUNCTION("""COMPUTED_VALUE"""),"Kraken Lair - Shell 2★ #665")</f>
        <v>Kraken Lair - Shell 2★ #665</v>
      </c>
      <c r="P193" s="281">
        <f>IFERROR(__xludf.DUMMYFUNCTION("""COMPUTED_VALUE"""),20.0)</f>
        <v>20</v>
      </c>
      <c r="Q193" s="360"/>
    </row>
    <row r="194" ht="12.75" customHeight="1">
      <c r="G194" s="359" t="s">
        <v>914</v>
      </c>
      <c r="H194" s="281">
        <v>20.0</v>
      </c>
      <c r="I194" s="358">
        <v>9.769441187964048E-4</v>
      </c>
      <c r="K194" s="281"/>
      <c r="L194" s="359"/>
      <c r="M194" s="360"/>
      <c r="O194" s="372" t="str">
        <f>IFERROR(__xludf.DUMMYFUNCTION("""COMPUTED_VALUE"""),"Kraken Lair - Shell 2★ #11A")</f>
        <v>Kraken Lair - Shell 2★ #11A</v>
      </c>
      <c r="P194" s="281">
        <f>IFERROR(__xludf.DUMMYFUNCTION("""COMPUTED_VALUE"""),20.0)</f>
        <v>20</v>
      </c>
      <c r="Q194" s="360"/>
    </row>
    <row r="195" ht="12.75" customHeight="1">
      <c r="G195" s="359" t="s">
        <v>915</v>
      </c>
      <c r="H195" s="281">
        <v>20.0</v>
      </c>
      <c r="I195" s="358">
        <v>9.769441187964048E-4</v>
      </c>
      <c r="K195" s="281"/>
      <c r="L195" s="359"/>
      <c r="M195" s="360"/>
      <c r="O195" s="372" t="str">
        <f>IFERROR(__xludf.DUMMYFUNCTION("""COMPUTED_VALUE"""),"Kraken Lair - Shell 2★ #BCF")</f>
        <v>Kraken Lair - Shell 2★ #BCF</v>
      </c>
      <c r="P195" s="281">
        <f>IFERROR(__xludf.DUMMYFUNCTION("""COMPUTED_VALUE"""),20.0)</f>
        <v>20</v>
      </c>
      <c r="Q195" s="360"/>
    </row>
    <row r="196" ht="12.75" customHeight="1">
      <c r="G196" s="359" t="s">
        <v>916</v>
      </c>
      <c r="H196" s="281">
        <v>20.0</v>
      </c>
      <c r="I196" s="358">
        <v>9.769441187964048E-4</v>
      </c>
      <c r="K196" s="281"/>
      <c r="L196" s="359"/>
      <c r="M196" s="360"/>
      <c r="O196" s="372" t="str">
        <f>IFERROR(__xludf.DUMMYFUNCTION("""COMPUTED_VALUE"""),"Kraken Lair - Shell 2★ #684")</f>
        <v>Kraken Lair - Shell 2★ #684</v>
      </c>
      <c r="P196" s="281">
        <f>IFERROR(__xludf.DUMMYFUNCTION("""COMPUTED_VALUE"""),20.0)</f>
        <v>20</v>
      </c>
      <c r="Q196" s="360"/>
    </row>
    <row r="197" ht="12.75" customHeight="1">
      <c r="G197" s="359" t="s">
        <v>917</v>
      </c>
      <c r="H197" s="281">
        <v>20.0</v>
      </c>
      <c r="I197" s="358">
        <v>9.769441187964048E-4</v>
      </c>
      <c r="K197" s="281"/>
      <c r="L197" s="359"/>
      <c r="M197" s="360"/>
      <c r="O197" s="372" t="str">
        <f>IFERROR(__xludf.DUMMYFUNCTION("""COMPUTED_VALUE"""),"Kraken Lair - Shell 2★ #139")</f>
        <v>Kraken Lair - Shell 2★ #139</v>
      </c>
      <c r="P197" s="281">
        <f>IFERROR(__xludf.DUMMYFUNCTION("""COMPUTED_VALUE"""),20.0)</f>
        <v>20</v>
      </c>
      <c r="Q197" s="360"/>
    </row>
    <row r="198" ht="12.75" customHeight="1">
      <c r="G198" s="359" t="s">
        <v>918</v>
      </c>
      <c r="H198" s="281">
        <v>20.0</v>
      </c>
      <c r="I198" s="358">
        <v>9.769441187964048E-4</v>
      </c>
      <c r="K198" s="281"/>
      <c r="L198" s="359"/>
      <c r="M198" s="360"/>
      <c r="O198" s="372" t="str">
        <f>IFERROR(__xludf.DUMMYFUNCTION("""COMPUTED_VALUE"""),"Kraken Lair - Shell 2★ #BEE")</f>
        <v>Kraken Lair - Shell 2★ #BEE</v>
      </c>
      <c r="P198" s="281">
        <f>IFERROR(__xludf.DUMMYFUNCTION("""COMPUTED_VALUE"""),20.0)</f>
        <v>20</v>
      </c>
      <c r="Q198" s="360"/>
    </row>
    <row r="199" ht="12.75" customHeight="1">
      <c r="G199" s="359" t="s">
        <v>919</v>
      </c>
      <c r="H199" s="281">
        <v>20.0</v>
      </c>
      <c r="I199" s="358">
        <v>9.769441187964048E-4</v>
      </c>
      <c r="K199" s="281"/>
      <c r="L199" s="359"/>
      <c r="M199" s="360"/>
      <c r="O199" s="372" t="str">
        <f>IFERROR(__xludf.DUMMYFUNCTION("""COMPUTED_VALUE"""),"Kraken Lair - Shell 2★ #6A3")</f>
        <v>Kraken Lair - Shell 2★ #6A3</v>
      </c>
      <c r="P199" s="281">
        <f>IFERROR(__xludf.DUMMYFUNCTION("""COMPUTED_VALUE"""),20.0)</f>
        <v>20</v>
      </c>
      <c r="Q199" s="360"/>
    </row>
    <row r="200" ht="12.75" customHeight="1">
      <c r="G200" s="359" t="s">
        <v>920</v>
      </c>
      <c r="H200" s="281">
        <v>20.0</v>
      </c>
      <c r="I200" s="358">
        <v>9.769441187964048E-4</v>
      </c>
      <c r="K200" s="281"/>
      <c r="L200" s="359"/>
      <c r="M200" s="360"/>
      <c r="O200" s="372" t="str">
        <f>IFERROR(__xludf.DUMMYFUNCTION("""COMPUTED_VALUE"""),"Kraken Lair - Shell 2★ #158")</f>
        <v>Kraken Lair - Shell 2★ #158</v>
      </c>
      <c r="P200" s="281">
        <f>IFERROR(__xludf.DUMMYFUNCTION("""COMPUTED_VALUE"""),20.0)</f>
        <v>20</v>
      </c>
      <c r="Q200" s="360"/>
    </row>
    <row r="201" ht="12.75" customHeight="1">
      <c r="G201" s="359" t="s">
        <v>921</v>
      </c>
      <c r="H201" s="281">
        <v>20.0</v>
      </c>
      <c r="I201" s="358">
        <v>9.769441187964048E-4</v>
      </c>
      <c r="K201" s="281"/>
      <c r="L201" s="359"/>
      <c r="M201" s="360"/>
      <c r="O201" s="372" t="str">
        <f>IFERROR(__xludf.DUMMYFUNCTION("""COMPUTED_VALUE"""),"Kraken Lair - Shell 2★ #C0D")</f>
        <v>Kraken Lair - Shell 2★ #C0D</v>
      </c>
      <c r="P201" s="281">
        <f>IFERROR(__xludf.DUMMYFUNCTION("""COMPUTED_VALUE"""),20.0)</f>
        <v>20</v>
      </c>
      <c r="Q201" s="360"/>
    </row>
    <row r="202" ht="12.75" customHeight="1">
      <c r="G202" s="359" t="s">
        <v>922</v>
      </c>
      <c r="H202" s="281">
        <v>20.0</v>
      </c>
      <c r="I202" s="358">
        <v>9.769441187964048E-4</v>
      </c>
      <c r="K202" s="281"/>
      <c r="L202" s="359"/>
      <c r="M202" s="360"/>
      <c r="O202" s="372" t="str">
        <f>IFERROR(__xludf.DUMMYFUNCTION("""COMPUTED_VALUE"""),"Kraken Lair - Shell 2★ #6C2")</f>
        <v>Kraken Lair - Shell 2★ #6C2</v>
      </c>
      <c r="P202" s="281">
        <f>IFERROR(__xludf.DUMMYFUNCTION("""COMPUTED_VALUE"""),20.0)</f>
        <v>20</v>
      </c>
      <c r="Q202" s="360"/>
    </row>
    <row r="203" ht="12.75" customHeight="1">
      <c r="G203" s="359" t="s">
        <v>923</v>
      </c>
      <c r="H203" s="281">
        <v>20.0</v>
      </c>
      <c r="I203" s="358">
        <v>9.769441187964048E-4</v>
      </c>
      <c r="K203" s="281"/>
      <c r="L203" s="359"/>
      <c r="M203" s="360"/>
      <c r="O203" s="372" t="str">
        <f>IFERROR(__xludf.DUMMYFUNCTION("""COMPUTED_VALUE"""),"Kraken Lair - Shell 2★ #177")</f>
        <v>Kraken Lair - Shell 2★ #177</v>
      </c>
      <c r="P203" s="281">
        <f>IFERROR(__xludf.DUMMYFUNCTION("""COMPUTED_VALUE"""),20.0)</f>
        <v>20</v>
      </c>
      <c r="Q203" s="360"/>
    </row>
    <row r="204" ht="12.75" customHeight="1">
      <c r="G204" s="359" t="s">
        <v>924</v>
      </c>
      <c r="H204" s="281">
        <v>20.0</v>
      </c>
      <c r="I204" s="358">
        <v>9.769441187964048E-4</v>
      </c>
      <c r="K204" s="281"/>
      <c r="L204" s="359"/>
      <c r="M204" s="360"/>
      <c r="O204" s="372" t="str">
        <f>IFERROR(__xludf.DUMMYFUNCTION("""COMPUTED_VALUE"""),"Kraken Lair - Shell 2★ #C2C")</f>
        <v>Kraken Lair - Shell 2★ #C2C</v>
      </c>
      <c r="P204" s="281">
        <f>IFERROR(__xludf.DUMMYFUNCTION("""COMPUTED_VALUE"""),20.0)</f>
        <v>20</v>
      </c>
      <c r="Q204" s="360"/>
    </row>
    <row r="205" ht="12.75" customHeight="1">
      <c r="G205" s="359" t="s">
        <v>925</v>
      </c>
      <c r="H205" s="281">
        <v>20.0</v>
      </c>
      <c r="I205" s="358">
        <v>9.769441187964048E-4</v>
      </c>
      <c r="K205" s="281"/>
      <c r="L205" s="359"/>
      <c r="M205" s="360"/>
      <c r="O205" s="372" t="str">
        <f>IFERROR(__xludf.DUMMYFUNCTION("""COMPUTED_VALUE"""),"Kraken Lair - Shell 2★ #6E1")</f>
        <v>Kraken Lair - Shell 2★ #6E1</v>
      </c>
      <c r="P205" s="281">
        <f>IFERROR(__xludf.DUMMYFUNCTION("""COMPUTED_VALUE"""),20.0)</f>
        <v>20</v>
      </c>
      <c r="Q205" s="360"/>
    </row>
    <row r="206" ht="12.75" customHeight="1">
      <c r="G206" s="359" t="s">
        <v>926</v>
      </c>
      <c r="H206" s="281">
        <v>20.0</v>
      </c>
      <c r="I206" s="358">
        <v>9.769441187964048E-4</v>
      </c>
      <c r="K206" s="281"/>
      <c r="L206" s="359"/>
      <c r="M206" s="360"/>
      <c r="O206" s="372" t="str">
        <f>IFERROR(__xludf.DUMMYFUNCTION("""COMPUTED_VALUE"""),"Kraken Lair - Coral 2★ #196")</f>
        <v>Kraken Lair - Coral 2★ #196</v>
      </c>
      <c r="P206" s="281">
        <f>IFERROR(__xludf.DUMMYFUNCTION("""COMPUTED_VALUE"""),20.0)</f>
        <v>20</v>
      </c>
      <c r="Q206" s="360"/>
    </row>
    <row r="207" ht="12.75" customHeight="1">
      <c r="G207" s="359" t="s">
        <v>927</v>
      </c>
      <c r="H207" s="281">
        <v>20.0</v>
      </c>
      <c r="I207" s="358">
        <v>9.769441187964048E-4</v>
      </c>
      <c r="K207" s="281"/>
      <c r="L207" s="359"/>
      <c r="M207" s="360"/>
      <c r="O207" s="372" t="str">
        <f>IFERROR(__xludf.DUMMYFUNCTION("""COMPUTED_VALUE"""),"Kraken Lair - Coral 2★ #C4B")</f>
        <v>Kraken Lair - Coral 2★ #C4B</v>
      </c>
      <c r="P207" s="281">
        <f>IFERROR(__xludf.DUMMYFUNCTION("""COMPUTED_VALUE"""),20.0)</f>
        <v>20</v>
      </c>
      <c r="Q207" s="360"/>
    </row>
    <row r="208" ht="12.75" customHeight="1">
      <c r="G208" s="359" t="s">
        <v>928</v>
      </c>
      <c r="H208" s="281">
        <v>20.0</v>
      </c>
      <c r="I208" s="358">
        <v>9.769441187964048E-4</v>
      </c>
      <c r="K208" s="281"/>
      <c r="L208" s="359"/>
      <c r="M208" s="360"/>
      <c r="O208" s="372" t="str">
        <f>IFERROR(__xludf.DUMMYFUNCTION("""COMPUTED_VALUE"""),"Kraken Lair - Coral 2★ #700")</f>
        <v>Kraken Lair - Coral 2★ #700</v>
      </c>
      <c r="P208" s="281">
        <f>IFERROR(__xludf.DUMMYFUNCTION("""COMPUTED_VALUE"""),20.0)</f>
        <v>20</v>
      </c>
      <c r="Q208" s="360"/>
    </row>
    <row r="209" ht="12.75" customHeight="1">
      <c r="G209" s="359" t="s">
        <v>929</v>
      </c>
      <c r="H209" s="281">
        <v>20.0</v>
      </c>
      <c r="I209" s="358">
        <v>9.769441187964048E-4</v>
      </c>
      <c r="K209" s="281"/>
      <c r="L209" s="359"/>
      <c r="M209" s="360"/>
      <c r="O209" s="372" t="str">
        <f>IFERROR(__xludf.DUMMYFUNCTION("""COMPUTED_VALUE"""),"Kraken Lair - Coral 2★ #1B5")</f>
        <v>Kraken Lair - Coral 2★ #1B5</v>
      </c>
      <c r="P209" s="281">
        <f>IFERROR(__xludf.DUMMYFUNCTION("""COMPUTED_VALUE"""),20.0)</f>
        <v>20</v>
      </c>
      <c r="Q209" s="360"/>
    </row>
    <row r="210" ht="12.75" customHeight="1">
      <c r="G210" s="359" t="s">
        <v>930</v>
      </c>
      <c r="H210" s="281">
        <v>20.0</v>
      </c>
      <c r="I210" s="358">
        <v>9.769441187964048E-4</v>
      </c>
      <c r="K210" s="281"/>
      <c r="L210" s="359"/>
      <c r="M210" s="360"/>
      <c r="O210" s="372" t="str">
        <f>IFERROR(__xludf.DUMMYFUNCTION("""COMPUTED_VALUE"""),"Kraken Lair - Coral 2★ #C6A")</f>
        <v>Kraken Lair - Coral 2★ #C6A</v>
      </c>
      <c r="P210" s="281">
        <f>IFERROR(__xludf.DUMMYFUNCTION("""COMPUTED_VALUE"""),20.0)</f>
        <v>20</v>
      </c>
      <c r="Q210" s="360"/>
    </row>
    <row r="211" ht="12.75" customHeight="1">
      <c r="G211" s="359" t="s">
        <v>931</v>
      </c>
      <c r="H211" s="281">
        <v>20.0</v>
      </c>
      <c r="I211" s="358">
        <v>9.769441187964048E-4</v>
      </c>
      <c r="K211" s="281"/>
      <c r="L211" s="359"/>
      <c r="M211" s="360"/>
      <c r="O211" s="372" t="str">
        <f>IFERROR(__xludf.DUMMYFUNCTION("""COMPUTED_VALUE"""),"Kraken Lair - Coral 2★ #71F")</f>
        <v>Kraken Lair - Coral 2★ #71F</v>
      </c>
      <c r="P211" s="281">
        <f>IFERROR(__xludf.DUMMYFUNCTION("""COMPUTED_VALUE"""),20.0)</f>
        <v>20</v>
      </c>
      <c r="Q211" s="360"/>
    </row>
    <row r="212" ht="12.75" customHeight="1">
      <c r="G212" s="359" t="s">
        <v>932</v>
      </c>
      <c r="H212" s="281">
        <v>20.0</v>
      </c>
      <c r="I212" s="358">
        <v>9.769441187964048E-4</v>
      </c>
      <c r="K212" s="281"/>
      <c r="L212" s="359"/>
      <c r="M212" s="360"/>
      <c r="O212" s="372" t="str">
        <f>IFERROR(__xludf.DUMMYFUNCTION("""COMPUTED_VALUE"""),"Kraken Lair - Coral 2★ #1D4")</f>
        <v>Kraken Lair - Coral 2★ #1D4</v>
      </c>
      <c r="P212" s="281">
        <f>IFERROR(__xludf.DUMMYFUNCTION("""COMPUTED_VALUE"""),20.0)</f>
        <v>20</v>
      </c>
      <c r="Q212" s="360"/>
    </row>
    <row r="213" ht="12.75" customHeight="1">
      <c r="G213" s="359" t="s">
        <v>933</v>
      </c>
      <c r="H213" s="281">
        <v>20.0</v>
      </c>
      <c r="I213" s="358">
        <v>9.769441187964048E-4</v>
      </c>
      <c r="K213" s="281"/>
      <c r="L213" s="359"/>
      <c r="M213" s="360"/>
      <c r="O213" s="372" t="str">
        <f>IFERROR(__xludf.DUMMYFUNCTION("""COMPUTED_VALUE"""),"Kraken Lair - Coral 2★ #C89")</f>
        <v>Kraken Lair - Coral 2★ #C89</v>
      </c>
      <c r="P213" s="281">
        <f>IFERROR(__xludf.DUMMYFUNCTION("""COMPUTED_VALUE"""),20.0)</f>
        <v>20</v>
      </c>
      <c r="Q213" s="360"/>
    </row>
    <row r="214" ht="12.75" customHeight="1">
      <c r="G214" s="359" t="s">
        <v>934</v>
      </c>
      <c r="H214" s="281">
        <v>20.0</v>
      </c>
      <c r="I214" s="358">
        <v>9.769441187964048E-4</v>
      </c>
      <c r="K214" s="281"/>
      <c r="L214" s="359"/>
      <c r="M214" s="360"/>
      <c r="O214" s="372" t="str">
        <f>IFERROR(__xludf.DUMMYFUNCTION("""COMPUTED_VALUE"""),"Kraken Lair - Coral 2★ #73E")</f>
        <v>Kraken Lair - Coral 2★ #73E</v>
      </c>
      <c r="P214" s="281">
        <f>IFERROR(__xludf.DUMMYFUNCTION("""COMPUTED_VALUE"""),20.0)</f>
        <v>20</v>
      </c>
      <c r="Q214" s="360"/>
    </row>
    <row r="215" ht="12.75" customHeight="1">
      <c r="G215" s="359" t="s">
        <v>935</v>
      </c>
      <c r="H215" s="281">
        <v>20.0</v>
      </c>
      <c r="I215" s="358">
        <v>9.769441187964048E-4</v>
      </c>
      <c r="K215" s="281"/>
      <c r="L215" s="359"/>
      <c r="M215" s="360"/>
      <c r="O215" s="372" t="str">
        <f>IFERROR(__xludf.DUMMYFUNCTION("""COMPUTED_VALUE"""),"Kraken Lair - Coral 2★ #1F3")</f>
        <v>Kraken Lair - Coral 2★ #1F3</v>
      </c>
      <c r="P215" s="281">
        <f>IFERROR(__xludf.DUMMYFUNCTION("""COMPUTED_VALUE"""),20.0)</f>
        <v>20</v>
      </c>
      <c r="Q215" s="360"/>
    </row>
    <row r="216" ht="12.75" customHeight="1">
      <c r="G216" s="359" t="s">
        <v>936</v>
      </c>
      <c r="H216" s="281">
        <v>20.0</v>
      </c>
      <c r="I216" s="358">
        <v>9.769441187964048E-4</v>
      </c>
      <c r="K216" s="281"/>
      <c r="L216" s="359"/>
      <c r="M216" s="360"/>
      <c r="O216" s="372" t="str">
        <f>IFERROR(__xludf.DUMMYFUNCTION("""COMPUTED_VALUE"""),"Kraken Lair - Coral 2★ #CA8")</f>
        <v>Kraken Lair - Coral 2★ #CA8</v>
      </c>
      <c r="P216" s="281">
        <f>IFERROR(__xludf.DUMMYFUNCTION("""COMPUTED_VALUE"""),20.0)</f>
        <v>20</v>
      </c>
      <c r="Q216" s="360"/>
    </row>
    <row r="217" ht="12.75" customHeight="1">
      <c r="G217" s="359" t="s">
        <v>937</v>
      </c>
      <c r="H217" s="281">
        <v>20.0</v>
      </c>
      <c r="I217" s="358">
        <v>9.769441187964048E-4</v>
      </c>
      <c r="K217" s="281"/>
      <c r="L217" s="359"/>
      <c r="M217" s="360"/>
      <c r="O217" s="372" t="str">
        <f>IFERROR(__xludf.DUMMYFUNCTION("""COMPUTED_VALUE"""),"Kraken Lair - Coral 2★ #75D")</f>
        <v>Kraken Lair - Coral 2★ #75D</v>
      </c>
      <c r="P217" s="281">
        <f>IFERROR(__xludf.DUMMYFUNCTION("""COMPUTED_VALUE"""),20.0)</f>
        <v>20</v>
      </c>
      <c r="Q217" s="360"/>
    </row>
    <row r="218" ht="12.75" customHeight="1">
      <c r="G218" s="359" t="s">
        <v>938</v>
      </c>
      <c r="H218" s="281">
        <v>20.0</v>
      </c>
      <c r="I218" s="358">
        <v>9.769441187964048E-4</v>
      </c>
      <c r="K218" s="281"/>
      <c r="L218" s="359"/>
      <c r="M218" s="360"/>
      <c r="O218" s="372" t="str">
        <f>IFERROR(__xludf.DUMMYFUNCTION("""COMPUTED_VALUE"""),"Kraken Lair - Coral 2★ #212")</f>
        <v>Kraken Lair - Coral 2★ #212</v>
      </c>
      <c r="P218" s="281">
        <f>IFERROR(__xludf.DUMMYFUNCTION("""COMPUTED_VALUE"""),20.0)</f>
        <v>20</v>
      </c>
      <c r="Q218" s="360"/>
    </row>
    <row r="219" ht="12.75" customHeight="1">
      <c r="G219" s="359" t="s">
        <v>939</v>
      </c>
      <c r="H219" s="281">
        <v>10.0</v>
      </c>
      <c r="I219" s="358">
        <v>4.884720593982024E-4</v>
      </c>
      <c r="K219" s="281"/>
      <c r="L219" s="359"/>
      <c r="M219" s="360"/>
      <c r="O219" s="372" t="str">
        <f>IFERROR(__xludf.DUMMYFUNCTION("""COMPUTED_VALUE"""),"Kraken Lair - Lantern 3★ #CC7")</f>
        <v>Kraken Lair - Lantern 3★ #CC7</v>
      </c>
      <c r="P219" s="281">
        <f>IFERROR(__xludf.DUMMYFUNCTION("""COMPUTED_VALUE"""),10.0)</f>
        <v>10</v>
      </c>
      <c r="Q219" s="360"/>
    </row>
    <row r="220" ht="12.75" customHeight="1">
      <c r="G220" s="359" t="s">
        <v>940</v>
      </c>
      <c r="H220" s="281">
        <v>10.0</v>
      </c>
      <c r="I220" s="358">
        <v>4.884720593982024E-4</v>
      </c>
      <c r="K220" s="281"/>
      <c r="L220" s="359"/>
      <c r="M220" s="360"/>
      <c r="O220" s="372" t="str">
        <f>IFERROR(__xludf.DUMMYFUNCTION("""COMPUTED_VALUE"""),"Kraken Lair - Lantern 3★ #77C")</f>
        <v>Kraken Lair - Lantern 3★ #77C</v>
      </c>
      <c r="P220" s="281">
        <f>IFERROR(__xludf.DUMMYFUNCTION("""COMPUTED_VALUE"""),10.0)</f>
        <v>10</v>
      </c>
      <c r="Q220" s="360"/>
    </row>
    <row r="221" ht="12.75" customHeight="1">
      <c r="G221" s="359" t="s">
        <v>941</v>
      </c>
      <c r="H221" s="281">
        <v>10.0</v>
      </c>
      <c r="I221" s="358">
        <v>4.884720593982024E-4</v>
      </c>
      <c r="K221" s="281"/>
      <c r="L221" s="359"/>
      <c r="M221" s="360"/>
      <c r="O221" s="372" t="str">
        <f>IFERROR(__xludf.DUMMYFUNCTION("""COMPUTED_VALUE"""),"Kraken Lair - Lantern 3★ #231")</f>
        <v>Kraken Lair - Lantern 3★ #231</v>
      </c>
      <c r="P221" s="281">
        <f>IFERROR(__xludf.DUMMYFUNCTION("""COMPUTED_VALUE"""),10.0)</f>
        <v>10</v>
      </c>
      <c r="Q221" s="360"/>
    </row>
    <row r="222" ht="12.75" customHeight="1">
      <c r="G222" s="359" t="s">
        <v>942</v>
      </c>
      <c r="H222" s="281">
        <v>10.0</v>
      </c>
      <c r="I222" s="358">
        <v>4.884720593982024E-4</v>
      </c>
      <c r="K222" s="281"/>
      <c r="L222" s="359"/>
      <c r="M222" s="360"/>
      <c r="O222" s="372" t="str">
        <f>IFERROR(__xludf.DUMMYFUNCTION("""COMPUTED_VALUE"""),"Kraken Lair - Lantern 3★ #CE6")</f>
        <v>Kraken Lair - Lantern 3★ #CE6</v>
      </c>
      <c r="P222" s="281">
        <f>IFERROR(__xludf.DUMMYFUNCTION("""COMPUTED_VALUE"""),10.0)</f>
        <v>10</v>
      </c>
      <c r="Q222" s="360"/>
    </row>
    <row r="223" ht="12.75" customHeight="1">
      <c r="G223" s="359" t="s">
        <v>943</v>
      </c>
      <c r="H223" s="281">
        <v>10.0</v>
      </c>
      <c r="I223" s="358">
        <v>4.884720593982024E-4</v>
      </c>
      <c r="K223" s="281"/>
      <c r="L223" s="359"/>
      <c r="M223" s="360"/>
      <c r="O223" s="372" t="str">
        <f>IFERROR(__xludf.DUMMYFUNCTION("""COMPUTED_VALUE"""),"Kraken Lair - Lantern 3★ #79B")</f>
        <v>Kraken Lair - Lantern 3★ #79B</v>
      </c>
      <c r="P223" s="281">
        <f>IFERROR(__xludf.DUMMYFUNCTION("""COMPUTED_VALUE"""),10.0)</f>
        <v>10</v>
      </c>
      <c r="Q223" s="360"/>
    </row>
    <row r="224" ht="12.75" customHeight="1">
      <c r="G224" s="359" t="s">
        <v>944</v>
      </c>
      <c r="H224" s="281">
        <v>10.0</v>
      </c>
      <c r="I224" s="358">
        <v>4.884720593982024E-4</v>
      </c>
      <c r="K224" s="281"/>
      <c r="L224" s="359"/>
      <c r="M224" s="360"/>
      <c r="O224" s="372" t="str">
        <f>IFERROR(__xludf.DUMMYFUNCTION("""COMPUTED_VALUE"""),"Kraken Lair - Lantern 3★ #250")</f>
        <v>Kraken Lair - Lantern 3★ #250</v>
      </c>
      <c r="P224" s="281">
        <f>IFERROR(__xludf.DUMMYFUNCTION("""COMPUTED_VALUE"""),10.0)</f>
        <v>10</v>
      </c>
      <c r="Q224" s="360"/>
    </row>
    <row r="225" ht="12.75" customHeight="1">
      <c r="G225" s="359" t="s">
        <v>945</v>
      </c>
      <c r="H225" s="281">
        <v>10.0</v>
      </c>
      <c r="I225" s="358">
        <v>4.884720593982024E-4</v>
      </c>
      <c r="K225" s="281"/>
      <c r="L225" s="359"/>
      <c r="M225" s="360"/>
      <c r="O225" s="372" t="str">
        <f>IFERROR(__xludf.DUMMYFUNCTION("""COMPUTED_VALUE"""),"Kraken Lair - Lantern 3★ #D05")</f>
        <v>Kraken Lair - Lantern 3★ #D05</v>
      </c>
      <c r="P225" s="281">
        <f>IFERROR(__xludf.DUMMYFUNCTION("""COMPUTED_VALUE"""),10.0)</f>
        <v>10</v>
      </c>
      <c r="Q225" s="360"/>
    </row>
    <row r="226" ht="12.75" customHeight="1">
      <c r="G226" s="359" t="s">
        <v>946</v>
      </c>
      <c r="H226" s="281">
        <v>10.0</v>
      </c>
      <c r="I226" s="358">
        <v>4.884720593982024E-4</v>
      </c>
      <c r="K226" s="281"/>
      <c r="L226" s="359"/>
      <c r="M226" s="360"/>
      <c r="O226" s="372" t="str">
        <f>IFERROR(__xludf.DUMMYFUNCTION("""COMPUTED_VALUE"""),"Kraken Lair - Lantern 3★ #7BA")</f>
        <v>Kraken Lair - Lantern 3★ #7BA</v>
      </c>
      <c r="P226" s="281">
        <f>IFERROR(__xludf.DUMMYFUNCTION("""COMPUTED_VALUE"""),10.0)</f>
        <v>10</v>
      </c>
      <c r="Q226" s="360"/>
    </row>
    <row r="227" ht="12.75" customHeight="1">
      <c r="G227" s="359" t="s">
        <v>947</v>
      </c>
      <c r="H227" s="281">
        <v>10.0</v>
      </c>
      <c r="I227" s="358">
        <v>4.884720593982024E-4</v>
      </c>
      <c r="K227" s="281"/>
      <c r="L227" s="359"/>
      <c r="M227" s="360"/>
      <c r="O227" s="372" t="str">
        <f>IFERROR(__xludf.DUMMYFUNCTION("""COMPUTED_VALUE"""),"Kraken Lair - Lantern 3★ #26F")</f>
        <v>Kraken Lair - Lantern 3★ #26F</v>
      </c>
      <c r="P227" s="281">
        <f>IFERROR(__xludf.DUMMYFUNCTION("""COMPUTED_VALUE"""),10.0)</f>
        <v>10</v>
      </c>
      <c r="Q227" s="360"/>
    </row>
    <row r="228" ht="12.75" customHeight="1">
      <c r="G228" s="359" t="s">
        <v>948</v>
      </c>
      <c r="H228" s="281">
        <v>10.0</v>
      </c>
      <c r="I228" s="358">
        <v>4.884720593982024E-4</v>
      </c>
      <c r="K228" s="281"/>
      <c r="L228" s="359"/>
      <c r="M228" s="360"/>
      <c r="O228" s="372" t="str">
        <f>IFERROR(__xludf.DUMMYFUNCTION("""COMPUTED_VALUE"""),"Kraken Lair - Lantern 3★ #D24")</f>
        <v>Kraken Lair - Lantern 3★ #D24</v>
      </c>
      <c r="P228" s="281">
        <f>IFERROR(__xludf.DUMMYFUNCTION("""COMPUTED_VALUE"""),10.0)</f>
        <v>10</v>
      </c>
      <c r="Q228" s="360"/>
    </row>
    <row r="229" ht="12.75" customHeight="1">
      <c r="G229" s="359" t="s">
        <v>949</v>
      </c>
      <c r="H229" s="281">
        <v>10.0</v>
      </c>
      <c r="I229" s="358">
        <v>4.884720593982024E-4</v>
      </c>
      <c r="K229" s="281"/>
      <c r="L229" s="359"/>
      <c r="M229" s="360"/>
      <c r="O229" s="372" t="str">
        <f>IFERROR(__xludf.DUMMYFUNCTION("""COMPUTED_VALUE"""),"Kraken Lair - Lantern 3★ #7D9")</f>
        <v>Kraken Lair - Lantern 3★ #7D9</v>
      </c>
      <c r="P229" s="281">
        <f>IFERROR(__xludf.DUMMYFUNCTION("""COMPUTED_VALUE"""),10.0)</f>
        <v>10</v>
      </c>
      <c r="Q229" s="360"/>
    </row>
    <row r="230" ht="12.75" customHeight="1">
      <c r="G230" s="359" t="s">
        <v>950</v>
      </c>
      <c r="H230" s="281">
        <v>10.0</v>
      </c>
      <c r="I230" s="358">
        <v>4.884720593982024E-4</v>
      </c>
      <c r="K230" s="281"/>
      <c r="L230" s="359"/>
      <c r="M230" s="360"/>
      <c r="O230" s="372" t="str">
        <f>IFERROR(__xludf.DUMMYFUNCTION("""COMPUTED_VALUE"""),"Kraken Lair - Lantern 3★ #28E")</f>
        <v>Kraken Lair - Lantern 3★ #28E</v>
      </c>
      <c r="P230" s="281">
        <f>IFERROR(__xludf.DUMMYFUNCTION("""COMPUTED_VALUE"""),10.0)</f>
        <v>10</v>
      </c>
      <c r="Q230" s="360"/>
    </row>
    <row r="231" ht="12.75" customHeight="1">
      <c r="G231" s="359" t="s">
        <v>951</v>
      </c>
      <c r="H231" s="281">
        <v>10.0</v>
      </c>
      <c r="I231" s="358">
        <v>4.884720593982024E-4</v>
      </c>
      <c r="K231" s="281"/>
      <c r="L231" s="359"/>
      <c r="M231" s="360"/>
      <c r="O231" s="372" t="str">
        <f>IFERROR(__xludf.DUMMYFUNCTION("""COMPUTED_VALUE"""),"Kraken Lair - Lantern 3★ #D43")</f>
        <v>Kraken Lair - Lantern 3★ #D43</v>
      </c>
      <c r="P231" s="281">
        <f>IFERROR(__xludf.DUMMYFUNCTION("""COMPUTED_VALUE"""),10.0)</f>
        <v>10</v>
      </c>
      <c r="Q231" s="360"/>
    </row>
    <row r="232" ht="12.75" customHeight="1">
      <c r="G232" s="359" t="s">
        <v>952</v>
      </c>
      <c r="H232" s="281">
        <v>10.0</v>
      </c>
      <c r="I232" s="358">
        <v>4.884720593982024E-4</v>
      </c>
      <c r="K232" s="281"/>
      <c r="L232" s="359"/>
      <c r="M232" s="360"/>
      <c r="O232" s="372" t="str">
        <f>IFERROR(__xludf.DUMMYFUNCTION("""COMPUTED_VALUE"""),"Kraken Lair - Hook 3★ #7F8")</f>
        <v>Kraken Lair - Hook 3★ #7F8</v>
      </c>
      <c r="P232" s="281">
        <f>IFERROR(__xludf.DUMMYFUNCTION("""COMPUTED_VALUE"""),10.0)</f>
        <v>10</v>
      </c>
      <c r="Q232" s="360"/>
    </row>
    <row r="233" ht="12.75" customHeight="1">
      <c r="G233" s="359" t="s">
        <v>953</v>
      </c>
      <c r="H233" s="281">
        <v>10.0</v>
      </c>
      <c r="I233" s="358">
        <v>4.884720593982024E-4</v>
      </c>
      <c r="K233" s="281"/>
      <c r="L233" s="359"/>
      <c r="M233" s="360"/>
      <c r="O233" s="372" t="str">
        <f>IFERROR(__xludf.DUMMYFUNCTION("""COMPUTED_VALUE"""),"Kraken Lair - Hook 3★ #2AD")</f>
        <v>Kraken Lair - Hook 3★ #2AD</v>
      </c>
      <c r="P233" s="281">
        <f>IFERROR(__xludf.DUMMYFUNCTION("""COMPUTED_VALUE"""),10.0)</f>
        <v>10</v>
      </c>
      <c r="Q233" s="360"/>
    </row>
    <row r="234" ht="12.75" customHeight="1">
      <c r="G234" s="359" t="s">
        <v>954</v>
      </c>
      <c r="H234" s="281">
        <v>10.0</v>
      </c>
      <c r="I234" s="358">
        <v>4.884720593982024E-4</v>
      </c>
      <c r="K234" s="281"/>
      <c r="L234" s="359"/>
      <c r="M234" s="360"/>
      <c r="O234" s="372" t="str">
        <f>IFERROR(__xludf.DUMMYFUNCTION("""COMPUTED_VALUE"""),"Kraken Lair - Hook 3★ #D62")</f>
        <v>Kraken Lair - Hook 3★ #D62</v>
      </c>
      <c r="P234" s="281">
        <f>IFERROR(__xludf.DUMMYFUNCTION("""COMPUTED_VALUE"""),10.0)</f>
        <v>10</v>
      </c>
      <c r="Q234" s="360"/>
    </row>
    <row r="235" ht="12.75" customHeight="1">
      <c r="G235" s="359" t="s">
        <v>955</v>
      </c>
      <c r="H235" s="281">
        <v>10.0</v>
      </c>
      <c r="I235" s="358">
        <v>4.884720593982024E-4</v>
      </c>
      <c r="K235" s="281"/>
      <c r="L235" s="359"/>
      <c r="M235" s="360"/>
      <c r="O235" s="372" t="str">
        <f>IFERROR(__xludf.DUMMYFUNCTION("""COMPUTED_VALUE"""),"Kraken Lair - Hook 3★ #817")</f>
        <v>Kraken Lair - Hook 3★ #817</v>
      </c>
      <c r="P235" s="281">
        <f>IFERROR(__xludf.DUMMYFUNCTION("""COMPUTED_VALUE"""),10.0)</f>
        <v>10</v>
      </c>
      <c r="Q235" s="360"/>
    </row>
    <row r="236" ht="12.75" customHeight="1">
      <c r="G236" s="359" t="s">
        <v>956</v>
      </c>
      <c r="H236" s="281">
        <v>10.0</v>
      </c>
      <c r="I236" s="358">
        <v>4.884720593982024E-4</v>
      </c>
      <c r="K236" s="281"/>
      <c r="L236" s="359"/>
      <c r="M236" s="360"/>
      <c r="O236" s="372" t="str">
        <f>IFERROR(__xludf.DUMMYFUNCTION("""COMPUTED_VALUE"""),"Kraken Lair - Hook 3★ #2CC")</f>
        <v>Kraken Lair - Hook 3★ #2CC</v>
      </c>
      <c r="P236" s="281">
        <f>IFERROR(__xludf.DUMMYFUNCTION("""COMPUTED_VALUE"""),10.0)</f>
        <v>10</v>
      </c>
      <c r="Q236" s="360"/>
    </row>
    <row r="237" ht="12.75" customHeight="1">
      <c r="G237" s="359" t="s">
        <v>957</v>
      </c>
      <c r="H237" s="281">
        <v>10.0</v>
      </c>
      <c r="I237" s="358">
        <v>4.884720593982024E-4</v>
      </c>
      <c r="K237" s="281"/>
      <c r="L237" s="359"/>
      <c r="M237" s="360"/>
      <c r="O237" s="372" t="str">
        <f>IFERROR(__xludf.DUMMYFUNCTION("""COMPUTED_VALUE"""),"Kraken Lair - Hook 3★ #D81")</f>
        <v>Kraken Lair - Hook 3★ #D81</v>
      </c>
      <c r="P237" s="281">
        <f>IFERROR(__xludf.DUMMYFUNCTION("""COMPUTED_VALUE"""),10.0)</f>
        <v>10</v>
      </c>
      <c r="Q237" s="360"/>
    </row>
    <row r="238" ht="12.75" customHeight="1">
      <c r="G238" s="359" t="s">
        <v>958</v>
      </c>
      <c r="H238" s="281">
        <v>10.0</v>
      </c>
      <c r="I238" s="358">
        <v>4.884720593982024E-4</v>
      </c>
      <c r="K238" s="281"/>
      <c r="L238" s="359"/>
      <c r="M238" s="360"/>
      <c r="O238" s="372" t="str">
        <f>IFERROR(__xludf.DUMMYFUNCTION("""COMPUTED_VALUE"""),"Kraken Lair - Hook 3★ #836")</f>
        <v>Kraken Lair - Hook 3★ #836</v>
      </c>
      <c r="P238" s="281">
        <f>IFERROR(__xludf.DUMMYFUNCTION("""COMPUTED_VALUE"""),10.0)</f>
        <v>10</v>
      </c>
      <c r="Q238" s="360"/>
    </row>
    <row r="239" ht="12.75" customHeight="1">
      <c r="G239" s="359" t="s">
        <v>959</v>
      </c>
      <c r="H239" s="281">
        <v>10.0</v>
      </c>
      <c r="I239" s="358">
        <v>4.884720593982024E-4</v>
      </c>
      <c r="K239" s="281"/>
      <c r="L239" s="359"/>
      <c r="M239" s="360"/>
      <c r="O239" s="372" t="str">
        <f>IFERROR(__xludf.DUMMYFUNCTION("""COMPUTED_VALUE"""),"Kraken Lair - Hook 3★ #2EB")</f>
        <v>Kraken Lair - Hook 3★ #2EB</v>
      </c>
      <c r="P239" s="281">
        <f>IFERROR(__xludf.DUMMYFUNCTION("""COMPUTED_VALUE"""),10.0)</f>
        <v>10</v>
      </c>
      <c r="Q239" s="360"/>
    </row>
    <row r="240" ht="12.75" customHeight="1">
      <c r="G240" s="359" t="s">
        <v>960</v>
      </c>
      <c r="H240" s="281">
        <v>10.0</v>
      </c>
      <c r="I240" s="358">
        <v>4.884720593982024E-4</v>
      </c>
      <c r="K240" s="281"/>
      <c r="L240" s="359"/>
      <c r="M240" s="360"/>
      <c r="O240" s="372" t="str">
        <f>IFERROR(__xludf.DUMMYFUNCTION("""COMPUTED_VALUE"""),"Kraken Lair - Hook 3★ #DA0")</f>
        <v>Kraken Lair - Hook 3★ #DA0</v>
      </c>
      <c r="P240" s="281">
        <f>IFERROR(__xludf.DUMMYFUNCTION("""COMPUTED_VALUE"""),10.0)</f>
        <v>10</v>
      </c>
      <c r="Q240" s="360"/>
    </row>
    <row r="241" ht="12.75" customHeight="1">
      <c r="G241" s="359" t="s">
        <v>961</v>
      </c>
      <c r="H241" s="281">
        <v>10.0</v>
      </c>
      <c r="I241" s="358">
        <v>4.884720593982024E-4</v>
      </c>
      <c r="K241" s="281"/>
      <c r="L241" s="359"/>
      <c r="M241" s="360"/>
      <c r="O241" s="372" t="str">
        <f>IFERROR(__xludf.DUMMYFUNCTION("""COMPUTED_VALUE"""),"Kraken Lair - Hook 3★ #855")</f>
        <v>Kraken Lair - Hook 3★ #855</v>
      </c>
      <c r="P241" s="281">
        <f>IFERROR(__xludf.DUMMYFUNCTION("""COMPUTED_VALUE"""),10.0)</f>
        <v>10</v>
      </c>
      <c r="Q241" s="360"/>
    </row>
    <row r="242" ht="12.75" customHeight="1">
      <c r="G242" s="359" t="s">
        <v>962</v>
      </c>
      <c r="H242" s="281">
        <v>10.0</v>
      </c>
      <c r="I242" s="358">
        <v>4.884720593982024E-4</v>
      </c>
      <c r="K242" s="281"/>
      <c r="L242" s="359"/>
      <c r="M242" s="360"/>
      <c r="O242" s="372" t="str">
        <f>IFERROR(__xludf.DUMMYFUNCTION("""COMPUTED_VALUE"""),"Kraken Lair - Hook 3★ #30A")</f>
        <v>Kraken Lair - Hook 3★ #30A</v>
      </c>
      <c r="P242" s="281">
        <f>IFERROR(__xludf.DUMMYFUNCTION("""COMPUTED_VALUE"""),10.0)</f>
        <v>10</v>
      </c>
      <c r="Q242" s="360"/>
    </row>
    <row r="243" ht="12.75" customHeight="1">
      <c r="G243" s="359" t="s">
        <v>963</v>
      </c>
      <c r="H243" s="281">
        <v>10.0</v>
      </c>
      <c r="I243" s="358">
        <v>4.884720593982024E-4</v>
      </c>
      <c r="K243" s="281"/>
      <c r="L243" s="359"/>
      <c r="M243" s="360"/>
      <c r="O243" s="372" t="str">
        <f>IFERROR(__xludf.DUMMYFUNCTION("""COMPUTED_VALUE"""),"Kraken Lair - Hook 3★ #DBF")</f>
        <v>Kraken Lair - Hook 3★ #DBF</v>
      </c>
      <c r="P243" s="281">
        <f>IFERROR(__xludf.DUMMYFUNCTION("""COMPUTED_VALUE"""),10.0)</f>
        <v>10</v>
      </c>
      <c r="Q243" s="360"/>
    </row>
    <row r="244" ht="12.75" customHeight="1">
      <c r="G244" s="359" t="s">
        <v>964</v>
      </c>
      <c r="H244" s="281">
        <v>10.0</v>
      </c>
      <c r="I244" s="358">
        <v>4.884720593982024E-4</v>
      </c>
      <c r="K244" s="281"/>
      <c r="L244" s="359"/>
      <c r="M244" s="360"/>
      <c r="O244" s="372" t="str">
        <f>IFERROR(__xludf.DUMMYFUNCTION("""COMPUTED_VALUE"""),"Kraken Lair - Hook 3★ #874")</f>
        <v>Kraken Lair - Hook 3★ #874</v>
      </c>
      <c r="P244" s="281">
        <f>IFERROR(__xludf.DUMMYFUNCTION("""COMPUTED_VALUE"""),10.0)</f>
        <v>10</v>
      </c>
      <c r="Q244" s="360"/>
    </row>
    <row r="245" ht="12.75" customHeight="1">
      <c r="G245" s="359" t="s">
        <v>965</v>
      </c>
      <c r="H245" s="281">
        <v>5.0</v>
      </c>
      <c r="I245" s="358">
        <v>2.442360296991012E-4</v>
      </c>
      <c r="K245" s="281"/>
      <c r="L245" s="359"/>
      <c r="M245" s="360"/>
      <c r="O245" s="372" t="str">
        <f>IFERROR(__xludf.DUMMYFUNCTION("""COMPUTED_VALUE"""),"Kraken Lair - Eyepatch 4★ #329")</f>
        <v>Kraken Lair - Eyepatch 4★ #329</v>
      </c>
      <c r="P245" s="281">
        <f>IFERROR(__xludf.DUMMYFUNCTION("""COMPUTED_VALUE"""),5.0)</f>
        <v>5</v>
      </c>
      <c r="Q245" s="360"/>
    </row>
    <row r="246" ht="12.75" customHeight="1">
      <c r="G246" s="359" t="s">
        <v>966</v>
      </c>
      <c r="H246" s="281">
        <v>5.0</v>
      </c>
      <c r="I246" s="358">
        <v>2.442360296991012E-4</v>
      </c>
      <c r="K246" s="281"/>
      <c r="L246" s="359"/>
      <c r="M246" s="360"/>
      <c r="O246" s="372" t="str">
        <f>IFERROR(__xludf.DUMMYFUNCTION("""COMPUTED_VALUE"""),"Kraken Lair - Eyepatch 4★ #DDE")</f>
        <v>Kraken Lair - Eyepatch 4★ #DDE</v>
      </c>
      <c r="P246" s="281">
        <f>IFERROR(__xludf.DUMMYFUNCTION("""COMPUTED_VALUE"""),5.0)</f>
        <v>5</v>
      </c>
      <c r="Q246" s="360"/>
    </row>
    <row r="247" ht="12.75" customHeight="1">
      <c r="G247" s="359" t="s">
        <v>967</v>
      </c>
      <c r="H247" s="281">
        <v>5.0</v>
      </c>
      <c r="I247" s="358">
        <v>2.442360296991012E-4</v>
      </c>
      <c r="K247" s="281"/>
      <c r="L247" s="359"/>
      <c r="M247" s="360"/>
      <c r="O247" s="372" t="str">
        <f>IFERROR(__xludf.DUMMYFUNCTION("""COMPUTED_VALUE"""),"Kraken Lair - Eyepatch 4★ #893")</f>
        <v>Kraken Lair - Eyepatch 4★ #893</v>
      </c>
      <c r="P247" s="281">
        <f>IFERROR(__xludf.DUMMYFUNCTION("""COMPUTED_VALUE"""),5.0)</f>
        <v>5</v>
      </c>
      <c r="Q247" s="360"/>
    </row>
    <row r="248" ht="12.75" customHeight="1">
      <c r="G248" s="359" t="s">
        <v>968</v>
      </c>
      <c r="H248" s="281">
        <v>5.0</v>
      </c>
      <c r="I248" s="358">
        <v>2.442360296991012E-4</v>
      </c>
      <c r="K248" s="281"/>
      <c r="L248" s="359"/>
      <c r="M248" s="360"/>
      <c r="O248" s="372" t="str">
        <f>IFERROR(__xludf.DUMMYFUNCTION("""COMPUTED_VALUE"""),"Kraken Lair - Eyepatch 4★ #348")</f>
        <v>Kraken Lair - Eyepatch 4★ #348</v>
      </c>
      <c r="P248" s="281">
        <f>IFERROR(__xludf.DUMMYFUNCTION("""COMPUTED_VALUE"""),5.0)</f>
        <v>5</v>
      </c>
      <c r="Q248" s="360"/>
    </row>
    <row r="249" ht="12.75" customHeight="1">
      <c r="G249" s="359" t="s">
        <v>969</v>
      </c>
      <c r="H249" s="281">
        <v>5.0</v>
      </c>
      <c r="I249" s="358">
        <v>2.442360296991012E-4</v>
      </c>
      <c r="K249" s="281"/>
      <c r="L249" s="359"/>
      <c r="M249" s="360"/>
      <c r="O249" s="372" t="str">
        <f>IFERROR(__xludf.DUMMYFUNCTION("""COMPUTED_VALUE"""),"Kraken Lair - Eyepatch 4★ #DFD")</f>
        <v>Kraken Lair - Eyepatch 4★ #DFD</v>
      </c>
      <c r="P249" s="281">
        <f>IFERROR(__xludf.DUMMYFUNCTION("""COMPUTED_VALUE"""),5.0)</f>
        <v>5</v>
      </c>
      <c r="Q249" s="360"/>
    </row>
    <row r="250" ht="12.75" customHeight="1">
      <c r="G250" s="359" t="s">
        <v>970</v>
      </c>
      <c r="H250" s="281">
        <v>5.0</v>
      </c>
      <c r="I250" s="358">
        <v>2.442360296991012E-4</v>
      </c>
      <c r="K250" s="281"/>
      <c r="L250" s="359"/>
      <c r="M250" s="360"/>
      <c r="O250" s="372" t="str">
        <f>IFERROR(__xludf.DUMMYFUNCTION("""COMPUTED_VALUE"""),"Kraken Lair - Eyepatch 4★ #8B2")</f>
        <v>Kraken Lair - Eyepatch 4★ #8B2</v>
      </c>
      <c r="P250" s="281">
        <f>IFERROR(__xludf.DUMMYFUNCTION("""COMPUTED_VALUE"""),5.0)</f>
        <v>5</v>
      </c>
      <c r="Q250" s="360"/>
    </row>
    <row r="251" ht="12.75" customHeight="1">
      <c r="G251" s="359" t="s">
        <v>971</v>
      </c>
      <c r="H251" s="281">
        <v>5.0</v>
      </c>
      <c r="I251" s="358">
        <v>2.442360296991012E-4</v>
      </c>
      <c r="K251" s="281"/>
      <c r="L251" s="359"/>
      <c r="M251" s="360"/>
      <c r="O251" s="372" t="str">
        <f>IFERROR(__xludf.DUMMYFUNCTION("""COMPUTED_VALUE"""),"Kraken Lair - Eyepatch 4★ #367")</f>
        <v>Kraken Lair - Eyepatch 4★ #367</v>
      </c>
      <c r="P251" s="281">
        <f>IFERROR(__xludf.DUMMYFUNCTION("""COMPUTED_VALUE"""),5.0)</f>
        <v>5</v>
      </c>
      <c r="Q251" s="360"/>
    </row>
    <row r="252" ht="12.75" customHeight="1">
      <c r="G252" s="359" t="s">
        <v>972</v>
      </c>
      <c r="H252" s="281">
        <v>5.0</v>
      </c>
      <c r="I252" s="358">
        <v>2.442360296991012E-4</v>
      </c>
      <c r="K252" s="281"/>
      <c r="L252" s="359"/>
      <c r="M252" s="360"/>
      <c r="O252" s="372" t="str">
        <f>IFERROR(__xludf.DUMMYFUNCTION("""COMPUTED_VALUE"""),"Kraken Lair - Eyepatch 4★ #E1C")</f>
        <v>Kraken Lair - Eyepatch 4★ #E1C</v>
      </c>
      <c r="P252" s="281">
        <f>IFERROR(__xludf.DUMMYFUNCTION("""COMPUTED_VALUE"""),5.0)</f>
        <v>5</v>
      </c>
      <c r="Q252" s="360"/>
    </row>
    <row r="253" ht="12.75" customHeight="1">
      <c r="G253" s="359" t="s">
        <v>973</v>
      </c>
      <c r="H253" s="281">
        <v>5.0</v>
      </c>
      <c r="I253" s="358">
        <v>2.442360296991012E-4</v>
      </c>
      <c r="K253" s="281"/>
      <c r="L253" s="359"/>
      <c r="M253" s="360"/>
      <c r="O253" s="372" t="str">
        <f>IFERROR(__xludf.DUMMYFUNCTION("""COMPUTED_VALUE"""),"Kraken Lair - Eyepatch 4★ #8D1")</f>
        <v>Kraken Lair - Eyepatch 4★ #8D1</v>
      </c>
      <c r="P253" s="281">
        <f>IFERROR(__xludf.DUMMYFUNCTION("""COMPUTED_VALUE"""),5.0)</f>
        <v>5</v>
      </c>
      <c r="Q253" s="360"/>
    </row>
    <row r="254" ht="12.75" customHeight="1">
      <c r="G254" s="359" t="s">
        <v>974</v>
      </c>
      <c r="H254" s="281">
        <v>5.0</v>
      </c>
      <c r="I254" s="358">
        <v>2.442360296991012E-4</v>
      </c>
      <c r="K254" s="281"/>
      <c r="L254" s="359"/>
      <c r="M254" s="360"/>
      <c r="O254" s="372" t="str">
        <f>IFERROR(__xludf.DUMMYFUNCTION("""COMPUTED_VALUE"""),"Kraken Lair - Eyepatch 4★ #386")</f>
        <v>Kraken Lair - Eyepatch 4★ #386</v>
      </c>
      <c r="P254" s="281">
        <f>IFERROR(__xludf.DUMMYFUNCTION("""COMPUTED_VALUE"""),5.0)</f>
        <v>5</v>
      </c>
      <c r="Q254" s="360"/>
    </row>
    <row r="255" ht="12.75" customHeight="1">
      <c r="G255" s="359" t="s">
        <v>975</v>
      </c>
      <c r="H255" s="281">
        <v>5.0</v>
      </c>
      <c r="I255" s="358">
        <v>2.442360296991012E-4</v>
      </c>
      <c r="K255" s="281"/>
      <c r="L255" s="359"/>
      <c r="M255" s="360"/>
      <c r="O255" s="372" t="str">
        <f>IFERROR(__xludf.DUMMYFUNCTION("""COMPUTED_VALUE"""),"Kraken Lair - Eyepatch 4★ #E3B")</f>
        <v>Kraken Lair - Eyepatch 4★ #E3B</v>
      </c>
      <c r="P255" s="281">
        <f>IFERROR(__xludf.DUMMYFUNCTION("""COMPUTED_VALUE"""),5.0)</f>
        <v>5</v>
      </c>
      <c r="Q255" s="360"/>
    </row>
    <row r="256" ht="12.75" customHeight="1">
      <c r="G256" s="359" t="s">
        <v>976</v>
      </c>
      <c r="H256" s="281">
        <v>5.0</v>
      </c>
      <c r="I256" s="358">
        <v>2.442360296991012E-4</v>
      </c>
      <c r="K256" s="281"/>
      <c r="L256" s="359"/>
      <c r="M256" s="360"/>
      <c r="O256" s="372" t="str">
        <f>IFERROR(__xludf.DUMMYFUNCTION("""COMPUTED_VALUE"""),"Kraken Lair - Eyepatch 4★ #8F0")</f>
        <v>Kraken Lair - Eyepatch 4★ #8F0</v>
      </c>
      <c r="P256" s="281">
        <f>IFERROR(__xludf.DUMMYFUNCTION("""COMPUTED_VALUE"""),5.0)</f>
        <v>5</v>
      </c>
      <c r="Q256" s="360"/>
    </row>
    <row r="257" ht="12.75" customHeight="1">
      <c r="G257" s="359" t="s">
        <v>977</v>
      </c>
      <c r="H257" s="281">
        <v>50.0</v>
      </c>
      <c r="I257" s="358">
        <v>0.0024423602969910123</v>
      </c>
      <c r="K257" s="281"/>
      <c r="L257" s="359"/>
      <c r="M257" s="360"/>
      <c r="O257" s="372" t="str">
        <f>IFERROR(__xludf.DUMMYFUNCTION("""COMPUTED_VALUE"""),"Gold Cove - Doubloon 1★ #3A5")</f>
        <v>Gold Cove - Doubloon 1★ #3A5</v>
      </c>
      <c r="P257" s="281">
        <f>IFERROR(__xludf.DUMMYFUNCTION("""COMPUTED_VALUE"""),50.0)</f>
        <v>50</v>
      </c>
      <c r="Q257" s="360"/>
    </row>
    <row r="258" ht="12.75" customHeight="1">
      <c r="G258" s="359" t="s">
        <v>978</v>
      </c>
      <c r="H258" s="281">
        <v>50.0</v>
      </c>
      <c r="I258" s="358">
        <v>0.0024423602969910123</v>
      </c>
      <c r="K258" s="281"/>
      <c r="L258" s="359"/>
      <c r="M258" s="360"/>
      <c r="O258" s="372" t="str">
        <f>IFERROR(__xludf.DUMMYFUNCTION("""COMPUTED_VALUE"""),"Gold Cove - Doubloon 1★ #E5A")</f>
        <v>Gold Cove - Doubloon 1★ #E5A</v>
      </c>
      <c r="P258" s="281">
        <f>IFERROR(__xludf.DUMMYFUNCTION("""COMPUTED_VALUE"""),50.0)</f>
        <v>50</v>
      </c>
      <c r="Q258" s="360"/>
    </row>
    <row r="259" ht="12.75" customHeight="1">
      <c r="G259" s="359" t="s">
        <v>979</v>
      </c>
      <c r="H259" s="281">
        <v>50.0</v>
      </c>
      <c r="I259" s="358">
        <v>0.0024423602969910123</v>
      </c>
      <c r="K259" s="281"/>
      <c r="L259" s="359"/>
      <c r="M259" s="360"/>
      <c r="O259" s="372" t="str">
        <f>IFERROR(__xludf.DUMMYFUNCTION("""COMPUTED_VALUE"""),"Gold Cove - Doubloon 1★ #90F")</f>
        <v>Gold Cove - Doubloon 1★ #90F</v>
      </c>
      <c r="P259" s="281">
        <f>IFERROR(__xludf.DUMMYFUNCTION("""COMPUTED_VALUE"""),50.0)</f>
        <v>50</v>
      </c>
      <c r="Q259" s="360"/>
    </row>
    <row r="260" ht="12.75" customHeight="1">
      <c r="G260" s="359" t="s">
        <v>980</v>
      </c>
      <c r="H260" s="281">
        <v>50.0</v>
      </c>
      <c r="I260" s="358">
        <v>0.0024423602969910123</v>
      </c>
      <c r="K260" s="281"/>
      <c r="L260" s="359"/>
      <c r="M260" s="360"/>
      <c r="O260" s="372" t="str">
        <f>IFERROR(__xludf.DUMMYFUNCTION("""COMPUTED_VALUE"""),"Gold Cove - Doubloon 1★ #3C4")</f>
        <v>Gold Cove - Doubloon 1★ #3C4</v>
      </c>
      <c r="P260" s="281">
        <f>IFERROR(__xludf.DUMMYFUNCTION("""COMPUTED_VALUE"""),50.0)</f>
        <v>50</v>
      </c>
      <c r="Q260" s="360"/>
    </row>
    <row r="261" ht="12.75" customHeight="1">
      <c r="G261" s="359" t="s">
        <v>981</v>
      </c>
      <c r="H261" s="281">
        <v>50.0</v>
      </c>
      <c r="I261" s="358">
        <v>0.0024423602969910123</v>
      </c>
      <c r="K261" s="281"/>
      <c r="L261" s="359"/>
      <c r="M261" s="360"/>
      <c r="O261" s="372" t="str">
        <f>IFERROR(__xludf.DUMMYFUNCTION("""COMPUTED_VALUE"""),"Gold Cove - Doubloon 1★ #E79")</f>
        <v>Gold Cove - Doubloon 1★ #E79</v>
      </c>
      <c r="P261" s="281">
        <f>IFERROR(__xludf.DUMMYFUNCTION("""COMPUTED_VALUE"""),50.0)</f>
        <v>50</v>
      </c>
      <c r="Q261" s="360"/>
    </row>
    <row r="262" ht="12.75" customHeight="1">
      <c r="G262" s="359" t="s">
        <v>982</v>
      </c>
      <c r="H262" s="281">
        <v>50.0</v>
      </c>
      <c r="I262" s="358">
        <v>0.0024423602969910123</v>
      </c>
      <c r="K262" s="281"/>
      <c r="L262" s="359"/>
      <c r="M262" s="360"/>
      <c r="O262" s="372" t="str">
        <f>IFERROR(__xludf.DUMMYFUNCTION("""COMPUTED_VALUE"""),"Gold Cove - Doubloon 1★ #92E")</f>
        <v>Gold Cove - Doubloon 1★ #92E</v>
      </c>
      <c r="P262" s="281">
        <f>IFERROR(__xludf.DUMMYFUNCTION("""COMPUTED_VALUE"""),50.0)</f>
        <v>50</v>
      </c>
      <c r="Q262" s="360"/>
    </row>
    <row r="263" ht="12.75" customHeight="1">
      <c r="G263" s="359" t="s">
        <v>983</v>
      </c>
      <c r="H263" s="281">
        <v>50.0</v>
      </c>
      <c r="I263" s="358">
        <v>0.0024423602969910123</v>
      </c>
      <c r="K263" s="281"/>
      <c r="L263" s="359"/>
      <c r="M263" s="360"/>
      <c r="O263" s="372" t="str">
        <f>IFERROR(__xludf.DUMMYFUNCTION("""COMPUTED_VALUE"""),"Gold Cove - Doubloon 1★ #3E3")</f>
        <v>Gold Cove - Doubloon 1★ #3E3</v>
      </c>
      <c r="P263" s="281">
        <f>IFERROR(__xludf.DUMMYFUNCTION("""COMPUTED_VALUE"""),50.0)</f>
        <v>50</v>
      </c>
      <c r="Q263" s="360"/>
    </row>
    <row r="264" ht="12.75" customHeight="1">
      <c r="G264" s="359" t="s">
        <v>984</v>
      </c>
      <c r="H264" s="281">
        <v>50.0</v>
      </c>
      <c r="I264" s="358">
        <v>0.0024423602969910123</v>
      </c>
      <c r="K264" s="281"/>
      <c r="L264" s="359"/>
      <c r="M264" s="360"/>
      <c r="O264" s="372" t="str">
        <f>IFERROR(__xludf.DUMMYFUNCTION("""COMPUTED_VALUE"""),"Gold Cove - Doubloon 1★ #E98")</f>
        <v>Gold Cove - Doubloon 1★ #E98</v>
      </c>
      <c r="P264" s="281">
        <f>IFERROR(__xludf.DUMMYFUNCTION("""COMPUTED_VALUE"""),50.0)</f>
        <v>50</v>
      </c>
      <c r="Q264" s="360"/>
    </row>
    <row r="265" ht="12.75" customHeight="1">
      <c r="G265" s="359" t="s">
        <v>985</v>
      </c>
      <c r="H265" s="281">
        <v>50.0</v>
      </c>
      <c r="I265" s="358">
        <v>0.0024423602969910123</v>
      </c>
      <c r="K265" s="281"/>
      <c r="L265" s="359"/>
      <c r="M265" s="360"/>
      <c r="O265" s="372" t="str">
        <f>IFERROR(__xludf.DUMMYFUNCTION("""COMPUTED_VALUE"""),"Gold Cove - Doubloon 1★ #94D")</f>
        <v>Gold Cove - Doubloon 1★ #94D</v>
      </c>
      <c r="P265" s="281">
        <f>IFERROR(__xludf.DUMMYFUNCTION("""COMPUTED_VALUE"""),50.0)</f>
        <v>50</v>
      </c>
      <c r="Q265" s="360"/>
    </row>
    <row r="266" ht="12.75" customHeight="1">
      <c r="G266" s="359" t="s">
        <v>986</v>
      </c>
      <c r="H266" s="281">
        <v>50.0</v>
      </c>
      <c r="I266" s="358">
        <v>0.0024423602969910123</v>
      </c>
      <c r="K266" s="281"/>
      <c r="L266" s="359"/>
      <c r="M266" s="360"/>
      <c r="O266" s="372" t="str">
        <f>IFERROR(__xludf.DUMMYFUNCTION("""COMPUTED_VALUE"""),"Gold Cove - Doubloon 1★ #402")</f>
        <v>Gold Cove - Doubloon 1★ #402</v>
      </c>
      <c r="P266" s="281">
        <f>IFERROR(__xludf.DUMMYFUNCTION("""COMPUTED_VALUE"""),50.0)</f>
        <v>50</v>
      </c>
      <c r="Q266" s="360"/>
    </row>
    <row r="267" ht="12.75" customHeight="1">
      <c r="G267" s="359" t="s">
        <v>987</v>
      </c>
      <c r="H267" s="281">
        <v>50.0</v>
      </c>
      <c r="I267" s="358">
        <v>0.0024423602969910123</v>
      </c>
      <c r="K267" s="281"/>
      <c r="L267" s="359"/>
      <c r="M267" s="360"/>
      <c r="O267" s="372" t="str">
        <f>IFERROR(__xludf.DUMMYFUNCTION("""COMPUTED_VALUE"""),"Gold Cove - Doubloon 1★ #EB7")</f>
        <v>Gold Cove - Doubloon 1★ #EB7</v>
      </c>
      <c r="P267" s="281">
        <f>IFERROR(__xludf.DUMMYFUNCTION("""COMPUTED_VALUE"""),50.0)</f>
        <v>50</v>
      </c>
      <c r="Q267" s="360"/>
    </row>
    <row r="268" ht="12.75" customHeight="1">
      <c r="G268" s="359" t="s">
        <v>988</v>
      </c>
      <c r="H268" s="281">
        <v>50.0</v>
      </c>
      <c r="I268" s="358">
        <v>0.0024423602969910123</v>
      </c>
      <c r="K268" s="281"/>
      <c r="L268" s="359"/>
      <c r="M268" s="360"/>
      <c r="O268" s="372" t="str">
        <f>IFERROR(__xludf.DUMMYFUNCTION("""COMPUTED_VALUE"""),"Gold Cove - Doubloon 1★ #96C")</f>
        <v>Gold Cove - Doubloon 1★ #96C</v>
      </c>
      <c r="P268" s="281">
        <f>IFERROR(__xludf.DUMMYFUNCTION("""COMPUTED_VALUE"""),50.0)</f>
        <v>50</v>
      </c>
      <c r="Q268" s="360"/>
    </row>
    <row r="269" ht="12.75" customHeight="1">
      <c r="G269" s="359" t="s">
        <v>989</v>
      </c>
      <c r="H269" s="281">
        <v>50.0</v>
      </c>
      <c r="I269" s="358">
        <v>0.0024423602969910123</v>
      </c>
      <c r="K269" s="281"/>
      <c r="L269" s="359"/>
      <c r="M269" s="360"/>
      <c r="O269" s="372" t="str">
        <f>IFERROR(__xludf.DUMMYFUNCTION("""COMPUTED_VALUE"""),"Gold Cove - Doubloon 1★ #421")</f>
        <v>Gold Cove - Doubloon 1★ #421</v>
      </c>
      <c r="P269" s="281">
        <f>IFERROR(__xludf.DUMMYFUNCTION("""COMPUTED_VALUE"""),50.0)</f>
        <v>50</v>
      </c>
      <c r="Q269" s="360"/>
    </row>
    <row r="270" ht="12.75" customHeight="1">
      <c r="G270" s="359" t="s">
        <v>990</v>
      </c>
      <c r="H270" s="281">
        <v>50.0</v>
      </c>
      <c r="I270" s="358">
        <v>0.0024423602969910123</v>
      </c>
      <c r="K270" s="281"/>
      <c r="L270" s="359"/>
      <c r="M270" s="360"/>
      <c r="O270" s="372" t="str">
        <f>IFERROR(__xludf.DUMMYFUNCTION("""COMPUTED_VALUE"""),"Gold Cove - Ruby 1★ #ED6")</f>
        <v>Gold Cove - Ruby 1★ #ED6</v>
      </c>
      <c r="P270" s="281">
        <f>IFERROR(__xludf.DUMMYFUNCTION("""COMPUTED_VALUE"""),50.0)</f>
        <v>50</v>
      </c>
      <c r="Q270" s="360"/>
    </row>
    <row r="271" ht="12.75" customHeight="1">
      <c r="G271" s="359" t="s">
        <v>991</v>
      </c>
      <c r="H271" s="281">
        <v>50.0</v>
      </c>
      <c r="I271" s="358">
        <v>0.0024423602969910123</v>
      </c>
      <c r="K271" s="281"/>
      <c r="L271" s="359"/>
      <c r="M271" s="360"/>
      <c r="O271" s="372" t="str">
        <f>IFERROR(__xludf.DUMMYFUNCTION("""COMPUTED_VALUE"""),"Gold Cove - Ruby 1★ #98B")</f>
        <v>Gold Cove - Ruby 1★ #98B</v>
      </c>
      <c r="P271" s="281">
        <f>IFERROR(__xludf.DUMMYFUNCTION("""COMPUTED_VALUE"""),50.0)</f>
        <v>50</v>
      </c>
      <c r="Q271" s="360"/>
    </row>
    <row r="272" ht="12.75" customHeight="1">
      <c r="G272" s="359" t="s">
        <v>992</v>
      </c>
      <c r="H272" s="281">
        <v>50.0</v>
      </c>
      <c r="I272" s="358">
        <v>0.0024423602969910123</v>
      </c>
      <c r="K272" s="281"/>
      <c r="L272" s="359"/>
      <c r="M272" s="360"/>
      <c r="O272" s="372" t="str">
        <f>IFERROR(__xludf.DUMMYFUNCTION("""COMPUTED_VALUE"""),"Gold Cove - Ruby 1★ #440")</f>
        <v>Gold Cove - Ruby 1★ #440</v>
      </c>
      <c r="P272" s="281">
        <f>IFERROR(__xludf.DUMMYFUNCTION("""COMPUTED_VALUE"""),50.0)</f>
        <v>50</v>
      </c>
      <c r="Q272" s="360"/>
    </row>
    <row r="273" ht="12.75" customHeight="1">
      <c r="G273" s="359" t="s">
        <v>993</v>
      </c>
      <c r="H273" s="281">
        <v>50.0</v>
      </c>
      <c r="I273" s="358">
        <v>0.0024423602969910123</v>
      </c>
      <c r="K273" s="281"/>
      <c r="L273" s="359"/>
      <c r="M273" s="360"/>
      <c r="O273" s="372" t="str">
        <f>IFERROR(__xludf.DUMMYFUNCTION("""COMPUTED_VALUE"""),"Gold Cove - Ruby 1★ #EF5")</f>
        <v>Gold Cove - Ruby 1★ #EF5</v>
      </c>
      <c r="P273" s="281">
        <f>IFERROR(__xludf.DUMMYFUNCTION("""COMPUTED_VALUE"""),50.0)</f>
        <v>50</v>
      </c>
      <c r="Q273" s="360"/>
    </row>
    <row r="274" ht="12.75" customHeight="1">
      <c r="G274" s="359" t="s">
        <v>994</v>
      </c>
      <c r="H274" s="281">
        <v>50.0</v>
      </c>
      <c r="I274" s="358">
        <v>0.0024423602969910123</v>
      </c>
      <c r="K274" s="281"/>
      <c r="L274" s="359"/>
      <c r="M274" s="360"/>
      <c r="O274" s="372" t="str">
        <f>IFERROR(__xludf.DUMMYFUNCTION("""COMPUTED_VALUE"""),"Gold Cove - Ruby 1★ #9AA")</f>
        <v>Gold Cove - Ruby 1★ #9AA</v>
      </c>
      <c r="P274" s="281">
        <f>IFERROR(__xludf.DUMMYFUNCTION("""COMPUTED_VALUE"""),50.0)</f>
        <v>50</v>
      </c>
      <c r="Q274" s="360"/>
    </row>
    <row r="275" ht="12.75" customHeight="1">
      <c r="G275" s="359" t="s">
        <v>995</v>
      </c>
      <c r="H275" s="281">
        <v>50.0</v>
      </c>
      <c r="I275" s="358">
        <v>0.0024423602969910123</v>
      </c>
      <c r="K275" s="281"/>
      <c r="L275" s="359"/>
      <c r="M275" s="360"/>
      <c r="O275" s="372" t="str">
        <f>IFERROR(__xludf.DUMMYFUNCTION("""COMPUTED_VALUE"""),"Gold Cove - Ruby 1★ #45F")</f>
        <v>Gold Cove - Ruby 1★ #45F</v>
      </c>
      <c r="P275" s="281">
        <f>IFERROR(__xludf.DUMMYFUNCTION("""COMPUTED_VALUE"""),50.0)</f>
        <v>50</v>
      </c>
      <c r="Q275" s="360"/>
    </row>
    <row r="276" ht="12.75" customHeight="1">
      <c r="G276" s="359" t="s">
        <v>996</v>
      </c>
      <c r="H276" s="281">
        <v>50.0</v>
      </c>
      <c r="I276" s="358">
        <v>0.0024423602969910123</v>
      </c>
      <c r="K276" s="281"/>
      <c r="L276" s="359"/>
      <c r="M276" s="360"/>
      <c r="O276" s="372" t="str">
        <f>IFERROR(__xludf.DUMMYFUNCTION("""COMPUTED_VALUE"""),"Gold Cove - Ruby 1★ #F14")</f>
        <v>Gold Cove - Ruby 1★ #F14</v>
      </c>
      <c r="P276" s="281">
        <f>IFERROR(__xludf.DUMMYFUNCTION("""COMPUTED_VALUE"""),50.0)</f>
        <v>50</v>
      </c>
      <c r="Q276" s="360"/>
    </row>
    <row r="277" ht="12.75" customHeight="1">
      <c r="G277" s="359" t="s">
        <v>997</v>
      </c>
      <c r="H277" s="281">
        <v>50.0</v>
      </c>
      <c r="I277" s="358">
        <v>0.0024423602969910123</v>
      </c>
      <c r="K277" s="281"/>
      <c r="L277" s="359"/>
      <c r="M277" s="360"/>
      <c r="O277" s="372" t="str">
        <f>IFERROR(__xludf.DUMMYFUNCTION("""COMPUTED_VALUE"""),"Gold Cove - Ruby 1★ #9C9")</f>
        <v>Gold Cove - Ruby 1★ #9C9</v>
      </c>
      <c r="P277" s="281">
        <f>IFERROR(__xludf.DUMMYFUNCTION("""COMPUTED_VALUE"""),50.0)</f>
        <v>50</v>
      </c>
      <c r="Q277" s="360"/>
    </row>
    <row r="278" ht="12.75" customHeight="1">
      <c r="G278" s="359" t="s">
        <v>998</v>
      </c>
      <c r="H278" s="281">
        <v>50.0</v>
      </c>
      <c r="I278" s="358">
        <v>0.0024423602969910123</v>
      </c>
      <c r="K278" s="281"/>
      <c r="L278" s="359"/>
      <c r="M278" s="360"/>
      <c r="O278" s="372" t="str">
        <f>IFERROR(__xludf.DUMMYFUNCTION("""COMPUTED_VALUE"""),"Gold Cove - Ruby 1★ #47E")</f>
        <v>Gold Cove - Ruby 1★ #47E</v>
      </c>
      <c r="P278" s="281">
        <f>IFERROR(__xludf.DUMMYFUNCTION("""COMPUTED_VALUE"""),50.0)</f>
        <v>50</v>
      </c>
      <c r="Q278" s="360"/>
    </row>
    <row r="279" ht="12.75" customHeight="1">
      <c r="G279" s="359" t="s">
        <v>999</v>
      </c>
      <c r="H279" s="281">
        <v>50.0</v>
      </c>
      <c r="I279" s="358">
        <v>0.0024423602969910123</v>
      </c>
      <c r="K279" s="281"/>
      <c r="L279" s="359"/>
      <c r="M279" s="360"/>
      <c r="O279" s="372" t="str">
        <f>IFERROR(__xludf.DUMMYFUNCTION("""COMPUTED_VALUE"""),"Gold Cove - Ruby 1★ #F33")</f>
        <v>Gold Cove - Ruby 1★ #F33</v>
      </c>
      <c r="P279" s="281">
        <f>IFERROR(__xludf.DUMMYFUNCTION("""COMPUTED_VALUE"""),50.0)</f>
        <v>50</v>
      </c>
      <c r="Q279" s="360"/>
    </row>
    <row r="280" ht="12.75" customHeight="1">
      <c r="G280" s="359" t="s">
        <v>1000</v>
      </c>
      <c r="H280" s="281">
        <v>50.0</v>
      </c>
      <c r="I280" s="358">
        <v>0.0024423602969910123</v>
      </c>
      <c r="K280" s="281"/>
      <c r="L280" s="359"/>
      <c r="M280" s="360"/>
      <c r="O280" s="372" t="str">
        <f>IFERROR(__xludf.DUMMYFUNCTION("""COMPUTED_VALUE"""),"Gold Cove - Ruby 1★ #9E8")</f>
        <v>Gold Cove - Ruby 1★ #9E8</v>
      </c>
      <c r="P280" s="281">
        <f>IFERROR(__xludf.DUMMYFUNCTION("""COMPUTED_VALUE"""),50.0)</f>
        <v>50</v>
      </c>
      <c r="Q280" s="360"/>
    </row>
    <row r="281" ht="12.75" customHeight="1">
      <c r="G281" s="359" t="s">
        <v>1001</v>
      </c>
      <c r="H281" s="281">
        <v>50.0</v>
      </c>
      <c r="I281" s="358">
        <v>0.0024423602969910123</v>
      </c>
      <c r="K281" s="281"/>
      <c r="L281" s="359"/>
      <c r="M281" s="360"/>
      <c r="O281" s="372" t="str">
        <f>IFERROR(__xludf.DUMMYFUNCTION("""COMPUTED_VALUE"""),"Gold Cove - Ruby 1★ #49D")</f>
        <v>Gold Cove - Ruby 1★ #49D</v>
      </c>
      <c r="P281" s="281">
        <f>IFERROR(__xludf.DUMMYFUNCTION("""COMPUTED_VALUE"""),50.0)</f>
        <v>50</v>
      </c>
      <c r="Q281" s="360"/>
    </row>
    <row r="282" ht="12.75" customHeight="1">
      <c r="G282" s="359" t="s">
        <v>1002</v>
      </c>
      <c r="H282" s="281">
        <v>50.0</v>
      </c>
      <c r="I282" s="358">
        <v>0.0024423602969910123</v>
      </c>
      <c r="K282" s="281"/>
      <c r="L282" s="359"/>
      <c r="M282" s="360"/>
      <c r="O282" s="372" t="str">
        <f>IFERROR(__xludf.DUMMYFUNCTION("""COMPUTED_VALUE"""),"Gold Cove - Ruby 1★ #F52")</f>
        <v>Gold Cove - Ruby 1★ #F52</v>
      </c>
      <c r="P282" s="281">
        <f>IFERROR(__xludf.DUMMYFUNCTION("""COMPUTED_VALUE"""),50.0)</f>
        <v>50</v>
      </c>
      <c r="Q282" s="360"/>
    </row>
    <row r="283" ht="12.75" customHeight="1">
      <c r="G283" s="359" t="s">
        <v>1003</v>
      </c>
      <c r="H283" s="281">
        <v>50.0</v>
      </c>
      <c r="I283" s="358">
        <v>0.0024423602969910123</v>
      </c>
      <c r="K283" s="281"/>
      <c r="L283" s="359"/>
      <c r="M283" s="360"/>
      <c r="O283" s="372" t="str">
        <f>IFERROR(__xludf.DUMMYFUNCTION("""COMPUTED_VALUE"""),"Gold Cove - Emerald 1★ #A07")</f>
        <v>Gold Cove - Emerald 1★ #A07</v>
      </c>
      <c r="P283" s="281">
        <f>IFERROR(__xludf.DUMMYFUNCTION("""COMPUTED_VALUE"""),50.0)</f>
        <v>50</v>
      </c>
      <c r="Q283" s="360"/>
    </row>
    <row r="284" ht="12.75" customHeight="1">
      <c r="G284" s="359" t="s">
        <v>1004</v>
      </c>
      <c r="H284" s="281">
        <v>50.0</v>
      </c>
      <c r="I284" s="358">
        <v>0.0024423602969910123</v>
      </c>
      <c r="K284" s="281"/>
      <c r="L284" s="359"/>
      <c r="M284" s="360"/>
      <c r="O284" s="372" t="str">
        <f>IFERROR(__xludf.DUMMYFUNCTION("""COMPUTED_VALUE"""),"Gold Cove - Emerald 1★ #4BC")</f>
        <v>Gold Cove - Emerald 1★ #4BC</v>
      </c>
      <c r="P284" s="281">
        <f>IFERROR(__xludf.DUMMYFUNCTION("""COMPUTED_VALUE"""),50.0)</f>
        <v>50</v>
      </c>
      <c r="Q284" s="360"/>
    </row>
    <row r="285" ht="12.75" customHeight="1">
      <c r="G285" s="359" t="s">
        <v>1005</v>
      </c>
      <c r="H285" s="281">
        <v>50.0</v>
      </c>
      <c r="I285" s="358">
        <v>0.0024423602969910123</v>
      </c>
      <c r="K285" s="281"/>
      <c r="L285" s="359"/>
      <c r="M285" s="360"/>
      <c r="O285" s="372" t="str">
        <f>IFERROR(__xludf.DUMMYFUNCTION("""COMPUTED_VALUE"""),"Gold Cove - Emerald 1★ #F71")</f>
        <v>Gold Cove - Emerald 1★ #F71</v>
      </c>
      <c r="P285" s="281">
        <f>IFERROR(__xludf.DUMMYFUNCTION("""COMPUTED_VALUE"""),50.0)</f>
        <v>50</v>
      </c>
      <c r="Q285" s="360"/>
    </row>
    <row r="286" ht="12.75" customHeight="1">
      <c r="G286" s="359" t="s">
        <v>1006</v>
      </c>
      <c r="H286" s="281">
        <v>50.0</v>
      </c>
      <c r="I286" s="358">
        <v>0.0024423602969910123</v>
      </c>
      <c r="K286" s="281"/>
      <c r="L286" s="359"/>
      <c r="M286" s="360"/>
      <c r="O286" s="372" t="str">
        <f>IFERROR(__xludf.DUMMYFUNCTION("""COMPUTED_VALUE"""),"Gold Cove - Emerald 1★ #A26")</f>
        <v>Gold Cove - Emerald 1★ #A26</v>
      </c>
      <c r="P286" s="281">
        <f>IFERROR(__xludf.DUMMYFUNCTION("""COMPUTED_VALUE"""),50.0)</f>
        <v>50</v>
      </c>
      <c r="Q286" s="360"/>
    </row>
    <row r="287" ht="12.75" customHeight="1">
      <c r="G287" s="359" t="s">
        <v>1007</v>
      </c>
      <c r="H287" s="281">
        <v>50.0</v>
      </c>
      <c r="I287" s="358">
        <v>0.0024423602969910123</v>
      </c>
      <c r="K287" s="281"/>
      <c r="L287" s="359"/>
      <c r="M287" s="360"/>
      <c r="O287" s="372" t="str">
        <f>IFERROR(__xludf.DUMMYFUNCTION("""COMPUTED_VALUE"""),"Gold Cove - Emerald 1★ #4DB")</f>
        <v>Gold Cove - Emerald 1★ #4DB</v>
      </c>
      <c r="P287" s="281">
        <f>IFERROR(__xludf.DUMMYFUNCTION("""COMPUTED_VALUE"""),50.0)</f>
        <v>50</v>
      </c>
      <c r="Q287" s="360"/>
    </row>
    <row r="288" ht="12.75" customHeight="1">
      <c r="G288" s="359" t="s">
        <v>1008</v>
      </c>
      <c r="H288" s="281">
        <v>50.0</v>
      </c>
      <c r="I288" s="358">
        <v>0.0024423602969910123</v>
      </c>
      <c r="K288" s="281"/>
      <c r="L288" s="359"/>
      <c r="M288" s="360"/>
      <c r="O288" s="372" t="str">
        <f>IFERROR(__xludf.DUMMYFUNCTION("""COMPUTED_VALUE"""),"Gold Cove - Emerald 1★ #F90")</f>
        <v>Gold Cove - Emerald 1★ #F90</v>
      </c>
      <c r="P288" s="281">
        <f>IFERROR(__xludf.DUMMYFUNCTION("""COMPUTED_VALUE"""),50.0)</f>
        <v>50</v>
      </c>
      <c r="Q288" s="360"/>
    </row>
    <row r="289" ht="12.75" customHeight="1">
      <c r="G289" s="359" t="s">
        <v>1009</v>
      </c>
      <c r="H289" s="281">
        <v>50.0</v>
      </c>
      <c r="I289" s="358">
        <v>0.0024423602969910123</v>
      </c>
      <c r="K289" s="281"/>
      <c r="L289" s="359"/>
      <c r="M289" s="360"/>
      <c r="O289" s="372" t="str">
        <f>IFERROR(__xludf.DUMMYFUNCTION("""COMPUTED_VALUE"""),"Gold Cove - Emerald 1★ #A45")</f>
        <v>Gold Cove - Emerald 1★ #A45</v>
      </c>
      <c r="P289" s="281">
        <f>IFERROR(__xludf.DUMMYFUNCTION("""COMPUTED_VALUE"""),50.0)</f>
        <v>50</v>
      </c>
      <c r="Q289" s="360"/>
    </row>
    <row r="290" ht="12.75" customHeight="1">
      <c r="G290" s="359" t="s">
        <v>1010</v>
      </c>
      <c r="H290" s="281">
        <v>50.0</v>
      </c>
      <c r="I290" s="358">
        <v>0.0024423602969910123</v>
      </c>
      <c r="K290" s="281"/>
      <c r="L290" s="359"/>
      <c r="M290" s="360"/>
      <c r="O290" s="372" t="str">
        <f>IFERROR(__xludf.DUMMYFUNCTION("""COMPUTED_VALUE"""),"Gold Cove - Emerald 1★ #4FA")</f>
        <v>Gold Cove - Emerald 1★ #4FA</v>
      </c>
      <c r="P290" s="281">
        <f>IFERROR(__xludf.DUMMYFUNCTION("""COMPUTED_VALUE"""),50.0)</f>
        <v>50</v>
      </c>
      <c r="Q290" s="360"/>
    </row>
    <row r="291" ht="12.75" customHeight="1">
      <c r="G291" s="359" t="s">
        <v>1011</v>
      </c>
      <c r="H291" s="281">
        <v>50.0</v>
      </c>
      <c r="I291" s="358">
        <v>0.0024423602969910123</v>
      </c>
      <c r="K291" s="281"/>
      <c r="L291" s="359"/>
      <c r="M291" s="360"/>
      <c r="O291" s="372" t="str">
        <f>IFERROR(__xludf.DUMMYFUNCTION("""COMPUTED_VALUE"""),"Gold Cove - Emerald 1★ #FAF")</f>
        <v>Gold Cove - Emerald 1★ #FAF</v>
      </c>
      <c r="P291" s="281">
        <f>IFERROR(__xludf.DUMMYFUNCTION("""COMPUTED_VALUE"""),50.0)</f>
        <v>50</v>
      </c>
      <c r="Q291" s="360"/>
    </row>
    <row r="292" ht="12.75" customHeight="1">
      <c r="G292" s="359" t="s">
        <v>1012</v>
      </c>
      <c r="H292" s="281">
        <v>50.0</v>
      </c>
      <c r="I292" s="358">
        <v>0.0024423602969910123</v>
      </c>
      <c r="K292" s="281"/>
      <c r="L292" s="359"/>
      <c r="M292" s="360"/>
      <c r="O292" s="372" t="str">
        <f>IFERROR(__xludf.DUMMYFUNCTION("""COMPUTED_VALUE"""),"Gold Cove - Emerald 1★ #A64")</f>
        <v>Gold Cove - Emerald 1★ #A64</v>
      </c>
      <c r="P292" s="281">
        <f>IFERROR(__xludf.DUMMYFUNCTION("""COMPUTED_VALUE"""),50.0)</f>
        <v>50</v>
      </c>
      <c r="Q292" s="360"/>
    </row>
    <row r="293" ht="12.75" customHeight="1">
      <c r="G293" s="359" t="s">
        <v>1013</v>
      </c>
      <c r="H293" s="281">
        <v>50.0</v>
      </c>
      <c r="I293" s="358">
        <v>0.0024423602969910123</v>
      </c>
      <c r="K293" s="281"/>
      <c r="L293" s="359"/>
      <c r="M293" s="360"/>
      <c r="O293" s="372" t="str">
        <f>IFERROR(__xludf.DUMMYFUNCTION("""COMPUTED_VALUE"""),"Gold Cove - Emerald 1★ #519")</f>
        <v>Gold Cove - Emerald 1★ #519</v>
      </c>
      <c r="P293" s="281">
        <f>IFERROR(__xludf.DUMMYFUNCTION("""COMPUTED_VALUE"""),50.0)</f>
        <v>50</v>
      </c>
      <c r="Q293" s="360"/>
    </row>
    <row r="294" ht="12.75" customHeight="1">
      <c r="G294" s="359" t="s">
        <v>1014</v>
      </c>
      <c r="H294" s="281">
        <v>50.0</v>
      </c>
      <c r="I294" s="358">
        <v>0.0024423602969910123</v>
      </c>
      <c r="K294" s="281"/>
      <c r="L294" s="359"/>
      <c r="M294" s="360"/>
      <c r="O294" s="372" t="str">
        <f>IFERROR(__xludf.DUMMYFUNCTION("""COMPUTED_VALUE"""),"Gold Cove - Emerald 1★ #FCE")</f>
        <v>Gold Cove - Emerald 1★ #FCE</v>
      </c>
      <c r="P294" s="281">
        <f>IFERROR(__xludf.DUMMYFUNCTION("""COMPUTED_VALUE"""),50.0)</f>
        <v>50</v>
      </c>
      <c r="Q294" s="360"/>
    </row>
    <row r="295" ht="12.75" customHeight="1">
      <c r="G295" s="359" t="s">
        <v>1015</v>
      </c>
      <c r="H295" s="281">
        <v>50.0</v>
      </c>
      <c r="I295" s="358">
        <v>0.0024423602969910123</v>
      </c>
      <c r="K295" s="281"/>
      <c r="L295" s="359"/>
      <c r="M295" s="360"/>
      <c r="O295" s="372" t="str">
        <f>IFERROR(__xludf.DUMMYFUNCTION("""COMPUTED_VALUE"""),"Gold Cove - Emerald 1★ #A83")</f>
        <v>Gold Cove - Emerald 1★ #A83</v>
      </c>
      <c r="P295" s="281">
        <f>IFERROR(__xludf.DUMMYFUNCTION("""COMPUTED_VALUE"""),50.0)</f>
        <v>50</v>
      </c>
      <c r="Q295" s="360"/>
    </row>
    <row r="296" ht="12.75" customHeight="1">
      <c r="G296" s="359" t="s">
        <v>1016</v>
      </c>
      <c r="H296" s="281">
        <v>20.0</v>
      </c>
      <c r="I296" s="358">
        <v>9.769441187964048E-4</v>
      </c>
      <c r="K296" s="281"/>
      <c r="L296" s="359"/>
      <c r="M296" s="360"/>
      <c r="O296" s="372" t="str">
        <f>IFERROR(__xludf.DUMMYFUNCTION("""COMPUTED_VALUE"""),"Gold Cove - Diamond 2★ #538")</f>
        <v>Gold Cove - Diamond 2★ #538</v>
      </c>
      <c r="P296" s="281">
        <f>IFERROR(__xludf.DUMMYFUNCTION("""COMPUTED_VALUE"""),20.0)</f>
        <v>20</v>
      </c>
      <c r="Q296" s="360"/>
    </row>
    <row r="297" ht="12.75" customHeight="1">
      <c r="G297" s="359" t="s">
        <v>1017</v>
      </c>
      <c r="H297" s="281">
        <v>20.0</v>
      </c>
      <c r="I297" s="358">
        <v>9.769441187964048E-4</v>
      </c>
      <c r="K297" s="281"/>
      <c r="L297" s="359"/>
      <c r="M297" s="360"/>
      <c r="O297" s="372" t="str">
        <f>IFERROR(__xludf.DUMMYFUNCTION("""COMPUTED_VALUE"""),"Gold Cove - Diamond 2★ #FED")</f>
        <v>Gold Cove - Diamond 2★ #FED</v>
      </c>
      <c r="P297" s="281">
        <f>IFERROR(__xludf.DUMMYFUNCTION("""COMPUTED_VALUE"""),20.0)</f>
        <v>20</v>
      </c>
      <c r="Q297" s="360"/>
    </row>
    <row r="298" ht="12.75" customHeight="1">
      <c r="G298" s="359" t="s">
        <v>1018</v>
      </c>
      <c r="H298" s="281">
        <v>20.0</v>
      </c>
      <c r="I298" s="358">
        <v>9.769441187964048E-4</v>
      </c>
      <c r="K298" s="281"/>
      <c r="L298" s="359"/>
      <c r="M298" s="360"/>
      <c r="O298" s="372" t="str">
        <f>IFERROR(__xludf.DUMMYFUNCTION("""COMPUTED_VALUE"""),"Gold Cove - Diamond 2★ #AA2")</f>
        <v>Gold Cove - Diamond 2★ #AA2</v>
      </c>
      <c r="P298" s="281">
        <f>IFERROR(__xludf.DUMMYFUNCTION("""COMPUTED_VALUE"""),20.0)</f>
        <v>20</v>
      </c>
      <c r="Q298" s="360"/>
    </row>
    <row r="299" ht="12.75" customHeight="1">
      <c r="G299" s="359" t="s">
        <v>1019</v>
      </c>
      <c r="H299" s="281">
        <v>20.0</v>
      </c>
      <c r="I299" s="358">
        <v>9.769441187964048E-4</v>
      </c>
      <c r="K299" s="281"/>
      <c r="L299" s="359"/>
      <c r="M299" s="360"/>
      <c r="O299" s="372" t="str">
        <f>IFERROR(__xludf.DUMMYFUNCTION("""COMPUTED_VALUE"""),"Gold Cove - Diamond 2★ #557")</f>
        <v>Gold Cove - Diamond 2★ #557</v>
      </c>
      <c r="P299" s="281">
        <f>IFERROR(__xludf.DUMMYFUNCTION("""COMPUTED_VALUE"""),20.0)</f>
        <v>20</v>
      </c>
      <c r="Q299" s="360"/>
    </row>
    <row r="300" ht="12.75" customHeight="1">
      <c r="G300" s="359" t="s">
        <v>1020</v>
      </c>
      <c r="H300" s="281">
        <v>20.0</v>
      </c>
      <c r="I300" s="358">
        <v>9.769441187964048E-4</v>
      </c>
      <c r="K300" s="281"/>
      <c r="L300" s="359"/>
      <c r="M300" s="360"/>
      <c r="O300" s="372" t="str">
        <f>IFERROR(__xludf.DUMMYFUNCTION("""COMPUTED_VALUE"""),"Gold Cove - Diamond 2★ #00C")</f>
        <v>Gold Cove - Diamond 2★ #00C</v>
      </c>
      <c r="P300" s="281">
        <f>IFERROR(__xludf.DUMMYFUNCTION("""COMPUTED_VALUE"""),20.0)</f>
        <v>20</v>
      </c>
      <c r="Q300" s="360"/>
    </row>
    <row r="301" ht="12.75" customHeight="1">
      <c r="G301" s="359" t="s">
        <v>1021</v>
      </c>
      <c r="H301" s="281">
        <v>20.0</v>
      </c>
      <c r="I301" s="358">
        <v>9.769441187964048E-4</v>
      </c>
      <c r="K301" s="281"/>
      <c r="L301" s="359"/>
      <c r="M301" s="360"/>
      <c r="O301" s="372" t="str">
        <f>IFERROR(__xludf.DUMMYFUNCTION("""COMPUTED_VALUE"""),"Gold Cove - Diamond 2★ #AC1")</f>
        <v>Gold Cove - Diamond 2★ #AC1</v>
      </c>
      <c r="P301" s="281">
        <f>IFERROR(__xludf.DUMMYFUNCTION("""COMPUTED_VALUE"""),20.0)</f>
        <v>20</v>
      </c>
      <c r="Q301" s="360"/>
    </row>
    <row r="302" ht="12.75" customHeight="1">
      <c r="G302" s="359" t="s">
        <v>1022</v>
      </c>
      <c r="H302" s="281">
        <v>20.0</v>
      </c>
      <c r="I302" s="358">
        <v>9.769441187964048E-4</v>
      </c>
      <c r="K302" s="281"/>
      <c r="L302" s="359"/>
      <c r="M302" s="360"/>
      <c r="O302" s="372" t="str">
        <f>IFERROR(__xludf.DUMMYFUNCTION("""COMPUTED_VALUE"""),"Gold Cove - Diamond 2★ #576")</f>
        <v>Gold Cove - Diamond 2★ #576</v>
      </c>
      <c r="P302" s="281">
        <f>IFERROR(__xludf.DUMMYFUNCTION("""COMPUTED_VALUE"""),20.0)</f>
        <v>20</v>
      </c>
      <c r="Q302" s="360"/>
    </row>
    <row r="303" ht="12.75" customHeight="1">
      <c r="G303" s="359" t="s">
        <v>1023</v>
      </c>
      <c r="H303" s="281">
        <v>20.0</v>
      </c>
      <c r="I303" s="358">
        <v>9.769441187964048E-4</v>
      </c>
      <c r="K303" s="281"/>
      <c r="L303" s="359"/>
      <c r="M303" s="360"/>
      <c r="O303" s="372" t="str">
        <f>IFERROR(__xludf.DUMMYFUNCTION("""COMPUTED_VALUE"""),"Gold Cove - Diamond 2★ #02B")</f>
        <v>Gold Cove - Diamond 2★ #02B</v>
      </c>
      <c r="P303" s="281">
        <f>IFERROR(__xludf.DUMMYFUNCTION("""COMPUTED_VALUE"""),20.0)</f>
        <v>20</v>
      </c>
      <c r="Q303" s="360"/>
    </row>
    <row r="304" ht="12.75" customHeight="1">
      <c r="G304" s="359" t="s">
        <v>1024</v>
      </c>
      <c r="H304" s="281">
        <v>20.0</v>
      </c>
      <c r="I304" s="358">
        <v>9.769441187964048E-4</v>
      </c>
      <c r="K304" s="281"/>
      <c r="L304" s="359"/>
      <c r="M304" s="360"/>
      <c r="O304" s="372" t="str">
        <f>IFERROR(__xludf.DUMMYFUNCTION("""COMPUTED_VALUE"""),"Gold Cove - Diamond 2★ #AE0")</f>
        <v>Gold Cove - Diamond 2★ #AE0</v>
      </c>
      <c r="P304" s="281">
        <f>IFERROR(__xludf.DUMMYFUNCTION("""COMPUTED_VALUE"""),20.0)</f>
        <v>20</v>
      </c>
      <c r="Q304" s="360"/>
    </row>
    <row r="305" ht="12.75" customHeight="1">
      <c r="G305" s="359" t="s">
        <v>1025</v>
      </c>
      <c r="H305" s="281">
        <v>20.0</v>
      </c>
      <c r="I305" s="358">
        <v>9.769441187964048E-4</v>
      </c>
      <c r="K305" s="281"/>
      <c r="L305" s="359"/>
      <c r="M305" s="360"/>
      <c r="O305" s="372" t="str">
        <f>IFERROR(__xludf.DUMMYFUNCTION("""COMPUTED_VALUE"""),"Gold Cove - Diamond 2★ #595")</f>
        <v>Gold Cove - Diamond 2★ #595</v>
      </c>
      <c r="P305" s="281">
        <f>IFERROR(__xludf.DUMMYFUNCTION("""COMPUTED_VALUE"""),20.0)</f>
        <v>20</v>
      </c>
      <c r="Q305" s="360"/>
    </row>
    <row r="306" ht="12.75" customHeight="1">
      <c r="G306" s="359" t="s">
        <v>1026</v>
      </c>
      <c r="H306" s="281">
        <v>20.0</v>
      </c>
      <c r="I306" s="358">
        <v>9.769441187964048E-4</v>
      </c>
      <c r="K306" s="281"/>
      <c r="L306" s="359"/>
      <c r="M306" s="360"/>
      <c r="O306" s="372" t="str">
        <f>IFERROR(__xludf.DUMMYFUNCTION("""COMPUTED_VALUE"""),"Gold Cove - Diamond 2★ #04A")</f>
        <v>Gold Cove - Diamond 2★ #04A</v>
      </c>
      <c r="P306" s="281">
        <f>IFERROR(__xludf.DUMMYFUNCTION("""COMPUTED_VALUE"""),20.0)</f>
        <v>20</v>
      </c>
      <c r="Q306" s="360"/>
    </row>
    <row r="307" ht="12.75" customHeight="1">
      <c r="G307" s="359" t="s">
        <v>1027</v>
      </c>
      <c r="H307" s="281">
        <v>20.0</v>
      </c>
      <c r="I307" s="358">
        <v>9.769441187964048E-4</v>
      </c>
      <c r="K307" s="281"/>
      <c r="L307" s="359"/>
      <c r="M307" s="360"/>
      <c r="O307" s="372" t="str">
        <f>IFERROR(__xludf.DUMMYFUNCTION("""COMPUTED_VALUE"""),"Gold Cove - Diamond 2★ #AFF")</f>
        <v>Gold Cove - Diamond 2★ #AFF</v>
      </c>
      <c r="P307" s="281">
        <f>IFERROR(__xludf.DUMMYFUNCTION("""COMPUTED_VALUE"""),20.0)</f>
        <v>20</v>
      </c>
      <c r="Q307" s="360"/>
    </row>
    <row r="308" ht="12.75" customHeight="1">
      <c r="G308" s="359" t="s">
        <v>1028</v>
      </c>
      <c r="H308" s="281">
        <v>20.0</v>
      </c>
      <c r="I308" s="358">
        <v>9.769441187964048E-4</v>
      </c>
      <c r="K308" s="281"/>
      <c r="L308" s="359"/>
      <c r="M308" s="360"/>
      <c r="O308" s="372" t="str">
        <f>IFERROR(__xludf.DUMMYFUNCTION("""COMPUTED_VALUE"""),"Gold Cove - Diamond 2★ #5B4")</f>
        <v>Gold Cove - Diamond 2★ #5B4</v>
      </c>
      <c r="P308" s="281">
        <f>IFERROR(__xludf.DUMMYFUNCTION("""COMPUTED_VALUE"""),20.0)</f>
        <v>20</v>
      </c>
      <c r="Q308" s="360"/>
    </row>
    <row r="309" ht="12.75" customHeight="1">
      <c r="G309" s="359" t="s">
        <v>1029</v>
      </c>
      <c r="H309" s="281">
        <v>20.0</v>
      </c>
      <c r="I309" s="358">
        <v>9.769441187964048E-4</v>
      </c>
      <c r="K309" s="281"/>
      <c r="L309" s="359"/>
      <c r="M309" s="360"/>
      <c r="O309" s="372" t="str">
        <f>IFERROR(__xludf.DUMMYFUNCTION("""COMPUTED_VALUE"""),"Gold Cove - Crown 2★ #069")</f>
        <v>Gold Cove - Crown 2★ #069</v>
      </c>
      <c r="P309" s="281">
        <f>IFERROR(__xludf.DUMMYFUNCTION("""COMPUTED_VALUE"""),20.0)</f>
        <v>20</v>
      </c>
      <c r="Q309" s="360"/>
    </row>
    <row r="310" ht="12.75" customHeight="1">
      <c r="G310" s="359" t="s">
        <v>1030</v>
      </c>
      <c r="H310" s="281">
        <v>20.0</v>
      </c>
      <c r="I310" s="358">
        <v>9.769441187964048E-4</v>
      </c>
      <c r="K310" s="281"/>
      <c r="L310" s="359"/>
      <c r="M310" s="360"/>
      <c r="O310" s="372" t="str">
        <f>IFERROR(__xludf.DUMMYFUNCTION("""COMPUTED_VALUE"""),"Gold Cove - Crown 2★ #B1E")</f>
        <v>Gold Cove - Crown 2★ #B1E</v>
      </c>
      <c r="P310" s="281">
        <f>IFERROR(__xludf.DUMMYFUNCTION("""COMPUTED_VALUE"""),20.0)</f>
        <v>20</v>
      </c>
      <c r="Q310" s="360"/>
    </row>
    <row r="311" ht="12.75" customHeight="1">
      <c r="G311" s="359" t="s">
        <v>1031</v>
      </c>
      <c r="H311" s="281">
        <v>20.0</v>
      </c>
      <c r="I311" s="358">
        <v>9.769441187964048E-4</v>
      </c>
      <c r="K311" s="281"/>
      <c r="L311" s="359"/>
      <c r="M311" s="360"/>
      <c r="O311" s="372" t="str">
        <f>IFERROR(__xludf.DUMMYFUNCTION("""COMPUTED_VALUE"""),"Gold Cove - Crown 2★ #5D3")</f>
        <v>Gold Cove - Crown 2★ #5D3</v>
      </c>
      <c r="P311" s="281">
        <f>IFERROR(__xludf.DUMMYFUNCTION("""COMPUTED_VALUE"""),20.0)</f>
        <v>20</v>
      </c>
      <c r="Q311" s="360"/>
    </row>
    <row r="312" ht="12.75" customHeight="1">
      <c r="G312" s="359" t="s">
        <v>1032</v>
      </c>
      <c r="H312" s="281">
        <v>20.0</v>
      </c>
      <c r="I312" s="358">
        <v>9.769441187964048E-4</v>
      </c>
      <c r="K312" s="281"/>
      <c r="L312" s="359"/>
      <c r="M312" s="360"/>
      <c r="O312" s="372" t="str">
        <f>IFERROR(__xludf.DUMMYFUNCTION("""COMPUTED_VALUE"""),"Gold Cove - Crown 2★ #088")</f>
        <v>Gold Cove - Crown 2★ #088</v>
      </c>
      <c r="P312" s="281">
        <f>IFERROR(__xludf.DUMMYFUNCTION("""COMPUTED_VALUE"""),20.0)</f>
        <v>20</v>
      </c>
      <c r="Q312" s="360"/>
    </row>
    <row r="313" ht="12.75" customHeight="1">
      <c r="G313" s="359" t="s">
        <v>1033</v>
      </c>
      <c r="H313" s="281">
        <v>20.0</v>
      </c>
      <c r="I313" s="358">
        <v>9.769441187964048E-4</v>
      </c>
      <c r="K313" s="281"/>
      <c r="L313" s="359"/>
      <c r="M313" s="360"/>
      <c r="O313" s="372" t="str">
        <f>IFERROR(__xludf.DUMMYFUNCTION("""COMPUTED_VALUE"""),"Gold Cove - Crown 2★ #B3D")</f>
        <v>Gold Cove - Crown 2★ #B3D</v>
      </c>
      <c r="P313" s="281">
        <f>IFERROR(__xludf.DUMMYFUNCTION("""COMPUTED_VALUE"""),20.0)</f>
        <v>20</v>
      </c>
      <c r="Q313" s="360"/>
    </row>
    <row r="314" ht="12.75" customHeight="1">
      <c r="G314" s="359" t="s">
        <v>1034</v>
      </c>
      <c r="H314" s="281">
        <v>20.0</v>
      </c>
      <c r="I314" s="358">
        <v>9.769441187964048E-4</v>
      </c>
      <c r="K314" s="281"/>
      <c r="L314" s="359"/>
      <c r="M314" s="360"/>
      <c r="O314" s="372" t="str">
        <f>IFERROR(__xludf.DUMMYFUNCTION("""COMPUTED_VALUE"""),"Gold Cove - Crown 2★ #5F2")</f>
        <v>Gold Cove - Crown 2★ #5F2</v>
      </c>
      <c r="P314" s="281">
        <f>IFERROR(__xludf.DUMMYFUNCTION("""COMPUTED_VALUE"""),20.0)</f>
        <v>20</v>
      </c>
      <c r="Q314" s="360"/>
    </row>
    <row r="315" ht="12.75" customHeight="1">
      <c r="G315" s="359" t="s">
        <v>1035</v>
      </c>
      <c r="H315" s="281">
        <v>20.0</v>
      </c>
      <c r="I315" s="358">
        <v>9.769441187964048E-4</v>
      </c>
      <c r="K315" s="281"/>
      <c r="L315" s="359"/>
      <c r="M315" s="360"/>
      <c r="O315" s="372" t="str">
        <f>IFERROR(__xludf.DUMMYFUNCTION("""COMPUTED_VALUE"""),"Gold Cove - Crown 2★ #0A7")</f>
        <v>Gold Cove - Crown 2★ #0A7</v>
      </c>
      <c r="P315" s="281">
        <f>IFERROR(__xludf.DUMMYFUNCTION("""COMPUTED_VALUE"""),20.0)</f>
        <v>20</v>
      </c>
      <c r="Q315" s="360"/>
    </row>
    <row r="316" ht="12.75" customHeight="1">
      <c r="G316" s="359" t="s">
        <v>1036</v>
      </c>
      <c r="H316" s="281">
        <v>20.0</v>
      </c>
      <c r="I316" s="358">
        <v>9.769441187964048E-4</v>
      </c>
      <c r="K316" s="281"/>
      <c r="L316" s="359"/>
      <c r="M316" s="360"/>
      <c r="O316" s="372" t="str">
        <f>IFERROR(__xludf.DUMMYFUNCTION("""COMPUTED_VALUE"""),"Gold Cove - Crown 2★ #B5C")</f>
        <v>Gold Cove - Crown 2★ #B5C</v>
      </c>
      <c r="P316" s="281">
        <f>IFERROR(__xludf.DUMMYFUNCTION("""COMPUTED_VALUE"""),20.0)</f>
        <v>20</v>
      </c>
      <c r="Q316" s="360"/>
    </row>
    <row r="317" ht="12.75" customHeight="1">
      <c r="G317" s="359" t="s">
        <v>1037</v>
      </c>
      <c r="H317" s="281">
        <v>20.0</v>
      </c>
      <c r="I317" s="358">
        <v>9.769441187964048E-4</v>
      </c>
      <c r="K317" s="281"/>
      <c r="L317" s="359"/>
      <c r="M317" s="360"/>
      <c r="O317" s="372" t="str">
        <f>IFERROR(__xludf.DUMMYFUNCTION("""COMPUTED_VALUE"""),"Gold Cove - Crown 2★ #611")</f>
        <v>Gold Cove - Crown 2★ #611</v>
      </c>
      <c r="P317" s="281">
        <f>IFERROR(__xludf.DUMMYFUNCTION("""COMPUTED_VALUE"""),20.0)</f>
        <v>20</v>
      </c>
      <c r="Q317" s="360"/>
    </row>
    <row r="318" ht="12.75" customHeight="1">
      <c r="G318" s="359" t="s">
        <v>1038</v>
      </c>
      <c r="H318" s="281">
        <v>20.0</v>
      </c>
      <c r="I318" s="358">
        <v>9.769441187964048E-4</v>
      </c>
      <c r="K318" s="281"/>
      <c r="L318" s="359"/>
      <c r="M318" s="360"/>
      <c r="O318" s="372" t="str">
        <f>IFERROR(__xludf.DUMMYFUNCTION("""COMPUTED_VALUE"""),"Gold Cove - Crown 2★ #0C6")</f>
        <v>Gold Cove - Crown 2★ #0C6</v>
      </c>
      <c r="P318" s="281">
        <f>IFERROR(__xludf.DUMMYFUNCTION("""COMPUTED_VALUE"""),20.0)</f>
        <v>20</v>
      </c>
      <c r="Q318" s="360"/>
    </row>
    <row r="319" ht="12.75" customHeight="1">
      <c r="G319" s="359" t="s">
        <v>1039</v>
      </c>
      <c r="H319" s="281">
        <v>20.0</v>
      </c>
      <c r="I319" s="358">
        <v>9.769441187964048E-4</v>
      </c>
      <c r="K319" s="281"/>
      <c r="L319" s="359"/>
      <c r="M319" s="360"/>
      <c r="O319" s="372" t="str">
        <f>IFERROR(__xludf.DUMMYFUNCTION("""COMPUTED_VALUE"""),"Gold Cove - Crown 2★ #B7B")</f>
        <v>Gold Cove - Crown 2★ #B7B</v>
      </c>
      <c r="P319" s="281">
        <f>IFERROR(__xludf.DUMMYFUNCTION("""COMPUTED_VALUE"""),20.0)</f>
        <v>20</v>
      </c>
      <c r="Q319" s="360"/>
    </row>
    <row r="320" ht="12.75" customHeight="1">
      <c r="G320" s="359" t="s">
        <v>1040</v>
      </c>
      <c r="H320" s="281">
        <v>20.0</v>
      </c>
      <c r="I320" s="358">
        <v>9.769441187964048E-4</v>
      </c>
      <c r="K320" s="281"/>
      <c r="L320" s="359"/>
      <c r="M320" s="360"/>
      <c r="O320" s="372" t="str">
        <f>IFERROR(__xludf.DUMMYFUNCTION("""COMPUTED_VALUE"""),"Gold Cove - Crown 2★ #630")</f>
        <v>Gold Cove - Crown 2★ #630</v>
      </c>
      <c r="P320" s="281">
        <f>IFERROR(__xludf.DUMMYFUNCTION("""COMPUTED_VALUE"""),20.0)</f>
        <v>20</v>
      </c>
      <c r="Q320" s="360"/>
    </row>
    <row r="321" ht="12.75" customHeight="1">
      <c r="G321" s="359" t="s">
        <v>1041</v>
      </c>
      <c r="H321" s="281">
        <v>20.0</v>
      </c>
      <c r="I321" s="358">
        <v>9.769441187964048E-4</v>
      </c>
      <c r="K321" s="281"/>
      <c r="L321" s="359"/>
      <c r="M321" s="360"/>
      <c r="O321" s="372" t="str">
        <f>IFERROR(__xludf.DUMMYFUNCTION("""COMPUTED_VALUE"""),"Gold Cove - Crown 2★ #0E5")</f>
        <v>Gold Cove - Crown 2★ #0E5</v>
      </c>
      <c r="P321" s="281">
        <f>IFERROR(__xludf.DUMMYFUNCTION("""COMPUTED_VALUE"""),20.0)</f>
        <v>20</v>
      </c>
      <c r="Q321" s="360"/>
    </row>
    <row r="322" ht="12.75" customHeight="1">
      <c r="G322" s="359" t="s">
        <v>1042</v>
      </c>
      <c r="H322" s="281">
        <v>10.0</v>
      </c>
      <c r="I322" s="358">
        <v>4.884720593982024E-4</v>
      </c>
      <c r="K322" s="281"/>
      <c r="L322" s="359"/>
      <c r="M322" s="360"/>
      <c r="O322" s="372" t="str">
        <f>IFERROR(__xludf.DUMMYFUNCTION("""COMPUTED_VALUE"""),"Gold Cove - Goblet 3★ #B9A")</f>
        <v>Gold Cove - Goblet 3★ #B9A</v>
      </c>
      <c r="P322" s="281">
        <f>IFERROR(__xludf.DUMMYFUNCTION("""COMPUTED_VALUE"""),10.0)</f>
        <v>10</v>
      </c>
      <c r="Q322" s="360"/>
    </row>
    <row r="323" ht="12.75" customHeight="1">
      <c r="G323" s="359" t="s">
        <v>1043</v>
      </c>
      <c r="H323" s="281">
        <v>10.0</v>
      </c>
      <c r="I323" s="358">
        <v>4.884720593982024E-4</v>
      </c>
      <c r="K323" s="281"/>
      <c r="L323" s="359"/>
      <c r="M323" s="360"/>
      <c r="O323" s="372" t="str">
        <f>IFERROR(__xludf.DUMMYFUNCTION("""COMPUTED_VALUE"""),"Gold Cove - Goblet 3★ #64F")</f>
        <v>Gold Cove - Goblet 3★ #64F</v>
      </c>
      <c r="P323" s="281">
        <f>IFERROR(__xludf.DUMMYFUNCTION("""COMPUTED_VALUE"""),10.0)</f>
        <v>10</v>
      </c>
      <c r="Q323" s="360"/>
    </row>
    <row r="324" ht="12.75" customHeight="1">
      <c r="G324" s="359" t="s">
        <v>1044</v>
      </c>
      <c r="H324" s="281">
        <v>10.0</v>
      </c>
      <c r="I324" s="358">
        <v>4.884720593982024E-4</v>
      </c>
      <c r="K324" s="281"/>
      <c r="L324" s="359"/>
      <c r="M324" s="360"/>
      <c r="O324" s="372" t="str">
        <f>IFERROR(__xludf.DUMMYFUNCTION("""COMPUTED_VALUE"""),"Gold Cove - Goblet 3★ #104")</f>
        <v>Gold Cove - Goblet 3★ #104</v>
      </c>
      <c r="P324" s="281">
        <f>IFERROR(__xludf.DUMMYFUNCTION("""COMPUTED_VALUE"""),10.0)</f>
        <v>10</v>
      </c>
      <c r="Q324" s="360"/>
    </row>
    <row r="325" ht="12.75" customHeight="1">
      <c r="G325" s="359" t="s">
        <v>1045</v>
      </c>
      <c r="H325" s="281">
        <v>10.0</v>
      </c>
      <c r="I325" s="358">
        <v>4.884720593982024E-4</v>
      </c>
      <c r="K325" s="281"/>
      <c r="L325" s="359"/>
      <c r="M325" s="360"/>
      <c r="O325" s="372" t="str">
        <f>IFERROR(__xludf.DUMMYFUNCTION("""COMPUTED_VALUE"""),"Gold Cove - Goblet 3★ #BB9")</f>
        <v>Gold Cove - Goblet 3★ #BB9</v>
      </c>
      <c r="P325" s="281">
        <f>IFERROR(__xludf.DUMMYFUNCTION("""COMPUTED_VALUE"""),10.0)</f>
        <v>10</v>
      </c>
      <c r="Q325" s="360"/>
    </row>
    <row r="326" ht="12.75" customHeight="1">
      <c r="G326" s="359" t="s">
        <v>1046</v>
      </c>
      <c r="H326" s="281">
        <v>10.0</v>
      </c>
      <c r="I326" s="358">
        <v>4.884720593982024E-4</v>
      </c>
      <c r="K326" s="281"/>
      <c r="L326" s="359"/>
      <c r="M326" s="360"/>
      <c r="O326" s="372" t="str">
        <f>IFERROR(__xludf.DUMMYFUNCTION("""COMPUTED_VALUE"""),"Gold Cove - Goblet 3★ #66E")</f>
        <v>Gold Cove - Goblet 3★ #66E</v>
      </c>
      <c r="P326" s="281">
        <f>IFERROR(__xludf.DUMMYFUNCTION("""COMPUTED_VALUE"""),10.0)</f>
        <v>10</v>
      </c>
      <c r="Q326" s="360"/>
    </row>
    <row r="327" ht="12.75" customHeight="1">
      <c r="G327" s="359" t="s">
        <v>1047</v>
      </c>
      <c r="H327" s="281">
        <v>10.0</v>
      </c>
      <c r="I327" s="358">
        <v>4.884720593982024E-4</v>
      </c>
      <c r="K327" s="281"/>
      <c r="L327" s="359"/>
      <c r="M327" s="360"/>
      <c r="O327" s="372" t="str">
        <f>IFERROR(__xludf.DUMMYFUNCTION("""COMPUTED_VALUE"""),"Gold Cove - Goblet 3★ #123")</f>
        <v>Gold Cove - Goblet 3★ #123</v>
      </c>
      <c r="P327" s="281">
        <f>IFERROR(__xludf.DUMMYFUNCTION("""COMPUTED_VALUE"""),10.0)</f>
        <v>10</v>
      </c>
      <c r="Q327" s="360"/>
    </row>
    <row r="328" ht="12.75" customHeight="1">
      <c r="G328" s="359" t="s">
        <v>1048</v>
      </c>
      <c r="H328" s="281">
        <v>10.0</v>
      </c>
      <c r="I328" s="358">
        <v>4.884720593982024E-4</v>
      </c>
      <c r="K328" s="281"/>
      <c r="L328" s="359"/>
      <c r="M328" s="360"/>
      <c r="O328" s="372" t="str">
        <f>IFERROR(__xludf.DUMMYFUNCTION("""COMPUTED_VALUE"""),"Gold Cove - Goblet 3★ #BD8")</f>
        <v>Gold Cove - Goblet 3★ #BD8</v>
      </c>
      <c r="P328" s="281">
        <f>IFERROR(__xludf.DUMMYFUNCTION("""COMPUTED_VALUE"""),10.0)</f>
        <v>10</v>
      </c>
      <c r="Q328" s="360"/>
    </row>
    <row r="329" ht="12.75" customHeight="1">
      <c r="G329" s="359" t="s">
        <v>1049</v>
      </c>
      <c r="H329" s="281">
        <v>10.0</v>
      </c>
      <c r="I329" s="358">
        <v>4.884720593982024E-4</v>
      </c>
      <c r="K329" s="281"/>
      <c r="L329" s="359"/>
      <c r="M329" s="360"/>
      <c r="O329" s="372" t="str">
        <f>IFERROR(__xludf.DUMMYFUNCTION("""COMPUTED_VALUE"""),"Gold Cove - Goblet 3★ #68D")</f>
        <v>Gold Cove - Goblet 3★ #68D</v>
      </c>
      <c r="P329" s="281">
        <f>IFERROR(__xludf.DUMMYFUNCTION("""COMPUTED_VALUE"""),10.0)</f>
        <v>10</v>
      </c>
      <c r="Q329" s="360"/>
    </row>
    <row r="330" ht="12.75" customHeight="1">
      <c r="G330" s="359" t="s">
        <v>1050</v>
      </c>
      <c r="H330" s="281">
        <v>10.0</v>
      </c>
      <c r="I330" s="358">
        <v>4.884720593982024E-4</v>
      </c>
      <c r="K330" s="281"/>
      <c r="L330" s="359"/>
      <c r="M330" s="360"/>
      <c r="O330" s="372" t="str">
        <f>IFERROR(__xludf.DUMMYFUNCTION("""COMPUTED_VALUE"""),"Gold Cove - Goblet 3★ #142")</f>
        <v>Gold Cove - Goblet 3★ #142</v>
      </c>
      <c r="P330" s="281">
        <f>IFERROR(__xludf.DUMMYFUNCTION("""COMPUTED_VALUE"""),10.0)</f>
        <v>10</v>
      </c>
      <c r="Q330" s="360"/>
    </row>
    <row r="331" ht="12.75" customHeight="1">
      <c r="G331" s="359" t="s">
        <v>1051</v>
      </c>
      <c r="H331" s="281">
        <v>10.0</v>
      </c>
      <c r="I331" s="358">
        <v>4.884720593982024E-4</v>
      </c>
      <c r="K331" s="281"/>
      <c r="L331" s="359"/>
      <c r="M331" s="360"/>
      <c r="O331" s="372" t="str">
        <f>IFERROR(__xludf.DUMMYFUNCTION("""COMPUTED_VALUE"""),"Gold Cove - Goblet 3★ #BF7")</f>
        <v>Gold Cove - Goblet 3★ #BF7</v>
      </c>
      <c r="P331" s="281">
        <f>IFERROR(__xludf.DUMMYFUNCTION("""COMPUTED_VALUE"""),10.0)</f>
        <v>10</v>
      </c>
      <c r="Q331" s="360"/>
    </row>
    <row r="332" ht="12.75" customHeight="1">
      <c r="G332" s="359" t="s">
        <v>1052</v>
      </c>
      <c r="H332" s="281">
        <v>10.0</v>
      </c>
      <c r="I332" s="358">
        <v>4.884720593982024E-4</v>
      </c>
      <c r="K332" s="281"/>
      <c r="L332" s="359"/>
      <c r="M332" s="360"/>
      <c r="O332" s="372" t="str">
        <f>IFERROR(__xludf.DUMMYFUNCTION("""COMPUTED_VALUE"""),"Gold Cove - Goblet 3★ #6AC")</f>
        <v>Gold Cove - Goblet 3★ #6AC</v>
      </c>
      <c r="P332" s="281">
        <f>IFERROR(__xludf.DUMMYFUNCTION("""COMPUTED_VALUE"""),10.0)</f>
        <v>10</v>
      </c>
      <c r="Q332" s="360"/>
    </row>
    <row r="333" ht="12.75" customHeight="1">
      <c r="G333" s="359" t="s">
        <v>1053</v>
      </c>
      <c r="H333" s="281">
        <v>10.0</v>
      </c>
      <c r="I333" s="358">
        <v>4.884720593982024E-4</v>
      </c>
      <c r="K333" s="281"/>
      <c r="L333" s="359"/>
      <c r="M333" s="360"/>
      <c r="O333" s="372" t="str">
        <f>IFERROR(__xludf.DUMMYFUNCTION("""COMPUTED_VALUE"""),"Gold Cove - Goblet 3★ #161")</f>
        <v>Gold Cove - Goblet 3★ #161</v>
      </c>
      <c r="P333" s="281">
        <f>IFERROR(__xludf.DUMMYFUNCTION("""COMPUTED_VALUE"""),10.0)</f>
        <v>10</v>
      </c>
      <c r="Q333" s="360"/>
    </row>
    <row r="334" ht="12.75" customHeight="1">
      <c r="G334" s="359" t="s">
        <v>1054</v>
      </c>
      <c r="H334" s="281">
        <v>10.0</v>
      </c>
      <c r="I334" s="358">
        <v>4.884720593982024E-4</v>
      </c>
      <c r="K334" s="281"/>
      <c r="L334" s="359"/>
      <c r="M334" s="360"/>
      <c r="O334" s="372" t="str">
        <f>IFERROR(__xludf.DUMMYFUNCTION("""COMPUTED_VALUE"""),"Gold Cove - Goblet 3★ #C16")</f>
        <v>Gold Cove - Goblet 3★ #C16</v>
      </c>
      <c r="P334" s="281">
        <f>IFERROR(__xludf.DUMMYFUNCTION("""COMPUTED_VALUE"""),10.0)</f>
        <v>10</v>
      </c>
      <c r="Q334" s="360"/>
    </row>
    <row r="335" ht="12.75" customHeight="1">
      <c r="G335" s="359" t="s">
        <v>1055</v>
      </c>
      <c r="H335" s="281">
        <v>5.0</v>
      </c>
      <c r="I335" s="358">
        <v>2.442360296991012E-4</v>
      </c>
      <c r="K335" s="281"/>
      <c r="L335" s="359"/>
      <c r="M335" s="360"/>
      <c r="O335" s="372" t="str">
        <f>IFERROR(__xludf.DUMMYFUNCTION("""COMPUTED_VALUE"""),"Gold Cove - Necklace 4★ #6CB")</f>
        <v>Gold Cove - Necklace 4★ #6CB</v>
      </c>
      <c r="P335" s="281">
        <f>IFERROR(__xludf.DUMMYFUNCTION("""COMPUTED_VALUE"""),5.0)</f>
        <v>5</v>
      </c>
      <c r="Q335" s="360"/>
    </row>
    <row r="336" ht="12.75" customHeight="1">
      <c r="G336" s="359" t="s">
        <v>1056</v>
      </c>
      <c r="H336" s="281">
        <v>5.0</v>
      </c>
      <c r="I336" s="358">
        <v>2.442360296991012E-4</v>
      </c>
      <c r="K336" s="281"/>
      <c r="L336" s="359"/>
      <c r="M336" s="360"/>
      <c r="O336" s="372" t="str">
        <f>IFERROR(__xludf.DUMMYFUNCTION("""COMPUTED_VALUE"""),"Gold Cove - Necklace 4★ #180")</f>
        <v>Gold Cove - Necklace 4★ #180</v>
      </c>
      <c r="P336" s="281">
        <f>IFERROR(__xludf.DUMMYFUNCTION("""COMPUTED_VALUE"""),5.0)</f>
        <v>5</v>
      </c>
      <c r="Q336" s="360"/>
    </row>
    <row r="337" ht="12.75" customHeight="1">
      <c r="G337" s="359" t="s">
        <v>1057</v>
      </c>
      <c r="H337" s="281">
        <v>5.0</v>
      </c>
      <c r="I337" s="358">
        <v>2.442360296991012E-4</v>
      </c>
      <c r="K337" s="281"/>
      <c r="L337" s="359"/>
      <c r="M337" s="360"/>
      <c r="O337" s="372" t="str">
        <f>IFERROR(__xludf.DUMMYFUNCTION("""COMPUTED_VALUE"""),"Gold Cove - Necklace 4★ #C35")</f>
        <v>Gold Cove - Necklace 4★ #C35</v>
      </c>
      <c r="P337" s="281">
        <f>IFERROR(__xludf.DUMMYFUNCTION("""COMPUTED_VALUE"""),5.0)</f>
        <v>5</v>
      </c>
      <c r="Q337" s="360"/>
    </row>
    <row r="338" ht="12.75" customHeight="1">
      <c r="G338" s="359" t="s">
        <v>1058</v>
      </c>
      <c r="H338" s="281">
        <v>5.0</v>
      </c>
      <c r="I338" s="358">
        <v>2.442360296991012E-4</v>
      </c>
      <c r="K338" s="281"/>
      <c r="L338" s="359"/>
      <c r="M338" s="360"/>
      <c r="O338" s="372" t="str">
        <f>IFERROR(__xludf.DUMMYFUNCTION("""COMPUTED_VALUE"""),"Gold Cove - Necklace 4★ #6EA")</f>
        <v>Gold Cove - Necklace 4★ #6EA</v>
      </c>
      <c r="P338" s="281">
        <f>IFERROR(__xludf.DUMMYFUNCTION("""COMPUTED_VALUE"""),5.0)</f>
        <v>5</v>
      </c>
      <c r="Q338" s="360"/>
    </row>
    <row r="339" ht="12.75" customHeight="1">
      <c r="G339" s="359" t="s">
        <v>1059</v>
      </c>
      <c r="H339" s="281">
        <v>5.0</v>
      </c>
      <c r="I339" s="358">
        <v>2.442360296991012E-4</v>
      </c>
      <c r="K339" s="281"/>
      <c r="L339" s="359"/>
      <c r="M339" s="360"/>
      <c r="O339" s="372" t="str">
        <f>IFERROR(__xludf.DUMMYFUNCTION("""COMPUTED_VALUE"""),"Gold Cove - Necklace 4★ #19F")</f>
        <v>Gold Cove - Necklace 4★ #19F</v>
      </c>
      <c r="P339" s="281">
        <f>IFERROR(__xludf.DUMMYFUNCTION("""COMPUTED_VALUE"""),5.0)</f>
        <v>5</v>
      </c>
      <c r="Q339" s="360"/>
    </row>
    <row r="340" ht="12.75" customHeight="1">
      <c r="G340" s="359" t="s">
        <v>1060</v>
      </c>
      <c r="H340" s="281">
        <v>5.0</v>
      </c>
      <c r="I340" s="358">
        <v>2.442360296991012E-4</v>
      </c>
      <c r="K340" s="281"/>
      <c r="L340" s="359"/>
      <c r="M340" s="360"/>
      <c r="O340" s="372" t="str">
        <f>IFERROR(__xludf.DUMMYFUNCTION("""COMPUTED_VALUE"""),"Gold Cove - Necklace 4★ #C54")</f>
        <v>Gold Cove - Necklace 4★ #C54</v>
      </c>
      <c r="P340" s="281">
        <f>IFERROR(__xludf.DUMMYFUNCTION("""COMPUTED_VALUE"""),5.0)</f>
        <v>5</v>
      </c>
      <c r="Q340" s="360"/>
    </row>
    <row r="341" ht="12.75" customHeight="1">
      <c r="G341" s="359" t="s">
        <v>1061</v>
      </c>
      <c r="H341" s="281">
        <v>5.0</v>
      </c>
      <c r="I341" s="358">
        <v>2.442360296991012E-4</v>
      </c>
      <c r="K341" s="281"/>
      <c r="L341" s="359"/>
      <c r="M341" s="360"/>
      <c r="O341" s="372" t="str">
        <f>IFERROR(__xludf.DUMMYFUNCTION("""COMPUTED_VALUE"""),"Gold Cove - Necklace 4★ #709")</f>
        <v>Gold Cove - Necklace 4★ #709</v>
      </c>
      <c r="P341" s="281">
        <f>IFERROR(__xludf.DUMMYFUNCTION("""COMPUTED_VALUE"""),5.0)</f>
        <v>5</v>
      </c>
      <c r="Q341" s="360"/>
    </row>
    <row r="342" ht="12.75" customHeight="1">
      <c r="G342" s="359" t="s">
        <v>1062</v>
      </c>
      <c r="H342" s="281">
        <v>5.0</v>
      </c>
      <c r="I342" s="358">
        <v>2.442360296991012E-4</v>
      </c>
      <c r="K342" s="281"/>
      <c r="L342" s="359"/>
      <c r="M342" s="360"/>
      <c r="O342" s="372" t="str">
        <f>IFERROR(__xludf.DUMMYFUNCTION("""COMPUTED_VALUE"""),"Gold Cove - Necklace 4★ #1BE")</f>
        <v>Gold Cove - Necklace 4★ #1BE</v>
      </c>
      <c r="P342" s="281">
        <f>IFERROR(__xludf.DUMMYFUNCTION("""COMPUTED_VALUE"""),5.0)</f>
        <v>5</v>
      </c>
      <c r="Q342" s="360"/>
    </row>
    <row r="343" ht="12.75" customHeight="1">
      <c r="G343" s="359" t="s">
        <v>1063</v>
      </c>
      <c r="H343" s="281">
        <v>5.0</v>
      </c>
      <c r="I343" s="358">
        <v>2.442360296991012E-4</v>
      </c>
      <c r="K343" s="281"/>
      <c r="L343" s="359"/>
      <c r="M343" s="360"/>
      <c r="O343" s="372" t="str">
        <f>IFERROR(__xludf.DUMMYFUNCTION("""COMPUTED_VALUE"""),"Gold Cove - Necklace 4★ #C73")</f>
        <v>Gold Cove - Necklace 4★ #C73</v>
      </c>
      <c r="P343" s="281">
        <f>IFERROR(__xludf.DUMMYFUNCTION("""COMPUTED_VALUE"""),5.0)</f>
        <v>5</v>
      </c>
      <c r="Q343" s="360"/>
    </row>
    <row r="344" ht="12.75" customHeight="1">
      <c r="G344" s="359" t="s">
        <v>1064</v>
      </c>
      <c r="H344" s="281">
        <v>5.0</v>
      </c>
      <c r="I344" s="358">
        <v>2.442360296991012E-4</v>
      </c>
      <c r="K344" s="281"/>
      <c r="L344" s="359"/>
      <c r="M344" s="360"/>
      <c r="O344" s="372" t="str">
        <f>IFERROR(__xludf.DUMMYFUNCTION("""COMPUTED_VALUE"""),"Gold Cove - Necklace 4★ #728")</f>
        <v>Gold Cove - Necklace 4★ #728</v>
      </c>
      <c r="P344" s="281">
        <f>IFERROR(__xludf.DUMMYFUNCTION("""COMPUTED_VALUE"""),5.0)</f>
        <v>5</v>
      </c>
      <c r="Q344" s="360"/>
    </row>
    <row r="345" ht="12.75" customHeight="1">
      <c r="G345" s="359" t="s">
        <v>1065</v>
      </c>
      <c r="H345" s="281">
        <v>5.0</v>
      </c>
      <c r="I345" s="358">
        <v>2.442360296991012E-4</v>
      </c>
      <c r="K345" s="281"/>
      <c r="L345" s="359"/>
      <c r="M345" s="360"/>
      <c r="O345" s="372" t="str">
        <f>IFERROR(__xludf.DUMMYFUNCTION("""COMPUTED_VALUE"""),"Gold Cove - Necklace 4★ #1DD")</f>
        <v>Gold Cove - Necklace 4★ #1DD</v>
      </c>
      <c r="P345" s="281">
        <f>IFERROR(__xludf.DUMMYFUNCTION("""COMPUTED_VALUE"""),5.0)</f>
        <v>5</v>
      </c>
      <c r="Q345" s="360"/>
    </row>
    <row r="346" ht="12.75" customHeight="1">
      <c r="G346" s="359" t="s">
        <v>1066</v>
      </c>
      <c r="H346" s="281">
        <v>5.0</v>
      </c>
      <c r="I346" s="358">
        <v>2.442360296991012E-4</v>
      </c>
      <c r="K346" s="281"/>
      <c r="L346" s="359"/>
      <c r="M346" s="360"/>
      <c r="O346" s="372" t="str">
        <f>IFERROR(__xludf.DUMMYFUNCTION("""COMPUTED_VALUE"""),"Gold Cove - Necklace 4★ #C92")</f>
        <v>Gold Cove - Necklace 4★ #C92</v>
      </c>
      <c r="P346" s="281">
        <f>IFERROR(__xludf.DUMMYFUNCTION("""COMPUTED_VALUE"""),5.0)</f>
        <v>5</v>
      </c>
      <c r="Q346" s="360"/>
    </row>
    <row r="347" ht="12.75" customHeight="1">
      <c r="G347" s="359" t="s">
        <v>1067</v>
      </c>
      <c r="H347" s="281">
        <v>5.0</v>
      </c>
      <c r="I347" s="358">
        <v>2.442360296991012E-4</v>
      </c>
      <c r="K347" s="281"/>
      <c r="L347" s="359"/>
      <c r="M347" s="360"/>
      <c r="O347" s="372" t="str">
        <f>IFERROR(__xludf.DUMMYFUNCTION("""COMPUTED_VALUE"""),"Gold Cove - Ring 4★ #747")</f>
        <v>Gold Cove - Ring 4★ #747</v>
      </c>
      <c r="P347" s="281">
        <f>IFERROR(__xludf.DUMMYFUNCTION("""COMPUTED_VALUE"""),5.0)</f>
        <v>5</v>
      </c>
      <c r="Q347" s="360"/>
    </row>
    <row r="348" ht="12.75" customHeight="1">
      <c r="G348" s="359" t="s">
        <v>1068</v>
      </c>
      <c r="H348" s="281">
        <v>5.0</v>
      </c>
      <c r="I348" s="358">
        <v>2.442360296991012E-4</v>
      </c>
      <c r="K348" s="281"/>
      <c r="L348" s="359"/>
      <c r="M348" s="360"/>
      <c r="O348" s="372" t="str">
        <f>IFERROR(__xludf.DUMMYFUNCTION("""COMPUTED_VALUE"""),"Gold Cove - Ring 4★ #1FC")</f>
        <v>Gold Cove - Ring 4★ #1FC</v>
      </c>
      <c r="P348" s="281">
        <f>IFERROR(__xludf.DUMMYFUNCTION("""COMPUTED_VALUE"""),5.0)</f>
        <v>5</v>
      </c>
      <c r="Q348" s="360"/>
    </row>
    <row r="349" ht="12.75" customHeight="1">
      <c r="G349" s="359" t="s">
        <v>1069</v>
      </c>
      <c r="H349" s="281">
        <v>5.0</v>
      </c>
      <c r="I349" s="358">
        <v>2.442360296991012E-4</v>
      </c>
      <c r="K349" s="281"/>
      <c r="L349" s="359"/>
      <c r="M349" s="360"/>
      <c r="O349" s="372" t="str">
        <f>IFERROR(__xludf.DUMMYFUNCTION("""COMPUTED_VALUE"""),"Gold Cove - Ring 4★ #CB1")</f>
        <v>Gold Cove - Ring 4★ #CB1</v>
      </c>
      <c r="P349" s="281">
        <f>IFERROR(__xludf.DUMMYFUNCTION("""COMPUTED_VALUE"""),5.0)</f>
        <v>5</v>
      </c>
      <c r="Q349" s="360"/>
    </row>
    <row r="350" ht="12.75" customHeight="1">
      <c r="G350" s="359" t="s">
        <v>1070</v>
      </c>
      <c r="H350" s="281">
        <v>5.0</v>
      </c>
      <c r="I350" s="358">
        <v>2.442360296991012E-4</v>
      </c>
      <c r="K350" s="281"/>
      <c r="L350" s="359"/>
      <c r="M350" s="360"/>
      <c r="O350" s="372" t="str">
        <f>IFERROR(__xludf.DUMMYFUNCTION("""COMPUTED_VALUE"""),"Gold Cove - Ring 4★ #766")</f>
        <v>Gold Cove - Ring 4★ #766</v>
      </c>
      <c r="P350" s="281">
        <f>IFERROR(__xludf.DUMMYFUNCTION("""COMPUTED_VALUE"""),5.0)</f>
        <v>5</v>
      </c>
      <c r="Q350" s="360"/>
    </row>
    <row r="351" ht="12.75" customHeight="1">
      <c r="G351" s="359" t="s">
        <v>1071</v>
      </c>
      <c r="H351" s="281">
        <v>5.0</v>
      </c>
      <c r="I351" s="358">
        <v>2.442360296991012E-4</v>
      </c>
      <c r="K351" s="281"/>
      <c r="L351" s="359"/>
      <c r="M351" s="360"/>
      <c r="O351" s="372" t="str">
        <f>IFERROR(__xludf.DUMMYFUNCTION("""COMPUTED_VALUE"""),"Gold Cove - Ring 4★ #21B")</f>
        <v>Gold Cove - Ring 4★ #21B</v>
      </c>
      <c r="P351" s="281">
        <f>IFERROR(__xludf.DUMMYFUNCTION("""COMPUTED_VALUE"""),5.0)</f>
        <v>5</v>
      </c>
      <c r="Q351" s="360"/>
    </row>
    <row r="352" ht="12.75" customHeight="1">
      <c r="G352" s="359" t="s">
        <v>1072</v>
      </c>
      <c r="H352" s="281">
        <v>5.0</v>
      </c>
      <c r="I352" s="358">
        <v>2.442360296991012E-4</v>
      </c>
      <c r="K352" s="281"/>
      <c r="L352" s="359"/>
      <c r="M352" s="360"/>
      <c r="O352" s="372" t="str">
        <f>IFERROR(__xludf.DUMMYFUNCTION("""COMPUTED_VALUE"""),"Gold Cove - Ring 4★ #CD0")</f>
        <v>Gold Cove - Ring 4★ #CD0</v>
      </c>
      <c r="P352" s="281">
        <f>IFERROR(__xludf.DUMMYFUNCTION("""COMPUTED_VALUE"""),5.0)</f>
        <v>5</v>
      </c>
      <c r="Q352" s="360"/>
    </row>
    <row r="353" ht="12.75" customHeight="1">
      <c r="G353" s="359" t="s">
        <v>1073</v>
      </c>
      <c r="H353" s="281">
        <v>5.0</v>
      </c>
      <c r="I353" s="358">
        <v>2.442360296991012E-4</v>
      </c>
      <c r="K353" s="281"/>
      <c r="L353" s="359"/>
      <c r="M353" s="360"/>
      <c r="O353" s="372" t="str">
        <f>IFERROR(__xludf.DUMMYFUNCTION("""COMPUTED_VALUE"""),"Gold Cove - Ring 4★ #785")</f>
        <v>Gold Cove - Ring 4★ #785</v>
      </c>
      <c r="P353" s="281">
        <f>IFERROR(__xludf.DUMMYFUNCTION("""COMPUTED_VALUE"""),5.0)</f>
        <v>5</v>
      </c>
      <c r="Q353" s="360"/>
    </row>
    <row r="354" ht="12.75" customHeight="1">
      <c r="G354" s="359" t="s">
        <v>1074</v>
      </c>
      <c r="H354" s="281">
        <v>5.0</v>
      </c>
      <c r="I354" s="358">
        <v>2.442360296991012E-4</v>
      </c>
      <c r="K354" s="281"/>
      <c r="L354" s="359"/>
      <c r="M354" s="360"/>
      <c r="O354" s="372" t="str">
        <f>IFERROR(__xludf.DUMMYFUNCTION("""COMPUTED_VALUE"""),"Gold Cove - Ring 4★ #23A")</f>
        <v>Gold Cove - Ring 4★ #23A</v>
      </c>
      <c r="P354" s="281">
        <f>IFERROR(__xludf.DUMMYFUNCTION("""COMPUTED_VALUE"""),5.0)</f>
        <v>5</v>
      </c>
      <c r="Q354" s="360"/>
    </row>
    <row r="355" ht="12.75" customHeight="1">
      <c r="G355" s="359" t="s">
        <v>1075</v>
      </c>
      <c r="H355" s="281">
        <v>5.0</v>
      </c>
      <c r="I355" s="358">
        <v>2.442360296991012E-4</v>
      </c>
      <c r="K355" s="281"/>
      <c r="L355" s="359"/>
      <c r="M355" s="360"/>
      <c r="O355" s="372" t="str">
        <f>IFERROR(__xludf.DUMMYFUNCTION("""COMPUTED_VALUE"""),"Gold Cove - Ring 4★ #CEF")</f>
        <v>Gold Cove - Ring 4★ #CEF</v>
      </c>
      <c r="P355" s="281">
        <f>IFERROR(__xludf.DUMMYFUNCTION("""COMPUTED_VALUE"""),5.0)</f>
        <v>5</v>
      </c>
      <c r="Q355" s="360"/>
    </row>
    <row r="356" ht="12.75" customHeight="1">
      <c r="G356" s="359" t="s">
        <v>1076</v>
      </c>
      <c r="H356" s="281">
        <v>5.0</v>
      </c>
      <c r="I356" s="358">
        <v>2.442360296991012E-4</v>
      </c>
      <c r="K356" s="281"/>
      <c r="L356" s="359"/>
      <c r="M356" s="360"/>
      <c r="O356" s="372" t="str">
        <f>IFERROR(__xludf.DUMMYFUNCTION("""COMPUTED_VALUE"""),"Gold Cove - Ring 4★ #7A4")</f>
        <v>Gold Cove - Ring 4★ #7A4</v>
      </c>
      <c r="P356" s="281">
        <f>IFERROR(__xludf.DUMMYFUNCTION("""COMPUTED_VALUE"""),5.0)</f>
        <v>5</v>
      </c>
      <c r="Q356" s="360"/>
    </row>
    <row r="357" ht="12.75" customHeight="1">
      <c r="G357" s="359" t="s">
        <v>1077</v>
      </c>
      <c r="H357" s="281">
        <v>5.0</v>
      </c>
      <c r="I357" s="358">
        <v>2.442360296991012E-4</v>
      </c>
      <c r="K357" s="281"/>
      <c r="L357" s="359"/>
      <c r="M357" s="360"/>
      <c r="O357" s="372" t="str">
        <f>IFERROR(__xludf.DUMMYFUNCTION("""COMPUTED_VALUE"""),"Gold Cove - Ring 4★ #259")</f>
        <v>Gold Cove - Ring 4★ #259</v>
      </c>
      <c r="P357" s="281">
        <f>IFERROR(__xludf.DUMMYFUNCTION("""COMPUTED_VALUE"""),5.0)</f>
        <v>5</v>
      </c>
      <c r="Q357" s="360"/>
    </row>
    <row r="358" ht="12.75" customHeight="1">
      <c r="G358" s="359" t="s">
        <v>1078</v>
      </c>
      <c r="H358" s="281">
        <v>2.0</v>
      </c>
      <c r="I358" s="358">
        <v>9.769441187964049E-5</v>
      </c>
      <c r="K358" s="281"/>
      <c r="L358" s="359"/>
      <c r="M358" s="360"/>
      <c r="O358" s="372" t="str">
        <f>IFERROR(__xludf.DUMMYFUNCTION("""COMPUTED_VALUE"""),"Gold Cove - Scepter 5★ #D0E")</f>
        <v>Gold Cove - Scepter 5★ #D0E</v>
      </c>
      <c r="P358" s="281">
        <f>IFERROR(__xludf.DUMMYFUNCTION("""COMPUTED_VALUE"""),2.0)</f>
        <v>2</v>
      </c>
      <c r="Q358" s="360"/>
    </row>
    <row r="359" ht="12.75" customHeight="1">
      <c r="G359" s="359" t="s">
        <v>1079</v>
      </c>
      <c r="H359" s="281">
        <v>2.0</v>
      </c>
      <c r="I359" s="358">
        <v>9.769441187964049E-5</v>
      </c>
      <c r="K359" s="281"/>
      <c r="L359" s="359"/>
      <c r="M359" s="360"/>
      <c r="O359" s="372" t="str">
        <f>IFERROR(__xludf.DUMMYFUNCTION("""COMPUTED_VALUE"""),"Gold Cove - Scepter 5★ #7C3")</f>
        <v>Gold Cove - Scepter 5★ #7C3</v>
      </c>
      <c r="P359" s="281">
        <f>IFERROR(__xludf.DUMMYFUNCTION("""COMPUTED_VALUE"""),2.0)</f>
        <v>2</v>
      </c>
      <c r="Q359" s="360"/>
    </row>
    <row r="360" ht="12.75" customHeight="1">
      <c r="G360" s="359" t="s">
        <v>1080</v>
      </c>
      <c r="H360" s="281">
        <v>2.0</v>
      </c>
      <c r="I360" s="358">
        <v>9.769441187964049E-5</v>
      </c>
      <c r="K360" s="281"/>
      <c r="L360" s="359"/>
      <c r="M360" s="360"/>
      <c r="O360" s="372" t="str">
        <f>IFERROR(__xludf.DUMMYFUNCTION("""COMPUTED_VALUE"""),"Gold Cove - Scepter 5★ #278")</f>
        <v>Gold Cove - Scepter 5★ #278</v>
      </c>
      <c r="P360" s="281">
        <f>IFERROR(__xludf.DUMMYFUNCTION("""COMPUTED_VALUE"""),2.0)</f>
        <v>2</v>
      </c>
      <c r="Q360" s="360"/>
    </row>
    <row r="361" ht="12.75" customHeight="1">
      <c r="G361" s="359" t="s">
        <v>1081</v>
      </c>
      <c r="H361" s="281">
        <v>2.0</v>
      </c>
      <c r="I361" s="358">
        <v>9.769441187964049E-5</v>
      </c>
      <c r="K361" s="281"/>
      <c r="L361" s="359"/>
      <c r="M361" s="360"/>
      <c r="O361" s="372" t="str">
        <f>IFERROR(__xludf.DUMMYFUNCTION("""COMPUTED_VALUE"""),"Gold Cove - Scepter 5★ #D2D")</f>
        <v>Gold Cove - Scepter 5★ #D2D</v>
      </c>
      <c r="P361" s="281">
        <f>IFERROR(__xludf.DUMMYFUNCTION("""COMPUTED_VALUE"""),2.0)</f>
        <v>2</v>
      </c>
      <c r="Q361" s="360"/>
    </row>
    <row r="362" ht="12.75" customHeight="1">
      <c r="G362" s="359" t="s">
        <v>1082</v>
      </c>
      <c r="H362" s="281">
        <v>2.0</v>
      </c>
      <c r="I362" s="358">
        <v>9.769441187964049E-5</v>
      </c>
      <c r="K362" s="281"/>
      <c r="L362" s="359"/>
      <c r="M362" s="360"/>
      <c r="O362" s="372" t="str">
        <f>IFERROR(__xludf.DUMMYFUNCTION("""COMPUTED_VALUE"""),"Gold Cove - Scepter 5★ #7E2")</f>
        <v>Gold Cove - Scepter 5★ #7E2</v>
      </c>
      <c r="P362" s="281">
        <f>IFERROR(__xludf.DUMMYFUNCTION("""COMPUTED_VALUE"""),2.0)</f>
        <v>2</v>
      </c>
      <c r="Q362" s="360"/>
    </row>
    <row r="363" ht="12.75" customHeight="1">
      <c r="G363" s="359" t="s">
        <v>1083</v>
      </c>
      <c r="H363" s="281">
        <v>2.0</v>
      </c>
      <c r="I363" s="358">
        <v>9.769441187964049E-5</v>
      </c>
      <c r="K363" s="281"/>
      <c r="L363" s="359"/>
      <c r="M363" s="360"/>
      <c r="O363" s="372" t="str">
        <f>IFERROR(__xludf.DUMMYFUNCTION("""COMPUTED_VALUE"""),"Gold Cove - Scepter 5★ #297")</f>
        <v>Gold Cove - Scepter 5★ #297</v>
      </c>
      <c r="P363" s="281">
        <f>IFERROR(__xludf.DUMMYFUNCTION("""COMPUTED_VALUE"""),2.0)</f>
        <v>2</v>
      </c>
      <c r="Q363" s="360"/>
    </row>
    <row r="364" ht="12.75" customHeight="1">
      <c r="G364" s="359" t="s">
        <v>1084</v>
      </c>
      <c r="H364" s="281">
        <v>50.0</v>
      </c>
      <c r="I364" s="358">
        <v>0.0024423602969910123</v>
      </c>
      <c r="K364" s="281"/>
      <c r="L364" s="359"/>
      <c r="M364" s="360"/>
      <c r="O364" s="372" t="str">
        <f>IFERROR(__xludf.DUMMYFUNCTION("""COMPUTED_VALUE"""),"Ghost Ship - Fog Horn 1★ #D4C")</f>
        <v>Ghost Ship - Fog Horn 1★ #D4C</v>
      </c>
      <c r="P364" s="281">
        <f>IFERROR(__xludf.DUMMYFUNCTION("""COMPUTED_VALUE"""),50.0)</f>
        <v>50</v>
      </c>
      <c r="Q364" s="360"/>
    </row>
    <row r="365" ht="12.75" customHeight="1">
      <c r="G365" s="359" t="s">
        <v>1085</v>
      </c>
      <c r="H365" s="281">
        <v>50.0</v>
      </c>
      <c r="I365" s="358">
        <v>0.0024423602969910123</v>
      </c>
      <c r="K365" s="281"/>
      <c r="L365" s="359"/>
      <c r="M365" s="360"/>
      <c r="O365" s="372" t="str">
        <f>IFERROR(__xludf.DUMMYFUNCTION("""COMPUTED_VALUE"""),"Ghost Ship - Fog Horn 1★ #801")</f>
        <v>Ghost Ship - Fog Horn 1★ #801</v>
      </c>
      <c r="P365" s="281">
        <f>IFERROR(__xludf.DUMMYFUNCTION("""COMPUTED_VALUE"""),50.0)</f>
        <v>50</v>
      </c>
      <c r="Q365" s="360"/>
    </row>
    <row r="366" ht="12.75" customHeight="1">
      <c r="G366" s="359" t="s">
        <v>1086</v>
      </c>
      <c r="H366" s="281">
        <v>50.0</v>
      </c>
      <c r="I366" s="358">
        <v>0.0024423602969910123</v>
      </c>
      <c r="K366" s="281"/>
      <c r="L366" s="359"/>
      <c r="M366" s="360"/>
      <c r="O366" s="372" t="str">
        <f>IFERROR(__xludf.DUMMYFUNCTION("""COMPUTED_VALUE"""),"Ghost Ship - Fog Horn 1★ #2B6")</f>
        <v>Ghost Ship - Fog Horn 1★ #2B6</v>
      </c>
      <c r="P366" s="281">
        <f>IFERROR(__xludf.DUMMYFUNCTION("""COMPUTED_VALUE"""),50.0)</f>
        <v>50</v>
      </c>
      <c r="Q366" s="360"/>
    </row>
    <row r="367" ht="12.75" customHeight="1">
      <c r="G367" s="359" t="s">
        <v>1087</v>
      </c>
      <c r="H367" s="281">
        <v>50.0</v>
      </c>
      <c r="I367" s="358">
        <v>0.0024423602969910123</v>
      </c>
      <c r="K367" s="281"/>
      <c r="L367" s="359"/>
      <c r="M367" s="360"/>
      <c r="O367" s="372" t="str">
        <f>IFERROR(__xludf.DUMMYFUNCTION("""COMPUTED_VALUE"""),"Ghost Ship - Fog Horn 1★ #D6B")</f>
        <v>Ghost Ship - Fog Horn 1★ #D6B</v>
      </c>
      <c r="P367" s="281">
        <f>IFERROR(__xludf.DUMMYFUNCTION("""COMPUTED_VALUE"""),50.0)</f>
        <v>50</v>
      </c>
      <c r="Q367" s="360"/>
    </row>
    <row r="368" ht="12.75" customHeight="1">
      <c r="G368" s="359" t="s">
        <v>1088</v>
      </c>
      <c r="H368" s="281">
        <v>50.0</v>
      </c>
      <c r="I368" s="358">
        <v>0.0024423602969910123</v>
      </c>
      <c r="K368" s="281"/>
      <c r="L368" s="359"/>
      <c r="M368" s="360"/>
      <c r="O368" s="372" t="str">
        <f>IFERROR(__xludf.DUMMYFUNCTION("""COMPUTED_VALUE"""),"Ghost Ship - Fog Horn 1★ #820")</f>
        <v>Ghost Ship - Fog Horn 1★ #820</v>
      </c>
      <c r="P368" s="281">
        <f>IFERROR(__xludf.DUMMYFUNCTION("""COMPUTED_VALUE"""),50.0)</f>
        <v>50</v>
      </c>
      <c r="Q368" s="360"/>
    </row>
    <row r="369" ht="12.75" customHeight="1">
      <c r="G369" s="359" t="s">
        <v>1089</v>
      </c>
      <c r="H369" s="281">
        <v>50.0</v>
      </c>
      <c r="I369" s="358">
        <v>0.0024423602969910123</v>
      </c>
      <c r="K369" s="281"/>
      <c r="L369" s="359"/>
      <c r="M369" s="360"/>
      <c r="O369" s="372" t="str">
        <f>IFERROR(__xludf.DUMMYFUNCTION("""COMPUTED_VALUE"""),"Ghost Ship - Fog Horn 1★ #2D5")</f>
        <v>Ghost Ship - Fog Horn 1★ #2D5</v>
      </c>
      <c r="P369" s="281">
        <f>IFERROR(__xludf.DUMMYFUNCTION("""COMPUTED_VALUE"""),50.0)</f>
        <v>50</v>
      </c>
      <c r="Q369" s="360"/>
    </row>
    <row r="370" ht="12.75" customHeight="1">
      <c r="G370" s="359" t="s">
        <v>1090</v>
      </c>
      <c r="H370" s="281">
        <v>50.0</v>
      </c>
      <c r="I370" s="358">
        <v>0.0024423602969910123</v>
      </c>
      <c r="K370" s="281"/>
      <c r="L370" s="359"/>
      <c r="M370" s="360"/>
      <c r="O370" s="372" t="str">
        <f>IFERROR(__xludf.DUMMYFUNCTION("""COMPUTED_VALUE"""),"Ghost Ship - Fog Horn 1★ #D8A")</f>
        <v>Ghost Ship - Fog Horn 1★ #D8A</v>
      </c>
      <c r="P370" s="281">
        <f>IFERROR(__xludf.DUMMYFUNCTION("""COMPUTED_VALUE"""),50.0)</f>
        <v>50</v>
      </c>
      <c r="Q370" s="360"/>
    </row>
    <row r="371" ht="12.75" customHeight="1">
      <c r="G371" s="359" t="s">
        <v>1091</v>
      </c>
      <c r="H371" s="281">
        <v>50.0</v>
      </c>
      <c r="I371" s="358">
        <v>0.0024423602969910123</v>
      </c>
      <c r="K371" s="281"/>
      <c r="L371" s="359"/>
      <c r="M371" s="360"/>
      <c r="O371" s="372" t="str">
        <f>IFERROR(__xludf.DUMMYFUNCTION("""COMPUTED_VALUE"""),"Ghost Ship - Fog Horn 1★ #83F")</f>
        <v>Ghost Ship - Fog Horn 1★ #83F</v>
      </c>
      <c r="P371" s="281">
        <f>IFERROR(__xludf.DUMMYFUNCTION("""COMPUTED_VALUE"""),50.0)</f>
        <v>50</v>
      </c>
      <c r="Q371" s="360"/>
    </row>
    <row r="372" ht="12.75" customHeight="1">
      <c r="G372" s="359" t="s">
        <v>1092</v>
      </c>
      <c r="H372" s="281">
        <v>50.0</v>
      </c>
      <c r="I372" s="358">
        <v>0.0024423602969910123</v>
      </c>
      <c r="K372" s="281"/>
      <c r="L372" s="359"/>
      <c r="M372" s="360"/>
      <c r="O372" s="372" t="str">
        <f>IFERROR(__xludf.DUMMYFUNCTION("""COMPUTED_VALUE"""),"Ghost Ship - Fog Horn 1★ #2F4")</f>
        <v>Ghost Ship - Fog Horn 1★ #2F4</v>
      </c>
      <c r="P372" s="281">
        <f>IFERROR(__xludf.DUMMYFUNCTION("""COMPUTED_VALUE"""),50.0)</f>
        <v>50</v>
      </c>
      <c r="Q372" s="360"/>
    </row>
    <row r="373" ht="12.75" customHeight="1">
      <c r="G373" s="359" t="s">
        <v>1093</v>
      </c>
      <c r="H373" s="281">
        <v>50.0</v>
      </c>
      <c r="I373" s="358">
        <v>0.0024423602969910123</v>
      </c>
      <c r="K373" s="281"/>
      <c r="L373" s="359"/>
      <c r="M373" s="360"/>
      <c r="O373" s="372" t="str">
        <f>IFERROR(__xludf.DUMMYFUNCTION("""COMPUTED_VALUE"""),"Ghost Ship - Fog Horn 1★ #DA9")</f>
        <v>Ghost Ship - Fog Horn 1★ #DA9</v>
      </c>
      <c r="P373" s="281">
        <f>IFERROR(__xludf.DUMMYFUNCTION("""COMPUTED_VALUE"""),50.0)</f>
        <v>50</v>
      </c>
      <c r="Q373" s="360"/>
    </row>
    <row r="374" ht="12.75" customHeight="1">
      <c r="G374" s="359" t="s">
        <v>1094</v>
      </c>
      <c r="H374" s="281">
        <v>50.0</v>
      </c>
      <c r="I374" s="358">
        <v>0.0024423602969910123</v>
      </c>
      <c r="K374" s="281"/>
      <c r="L374" s="359"/>
      <c r="M374" s="360"/>
      <c r="O374" s="372" t="str">
        <f>IFERROR(__xludf.DUMMYFUNCTION("""COMPUTED_VALUE"""),"Ghost Ship - Fog Horn 1★ #85E")</f>
        <v>Ghost Ship - Fog Horn 1★ #85E</v>
      </c>
      <c r="P374" s="281">
        <f>IFERROR(__xludf.DUMMYFUNCTION("""COMPUTED_VALUE"""),50.0)</f>
        <v>50</v>
      </c>
      <c r="Q374" s="360"/>
    </row>
    <row r="375" ht="12.75" customHeight="1">
      <c r="G375" s="359" t="s">
        <v>1095</v>
      </c>
      <c r="H375" s="281">
        <v>50.0</v>
      </c>
      <c r="I375" s="358">
        <v>0.0024423602969910123</v>
      </c>
      <c r="K375" s="281"/>
      <c r="L375" s="359"/>
      <c r="M375" s="360"/>
      <c r="O375" s="372" t="str">
        <f>IFERROR(__xludf.DUMMYFUNCTION("""COMPUTED_VALUE"""),"Ghost Ship - Fog Horn 1★ #313")</f>
        <v>Ghost Ship - Fog Horn 1★ #313</v>
      </c>
      <c r="P375" s="281">
        <f>IFERROR(__xludf.DUMMYFUNCTION("""COMPUTED_VALUE"""),50.0)</f>
        <v>50</v>
      </c>
      <c r="Q375" s="360"/>
    </row>
    <row r="376" ht="12.75" customHeight="1">
      <c r="G376" s="359" t="s">
        <v>1096</v>
      </c>
      <c r="H376" s="281">
        <v>50.0</v>
      </c>
      <c r="I376" s="358">
        <v>0.0024423602969910123</v>
      </c>
      <c r="K376" s="281"/>
      <c r="L376" s="359"/>
      <c r="M376" s="360"/>
      <c r="O376" s="372" t="str">
        <f>IFERROR(__xludf.DUMMYFUNCTION("""COMPUTED_VALUE"""),"Ghost Ship - Fog Horn 1★ #DC8")</f>
        <v>Ghost Ship - Fog Horn 1★ #DC8</v>
      </c>
      <c r="P376" s="281">
        <f>IFERROR(__xludf.DUMMYFUNCTION("""COMPUTED_VALUE"""),50.0)</f>
        <v>50</v>
      </c>
      <c r="Q376" s="360"/>
    </row>
    <row r="377" ht="12.75" customHeight="1">
      <c r="G377" s="359" t="s">
        <v>1097</v>
      </c>
      <c r="H377" s="281">
        <v>50.0</v>
      </c>
      <c r="I377" s="358">
        <v>0.0024423602969910123</v>
      </c>
      <c r="K377" s="281"/>
      <c r="L377" s="359"/>
      <c r="M377" s="360"/>
      <c r="O377" s="372" t="str">
        <f>IFERROR(__xludf.DUMMYFUNCTION("""COMPUTED_VALUE"""),"Ghost Ship - Sail 1★ #87D")</f>
        <v>Ghost Ship - Sail 1★ #87D</v>
      </c>
      <c r="P377" s="281">
        <f>IFERROR(__xludf.DUMMYFUNCTION("""COMPUTED_VALUE"""),50.0)</f>
        <v>50</v>
      </c>
      <c r="Q377" s="360"/>
    </row>
    <row r="378" ht="12.75" customHeight="1">
      <c r="G378" s="359" t="s">
        <v>1098</v>
      </c>
      <c r="H378" s="281">
        <v>50.0</v>
      </c>
      <c r="I378" s="358">
        <v>0.0024423602969910123</v>
      </c>
      <c r="K378" s="281"/>
      <c r="L378" s="359"/>
      <c r="M378" s="360"/>
      <c r="O378" s="372" t="str">
        <f>IFERROR(__xludf.DUMMYFUNCTION("""COMPUTED_VALUE"""),"Ghost Ship - Sail 1★ #332")</f>
        <v>Ghost Ship - Sail 1★ #332</v>
      </c>
      <c r="P378" s="281">
        <f>IFERROR(__xludf.DUMMYFUNCTION("""COMPUTED_VALUE"""),50.0)</f>
        <v>50</v>
      </c>
      <c r="Q378" s="360"/>
    </row>
    <row r="379" ht="12.75" customHeight="1">
      <c r="G379" s="359" t="s">
        <v>1099</v>
      </c>
      <c r="H379" s="281">
        <v>50.0</v>
      </c>
      <c r="I379" s="358">
        <v>0.0024423602969910123</v>
      </c>
      <c r="K379" s="281"/>
      <c r="L379" s="359"/>
      <c r="M379" s="360"/>
      <c r="O379" s="372" t="str">
        <f>IFERROR(__xludf.DUMMYFUNCTION("""COMPUTED_VALUE"""),"Ghost Ship - Sail 1★ #DE7")</f>
        <v>Ghost Ship - Sail 1★ #DE7</v>
      </c>
      <c r="P379" s="281">
        <f>IFERROR(__xludf.DUMMYFUNCTION("""COMPUTED_VALUE"""),50.0)</f>
        <v>50</v>
      </c>
      <c r="Q379" s="360"/>
    </row>
    <row r="380" ht="12.75" customHeight="1">
      <c r="G380" s="359" t="s">
        <v>1100</v>
      </c>
      <c r="H380" s="281">
        <v>50.0</v>
      </c>
      <c r="I380" s="358">
        <v>0.0024423602969910123</v>
      </c>
      <c r="K380" s="281"/>
      <c r="L380" s="359"/>
      <c r="M380" s="360"/>
      <c r="O380" s="372" t="str">
        <f>IFERROR(__xludf.DUMMYFUNCTION("""COMPUTED_VALUE"""),"Ghost Ship - Sail 1★ #89C")</f>
        <v>Ghost Ship - Sail 1★ #89C</v>
      </c>
      <c r="P380" s="281">
        <f>IFERROR(__xludf.DUMMYFUNCTION("""COMPUTED_VALUE"""),50.0)</f>
        <v>50</v>
      </c>
      <c r="Q380" s="360"/>
    </row>
    <row r="381" ht="12.75" customHeight="1">
      <c r="G381" s="359" t="s">
        <v>1101</v>
      </c>
      <c r="H381" s="281">
        <v>50.0</v>
      </c>
      <c r="I381" s="358">
        <v>0.0024423602969910123</v>
      </c>
      <c r="K381" s="281"/>
      <c r="L381" s="359"/>
      <c r="M381" s="360"/>
      <c r="O381" s="372" t="str">
        <f>IFERROR(__xludf.DUMMYFUNCTION("""COMPUTED_VALUE"""),"Ghost Ship - Sail 1★ #351")</f>
        <v>Ghost Ship - Sail 1★ #351</v>
      </c>
      <c r="P381" s="281">
        <f>IFERROR(__xludf.DUMMYFUNCTION("""COMPUTED_VALUE"""),50.0)</f>
        <v>50</v>
      </c>
      <c r="Q381" s="360"/>
    </row>
    <row r="382" ht="12.75" customHeight="1">
      <c r="G382" s="359" t="s">
        <v>1102</v>
      </c>
      <c r="H382" s="281">
        <v>50.0</v>
      </c>
      <c r="I382" s="358">
        <v>0.0024423602969910123</v>
      </c>
      <c r="K382" s="281"/>
      <c r="L382" s="359"/>
      <c r="M382" s="360"/>
      <c r="O382" s="372" t="str">
        <f>IFERROR(__xludf.DUMMYFUNCTION("""COMPUTED_VALUE"""),"Ghost Ship - Sail 1★ #E06")</f>
        <v>Ghost Ship - Sail 1★ #E06</v>
      </c>
      <c r="P382" s="281">
        <f>IFERROR(__xludf.DUMMYFUNCTION("""COMPUTED_VALUE"""),50.0)</f>
        <v>50</v>
      </c>
      <c r="Q382" s="360"/>
    </row>
    <row r="383" ht="12.75" customHeight="1">
      <c r="G383" s="359" t="s">
        <v>1103</v>
      </c>
      <c r="H383" s="281">
        <v>50.0</v>
      </c>
      <c r="I383" s="358">
        <v>0.0024423602969910123</v>
      </c>
      <c r="K383" s="281"/>
      <c r="L383" s="359"/>
      <c r="M383" s="360"/>
      <c r="O383" s="372" t="str">
        <f>IFERROR(__xludf.DUMMYFUNCTION("""COMPUTED_VALUE"""),"Ghost Ship - Sail 1★ #8BB")</f>
        <v>Ghost Ship - Sail 1★ #8BB</v>
      </c>
      <c r="P383" s="281">
        <f>IFERROR(__xludf.DUMMYFUNCTION("""COMPUTED_VALUE"""),50.0)</f>
        <v>50</v>
      </c>
      <c r="Q383" s="360"/>
    </row>
    <row r="384" ht="12.75" customHeight="1">
      <c r="G384" s="359" t="s">
        <v>1104</v>
      </c>
      <c r="H384" s="281">
        <v>50.0</v>
      </c>
      <c r="I384" s="358">
        <v>0.0024423602969910123</v>
      </c>
      <c r="K384" s="281"/>
      <c r="L384" s="359"/>
      <c r="M384" s="360"/>
      <c r="O384" s="372" t="str">
        <f>IFERROR(__xludf.DUMMYFUNCTION("""COMPUTED_VALUE"""),"Ghost Ship - Sail 1★ #370")</f>
        <v>Ghost Ship - Sail 1★ #370</v>
      </c>
      <c r="P384" s="281">
        <f>IFERROR(__xludf.DUMMYFUNCTION("""COMPUTED_VALUE"""),50.0)</f>
        <v>50</v>
      </c>
      <c r="Q384" s="360"/>
    </row>
    <row r="385" ht="12.75" customHeight="1">
      <c r="G385" s="359" t="s">
        <v>1105</v>
      </c>
      <c r="H385" s="281">
        <v>50.0</v>
      </c>
      <c r="I385" s="358">
        <v>0.0024423602969910123</v>
      </c>
      <c r="K385" s="281"/>
      <c r="L385" s="359"/>
      <c r="M385" s="360"/>
      <c r="O385" s="372" t="str">
        <f>IFERROR(__xludf.DUMMYFUNCTION("""COMPUTED_VALUE"""),"Ghost Ship - Sail 1★ #E25")</f>
        <v>Ghost Ship - Sail 1★ #E25</v>
      </c>
      <c r="P385" s="281">
        <f>IFERROR(__xludf.DUMMYFUNCTION("""COMPUTED_VALUE"""),50.0)</f>
        <v>50</v>
      </c>
      <c r="Q385" s="360"/>
    </row>
    <row r="386" ht="12.75" customHeight="1">
      <c r="G386" s="359" t="s">
        <v>1106</v>
      </c>
      <c r="H386" s="281">
        <v>50.0</v>
      </c>
      <c r="I386" s="358">
        <v>0.0024423602969910123</v>
      </c>
      <c r="K386" s="281"/>
      <c r="L386" s="359"/>
      <c r="M386" s="360"/>
      <c r="O386" s="372" t="str">
        <f>IFERROR(__xludf.DUMMYFUNCTION("""COMPUTED_VALUE"""),"Ghost Ship - Sail 1★ #8DA")</f>
        <v>Ghost Ship - Sail 1★ #8DA</v>
      </c>
      <c r="P386" s="281">
        <f>IFERROR(__xludf.DUMMYFUNCTION("""COMPUTED_VALUE"""),50.0)</f>
        <v>50</v>
      </c>
      <c r="Q386" s="360"/>
    </row>
    <row r="387" ht="12.75" customHeight="1">
      <c r="G387" s="359" t="s">
        <v>1107</v>
      </c>
      <c r="H387" s="281">
        <v>50.0</v>
      </c>
      <c r="I387" s="358">
        <v>0.0024423602969910123</v>
      </c>
      <c r="K387" s="281"/>
      <c r="L387" s="359"/>
      <c r="M387" s="360"/>
      <c r="O387" s="372" t="str">
        <f>IFERROR(__xludf.DUMMYFUNCTION("""COMPUTED_VALUE"""),"Ghost Ship - Sail 1★ #38F")</f>
        <v>Ghost Ship - Sail 1★ #38F</v>
      </c>
      <c r="P387" s="281">
        <f>IFERROR(__xludf.DUMMYFUNCTION("""COMPUTED_VALUE"""),50.0)</f>
        <v>50</v>
      </c>
      <c r="Q387" s="360"/>
    </row>
    <row r="388" ht="12.75" customHeight="1">
      <c r="G388" s="359" t="s">
        <v>1108</v>
      </c>
      <c r="H388" s="281">
        <v>50.0</v>
      </c>
      <c r="I388" s="358">
        <v>0.0024423602969910123</v>
      </c>
      <c r="K388" s="281"/>
      <c r="L388" s="359"/>
      <c r="M388" s="360"/>
      <c r="O388" s="372" t="str">
        <f>IFERROR(__xludf.DUMMYFUNCTION("""COMPUTED_VALUE"""),"Ghost Ship - Sail 1★ #E44")</f>
        <v>Ghost Ship - Sail 1★ #E44</v>
      </c>
      <c r="P388" s="281">
        <f>IFERROR(__xludf.DUMMYFUNCTION("""COMPUTED_VALUE"""),50.0)</f>
        <v>50</v>
      </c>
      <c r="Q388" s="360"/>
    </row>
    <row r="389" ht="12.75" customHeight="1">
      <c r="G389" s="359" t="s">
        <v>1109</v>
      </c>
      <c r="H389" s="281">
        <v>50.0</v>
      </c>
      <c r="I389" s="358">
        <v>0.0024423602969910123</v>
      </c>
      <c r="K389" s="281"/>
      <c r="L389" s="359"/>
      <c r="M389" s="360"/>
      <c r="O389" s="372" t="str">
        <f>IFERROR(__xludf.DUMMYFUNCTION("""COMPUTED_VALUE"""),"Ghost Ship - Sail 1★ #8F9")</f>
        <v>Ghost Ship - Sail 1★ #8F9</v>
      </c>
      <c r="P389" s="281">
        <f>IFERROR(__xludf.DUMMYFUNCTION("""COMPUTED_VALUE"""),50.0)</f>
        <v>50</v>
      </c>
      <c r="Q389" s="360"/>
    </row>
    <row r="390" ht="12.75" customHeight="1">
      <c r="G390" s="359" t="s">
        <v>1110</v>
      </c>
      <c r="H390" s="281">
        <v>20.0</v>
      </c>
      <c r="I390" s="358">
        <v>9.769441187964048E-4</v>
      </c>
      <c r="K390" s="281"/>
      <c r="L390" s="359"/>
      <c r="M390" s="360"/>
      <c r="O390" s="372" t="str">
        <f>IFERROR(__xludf.DUMMYFUNCTION("""COMPUTED_VALUE"""),"Ghost Ship - Ghost Lamp 2★ #3AE")</f>
        <v>Ghost Ship - Ghost Lamp 2★ #3AE</v>
      </c>
      <c r="P390" s="281">
        <f>IFERROR(__xludf.DUMMYFUNCTION("""COMPUTED_VALUE"""),20.0)</f>
        <v>20</v>
      </c>
      <c r="Q390" s="360"/>
    </row>
    <row r="391" ht="12.75" customHeight="1">
      <c r="G391" s="359" t="s">
        <v>1111</v>
      </c>
      <c r="H391" s="281">
        <v>20.0</v>
      </c>
      <c r="I391" s="358">
        <v>9.769441187964048E-4</v>
      </c>
      <c r="K391" s="281"/>
      <c r="L391" s="359"/>
      <c r="M391" s="360"/>
      <c r="O391" s="372" t="str">
        <f>IFERROR(__xludf.DUMMYFUNCTION("""COMPUTED_VALUE"""),"Ghost Ship - Ghost Lamp 2★ #E63")</f>
        <v>Ghost Ship - Ghost Lamp 2★ #E63</v>
      </c>
      <c r="P391" s="281">
        <f>IFERROR(__xludf.DUMMYFUNCTION("""COMPUTED_VALUE"""),20.0)</f>
        <v>20</v>
      </c>
      <c r="Q391" s="360"/>
    </row>
    <row r="392" ht="12.75" customHeight="1">
      <c r="G392" s="359" t="s">
        <v>1112</v>
      </c>
      <c r="H392" s="281">
        <v>20.0</v>
      </c>
      <c r="I392" s="358">
        <v>9.769441187964048E-4</v>
      </c>
      <c r="K392" s="281"/>
      <c r="L392" s="359"/>
      <c r="M392" s="360"/>
      <c r="O392" s="372" t="str">
        <f>IFERROR(__xludf.DUMMYFUNCTION("""COMPUTED_VALUE"""),"Ghost Ship - Ghost Lamp 2★ #918")</f>
        <v>Ghost Ship - Ghost Lamp 2★ #918</v>
      </c>
      <c r="P392" s="281">
        <f>IFERROR(__xludf.DUMMYFUNCTION("""COMPUTED_VALUE"""),20.0)</f>
        <v>20</v>
      </c>
      <c r="Q392" s="360"/>
    </row>
    <row r="393" ht="12.75" customHeight="1">
      <c r="G393" s="359" t="s">
        <v>1113</v>
      </c>
      <c r="H393" s="281">
        <v>20.0</v>
      </c>
      <c r="I393" s="358">
        <v>9.769441187964048E-4</v>
      </c>
      <c r="K393" s="281"/>
      <c r="L393" s="359"/>
      <c r="M393" s="360"/>
      <c r="O393" s="372" t="str">
        <f>IFERROR(__xludf.DUMMYFUNCTION("""COMPUTED_VALUE"""),"Ghost Ship - Ghost Lamp 2★ #3CD")</f>
        <v>Ghost Ship - Ghost Lamp 2★ #3CD</v>
      </c>
      <c r="P393" s="281">
        <f>IFERROR(__xludf.DUMMYFUNCTION("""COMPUTED_VALUE"""),20.0)</f>
        <v>20</v>
      </c>
      <c r="Q393" s="360"/>
    </row>
    <row r="394" ht="12.75" customHeight="1">
      <c r="G394" s="359" t="s">
        <v>1114</v>
      </c>
      <c r="H394" s="281">
        <v>20.0</v>
      </c>
      <c r="I394" s="358">
        <v>9.769441187964048E-4</v>
      </c>
      <c r="K394" s="281"/>
      <c r="L394" s="359"/>
      <c r="M394" s="360"/>
      <c r="O394" s="372" t="str">
        <f>IFERROR(__xludf.DUMMYFUNCTION("""COMPUTED_VALUE"""),"Ghost Ship - Ghost Lamp 2★ #E82")</f>
        <v>Ghost Ship - Ghost Lamp 2★ #E82</v>
      </c>
      <c r="P394" s="281">
        <f>IFERROR(__xludf.DUMMYFUNCTION("""COMPUTED_VALUE"""),20.0)</f>
        <v>20</v>
      </c>
      <c r="Q394" s="360"/>
    </row>
    <row r="395" ht="12.75" customHeight="1">
      <c r="G395" s="359" t="s">
        <v>1115</v>
      </c>
      <c r="H395" s="281">
        <v>20.0</v>
      </c>
      <c r="I395" s="358">
        <v>9.769441187964048E-4</v>
      </c>
      <c r="K395" s="281"/>
      <c r="L395" s="359"/>
      <c r="M395" s="360"/>
      <c r="O395" s="372" t="str">
        <f>IFERROR(__xludf.DUMMYFUNCTION("""COMPUTED_VALUE"""),"Ghost Ship - Ghost Lamp 2★ #937")</f>
        <v>Ghost Ship - Ghost Lamp 2★ #937</v>
      </c>
      <c r="P395" s="281">
        <f>IFERROR(__xludf.DUMMYFUNCTION("""COMPUTED_VALUE"""),20.0)</f>
        <v>20</v>
      </c>
      <c r="Q395" s="360"/>
    </row>
    <row r="396" ht="12.75" customHeight="1">
      <c r="G396" s="359" t="s">
        <v>1116</v>
      </c>
      <c r="H396" s="281">
        <v>20.0</v>
      </c>
      <c r="I396" s="358">
        <v>9.769441187964048E-4</v>
      </c>
      <c r="K396" s="281"/>
      <c r="L396" s="359"/>
      <c r="M396" s="360"/>
      <c r="O396" s="372" t="str">
        <f>IFERROR(__xludf.DUMMYFUNCTION("""COMPUTED_VALUE"""),"Ghost Ship - Ghost Lamp 2★ #3EC")</f>
        <v>Ghost Ship - Ghost Lamp 2★ #3EC</v>
      </c>
      <c r="P396" s="281">
        <f>IFERROR(__xludf.DUMMYFUNCTION("""COMPUTED_VALUE"""),20.0)</f>
        <v>20</v>
      </c>
      <c r="Q396" s="360"/>
    </row>
    <row r="397" ht="12.75" customHeight="1">
      <c r="G397" s="359" t="s">
        <v>1117</v>
      </c>
      <c r="H397" s="281">
        <v>20.0</v>
      </c>
      <c r="I397" s="358">
        <v>9.769441187964048E-4</v>
      </c>
      <c r="K397" s="281"/>
      <c r="L397" s="359"/>
      <c r="M397" s="360"/>
      <c r="O397" s="372" t="str">
        <f>IFERROR(__xludf.DUMMYFUNCTION("""COMPUTED_VALUE"""),"Ghost Ship - Ghost Lamp 2★ #EA1")</f>
        <v>Ghost Ship - Ghost Lamp 2★ #EA1</v>
      </c>
      <c r="P397" s="281">
        <f>IFERROR(__xludf.DUMMYFUNCTION("""COMPUTED_VALUE"""),20.0)</f>
        <v>20</v>
      </c>
      <c r="Q397" s="360"/>
    </row>
    <row r="398" ht="12.75" customHeight="1">
      <c r="G398" s="359" t="s">
        <v>1118</v>
      </c>
      <c r="H398" s="281">
        <v>20.0</v>
      </c>
      <c r="I398" s="358">
        <v>9.769441187964048E-4</v>
      </c>
      <c r="K398" s="281"/>
      <c r="L398" s="359"/>
      <c r="M398" s="360"/>
      <c r="O398" s="372" t="str">
        <f>IFERROR(__xludf.DUMMYFUNCTION("""COMPUTED_VALUE"""),"Ghost Ship - Ghost Lamp 2★ #956")</f>
        <v>Ghost Ship - Ghost Lamp 2★ #956</v>
      </c>
      <c r="P398" s="281">
        <f>IFERROR(__xludf.DUMMYFUNCTION("""COMPUTED_VALUE"""),20.0)</f>
        <v>20</v>
      </c>
      <c r="Q398" s="360"/>
    </row>
    <row r="399" ht="12.75" customHeight="1">
      <c r="G399" s="359" t="s">
        <v>1119</v>
      </c>
      <c r="H399" s="281">
        <v>20.0</v>
      </c>
      <c r="I399" s="358">
        <v>9.769441187964048E-4</v>
      </c>
      <c r="K399" s="281"/>
      <c r="L399" s="359"/>
      <c r="M399" s="360"/>
      <c r="O399" s="372" t="str">
        <f>IFERROR(__xludf.DUMMYFUNCTION("""COMPUTED_VALUE"""),"Ghost Ship - Ghost Lamp 2★ #40B")</f>
        <v>Ghost Ship - Ghost Lamp 2★ #40B</v>
      </c>
      <c r="P399" s="281">
        <f>IFERROR(__xludf.DUMMYFUNCTION("""COMPUTED_VALUE"""),20.0)</f>
        <v>20</v>
      </c>
      <c r="Q399" s="360"/>
    </row>
    <row r="400" ht="12.75" customHeight="1">
      <c r="G400" s="359" t="s">
        <v>1120</v>
      </c>
      <c r="H400" s="281">
        <v>20.0</v>
      </c>
      <c r="I400" s="358">
        <v>9.769441187964048E-4</v>
      </c>
      <c r="K400" s="281"/>
      <c r="L400" s="359"/>
      <c r="M400" s="360"/>
      <c r="O400" s="372" t="str">
        <f>IFERROR(__xludf.DUMMYFUNCTION("""COMPUTED_VALUE"""),"Ghost Ship - Ghost Lamp 2★ #EC0")</f>
        <v>Ghost Ship - Ghost Lamp 2★ #EC0</v>
      </c>
      <c r="P400" s="281">
        <f>IFERROR(__xludf.DUMMYFUNCTION("""COMPUTED_VALUE"""),20.0)</f>
        <v>20</v>
      </c>
      <c r="Q400" s="360"/>
    </row>
    <row r="401" ht="12.75" customHeight="1">
      <c r="G401" s="359" t="s">
        <v>1121</v>
      </c>
      <c r="H401" s="281">
        <v>20.0</v>
      </c>
      <c r="I401" s="358">
        <v>9.769441187964048E-4</v>
      </c>
      <c r="K401" s="281"/>
      <c r="L401" s="359"/>
      <c r="M401" s="360"/>
      <c r="O401" s="372" t="str">
        <f>IFERROR(__xludf.DUMMYFUNCTION("""COMPUTED_VALUE"""),"Ghost Ship - Ghost Lamp 2★ #975")</f>
        <v>Ghost Ship - Ghost Lamp 2★ #975</v>
      </c>
      <c r="P401" s="281">
        <f>IFERROR(__xludf.DUMMYFUNCTION("""COMPUTED_VALUE"""),20.0)</f>
        <v>20</v>
      </c>
      <c r="Q401" s="360"/>
    </row>
    <row r="402" ht="12.75" customHeight="1">
      <c r="G402" s="359" t="s">
        <v>1122</v>
      </c>
      <c r="H402" s="281">
        <v>20.0</v>
      </c>
      <c r="I402" s="358">
        <v>9.769441187964048E-4</v>
      </c>
      <c r="K402" s="281"/>
      <c r="L402" s="359"/>
      <c r="M402" s="360"/>
      <c r="O402" s="372" t="str">
        <f>IFERROR(__xludf.DUMMYFUNCTION("""COMPUTED_VALUE"""),"Ghost Ship - Ghost Lamp 2★ #42A")</f>
        <v>Ghost Ship - Ghost Lamp 2★ #42A</v>
      </c>
      <c r="P402" s="281">
        <f>IFERROR(__xludf.DUMMYFUNCTION("""COMPUTED_VALUE"""),20.0)</f>
        <v>20</v>
      </c>
      <c r="Q402" s="360"/>
    </row>
    <row r="403" ht="12.75" customHeight="1">
      <c r="G403" s="359" t="s">
        <v>1123</v>
      </c>
      <c r="H403" s="281">
        <v>20.0</v>
      </c>
      <c r="I403" s="358">
        <v>9.769441187964048E-4</v>
      </c>
      <c r="K403" s="281"/>
      <c r="L403" s="359"/>
      <c r="M403" s="360"/>
      <c r="O403" s="372" t="str">
        <f>IFERROR(__xludf.DUMMYFUNCTION("""COMPUTED_VALUE"""),"Ghost Ship - Key 2★ #EDF")</f>
        <v>Ghost Ship - Key 2★ #EDF</v>
      </c>
      <c r="P403" s="281">
        <f>IFERROR(__xludf.DUMMYFUNCTION("""COMPUTED_VALUE"""),20.0)</f>
        <v>20</v>
      </c>
      <c r="Q403" s="360"/>
    </row>
    <row r="404" ht="12.75" customHeight="1">
      <c r="G404" s="359" t="s">
        <v>1124</v>
      </c>
      <c r="H404" s="281">
        <v>20.0</v>
      </c>
      <c r="I404" s="358">
        <v>9.769441187964048E-4</v>
      </c>
      <c r="K404" s="281"/>
      <c r="L404" s="359"/>
      <c r="M404" s="360"/>
      <c r="O404" s="372" t="str">
        <f>IFERROR(__xludf.DUMMYFUNCTION("""COMPUTED_VALUE"""),"Ghost Ship - Key 2★ #994")</f>
        <v>Ghost Ship - Key 2★ #994</v>
      </c>
      <c r="P404" s="281">
        <f>IFERROR(__xludf.DUMMYFUNCTION("""COMPUTED_VALUE"""),20.0)</f>
        <v>20</v>
      </c>
      <c r="Q404" s="360"/>
    </row>
    <row r="405" ht="12.75" customHeight="1">
      <c r="G405" s="359" t="s">
        <v>1125</v>
      </c>
      <c r="H405" s="281">
        <v>20.0</v>
      </c>
      <c r="I405" s="358">
        <v>9.769441187964048E-4</v>
      </c>
      <c r="K405" s="281"/>
      <c r="L405" s="359"/>
      <c r="M405" s="360"/>
      <c r="O405" s="372" t="str">
        <f>IFERROR(__xludf.DUMMYFUNCTION("""COMPUTED_VALUE"""),"Ghost Ship - Key 2★ #449")</f>
        <v>Ghost Ship - Key 2★ #449</v>
      </c>
      <c r="P405" s="281">
        <f>IFERROR(__xludf.DUMMYFUNCTION("""COMPUTED_VALUE"""),20.0)</f>
        <v>20</v>
      </c>
      <c r="Q405" s="360"/>
    </row>
    <row r="406" ht="12.75" customHeight="1">
      <c r="G406" s="359" t="s">
        <v>1126</v>
      </c>
      <c r="H406" s="281">
        <v>20.0</v>
      </c>
      <c r="I406" s="358">
        <v>9.769441187964048E-4</v>
      </c>
      <c r="K406" s="281"/>
      <c r="L406" s="359"/>
      <c r="M406" s="360"/>
      <c r="O406" s="372" t="str">
        <f>IFERROR(__xludf.DUMMYFUNCTION("""COMPUTED_VALUE"""),"Ghost Ship - Key 2★ #EFE")</f>
        <v>Ghost Ship - Key 2★ #EFE</v>
      </c>
      <c r="P406" s="281">
        <f>IFERROR(__xludf.DUMMYFUNCTION("""COMPUTED_VALUE"""),20.0)</f>
        <v>20</v>
      </c>
      <c r="Q406" s="360"/>
    </row>
    <row r="407" ht="12.75" customHeight="1">
      <c r="G407" s="359" t="s">
        <v>1127</v>
      </c>
      <c r="H407" s="281">
        <v>20.0</v>
      </c>
      <c r="I407" s="358">
        <v>9.769441187964048E-4</v>
      </c>
      <c r="K407" s="281"/>
      <c r="L407" s="359"/>
      <c r="M407" s="360"/>
      <c r="O407" s="372" t="str">
        <f>IFERROR(__xludf.DUMMYFUNCTION("""COMPUTED_VALUE"""),"Ghost Ship - Key 2★ #9B3")</f>
        <v>Ghost Ship - Key 2★ #9B3</v>
      </c>
      <c r="P407" s="281">
        <f>IFERROR(__xludf.DUMMYFUNCTION("""COMPUTED_VALUE"""),20.0)</f>
        <v>20</v>
      </c>
      <c r="Q407" s="360"/>
    </row>
    <row r="408" ht="12.75" customHeight="1">
      <c r="G408" s="359" t="s">
        <v>1128</v>
      </c>
      <c r="H408" s="281">
        <v>20.0</v>
      </c>
      <c r="I408" s="358">
        <v>9.769441187964048E-4</v>
      </c>
      <c r="K408" s="281"/>
      <c r="L408" s="359"/>
      <c r="M408" s="360"/>
      <c r="O408" s="372" t="str">
        <f>IFERROR(__xludf.DUMMYFUNCTION("""COMPUTED_VALUE"""),"Ghost Ship - Key 2★ #468")</f>
        <v>Ghost Ship - Key 2★ #468</v>
      </c>
      <c r="P408" s="281">
        <f>IFERROR(__xludf.DUMMYFUNCTION("""COMPUTED_VALUE"""),20.0)</f>
        <v>20</v>
      </c>
      <c r="Q408" s="360"/>
    </row>
    <row r="409" ht="12.75" customHeight="1">
      <c r="G409" s="359" t="s">
        <v>1129</v>
      </c>
      <c r="H409" s="281">
        <v>20.0</v>
      </c>
      <c r="I409" s="358">
        <v>9.769441187964048E-4</v>
      </c>
      <c r="K409" s="281"/>
      <c r="L409" s="359"/>
      <c r="M409" s="360"/>
      <c r="O409" s="372" t="str">
        <f>IFERROR(__xludf.DUMMYFUNCTION("""COMPUTED_VALUE"""),"Ghost Ship - Key 2★ #F1D")</f>
        <v>Ghost Ship - Key 2★ #F1D</v>
      </c>
      <c r="P409" s="281">
        <f>IFERROR(__xludf.DUMMYFUNCTION("""COMPUTED_VALUE"""),20.0)</f>
        <v>20</v>
      </c>
      <c r="Q409" s="360"/>
    </row>
    <row r="410" ht="12.75" customHeight="1">
      <c r="G410" s="359" t="s">
        <v>1130</v>
      </c>
      <c r="H410" s="281">
        <v>20.0</v>
      </c>
      <c r="I410" s="358">
        <v>9.769441187964048E-4</v>
      </c>
      <c r="K410" s="281"/>
      <c r="L410" s="359"/>
      <c r="M410" s="360"/>
      <c r="O410" s="372" t="str">
        <f>IFERROR(__xludf.DUMMYFUNCTION("""COMPUTED_VALUE"""),"Ghost Ship - Key 2★ #9D2")</f>
        <v>Ghost Ship - Key 2★ #9D2</v>
      </c>
      <c r="P410" s="281">
        <f>IFERROR(__xludf.DUMMYFUNCTION("""COMPUTED_VALUE"""),20.0)</f>
        <v>20</v>
      </c>
      <c r="Q410" s="360"/>
    </row>
    <row r="411" ht="12.75" customHeight="1">
      <c r="G411" s="359" t="s">
        <v>1131</v>
      </c>
      <c r="H411" s="281">
        <v>20.0</v>
      </c>
      <c r="I411" s="358">
        <v>9.769441187964048E-4</v>
      </c>
      <c r="K411" s="281"/>
      <c r="L411" s="359"/>
      <c r="M411" s="360"/>
      <c r="O411" s="372" t="str">
        <f>IFERROR(__xludf.DUMMYFUNCTION("""COMPUTED_VALUE"""),"Ghost Ship - Key 2★ #487")</f>
        <v>Ghost Ship - Key 2★ #487</v>
      </c>
      <c r="P411" s="281">
        <f>IFERROR(__xludf.DUMMYFUNCTION("""COMPUTED_VALUE"""),20.0)</f>
        <v>20</v>
      </c>
      <c r="Q411" s="360"/>
    </row>
    <row r="412" ht="12.75" customHeight="1">
      <c r="G412" s="359" t="s">
        <v>1132</v>
      </c>
      <c r="H412" s="281">
        <v>20.0</v>
      </c>
      <c r="I412" s="358">
        <v>9.769441187964048E-4</v>
      </c>
      <c r="K412" s="281"/>
      <c r="L412" s="359"/>
      <c r="M412" s="360"/>
      <c r="O412" s="372" t="str">
        <f>IFERROR(__xludf.DUMMYFUNCTION("""COMPUTED_VALUE"""),"Ghost Ship - Key 2★ #F3C")</f>
        <v>Ghost Ship - Key 2★ #F3C</v>
      </c>
      <c r="P412" s="281">
        <f>IFERROR(__xludf.DUMMYFUNCTION("""COMPUTED_VALUE"""),20.0)</f>
        <v>20</v>
      </c>
      <c r="Q412" s="360"/>
    </row>
    <row r="413" ht="12.75" customHeight="1">
      <c r="G413" s="359" t="s">
        <v>1133</v>
      </c>
      <c r="H413" s="281">
        <v>20.0</v>
      </c>
      <c r="I413" s="358">
        <v>9.769441187964048E-4</v>
      </c>
      <c r="K413" s="281"/>
      <c r="L413" s="359"/>
      <c r="M413" s="360"/>
      <c r="O413" s="372" t="str">
        <f>IFERROR(__xludf.DUMMYFUNCTION("""COMPUTED_VALUE"""),"Ghost Ship - Key 2★ #9F1")</f>
        <v>Ghost Ship - Key 2★ #9F1</v>
      </c>
      <c r="P413" s="281">
        <f>IFERROR(__xludf.DUMMYFUNCTION("""COMPUTED_VALUE"""),20.0)</f>
        <v>20</v>
      </c>
      <c r="Q413" s="360"/>
    </row>
    <row r="414" ht="12.75" customHeight="1">
      <c r="G414" s="359" t="s">
        <v>1134</v>
      </c>
      <c r="H414" s="281">
        <v>20.0</v>
      </c>
      <c r="I414" s="358">
        <v>9.769441187964048E-4</v>
      </c>
      <c r="K414" s="281"/>
      <c r="L414" s="359"/>
      <c r="M414" s="360"/>
      <c r="O414" s="372" t="str">
        <f>IFERROR(__xludf.DUMMYFUNCTION("""COMPUTED_VALUE"""),"Ghost Ship - Key 2★ #4A6")</f>
        <v>Ghost Ship - Key 2★ #4A6</v>
      </c>
      <c r="P414" s="281">
        <f>IFERROR(__xludf.DUMMYFUNCTION("""COMPUTED_VALUE"""),20.0)</f>
        <v>20</v>
      </c>
      <c r="Q414" s="360"/>
    </row>
    <row r="415" ht="12.75" customHeight="1">
      <c r="G415" s="359" t="s">
        <v>1135</v>
      </c>
      <c r="H415" s="281">
        <v>20.0</v>
      </c>
      <c r="I415" s="358">
        <v>9.769441187964048E-4</v>
      </c>
      <c r="K415" s="281"/>
      <c r="L415" s="359"/>
      <c r="M415" s="360"/>
      <c r="O415" s="372" t="str">
        <f>IFERROR(__xludf.DUMMYFUNCTION("""COMPUTED_VALUE"""),"Ghost Ship - Key 2★ #F5B")</f>
        <v>Ghost Ship - Key 2★ #F5B</v>
      </c>
      <c r="P415" s="281">
        <f>IFERROR(__xludf.DUMMYFUNCTION("""COMPUTED_VALUE"""),20.0)</f>
        <v>20</v>
      </c>
      <c r="Q415" s="360"/>
    </row>
    <row r="416" ht="12.75" customHeight="1">
      <c r="G416" s="359" t="s">
        <v>1136</v>
      </c>
      <c r="H416" s="281">
        <v>10.0</v>
      </c>
      <c r="I416" s="358">
        <v>4.884720593982024E-4</v>
      </c>
      <c r="K416" s="281"/>
      <c r="L416" s="359"/>
      <c r="M416" s="360"/>
      <c r="O416" s="372" t="str">
        <f>IFERROR(__xludf.DUMMYFUNCTION("""COMPUTED_VALUE"""),"Ghost Ship - Plank 3★ #A10")</f>
        <v>Ghost Ship - Plank 3★ #A10</v>
      </c>
      <c r="P416" s="281">
        <f>IFERROR(__xludf.DUMMYFUNCTION("""COMPUTED_VALUE"""),10.0)</f>
        <v>10</v>
      </c>
      <c r="Q416" s="360"/>
    </row>
    <row r="417" ht="12.75" customHeight="1">
      <c r="G417" s="359" t="s">
        <v>1137</v>
      </c>
      <c r="H417" s="281">
        <v>10.0</v>
      </c>
      <c r="I417" s="358">
        <v>4.884720593982024E-4</v>
      </c>
      <c r="K417" s="281"/>
      <c r="L417" s="359"/>
      <c r="M417" s="360"/>
      <c r="O417" s="372" t="str">
        <f>IFERROR(__xludf.DUMMYFUNCTION("""COMPUTED_VALUE"""),"Ghost Ship - Plank 3★ #4C5")</f>
        <v>Ghost Ship - Plank 3★ #4C5</v>
      </c>
      <c r="P417" s="281">
        <f>IFERROR(__xludf.DUMMYFUNCTION("""COMPUTED_VALUE"""),10.0)</f>
        <v>10</v>
      </c>
      <c r="Q417" s="360"/>
    </row>
    <row r="418" ht="12.75" customHeight="1">
      <c r="G418" s="359" t="s">
        <v>1138</v>
      </c>
      <c r="H418" s="281">
        <v>10.0</v>
      </c>
      <c r="I418" s="358">
        <v>4.884720593982024E-4</v>
      </c>
      <c r="K418" s="281"/>
      <c r="L418" s="359"/>
      <c r="M418" s="360"/>
      <c r="O418" s="372" t="str">
        <f>IFERROR(__xludf.DUMMYFUNCTION("""COMPUTED_VALUE"""),"Ghost Ship - Plank 3★ #F7A")</f>
        <v>Ghost Ship - Plank 3★ #F7A</v>
      </c>
      <c r="P418" s="281">
        <f>IFERROR(__xludf.DUMMYFUNCTION("""COMPUTED_VALUE"""),10.0)</f>
        <v>10</v>
      </c>
      <c r="Q418" s="360"/>
    </row>
    <row r="419" ht="12.75" customHeight="1">
      <c r="G419" s="359" t="s">
        <v>1139</v>
      </c>
      <c r="H419" s="281">
        <v>10.0</v>
      </c>
      <c r="I419" s="358">
        <v>4.884720593982024E-4</v>
      </c>
      <c r="K419" s="281"/>
      <c r="L419" s="359"/>
      <c r="M419" s="360"/>
      <c r="O419" s="372" t="str">
        <f>IFERROR(__xludf.DUMMYFUNCTION("""COMPUTED_VALUE"""),"Ghost Ship - Plank 3★ #A2F")</f>
        <v>Ghost Ship - Plank 3★ #A2F</v>
      </c>
      <c r="P419" s="281">
        <f>IFERROR(__xludf.DUMMYFUNCTION("""COMPUTED_VALUE"""),10.0)</f>
        <v>10</v>
      </c>
      <c r="Q419" s="360"/>
    </row>
    <row r="420" ht="12.75" customHeight="1">
      <c r="G420" s="359" t="s">
        <v>1140</v>
      </c>
      <c r="H420" s="281">
        <v>10.0</v>
      </c>
      <c r="I420" s="358">
        <v>4.884720593982024E-4</v>
      </c>
      <c r="K420" s="281"/>
      <c r="L420" s="359"/>
      <c r="M420" s="360"/>
      <c r="O420" s="372" t="str">
        <f>IFERROR(__xludf.DUMMYFUNCTION("""COMPUTED_VALUE"""),"Ghost Ship - Plank 3★ #4E4")</f>
        <v>Ghost Ship - Plank 3★ #4E4</v>
      </c>
      <c r="P420" s="281">
        <f>IFERROR(__xludf.DUMMYFUNCTION("""COMPUTED_VALUE"""),10.0)</f>
        <v>10</v>
      </c>
      <c r="Q420" s="360"/>
    </row>
    <row r="421" ht="12.75" customHeight="1">
      <c r="G421" s="359" t="s">
        <v>1141</v>
      </c>
      <c r="H421" s="281">
        <v>10.0</v>
      </c>
      <c r="I421" s="358">
        <v>4.884720593982024E-4</v>
      </c>
      <c r="K421" s="281"/>
      <c r="L421" s="359"/>
      <c r="M421" s="360"/>
      <c r="O421" s="372" t="str">
        <f>IFERROR(__xludf.DUMMYFUNCTION("""COMPUTED_VALUE"""),"Ghost Ship - Plank 3★ #F99")</f>
        <v>Ghost Ship - Plank 3★ #F99</v>
      </c>
      <c r="P421" s="281">
        <f>IFERROR(__xludf.DUMMYFUNCTION("""COMPUTED_VALUE"""),10.0)</f>
        <v>10</v>
      </c>
      <c r="Q421" s="360"/>
    </row>
    <row r="422" ht="12.75" customHeight="1">
      <c r="G422" s="359" t="s">
        <v>1142</v>
      </c>
      <c r="H422" s="281">
        <v>10.0</v>
      </c>
      <c r="I422" s="358">
        <v>4.884720593982024E-4</v>
      </c>
      <c r="K422" s="281"/>
      <c r="L422" s="359"/>
      <c r="M422" s="360"/>
      <c r="O422" s="372" t="str">
        <f>IFERROR(__xludf.DUMMYFUNCTION("""COMPUTED_VALUE"""),"Ghost Ship - Plank 3★ #A4E")</f>
        <v>Ghost Ship - Plank 3★ #A4E</v>
      </c>
      <c r="P422" s="281">
        <f>IFERROR(__xludf.DUMMYFUNCTION("""COMPUTED_VALUE"""),10.0)</f>
        <v>10</v>
      </c>
      <c r="Q422" s="360"/>
    </row>
    <row r="423" ht="12.75" customHeight="1">
      <c r="G423" s="359" t="s">
        <v>1143</v>
      </c>
      <c r="H423" s="281">
        <v>10.0</v>
      </c>
      <c r="I423" s="358">
        <v>4.884720593982024E-4</v>
      </c>
      <c r="K423" s="281"/>
      <c r="L423" s="359"/>
      <c r="M423" s="360"/>
      <c r="O423" s="372" t="str">
        <f>IFERROR(__xludf.DUMMYFUNCTION("""COMPUTED_VALUE"""),"Ghost Ship - Plank 3★ #503")</f>
        <v>Ghost Ship - Plank 3★ #503</v>
      </c>
      <c r="P423" s="281">
        <f>IFERROR(__xludf.DUMMYFUNCTION("""COMPUTED_VALUE"""),10.0)</f>
        <v>10</v>
      </c>
      <c r="Q423" s="360"/>
    </row>
    <row r="424" ht="12.75" customHeight="1">
      <c r="G424" s="359" t="s">
        <v>1144</v>
      </c>
      <c r="H424" s="281">
        <v>10.0</v>
      </c>
      <c r="I424" s="358">
        <v>4.884720593982024E-4</v>
      </c>
      <c r="K424" s="281"/>
      <c r="L424" s="359"/>
      <c r="M424" s="360"/>
      <c r="O424" s="372" t="str">
        <f>IFERROR(__xludf.DUMMYFUNCTION("""COMPUTED_VALUE"""),"Ghost Ship - Plank 3★ #FB8")</f>
        <v>Ghost Ship - Plank 3★ #FB8</v>
      </c>
      <c r="P424" s="281">
        <f>IFERROR(__xludf.DUMMYFUNCTION("""COMPUTED_VALUE"""),10.0)</f>
        <v>10</v>
      </c>
      <c r="Q424" s="360"/>
    </row>
    <row r="425" ht="12.75" customHeight="1">
      <c r="G425" s="359" t="s">
        <v>1145</v>
      </c>
      <c r="H425" s="281">
        <v>10.0</v>
      </c>
      <c r="I425" s="358">
        <v>4.884720593982024E-4</v>
      </c>
      <c r="K425" s="281"/>
      <c r="L425" s="359"/>
      <c r="M425" s="360"/>
      <c r="O425" s="372" t="str">
        <f>IFERROR(__xludf.DUMMYFUNCTION("""COMPUTED_VALUE"""),"Ghost Ship - Plank 3★ #A6D")</f>
        <v>Ghost Ship - Plank 3★ #A6D</v>
      </c>
      <c r="P425" s="281">
        <f>IFERROR(__xludf.DUMMYFUNCTION("""COMPUTED_VALUE"""),10.0)</f>
        <v>10</v>
      </c>
      <c r="Q425" s="360"/>
    </row>
    <row r="426" ht="12.75" customHeight="1">
      <c r="G426" s="359" t="s">
        <v>1146</v>
      </c>
      <c r="H426" s="281">
        <v>10.0</v>
      </c>
      <c r="I426" s="358">
        <v>4.884720593982024E-4</v>
      </c>
      <c r="K426" s="281"/>
      <c r="L426" s="359"/>
      <c r="M426" s="360"/>
      <c r="O426" s="372" t="str">
        <f>IFERROR(__xludf.DUMMYFUNCTION("""COMPUTED_VALUE"""),"Ghost Ship - Plank 3★ #522")</f>
        <v>Ghost Ship - Plank 3★ #522</v>
      </c>
      <c r="P426" s="281">
        <f>IFERROR(__xludf.DUMMYFUNCTION("""COMPUTED_VALUE"""),10.0)</f>
        <v>10</v>
      </c>
      <c r="Q426" s="360"/>
    </row>
    <row r="427" ht="12.75" customHeight="1">
      <c r="G427" s="359" t="s">
        <v>1147</v>
      </c>
      <c r="H427" s="281">
        <v>10.0</v>
      </c>
      <c r="I427" s="358">
        <v>4.884720593982024E-4</v>
      </c>
      <c r="K427" s="281"/>
      <c r="L427" s="359"/>
      <c r="M427" s="360"/>
      <c r="O427" s="372" t="str">
        <f>IFERROR(__xludf.DUMMYFUNCTION("""COMPUTED_VALUE"""),"Ghost Ship - Plank 3★ #FD7")</f>
        <v>Ghost Ship - Plank 3★ #FD7</v>
      </c>
      <c r="P427" s="281">
        <f>IFERROR(__xludf.DUMMYFUNCTION("""COMPUTED_VALUE"""),10.0)</f>
        <v>10</v>
      </c>
      <c r="Q427" s="360"/>
    </row>
    <row r="428" ht="12.75" customHeight="1">
      <c r="G428" s="359" t="s">
        <v>1148</v>
      </c>
      <c r="H428" s="281">
        <v>10.0</v>
      </c>
      <c r="I428" s="358">
        <v>4.884720593982024E-4</v>
      </c>
      <c r="K428" s="281"/>
      <c r="L428" s="359"/>
      <c r="M428" s="360"/>
      <c r="O428" s="372" t="str">
        <f>IFERROR(__xludf.DUMMYFUNCTION("""COMPUTED_VALUE"""),"Ghost Ship - Plank 3★ #A8C")</f>
        <v>Ghost Ship - Plank 3★ #A8C</v>
      </c>
      <c r="P428" s="281">
        <f>IFERROR(__xludf.DUMMYFUNCTION("""COMPUTED_VALUE"""),10.0)</f>
        <v>10</v>
      </c>
      <c r="Q428" s="360"/>
    </row>
    <row r="429" ht="12.75" customHeight="1">
      <c r="G429" s="359" t="s">
        <v>1149</v>
      </c>
      <c r="H429" s="281">
        <v>10.0</v>
      </c>
      <c r="I429" s="358">
        <v>4.884720593982024E-4</v>
      </c>
      <c r="K429" s="281"/>
      <c r="L429" s="359"/>
      <c r="M429" s="360"/>
      <c r="O429" s="372" t="str">
        <f>IFERROR(__xludf.DUMMYFUNCTION("""COMPUTED_VALUE"""),"Ghost Ship - Nest 3★ #541")</f>
        <v>Ghost Ship - Nest 3★ #541</v>
      </c>
      <c r="P429" s="281">
        <f>IFERROR(__xludf.DUMMYFUNCTION("""COMPUTED_VALUE"""),10.0)</f>
        <v>10</v>
      </c>
      <c r="Q429" s="360"/>
    </row>
    <row r="430" ht="12.75" customHeight="1">
      <c r="G430" s="359" t="s">
        <v>1150</v>
      </c>
      <c r="H430" s="281">
        <v>10.0</v>
      </c>
      <c r="I430" s="358">
        <v>4.884720593982024E-4</v>
      </c>
      <c r="K430" s="281"/>
      <c r="L430" s="359"/>
      <c r="M430" s="360"/>
      <c r="O430" s="372" t="str">
        <f>IFERROR(__xludf.DUMMYFUNCTION("""COMPUTED_VALUE"""),"Ghost Ship - Nest 3★ #FF6")</f>
        <v>Ghost Ship - Nest 3★ #FF6</v>
      </c>
      <c r="P430" s="281">
        <f>IFERROR(__xludf.DUMMYFUNCTION("""COMPUTED_VALUE"""),10.0)</f>
        <v>10</v>
      </c>
      <c r="Q430" s="360"/>
    </row>
    <row r="431" ht="12.75" customHeight="1">
      <c r="G431" s="359" t="s">
        <v>1151</v>
      </c>
      <c r="H431" s="281">
        <v>10.0</v>
      </c>
      <c r="I431" s="358">
        <v>4.884720593982024E-4</v>
      </c>
      <c r="K431" s="281"/>
      <c r="L431" s="359"/>
      <c r="M431" s="360"/>
      <c r="O431" s="372" t="str">
        <f>IFERROR(__xludf.DUMMYFUNCTION("""COMPUTED_VALUE"""),"Ghost Ship - Nest 3★ #AAB")</f>
        <v>Ghost Ship - Nest 3★ #AAB</v>
      </c>
      <c r="P431" s="281">
        <f>IFERROR(__xludf.DUMMYFUNCTION("""COMPUTED_VALUE"""),10.0)</f>
        <v>10</v>
      </c>
      <c r="Q431" s="360"/>
    </row>
    <row r="432" ht="12.75" customHeight="1">
      <c r="G432" s="359" t="s">
        <v>1152</v>
      </c>
      <c r="H432" s="281">
        <v>10.0</v>
      </c>
      <c r="I432" s="358">
        <v>4.884720593982024E-4</v>
      </c>
      <c r="K432" s="281"/>
      <c r="L432" s="359"/>
      <c r="M432" s="360"/>
      <c r="O432" s="372" t="str">
        <f>IFERROR(__xludf.DUMMYFUNCTION("""COMPUTED_VALUE"""),"Ghost Ship - Nest 3★ #560")</f>
        <v>Ghost Ship - Nest 3★ #560</v>
      </c>
      <c r="P432" s="281">
        <f>IFERROR(__xludf.DUMMYFUNCTION("""COMPUTED_VALUE"""),10.0)</f>
        <v>10</v>
      </c>
      <c r="Q432" s="360"/>
    </row>
    <row r="433" ht="12.75" customHeight="1">
      <c r="G433" s="359" t="s">
        <v>1153</v>
      </c>
      <c r="H433" s="281">
        <v>10.0</v>
      </c>
      <c r="I433" s="358">
        <v>4.884720593982024E-4</v>
      </c>
      <c r="K433" s="281"/>
      <c r="L433" s="359"/>
      <c r="M433" s="360"/>
      <c r="O433" s="372" t="str">
        <f>IFERROR(__xludf.DUMMYFUNCTION("""COMPUTED_VALUE"""),"Ghost Ship - Nest 3★ #015")</f>
        <v>Ghost Ship - Nest 3★ #015</v>
      </c>
      <c r="P433" s="281">
        <f>IFERROR(__xludf.DUMMYFUNCTION("""COMPUTED_VALUE"""),10.0)</f>
        <v>10</v>
      </c>
      <c r="Q433" s="360"/>
    </row>
    <row r="434" ht="12.75" customHeight="1">
      <c r="G434" s="359" t="s">
        <v>1154</v>
      </c>
      <c r="H434" s="281">
        <v>10.0</v>
      </c>
      <c r="I434" s="358">
        <v>4.884720593982024E-4</v>
      </c>
      <c r="K434" s="281"/>
      <c r="L434" s="359"/>
      <c r="M434" s="360"/>
      <c r="O434" s="372" t="str">
        <f>IFERROR(__xludf.DUMMYFUNCTION("""COMPUTED_VALUE"""),"Ghost Ship - Nest 3★ #ACA")</f>
        <v>Ghost Ship - Nest 3★ #ACA</v>
      </c>
      <c r="P434" s="281">
        <f>IFERROR(__xludf.DUMMYFUNCTION("""COMPUTED_VALUE"""),10.0)</f>
        <v>10</v>
      </c>
      <c r="Q434" s="360"/>
    </row>
    <row r="435" ht="12.75" customHeight="1">
      <c r="G435" s="359" t="s">
        <v>1155</v>
      </c>
      <c r="H435" s="281">
        <v>10.0</v>
      </c>
      <c r="I435" s="358">
        <v>4.884720593982024E-4</v>
      </c>
      <c r="K435" s="281"/>
      <c r="L435" s="359"/>
      <c r="M435" s="360"/>
      <c r="O435" s="372" t="str">
        <f>IFERROR(__xludf.DUMMYFUNCTION("""COMPUTED_VALUE"""),"Ghost Ship - Nest 3★ #57F")</f>
        <v>Ghost Ship - Nest 3★ #57F</v>
      </c>
      <c r="P435" s="281">
        <f>IFERROR(__xludf.DUMMYFUNCTION("""COMPUTED_VALUE"""),10.0)</f>
        <v>10</v>
      </c>
      <c r="Q435" s="360"/>
    </row>
    <row r="436" ht="12.75" customHeight="1">
      <c r="G436" s="359" t="s">
        <v>1156</v>
      </c>
      <c r="H436" s="281">
        <v>10.0</v>
      </c>
      <c r="I436" s="358">
        <v>4.884720593982024E-4</v>
      </c>
      <c r="K436" s="281"/>
      <c r="L436" s="359"/>
      <c r="M436" s="360"/>
      <c r="O436" s="372" t="str">
        <f>IFERROR(__xludf.DUMMYFUNCTION("""COMPUTED_VALUE"""),"Ghost Ship - Nest 3★ #034")</f>
        <v>Ghost Ship - Nest 3★ #034</v>
      </c>
      <c r="P436" s="281">
        <f>IFERROR(__xludf.DUMMYFUNCTION("""COMPUTED_VALUE"""),10.0)</f>
        <v>10</v>
      </c>
      <c r="Q436" s="360"/>
    </row>
    <row r="437" ht="12.75" customHeight="1">
      <c r="G437" s="359" t="s">
        <v>1157</v>
      </c>
      <c r="H437" s="281">
        <v>10.0</v>
      </c>
      <c r="I437" s="358">
        <v>4.884720593982024E-4</v>
      </c>
      <c r="K437" s="281"/>
      <c r="L437" s="359"/>
      <c r="M437" s="360"/>
      <c r="O437" s="372" t="str">
        <f>IFERROR(__xludf.DUMMYFUNCTION("""COMPUTED_VALUE"""),"Ghost Ship - Nest 3★ #AE9")</f>
        <v>Ghost Ship - Nest 3★ #AE9</v>
      </c>
      <c r="P437" s="281">
        <f>IFERROR(__xludf.DUMMYFUNCTION("""COMPUTED_VALUE"""),10.0)</f>
        <v>10</v>
      </c>
      <c r="Q437" s="360"/>
    </row>
    <row r="438" ht="12.75" customHeight="1">
      <c r="G438" s="359" t="s">
        <v>1158</v>
      </c>
      <c r="H438" s="281">
        <v>10.0</v>
      </c>
      <c r="I438" s="358">
        <v>4.884720593982024E-4</v>
      </c>
      <c r="K438" s="281"/>
      <c r="L438" s="359"/>
      <c r="M438" s="360"/>
      <c r="O438" s="372" t="str">
        <f>IFERROR(__xludf.DUMMYFUNCTION("""COMPUTED_VALUE"""),"Ghost Ship - Nest 3★ #59E")</f>
        <v>Ghost Ship - Nest 3★ #59E</v>
      </c>
      <c r="P438" s="281">
        <f>IFERROR(__xludf.DUMMYFUNCTION("""COMPUTED_VALUE"""),10.0)</f>
        <v>10</v>
      </c>
      <c r="Q438" s="360"/>
    </row>
    <row r="439" ht="12.75" customHeight="1">
      <c r="G439" s="359" t="s">
        <v>1159</v>
      </c>
      <c r="H439" s="281">
        <v>10.0</v>
      </c>
      <c r="I439" s="358">
        <v>4.884720593982024E-4</v>
      </c>
      <c r="K439" s="281"/>
      <c r="L439" s="359"/>
      <c r="M439" s="360"/>
      <c r="O439" s="372" t="str">
        <f>IFERROR(__xludf.DUMMYFUNCTION("""COMPUTED_VALUE"""),"Ghost Ship - Nest 3★ #053")</f>
        <v>Ghost Ship - Nest 3★ #053</v>
      </c>
      <c r="P439" s="281">
        <f>IFERROR(__xludf.DUMMYFUNCTION("""COMPUTED_VALUE"""),10.0)</f>
        <v>10</v>
      </c>
      <c r="Q439" s="360"/>
    </row>
    <row r="440" ht="12.75" customHeight="1">
      <c r="G440" s="359" t="s">
        <v>1160</v>
      </c>
      <c r="H440" s="281">
        <v>10.0</v>
      </c>
      <c r="I440" s="358">
        <v>4.884720593982024E-4</v>
      </c>
      <c r="K440" s="281"/>
      <c r="L440" s="359"/>
      <c r="M440" s="360"/>
      <c r="O440" s="372" t="str">
        <f>IFERROR(__xludf.DUMMYFUNCTION("""COMPUTED_VALUE"""),"Ghost Ship - Nest 3★ #B08")</f>
        <v>Ghost Ship - Nest 3★ #B08</v>
      </c>
      <c r="P440" s="281">
        <f>IFERROR(__xludf.DUMMYFUNCTION("""COMPUTED_VALUE"""),10.0)</f>
        <v>10</v>
      </c>
      <c r="Q440" s="360"/>
    </row>
    <row r="441" ht="12.75" customHeight="1">
      <c r="G441" s="359" t="s">
        <v>1161</v>
      </c>
      <c r="H441" s="281">
        <v>10.0</v>
      </c>
      <c r="I441" s="358">
        <v>4.884720593982024E-4</v>
      </c>
      <c r="K441" s="281"/>
      <c r="L441" s="359"/>
      <c r="M441" s="360"/>
      <c r="O441" s="372" t="str">
        <f>IFERROR(__xludf.DUMMYFUNCTION("""COMPUTED_VALUE"""),"Ghost Ship - Nest 3★ #5BD")</f>
        <v>Ghost Ship - Nest 3★ #5BD</v>
      </c>
      <c r="P441" s="281">
        <f>IFERROR(__xludf.DUMMYFUNCTION("""COMPUTED_VALUE"""),10.0)</f>
        <v>10</v>
      </c>
      <c r="Q441" s="360"/>
    </row>
    <row r="442" ht="12.75" customHeight="1">
      <c r="G442" s="359" t="s">
        <v>1162</v>
      </c>
      <c r="H442" s="281">
        <v>5.0</v>
      </c>
      <c r="I442" s="358">
        <v>2.442360296991012E-4</v>
      </c>
      <c r="K442" s="281"/>
      <c r="L442" s="359"/>
      <c r="M442" s="360"/>
      <c r="O442" s="372" t="str">
        <f>IFERROR(__xludf.DUMMYFUNCTION("""COMPUTED_VALUE"""),"Ghost Ship - Flag 4★ #072")</f>
        <v>Ghost Ship - Flag 4★ #072</v>
      </c>
      <c r="P442" s="281">
        <f>IFERROR(__xludf.DUMMYFUNCTION("""COMPUTED_VALUE"""),5.0)</f>
        <v>5</v>
      </c>
      <c r="Q442" s="360"/>
    </row>
    <row r="443" ht="12.75" customHeight="1">
      <c r="G443" s="359" t="s">
        <v>1163</v>
      </c>
      <c r="H443" s="281">
        <v>5.0</v>
      </c>
      <c r="I443" s="358">
        <v>2.442360296991012E-4</v>
      </c>
      <c r="K443" s="281"/>
      <c r="L443" s="359"/>
      <c r="M443" s="360"/>
      <c r="O443" s="372" t="str">
        <f>IFERROR(__xludf.DUMMYFUNCTION("""COMPUTED_VALUE"""),"Ghost Ship - Flag 4★ #B27")</f>
        <v>Ghost Ship - Flag 4★ #B27</v>
      </c>
      <c r="P443" s="281">
        <f>IFERROR(__xludf.DUMMYFUNCTION("""COMPUTED_VALUE"""),5.0)</f>
        <v>5</v>
      </c>
      <c r="Q443" s="360"/>
    </row>
    <row r="444" ht="12.75" customHeight="1">
      <c r="G444" s="359" t="s">
        <v>1164</v>
      </c>
      <c r="H444" s="281">
        <v>5.0</v>
      </c>
      <c r="I444" s="358">
        <v>2.442360296991012E-4</v>
      </c>
      <c r="K444" s="281"/>
      <c r="L444" s="359"/>
      <c r="M444" s="360"/>
      <c r="O444" s="372" t="str">
        <f>IFERROR(__xludf.DUMMYFUNCTION("""COMPUTED_VALUE"""),"Ghost Ship - Flag 4★ #5DC")</f>
        <v>Ghost Ship - Flag 4★ #5DC</v>
      </c>
      <c r="P444" s="281">
        <f>IFERROR(__xludf.DUMMYFUNCTION("""COMPUTED_VALUE"""),5.0)</f>
        <v>5</v>
      </c>
      <c r="Q444" s="360"/>
    </row>
    <row r="445" ht="12.75" customHeight="1">
      <c r="G445" s="359" t="s">
        <v>1165</v>
      </c>
      <c r="H445" s="281">
        <v>5.0</v>
      </c>
      <c r="I445" s="358">
        <v>2.442360296991012E-4</v>
      </c>
      <c r="K445" s="281"/>
      <c r="L445" s="359"/>
      <c r="M445" s="360"/>
      <c r="O445" s="372" t="str">
        <f>IFERROR(__xludf.DUMMYFUNCTION("""COMPUTED_VALUE"""),"Ghost Ship - Flag 4★ #091")</f>
        <v>Ghost Ship - Flag 4★ #091</v>
      </c>
      <c r="P445" s="281">
        <f>IFERROR(__xludf.DUMMYFUNCTION("""COMPUTED_VALUE"""),5.0)</f>
        <v>5</v>
      </c>
      <c r="Q445" s="360"/>
    </row>
    <row r="446" ht="12.75" customHeight="1">
      <c r="G446" s="359" t="s">
        <v>1166</v>
      </c>
      <c r="H446" s="281">
        <v>5.0</v>
      </c>
      <c r="I446" s="358">
        <v>2.442360296991012E-4</v>
      </c>
      <c r="K446" s="281"/>
      <c r="L446" s="359"/>
      <c r="M446" s="360"/>
      <c r="O446" s="372" t="str">
        <f>IFERROR(__xludf.DUMMYFUNCTION("""COMPUTED_VALUE"""),"Ghost Ship - Flag 4★ #B46")</f>
        <v>Ghost Ship - Flag 4★ #B46</v>
      </c>
      <c r="P446" s="281">
        <f>IFERROR(__xludf.DUMMYFUNCTION("""COMPUTED_VALUE"""),5.0)</f>
        <v>5</v>
      </c>
      <c r="Q446" s="360"/>
    </row>
    <row r="447" ht="12.75" customHeight="1">
      <c r="G447" s="359" t="s">
        <v>1167</v>
      </c>
      <c r="H447" s="281">
        <v>5.0</v>
      </c>
      <c r="I447" s="358">
        <v>2.442360296991012E-4</v>
      </c>
      <c r="K447" s="281"/>
      <c r="L447" s="359"/>
      <c r="M447" s="360"/>
      <c r="O447" s="372" t="str">
        <f>IFERROR(__xludf.DUMMYFUNCTION("""COMPUTED_VALUE"""),"Ghost Ship - Flag 4★ #5FB")</f>
        <v>Ghost Ship - Flag 4★ #5FB</v>
      </c>
      <c r="P447" s="281">
        <f>IFERROR(__xludf.DUMMYFUNCTION("""COMPUTED_VALUE"""),5.0)</f>
        <v>5</v>
      </c>
      <c r="Q447" s="360"/>
    </row>
    <row r="448" ht="12.75" customHeight="1">
      <c r="G448" s="359" t="s">
        <v>1168</v>
      </c>
      <c r="H448" s="281">
        <v>5.0</v>
      </c>
      <c r="I448" s="358">
        <v>2.442360296991012E-4</v>
      </c>
      <c r="K448" s="281"/>
      <c r="L448" s="359"/>
      <c r="M448" s="360"/>
      <c r="O448" s="372" t="str">
        <f>IFERROR(__xludf.DUMMYFUNCTION("""COMPUTED_VALUE"""),"Ghost Ship - Flag 4★ #0B0")</f>
        <v>Ghost Ship - Flag 4★ #0B0</v>
      </c>
      <c r="P448" s="281">
        <f>IFERROR(__xludf.DUMMYFUNCTION("""COMPUTED_VALUE"""),5.0)</f>
        <v>5</v>
      </c>
      <c r="Q448" s="360"/>
    </row>
    <row r="449" ht="12.75" customHeight="1">
      <c r="G449" s="359" t="s">
        <v>1169</v>
      </c>
      <c r="H449" s="281">
        <v>5.0</v>
      </c>
      <c r="I449" s="358">
        <v>2.442360296991012E-4</v>
      </c>
      <c r="K449" s="281"/>
      <c r="L449" s="359"/>
      <c r="M449" s="360"/>
      <c r="O449" s="372" t="str">
        <f>IFERROR(__xludf.DUMMYFUNCTION("""COMPUTED_VALUE"""),"Ghost Ship - Flag 4★ #B65")</f>
        <v>Ghost Ship - Flag 4★ #B65</v>
      </c>
      <c r="P449" s="281">
        <f>IFERROR(__xludf.DUMMYFUNCTION("""COMPUTED_VALUE"""),5.0)</f>
        <v>5</v>
      </c>
      <c r="Q449" s="360"/>
    </row>
    <row r="450" ht="12.75" customHeight="1">
      <c r="G450" s="359" t="s">
        <v>1170</v>
      </c>
      <c r="H450" s="281">
        <v>5.0</v>
      </c>
      <c r="I450" s="358">
        <v>2.442360296991012E-4</v>
      </c>
      <c r="K450" s="281"/>
      <c r="L450" s="359"/>
      <c r="M450" s="360"/>
      <c r="O450" s="372" t="str">
        <f>IFERROR(__xludf.DUMMYFUNCTION("""COMPUTED_VALUE"""),"Ghost Ship - Flag 4★ #61A")</f>
        <v>Ghost Ship - Flag 4★ #61A</v>
      </c>
      <c r="P450" s="281">
        <f>IFERROR(__xludf.DUMMYFUNCTION("""COMPUTED_VALUE"""),5.0)</f>
        <v>5</v>
      </c>
      <c r="Q450" s="360"/>
    </row>
    <row r="451" ht="12.75" customHeight="1">
      <c r="G451" s="359" t="s">
        <v>1171</v>
      </c>
      <c r="H451" s="281">
        <v>5.0</v>
      </c>
      <c r="I451" s="358">
        <v>2.442360296991012E-4</v>
      </c>
      <c r="K451" s="281"/>
      <c r="L451" s="359"/>
      <c r="M451" s="360"/>
      <c r="O451" s="372" t="str">
        <f>IFERROR(__xludf.DUMMYFUNCTION("""COMPUTED_VALUE"""),"Ghost Ship - Flag 4★ #0CF")</f>
        <v>Ghost Ship - Flag 4★ #0CF</v>
      </c>
      <c r="P451" s="281">
        <f>IFERROR(__xludf.DUMMYFUNCTION("""COMPUTED_VALUE"""),5.0)</f>
        <v>5</v>
      </c>
      <c r="Q451" s="360"/>
    </row>
    <row r="452" ht="12.75" customHeight="1">
      <c r="G452" s="359" t="s">
        <v>1172</v>
      </c>
      <c r="H452" s="281">
        <v>5.0</v>
      </c>
      <c r="I452" s="358">
        <v>2.442360296991012E-4</v>
      </c>
      <c r="K452" s="281"/>
      <c r="L452" s="359"/>
      <c r="M452" s="360"/>
      <c r="O452" s="372" t="str">
        <f>IFERROR(__xludf.DUMMYFUNCTION("""COMPUTED_VALUE"""),"Ghost Ship - Flag 4★ #B84")</f>
        <v>Ghost Ship - Flag 4★ #B84</v>
      </c>
      <c r="P452" s="281">
        <f>IFERROR(__xludf.DUMMYFUNCTION("""COMPUTED_VALUE"""),5.0)</f>
        <v>5</v>
      </c>
      <c r="Q452" s="360"/>
    </row>
    <row r="453" ht="12.75" customHeight="1">
      <c r="G453" s="359" t="s">
        <v>1173</v>
      </c>
      <c r="H453" s="281">
        <v>5.0</v>
      </c>
      <c r="I453" s="358">
        <v>2.442360296991012E-4</v>
      </c>
      <c r="K453" s="281"/>
      <c r="L453" s="359"/>
      <c r="M453" s="360"/>
      <c r="O453" s="372" t="str">
        <f>IFERROR(__xludf.DUMMYFUNCTION("""COMPUTED_VALUE"""),"Ghost Ship - Chain 4★ #639")</f>
        <v>Ghost Ship - Chain 4★ #639</v>
      </c>
      <c r="P453" s="281">
        <f>IFERROR(__xludf.DUMMYFUNCTION("""COMPUTED_VALUE"""),5.0)</f>
        <v>5</v>
      </c>
      <c r="Q453" s="360"/>
    </row>
    <row r="454" ht="12.75" customHeight="1">
      <c r="G454" s="359" t="s">
        <v>1174</v>
      </c>
      <c r="H454" s="281">
        <v>5.0</v>
      </c>
      <c r="I454" s="358">
        <v>2.442360296991012E-4</v>
      </c>
      <c r="K454" s="281"/>
      <c r="L454" s="359"/>
      <c r="M454" s="360"/>
      <c r="O454" s="372" t="str">
        <f>IFERROR(__xludf.DUMMYFUNCTION("""COMPUTED_VALUE"""),"Ghost Ship - Chain 4★ #0EE")</f>
        <v>Ghost Ship - Chain 4★ #0EE</v>
      </c>
      <c r="P454" s="281">
        <f>IFERROR(__xludf.DUMMYFUNCTION("""COMPUTED_VALUE"""),5.0)</f>
        <v>5</v>
      </c>
      <c r="Q454" s="360"/>
    </row>
    <row r="455" ht="12.75" customHeight="1">
      <c r="G455" s="359" t="s">
        <v>1175</v>
      </c>
      <c r="H455" s="281">
        <v>5.0</v>
      </c>
      <c r="I455" s="358">
        <v>2.442360296991012E-4</v>
      </c>
      <c r="K455" s="281"/>
      <c r="L455" s="359"/>
      <c r="M455" s="360"/>
      <c r="O455" s="372" t="str">
        <f>IFERROR(__xludf.DUMMYFUNCTION("""COMPUTED_VALUE"""),"Ghost Ship - Chain 4★ #BA3")</f>
        <v>Ghost Ship - Chain 4★ #BA3</v>
      </c>
      <c r="P455" s="281">
        <f>IFERROR(__xludf.DUMMYFUNCTION("""COMPUTED_VALUE"""),5.0)</f>
        <v>5</v>
      </c>
      <c r="Q455" s="360"/>
    </row>
    <row r="456" ht="12.75" customHeight="1">
      <c r="G456" s="359" t="s">
        <v>1176</v>
      </c>
      <c r="H456" s="281">
        <v>5.0</v>
      </c>
      <c r="I456" s="358">
        <v>2.442360296991012E-4</v>
      </c>
      <c r="K456" s="281"/>
      <c r="L456" s="359"/>
      <c r="M456" s="360"/>
      <c r="O456" s="372" t="str">
        <f>IFERROR(__xludf.DUMMYFUNCTION("""COMPUTED_VALUE"""),"Ghost Ship - Chain 4★ #658")</f>
        <v>Ghost Ship - Chain 4★ #658</v>
      </c>
      <c r="P456" s="281">
        <f>IFERROR(__xludf.DUMMYFUNCTION("""COMPUTED_VALUE"""),5.0)</f>
        <v>5</v>
      </c>
      <c r="Q456" s="360"/>
    </row>
    <row r="457" ht="12.75" customHeight="1">
      <c r="G457" s="359" t="s">
        <v>1177</v>
      </c>
      <c r="H457" s="281">
        <v>5.0</v>
      </c>
      <c r="I457" s="358">
        <v>2.442360296991012E-4</v>
      </c>
      <c r="K457" s="281"/>
      <c r="L457" s="359"/>
      <c r="M457" s="360"/>
      <c r="O457" s="372" t="str">
        <f>IFERROR(__xludf.DUMMYFUNCTION("""COMPUTED_VALUE"""),"Ghost Ship - Chain 4★ #10D")</f>
        <v>Ghost Ship - Chain 4★ #10D</v>
      </c>
      <c r="P457" s="281">
        <f>IFERROR(__xludf.DUMMYFUNCTION("""COMPUTED_VALUE"""),5.0)</f>
        <v>5</v>
      </c>
      <c r="Q457" s="360"/>
    </row>
    <row r="458" ht="12.75" customHeight="1">
      <c r="G458" s="359" t="s">
        <v>1178</v>
      </c>
      <c r="H458" s="281">
        <v>5.0</v>
      </c>
      <c r="I458" s="358">
        <v>2.442360296991012E-4</v>
      </c>
      <c r="K458" s="281"/>
      <c r="L458" s="359"/>
      <c r="M458" s="360"/>
      <c r="O458" s="372" t="str">
        <f>IFERROR(__xludf.DUMMYFUNCTION("""COMPUTED_VALUE"""),"Ghost Ship - Chain 4★ #BC2")</f>
        <v>Ghost Ship - Chain 4★ #BC2</v>
      </c>
      <c r="P458" s="281">
        <f>IFERROR(__xludf.DUMMYFUNCTION("""COMPUTED_VALUE"""),5.0)</f>
        <v>5</v>
      </c>
      <c r="Q458" s="360"/>
    </row>
    <row r="459" ht="12.75" customHeight="1">
      <c r="G459" s="359" t="s">
        <v>1179</v>
      </c>
      <c r="H459" s="281">
        <v>5.0</v>
      </c>
      <c r="I459" s="358">
        <v>2.442360296991012E-4</v>
      </c>
      <c r="K459" s="281"/>
      <c r="L459" s="359"/>
      <c r="M459" s="360"/>
      <c r="O459" s="372" t="str">
        <f>IFERROR(__xludf.DUMMYFUNCTION("""COMPUTED_VALUE"""),"Ghost Ship - Chain 4★ #677")</f>
        <v>Ghost Ship - Chain 4★ #677</v>
      </c>
      <c r="P459" s="281">
        <f>IFERROR(__xludf.DUMMYFUNCTION("""COMPUTED_VALUE"""),5.0)</f>
        <v>5</v>
      </c>
      <c r="Q459" s="360"/>
    </row>
    <row r="460" ht="12.75" customHeight="1">
      <c r="G460" s="359" t="s">
        <v>1180</v>
      </c>
      <c r="H460" s="281">
        <v>5.0</v>
      </c>
      <c r="I460" s="358">
        <v>2.442360296991012E-4</v>
      </c>
      <c r="K460" s="281"/>
      <c r="L460" s="359"/>
      <c r="M460" s="360"/>
      <c r="O460" s="372" t="str">
        <f>IFERROR(__xludf.DUMMYFUNCTION("""COMPUTED_VALUE"""),"Ghost Ship - Chain 4★ #12C")</f>
        <v>Ghost Ship - Chain 4★ #12C</v>
      </c>
      <c r="P460" s="281">
        <f>IFERROR(__xludf.DUMMYFUNCTION("""COMPUTED_VALUE"""),5.0)</f>
        <v>5</v>
      </c>
      <c r="Q460" s="360"/>
    </row>
    <row r="461" ht="12.75" customHeight="1">
      <c r="G461" s="359" t="s">
        <v>1181</v>
      </c>
      <c r="H461" s="281">
        <v>5.0</v>
      </c>
      <c r="I461" s="358">
        <v>2.442360296991012E-4</v>
      </c>
      <c r="K461" s="281"/>
      <c r="L461" s="359"/>
      <c r="M461" s="360"/>
      <c r="O461" s="372" t="str">
        <f>IFERROR(__xludf.DUMMYFUNCTION("""COMPUTED_VALUE"""),"Ghost Ship - Chain 4★ #BE1")</f>
        <v>Ghost Ship - Chain 4★ #BE1</v>
      </c>
      <c r="P461" s="281">
        <f>IFERROR(__xludf.DUMMYFUNCTION("""COMPUTED_VALUE"""),5.0)</f>
        <v>5</v>
      </c>
      <c r="Q461" s="360"/>
    </row>
    <row r="462" ht="12.75" customHeight="1">
      <c r="G462" s="359" t="s">
        <v>1182</v>
      </c>
      <c r="H462" s="281">
        <v>5.0</v>
      </c>
      <c r="I462" s="358">
        <v>2.442360296991012E-4</v>
      </c>
      <c r="K462" s="281"/>
      <c r="L462" s="359"/>
      <c r="M462" s="360"/>
      <c r="O462" s="372" t="str">
        <f>IFERROR(__xludf.DUMMYFUNCTION("""COMPUTED_VALUE"""),"Ghost Ship - Chain 4★ #696")</f>
        <v>Ghost Ship - Chain 4★ #696</v>
      </c>
      <c r="P462" s="281">
        <f>IFERROR(__xludf.DUMMYFUNCTION("""COMPUTED_VALUE"""),5.0)</f>
        <v>5</v>
      </c>
      <c r="Q462" s="360"/>
    </row>
    <row r="463" ht="12.75" customHeight="1">
      <c r="G463" s="359" t="s">
        <v>1183</v>
      </c>
      <c r="H463" s="281">
        <v>5.0</v>
      </c>
      <c r="I463" s="358">
        <v>2.442360296991012E-4</v>
      </c>
      <c r="K463" s="281"/>
      <c r="L463" s="359"/>
      <c r="M463" s="360"/>
      <c r="O463" s="372" t="str">
        <f>IFERROR(__xludf.DUMMYFUNCTION("""COMPUTED_VALUE"""),"Ghost Ship - Chain 4★ #14B")</f>
        <v>Ghost Ship - Chain 4★ #14B</v>
      </c>
      <c r="P463" s="281">
        <f>IFERROR(__xludf.DUMMYFUNCTION("""COMPUTED_VALUE"""),5.0)</f>
        <v>5</v>
      </c>
      <c r="Q463" s="360"/>
    </row>
    <row r="464" ht="12.75" customHeight="1">
      <c r="G464" s="359" t="s">
        <v>1184</v>
      </c>
      <c r="H464" s="281">
        <v>2.0</v>
      </c>
      <c r="I464" s="358">
        <v>9.769441187964049E-5</v>
      </c>
      <c r="K464" s="281"/>
      <c r="L464" s="359"/>
      <c r="M464" s="360"/>
      <c r="O464" s="372" t="str">
        <f>IFERROR(__xludf.DUMMYFUNCTION("""COMPUTED_VALUE"""),"Ghost Ship - Log 5★ #C00")</f>
        <v>Ghost Ship - Log 5★ #C00</v>
      </c>
      <c r="P464" s="281">
        <f>IFERROR(__xludf.DUMMYFUNCTION("""COMPUTED_VALUE"""),2.0)</f>
        <v>2</v>
      </c>
      <c r="Q464" s="360"/>
    </row>
    <row r="465" ht="12.75" customHeight="1">
      <c r="G465" s="359" t="s">
        <v>1185</v>
      </c>
      <c r="H465" s="281">
        <v>2.0</v>
      </c>
      <c r="I465" s="358">
        <v>9.769441187964049E-5</v>
      </c>
      <c r="K465" s="281"/>
      <c r="L465" s="359"/>
      <c r="M465" s="360"/>
      <c r="O465" s="372" t="str">
        <f>IFERROR(__xludf.DUMMYFUNCTION("""COMPUTED_VALUE"""),"Ghost Ship - Log 5★ #6B5")</f>
        <v>Ghost Ship - Log 5★ #6B5</v>
      </c>
      <c r="P465" s="281">
        <f>IFERROR(__xludf.DUMMYFUNCTION("""COMPUTED_VALUE"""),2.0)</f>
        <v>2</v>
      </c>
      <c r="Q465" s="360"/>
    </row>
    <row r="466" ht="12.75" customHeight="1">
      <c r="G466" s="359" t="s">
        <v>1186</v>
      </c>
      <c r="H466" s="281">
        <v>2.0</v>
      </c>
      <c r="I466" s="358">
        <v>9.769441187964049E-5</v>
      </c>
      <c r="K466" s="281"/>
      <c r="L466" s="359"/>
      <c r="M466" s="360"/>
      <c r="O466" s="372" t="str">
        <f>IFERROR(__xludf.DUMMYFUNCTION("""COMPUTED_VALUE"""),"Ghost Ship - Log 5★ #16A")</f>
        <v>Ghost Ship - Log 5★ #16A</v>
      </c>
      <c r="P466" s="281">
        <f>IFERROR(__xludf.DUMMYFUNCTION("""COMPUTED_VALUE"""),2.0)</f>
        <v>2</v>
      </c>
      <c r="Q466" s="360"/>
    </row>
    <row r="467" ht="12.75" customHeight="1">
      <c r="G467" s="359" t="s">
        <v>1187</v>
      </c>
      <c r="H467" s="281">
        <v>2.0</v>
      </c>
      <c r="I467" s="358">
        <v>9.769441187964049E-5</v>
      </c>
      <c r="K467" s="281"/>
      <c r="L467" s="359"/>
      <c r="M467" s="360"/>
      <c r="O467" s="372" t="str">
        <f>IFERROR(__xludf.DUMMYFUNCTION("""COMPUTED_VALUE"""),"Ghost Ship - Log 5★ #C1F")</f>
        <v>Ghost Ship - Log 5★ #C1F</v>
      </c>
      <c r="P467" s="281">
        <f>IFERROR(__xludf.DUMMYFUNCTION("""COMPUTED_VALUE"""),2.0)</f>
        <v>2</v>
      </c>
      <c r="Q467" s="360"/>
    </row>
    <row r="468" ht="12.75" customHeight="1">
      <c r="G468" s="359" t="s">
        <v>1188</v>
      </c>
      <c r="H468" s="281">
        <v>2.0</v>
      </c>
      <c r="I468" s="358">
        <v>9.769441187964049E-5</v>
      </c>
      <c r="K468" s="281"/>
      <c r="L468" s="359"/>
      <c r="M468" s="360"/>
      <c r="O468" s="372" t="str">
        <f>IFERROR(__xludf.DUMMYFUNCTION("""COMPUTED_VALUE"""),"Ghost Ship - Log 5★ #6D4")</f>
        <v>Ghost Ship - Log 5★ #6D4</v>
      </c>
      <c r="P468" s="281">
        <f>IFERROR(__xludf.DUMMYFUNCTION("""COMPUTED_VALUE"""),2.0)</f>
        <v>2</v>
      </c>
      <c r="Q468" s="360"/>
    </row>
    <row r="469" ht="12.75" customHeight="1">
      <c r="G469" s="359" t="s">
        <v>1189</v>
      </c>
      <c r="H469" s="281">
        <v>50.0</v>
      </c>
      <c r="I469" s="358">
        <v>0.0024423602969910123</v>
      </c>
      <c r="K469" s="281"/>
      <c r="L469" s="359"/>
      <c r="M469" s="360"/>
      <c r="O469" s="372" t="str">
        <f>IFERROR(__xludf.DUMMYFUNCTION("""COMPUTED_VALUE"""),"Storm Port - Lightning 1★ #189")</f>
        <v>Storm Port - Lightning 1★ #189</v>
      </c>
      <c r="P469" s="281">
        <f>IFERROR(__xludf.DUMMYFUNCTION("""COMPUTED_VALUE"""),50.0)</f>
        <v>50</v>
      </c>
      <c r="Q469" s="360"/>
    </row>
    <row r="470" ht="12.75" customHeight="1">
      <c r="G470" s="359" t="s">
        <v>1190</v>
      </c>
      <c r="H470" s="281">
        <v>50.0</v>
      </c>
      <c r="I470" s="358">
        <v>0.0024423602969910123</v>
      </c>
      <c r="K470" s="281"/>
      <c r="L470" s="359"/>
      <c r="M470" s="360"/>
      <c r="O470" s="372" t="str">
        <f>IFERROR(__xludf.DUMMYFUNCTION("""COMPUTED_VALUE"""),"Storm Port - Lightning 1★ #C3E")</f>
        <v>Storm Port - Lightning 1★ #C3E</v>
      </c>
      <c r="P470" s="281">
        <f>IFERROR(__xludf.DUMMYFUNCTION("""COMPUTED_VALUE"""),50.0)</f>
        <v>50</v>
      </c>
      <c r="Q470" s="360"/>
    </row>
    <row r="471" ht="12.75" customHeight="1">
      <c r="G471" s="359" t="s">
        <v>1191</v>
      </c>
      <c r="H471" s="281">
        <v>50.0</v>
      </c>
      <c r="I471" s="358">
        <v>0.0024423602969910123</v>
      </c>
      <c r="K471" s="281"/>
      <c r="L471" s="359"/>
      <c r="M471" s="360"/>
      <c r="O471" s="372" t="str">
        <f>IFERROR(__xludf.DUMMYFUNCTION("""COMPUTED_VALUE"""),"Storm Port - Lightning 1★ #6F3")</f>
        <v>Storm Port - Lightning 1★ #6F3</v>
      </c>
      <c r="P471" s="281">
        <f>IFERROR(__xludf.DUMMYFUNCTION("""COMPUTED_VALUE"""),50.0)</f>
        <v>50</v>
      </c>
      <c r="Q471" s="360"/>
    </row>
    <row r="472" ht="12.75" customHeight="1">
      <c r="G472" s="359" t="s">
        <v>1192</v>
      </c>
      <c r="H472" s="281">
        <v>50.0</v>
      </c>
      <c r="I472" s="358">
        <v>0.0024423602969910123</v>
      </c>
      <c r="K472" s="281"/>
      <c r="L472" s="359"/>
      <c r="M472" s="360"/>
      <c r="O472" s="372" t="str">
        <f>IFERROR(__xludf.DUMMYFUNCTION("""COMPUTED_VALUE"""),"Storm Port - Lightning 1★ #1A8")</f>
        <v>Storm Port - Lightning 1★ #1A8</v>
      </c>
      <c r="P472" s="281">
        <f>IFERROR(__xludf.DUMMYFUNCTION("""COMPUTED_VALUE"""),50.0)</f>
        <v>50</v>
      </c>
      <c r="Q472" s="360"/>
    </row>
    <row r="473" ht="12.75" customHeight="1">
      <c r="G473" s="359" t="s">
        <v>1193</v>
      </c>
      <c r="H473" s="281">
        <v>50.0</v>
      </c>
      <c r="I473" s="358">
        <v>0.0024423602969910123</v>
      </c>
      <c r="K473" s="281"/>
      <c r="L473" s="359"/>
      <c r="M473" s="360"/>
      <c r="O473" s="372" t="str">
        <f>IFERROR(__xludf.DUMMYFUNCTION("""COMPUTED_VALUE"""),"Storm Port - Lightning 1★ #C5D")</f>
        <v>Storm Port - Lightning 1★ #C5D</v>
      </c>
      <c r="P473" s="281">
        <f>IFERROR(__xludf.DUMMYFUNCTION("""COMPUTED_VALUE"""),50.0)</f>
        <v>50</v>
      </c>
      <c r="Q473" s="360"/>
    </row>
    <row r="474" ht="12.75" customHeight="1">
      <c r="G474" s="359" t="s">
        <v>1194</v>
      </c>
      <c r="H474" s="281">
        <v>50.0</v>
      </c>
      <c r="I474" s="358">
        <v>0.0024423602969910123</v>
      </c>
      <c r="K474" s="281"/>
      <c r="L474" s="359"/>
      <c r="M474" s="360"/>
      <c r="O474" s="372" t="str">
        <f>IFERROR(__xludf.DUMMYFUNCTION("""COMPUTED_VALUE"""),"Storm Port - Lightning 1★ #712")</f>
        <v>Storm Port - Lightning 1★ #712</v>
      </c>
      <c r="P474" s="281">
        <f>IFERROR(__xludf.DUMMYFUNCTION("""COMPUTED_VALUE"""),50.0)</f>
        <v>50</v>
      </c>
      <c r="Q474" s="360"/>
    </row>
    <row r="475" ht="12.75" customHeight="1">
      <c r="G475" s="359" t="s">
        <v>1195</v>
      </c>
      <c r="H475" s="281">
        <v>50.0</v>
      </c>
      <c r="I475" s="358">
        <v>0.0024423602969910123</v>
      </c>
      <c r="K475" s="281"/>
      <c r="L475" s="359"/>
      <c r="M475" s="360"/>
      <c r="O475" s="372" t="str">
        <f>IFERROR(__xludf.DUMMYFUNCTION("""COMPUTED_VALUE"""),"Storm Port - Lightning 1★ #1C7")</f>
        <v>Storm Port - Lightning 1★ #1C7</v>
      </c>
      <c r="P475" s="281">
        <f>IFERROR(__xludf.DUMMYFUNCTION("""COMPUTED_VALUE"""),50.0)</f>
        <v>50</v>
      </c>
      <c r="Q475" s="360"/>
    </row>
    <row r="476" ht="12.75" customHeight="1">
      <c r="G476" s="359" t="s">
        <v>1196</v>
      </c>
      <c r="H476" s="281">
        <v>50.0</v>
      </c>
      <c r="I476" s="358">
        <v>0.0024423602969910123</v>
      </c>
      <c r="K476" s="281"/>
      <c r="L476" s="359"/>
      <c r="M476" s="360"/>
      <c r="O476" s="372" t="str">
        <f>IFERROR(__xludf.DUMMYFUNCTION("""COMPUTED_VALUE"""),"Storm Port - Lightning 1★ #C7C")</f>
        <v>Storm Port - Lightning 1★ #C7C</v>
      </c>
      <c r="P476" s="281">
        <f>IFERROR(__xludf.DUMMYFUNCTION("""COMPUTED_VALUE"""),50.0)</f>
        <v>50</v>
      </c>
      <c r="Q476" s="360"/>
    </row>
    <row r="477" ht="12.75" customHeight="1">
      <c r="G477" s="359" t="s">
        <v>1197</v>
      </c>
      <c r="H477" s="281">
        <v>50.0</v>
      </c>
      <c r="I477" s="358">
        <v>0.0024423602969910123</v>
      </c>
      <c r="K477" s="281"/>
      <c r="L477" s="359"/>
      <c r="M477" s="360"/>
      <c r="O477" s="372" t="str">
        <f>IFERROR(__xludf.DUMMYFUNCTION("""COMPUTED_VALUE"""),"Storm Port - Lightning 1★ #731")</f>
        <v>Storm Port - Lightning 1★ #731</v>
      </c>
      <c r="P477" s="281">
        <f>IFERROR(__xludf.DUMMYFUNCTION("""COMPUTED_VALUE"""),50.0)</f>
        <v>50</v>
      </c>
      <c r="Q477" s="360"/>
    </row>
    <row r="478" ht="12.75" customHeight="1">
      <c r="G478" s="359" t="s">
        <v>1198</v>
      </c>
      <c r="H478" s="281">
        <v>50.0</v>
      </c>
      <c r="I478" s="358">
        <v>0.0024423602969910123</v>
      </c>
      <c r="K478" s="281"/>
      <c r="L478" s="359"/>
      <c r="M478" s="360"/>
      <c r="O478" s="372" t="str">
        <f>IFERROR(__xludf.DUMMYFUNCTION("""COMPUTED_VALUE"""),"Storm Port - Lightning 1★ #1E6")</f>
        <v>Storm Port - Lightning 1★ #1E6</v>
      </c>
      <c r="P478" s="281">
        <f>IFERROR(__xludf.DUMMYFUNCTION("""COMPUTED_VALUE"""),50.0)</f>
        <v>50</v>
      </c>
      <c r="Q478" s="360"/>
    </row>
    <row r="479" ht="12.75" customHeight="1">
      <c r="G479" s="359" t="s">
        <v>1199</v>
      </c>
      <c r="H479" s="281">
        <v>50.0</v>
      </c>
      <c r="I479" s="358">
        <v>0.0024423602969910123</v>
      </c>
      <c r="K479" s="281"/>
      <c r="L479" s="359"/>
      <c r="M479" s="360"/>
      <c r="O479" s="372" t="str">
        <f>IFERROR(__xludf.DUMMYFUNCTION("""COMPUTED_VALUE"""),"Storm Port - Lightning 1★ #C9B")</f>
        <v>Storm Port - Lightning 1★ #C9B</v>
      </c>
      <c r="P479" s="281">
        <f>IFERROR(__xludf.DUMMYFUNCTION("""COMPUTED_VALUE"""),50.0)</f>
        <v>50</v>
      </c>
      <c r="Q479" s="360"/>
    </row>
    <row r="480" ht="12.75" customHeight="1">
      <c r="G480" s="359" t="s">
        <v>1200</v>
      </c>
      <c r="H480" s="281">
        <v>50.0</v>
      </c>
      <c r="I480" s="358">
        <v>0.0024423602969910123</v>
      </c>
      <c r="K480" s="281"/>
      <c r="L480" s="359"/>
      <c r="M480" s="360"/>
      <c r="O480" s="372" t="str">
        <f>IFERROR(__xludf.DUMMYFUNCTION("""COMPUTED_VALUE"""),"Storm Port - Lightning 1★ #750")</f>
        <v>Storm Port - Lightning 1★ #750</v>
      </c>
      <c r="P480" s="281">
        <f>IFERROR(__xludf.DUMMYFUNCTION("""COMPUTED_VALUE"""),50.0)</f>
        <v>50</v>
      </c>
      <c r="Q480" s="360"/>
    </row>
    <row r="481" ht="12.75" customHeight="1">
      <c r="G481" s="359" t="s">
        <v>1201</v>
      </c>
      <c r="H481" s="281">
        <v>50.0</v>
      </c>
      <c r="I481" s="358">
        <v>0.0024423602969910123</v>
      </c>
      <c r="K481" s="281"/>
      <c r="L481" s="359"/>
      <c r="M481" s="360"/>
      <c r="O481" s="372" t="str">
        <f>IFERROR(__xludf.DUMMYFUNCTION("""COMPUTED_VALUE"""),"Storm Port - Lightning 1★ #205")</f>
        <v>Storm Port - Lightning 1★ #205</v>
      </c>
      <c r="P481" s="281">
        <f>IFERROR(__xludf.DUMMYFUNCTION("""COMPUTED_VALUE"""),50.0)</f>
        <v>50</v>
      </c>
      <c r="Q481" s="360"/>
    </row>
    <row r="482" ht="12.75" customHeight="1">
      <c r="G482" s="359" t="s">
        <v>1202</v>
      </c>
      <c r="H482" s="281">
        <v>50.0</v>
      </c>
      <c r="I482" s="358">
        <v>0.0024423602969910123</v>
      </c>
      <c r="K482" s="281"/>
      <c r="L482" s="359"/>
      <c r="M482" s="360"/>
      <c r="O482" s="372" t="str">
        <f>IFERROR(__xludf.DUMMYFUNCTION("""COMPUTED_VALUE"""),"Storm Port - Barrel 1★ #CBA")</f>
        <v>Storm Port - Barrel 1★ #CBA</v>
      </c>
      <c r="P482" s="281">
        <f>IFERROR(__xludf.DUMMYFUNCTION("""COMPUTED_VALUE"""),50.0)</f>
        <v>50</v>
      </c>
      <c r="Q482" s="360"/>
    </row>
    <row r="483" ht="12.75" customHeight="1">
      <c r="G483" s="359" t="s">
        <v>1203</v>
      </c>
      <c r="H483" s="281">
        <v>50.0</v>
      </c>
      <c r="I483" s="358">
        <v>0.0024423602969910123</v>
      </c>
      <c r="K483" s="281"/>
      <c r="L483" s="359"/>
      <c r="M483" s="360"/>
      <c r="O483" s="372" t="str">
        <f>IFERROR(__xludf.DUMMYFUNCTION("""COMPUTED_VALUE"""),"Storm Port - Barrel 1★ #76F")</f>
        <v>Storm Port - Barrel 1★ #76F</v>
      </c>
      <c r="P483" s="281">
        <f>IFERROR(__xludf.DUMMYFUNCTION("""COMPUTED_VALUE"""),50.0)</f>
        <v>50</v>
      </c>
      <c r="Q483" s="360"/>
    </row>
    <row r="484" ht="12.75" customHeight="1">
      <c r="G484" s="359" t="s">
        <v>1204</v>
      </c>
      <c r="H484" s="281">
        <v>50.0</v>
      </c>
      <c r="I484" s="358">
        <v>0.0024423602969910123</v>
      </c>
      <c r="K484" s="281"/>
      <c r="L484" s="359"/>
      <c r="M484" s="360"/>
      <c r="O484" s="372" t="str">
        <f>IFERROR(__xludf.DUMMYFUNCTION("""COMPUTED_VALUE"""),"Storm Port - Barrel 1★ #224")</f>
        <v>Storm Port - Barrel 1★ #224</v>
      </c>
      <c r="P484" s="281">
        <f>IFERROR(__xludf.DUMMYFUNCTION("""COMPUTED_VALUE"""),50.0)</f>
        <v>50</v>
      </c>
      <c r="Q484" s="360"/>
    </row>
    <row r="485" ht="12.75" customHeight="1">
      <c r="G485" s="359" t="s">
        <v>1205</v>
      </c>
      <c r="H485" s="281">
        <v>50.0</v>
      </c>
      <c r="I485" s="358">
        <v>0.0024423602969910123</v>
      </c>
      <c r="K485" s="281"/>
      <c r="L485" s="359"/>
      <c r="M485" s="360"/>
      <c r="O485" s="372" t="str">
        <f>IFERROR(__xludf.DUMMYFUNCTION("""COMPUTED_VALUE"""),"Storm Port - Barrel 1★ #CD9")</f>
        <v>Storm Port - Barrel 1★ #CD9</v>
      </c>
      <c r="P485" s="281">
        <f>IFERROR(__xludf.DUMMYFUNCTION("""COMPUTED_VALUE"""),50.0)</f>
        <v>50</v>
      </c>
      <c r="Q485" s="360"/>
    </row>
    <row r="486" ht="12.75" customHeight="1">
      <c r="G486" s="359" t="s">
        <v>1206</v>
      </c>
      <c r="H486" s="281">
        <v>50.0</v>
      </c>
      <c r="I486" s="358">
        <v>0.0024423602969910123</v>
      </c>
      <c r="K486" s="281"/>
      <c r="L486" s="359"/>
      <c r="M486" s="360"/>
      <c r="O486" s="372" t="str">
        <f>IFERROR(__xludf.DUMMYFUNCTION("""COMPUTED_VALUE"""),"Storm Port - Barrel 1★ #78E")</f>
        <v>Storm Port - Barrel 1★ #78E</v>
      </c>
      <c r="P486" s="281">
        <f>IFERROR(__xludf.DUMMYFUNCTION("""COMPUTED_VALUE"""),50.0)</f>
        <v>50</v>
      </c>
      <c r="Q486" s="360"/>
    </row>
    <row r="487" ht="12.75" customHeight="1">
      <c r="G487" s="359" t="s">
        <v>1207</v>
      </c>
      <c r="H487" s="281">
        <v>50.0</v>
      </c>
      <c r="I487" s="358">
        <v>0.0024423602969910123</v>
      </c>
      <c r="K487" s="281"/>
      <c r="L487" s="359"/>
      <c r="M487" s="360"/>
      <c r="O487" s="372" t="str">
        <f>IFERROR(__xludf.DUMMYFUNCTION("""COMPUTED_VALUE"""),"Storm Port - Barrel 1★ #243")</f>
        <v>Storm Port - Barrel 1★ #243</v>
      </c>
      <c r="P487" s="281">
        <f>IFERROR(__xludf.DUMMYFUNCTION("""COMPUTED_VALUE"""),50.0)</f>
        <v>50</v>
      </c>
      <c r="Q487" s="360"/>
    </row>
    <row r="488" ht="12.75" customHeight="1">
      <c r="G488" s="359" t="s">
        <v>1208</v>
      </c>
      <c r="H488" s="281">
        <v>50.0</v>
      </c>
      <c r="I488" s="358">
        <v>0.0024423602969910123</v>
      </c>
      <c r="K488" s="281"/>
      <c r="L488" s="359"/>
      <c r="M488" s="360"/>
      <c r="O488" s="372" t="str">
        <f>IFERROR(__xludf.DUMMYFUNCTION("""COMPUTED_VALUE"""),"Storm Port - Barrel 1★ #CF8")</f>
        <v>Storm Port - Barrel 1★ #CF8</v>
      </c>
      <c r="P488" s="281">
        <f>IFERROR(__xludf.DUMMYFUNCTION("""COMPUTED_VALUE"""),50.0)</f>
        <v>50</v>
      </c>
      <c r="Q488" s="360"/>
    </row>
    <row r="489" ht="12.75" customHeight="1">
      <c r="G489" s="359" t="s">
        <v>1209</v>
      </c>
      <c r="H489" s="281">
        <v>50.0</v>
      </c>
      <c r="I489" s="358">
        <v>0.0024423602969910123</v>
      </c>
      <c r="K489" s="281"/>
      <c r="L489" s="359"/>
      <c r="M489" s="360"/>
      <c r="O489" s="372" t="str">
        <f>IFERROR(__xludf.DUMMYFUNCTION("""COMPUTED_VALUE"""),"Storm Port - Barrel 1★ #7AD")</f>
        <v>Storm Port - Barrel 1★ #7AD</v>
      </c>
      <c r="P489" s="281">
        <f>IFERROR(__xludf.DUMMYFUNCTION("""COMPUTED_VALUE"""),50.0)</f>
        <v>50</v>
      </c>
      <c r="Q489" s="360"/>
    </row>
    <row r="490" ht="12.75" customHeight="1">
      <c r="G490" s="359" t="s">
        <v>1210</v>
      </c>
      <c r="H490" s="281">
        <v>50.0</v>
      </c>
      <c r="I490" s="358">
        <v>0.0024423602969910123</v>
      </c>
      <c r="K490" s="281"/>
      <c r="L490" s="359"/>
      <c r="M490" s="360"/>
      <c r="O490" s="372" t="str">
        <f>IFERROR(__xludf.DUMMYFUNCTION("""COMPUTED_VALUE"""),"Storm Port - Barrel 1★ #262")</f>
        <v>Storm Port - Barrel 1★ #262</v>
      </c>
      <c r="P490" s="281">
        <f>IFERROR(__xludf.DUMMYFUNCTION("""COMPUTED_VALUE"""),50.0)</f>
        <v>50</v>
      </c>
      <c r="Q490" s="360"/>
    </row>
    <row r="491" ht="12.75" customHeight="1">
      <c r="G491" s="359" t="s">
        <v>1211</v>
      </c>
      <c r="H491" s="281">
        <v>50.0</v>
      </c>
      <c r="I491" s="358">
        <v>0.0024423602969910123</v>
      </c>
      <c r="K491" s="281"/>
      <c r="L491" s="359"/>
      <c r="M491" s="360"/>
      <c r="O491" s="372" t="str">
        <f>IFERROR(__xludf.DUMMYFUNCTION("""COMPUTED_VALUE"""),"Storm Port - Barrel 1★ #D17")</f>
        <v>Storm Port - Barrel 1★ #D17</v>
      </c>
      <c r="P491" s="281">
        <f>IFERROR(__xludf.DUMMYFUNCTION("""COMPUTED_VALUE"""),50.0)</f>
        <v>50</v>
      </c>
      <c r="Q491" s="360"/>
    </row>
    <row r="492" ht="12.75" customHeight="1">
      <c r="G492" s="359" t="s">
        <v>1212</v>
      </c>
      <c r="H492" s="281">
        <v>50.0</v>
      </c>
      <c r="I492" s="358">
        <v>0.0024423602969910123</v>
      </c>
      <c r="K492" s="281"/>
      <c r="L492" s="359"/>
      <c r="M492" s="360"/>
      <c r="O492" s="372" t="str">
        <f>IFERROR(__xludf.DUMMYFUNCTION("""COMPUTED_VALUE"""),"Storm Port - Barrel 1★ #7CC")</f>
        <v>Storm Port - Barrel 1★ #7CC</v>
      </c>
      <c r="P492" s="281">
        <f>IFERROR(__xludf.DUMMYFUNCTION("""COMPUTED_VALUE"""),50.0)</f>
        <v>50</v>
      </c>
      <c r="Q492" s="360"/>
    </row>
    <row r="493" ht="12.75" customHeight="1">
      <c r="G493" s="359" t="s">
        <v>1213</v>
      </c>
      <c r="H493" s="281">
        <v>50.0</v>
      </c>
      <c r="I493" s="358">
        <v>0.0024423602969910123</v>
      </c>
      <c r="K493" s="281"/>
      <c r="L493" s="359"/>
      <c r="M493" s="360"/>
      <c r="O493" s="372" t="str">
        <f>IFERROR(__xludf.DUMMYFUNCTION("""COMPUTED_VALUE"""),"Storm Port - Barrel 1★ #281")</f>
        <v>Storm Port - Barrel 1★ #281</v>
      </c>
      <c r="P493" s="281">
        <f>IFERROR(__xludf.DUMMYFUNCTION("""COMPUTED_VALUE"""),50.0)</f>
        <v>50</v>
      </c>
      <c r="Q493" s="360"/>
    </row>
    <row r="494" ht="12.75" customHeight="1">
      <c r="G494" s="359" t="s">
        <v>1214</v>
      </c>
      <c r="H494" s="281">
        <v>50.0</v>
      </c>
      <c r="I494" s="358">
        <v>0.0024423602969910123</v>
      </c>
      <c r="K494" s="281"/>
      <c r="L494" s="359"/>
      <c r="M494" s="360"/>
      <c r="O494" s="372" t="str">
        <f>IFERROR(__xludf.DUMMYFUNCTION("""COMPUTED_VALUE"""),"Storm Port - Barrel 1★ #D36")</f>
        <v>Storm Port - Barrel 1★ #D36</v>
      </c>
      <c r="P494" s="281">
        <f>IFERROR(__xludf.DUMMYFUNCTION("""COMPUTED_VALUE"""),50.0)</f>
        <v>50</v>
      </c>
      <c r="Q494" s="360"/>
    </row>
    <row r="495" ht="12.75" customHeight="1">
      <c r="G495" s="359" t="s">
        <v>1215</v>
      </c>
      <c r="H495" s="281">
        <v>20.0</v>
      </c>
      <c r="I495" s="358">
        <v>9.769441187964048E-4</v>
      </c>
      <c r="K495" s="281"/>
      <c r="L495" s="359"/>
      <c r="M495" s="360"/>
      <c r="O495" s="372" t="str">
        <f>IFERROR(__xludf.DUMMYFUNCTION("""COMPUTED_VALUE"""),"Storm Port - Rope 2★ #7EB")</f>
        <v>Storm Port - Rope 2★ #7EB</v>
      </c>
      <c r="P495" s="281">
        <f>IFERROR(__xludf.DUMMYFUNCTION("""COMPUTED_VALUE"""),20.0)</f>
        <v>20</v>
      </c>
      <c r="Q495" s="360"/>
    </row>
    <row r="496" ht="12.75" customHeight="1">
      <c r="G496" s="359" t="s">
        <v>1216</v>
      </c>
      <c r="H496" s="281">
        <v>20.0</v>
      </c>
      <c r="I496" s="358">
        <v>9.769441187964048E-4</v>
      </c>
      <c r="K496" s="281"/>
      <c r="L496" s="359"/>
      <c r="M496" s="360"/>
      <c r="O496" s="372" t="str">
        <f>IFERROR(__xludf.DUMMYFUNCTION("""COMPUTED_VALUE"""),"Storm Port - Rope 2★ #2A0")</f>
        <v>Storm Port - Rope 2★ #2A0</v>
      </c>
      <c r="P496" s="281">
        <f>IFERROR(__xludf.DUMMYFUNCTION("""COMPUTED_VALUE"""),20.0)</f>
        <v>20</v>
      </c>
      <c r="Q496" s="360"/>
    </row>
    <row r="497" ht="12.75" customHeight="1">
      <c r="G497" s="359" t="s">
        <v>1217</v>
      </c>
      <c r="H497" s="281">
        <v>20.0</v>
      </c>
      <c r="I497" s="358">
        <v>9.769441187964048E-4</v>
      </c>
      <c r="K497" s="281"/>
      <c r="L497" s="359"/>
      <c r="M497" s="360"/>
      <c r="O497" s="372" t="str">
        <f>IFERROR(__xludf.DUMMYFUNCTION("""COMPUTED_VALUE"""),"Storm Port - Rope 2★ #D55")</f>
        <v>Storm Port - Rope 2★ #D55</v>
      </c>
      <c r="P497" s="281">
        <f>IFERROR(__xludf.DUMMYFUNCTION("""COMPUTED_VALUE"""),20.0)</f>
        <v>20</v>
      </c>
      <c r="Q497" s="360"/>
    </row>
    <row r="498" ht="12.75" customHeight="1">
      <c r="G498" s="359" t="s">
        <v>1218</v>
      </c>
      <c r="H498" s="281">
        <v>20.0</v>
      </c>
      <c r="I498" s="358">
        <v>9.769441187964048E-4</v>
      </c>
      <c r="K498" s="281"/>
      <c r="L498" s="359"/>
      <c r="M498" s="360"/>
      <c r="O498" s="372" t="str">
        <f>IFERROR(__xludf.DUMMYFUNCTION("""COMPUTED_VALUE"""),"Storm Port - Rope 2★ #80A")</f>
        <v>Storm Port - Rope 2★ #80A</v>
      </c>
      <c r="P498" s="281">
        <f>IFERROR(__xludf.DUMMYFUNCTION("""COMPUTED_VALUE"""),20.0)</f>
        <v>20</v>
      </c>
      <c r="Q498" s="360"/>
    </row>
    <row r="499" ht="12.75" customHeight="1">
      <c r="G499" s="359" t="s">
        <v>1219</v>
      </c>
      <c r="H499" s="281">
        <v>20.0</v>
      </c>
      <c r="I499" s="358">
        <v>9.769441187964048E-4</v>
      </c>
      <c r="K499" s="281"/>
      <c r="L499" s="359"/>
      <c r="M499" s="360"/>
      <c r="O499" s="372" t="str">
        <f>IFERROR(__xludf.DUMMYFUNCTION("""COMPUTED_VALUE"""),"Storm Port - Rope 2★ #2BF")</f>
        <v>Storm Port - Rope 2★ #2BF</v>
      </c>
      <c r="P499" s="281">
        <f>IFERROR(__xludf.DUMMYFUNCTION("""COMPUTED_VALUE"""),20.0)</f>
        <v>20</v>
      </c>
      <c r="Q499" s="360"/>
    </row>
    <row r="500" ht="12.75" customHeight="1">
      <c r="G500" s="359" t="s">
        <v>1220</v>
      </c>
      <c r="H500" s="281">
        <v>20.0</v>
      </c>
      <c r="I500" s="358">
        <v>9.769441187964048E-4</v>
      </c>
      <c r="K500" s="281"/>
      <c r="L500" s="359"/>
      <c r="M500" s="360"/>
      <c r="O500" s="372" t="str">
        <f>IFERROR(__xludf.DUMMYFUNCTION("""COMPUTED_VALUE"""),"Storm Port - Rope 2★ #D74")</f>
        <v>Storm Port - Rope 2★ #D74</v>
      </c>
      <c r="P500" s="281">
        <f>IFERROR(__xludf.DUMMYFUNCTION("""COMPUTED_VALUE"""),20.0)</f>
        <v>20</v>
      </c>
      <c r="Q500" s="360"/>
    </row>
    <row r="501" ht="12.75" customHeight="1">
      <c r="G501" s="359" t="s">
        <v>1221</v>
      </c>
      <c r="H501" s="281">
        <v>20.0</v>
      </c>
      <c r="I501" s="358">
        <v>9.769441187964048E-4</v>
      </c>
      <c r="K501" s="281"/>
      <c r="L501" s="359"/>
      <c r="M501" s="360"/>
      <c r="O501" s="372" t="str">
        <f>IFERROR(__xludf.DUMMYFUNCTION("""COMPUTED_VALUE"""),"Storm Port - Rope 2★ #829")</f>
        <v>Storm Port - Rope 2★ #829</v>
      </c>
      <c r="P501" s="281">
        <f>IFERROR(__xludf.DUMMYFUNCTION("""COMPUTED_VALUE"""),20.0)</f>
        <v>20</v>
      </c>
      <c r="Q501" s="360"/>
    </row>
    <row r="502" ht="12.75" customHeight="1">
      <c r="G502" s="359" t="s">
        <v>1222</v>
      </c>
      <c r="H502" s="281">
        <v>20.0</v>
      </c>
      <c r="I502" s="358">
        <v>9.769441187964048E-4</v>
      </c>
      <c r="K502" s="281"/>
      <c r="L502" s="359"/>
      <c r="M502" s="360"/>
      <c r="O502" s="372" t="str">
        <f>IFERROR(__xludf.DUMMYFUNCTION("""COMPUTED_VALUE"""),"Storm Port - Rope 2★ #2DE")</f>
        <v>Storm Port - Rope 2★ #2DE</v>
      </c>
      <c r="P502" s="281">
        <f>IFERROR(__xludf.DUMMYFUNCTION("""COMPUTED_VALUE"""),20.0)</f>
        <v>20</v>
      </c>
      <c r="Q502" s="360"/>
    </row>
    <row r="503" ht="12.75" customHeight="1">
      <c r="G503" s="359" t="s">
        <v>1223</v>
      </c>
      <c r="H503" s="281">
        <v>20.0</v>
      </c>
      <c r="I503" s="358">
        <v>9.769441187964048E-4</v>
      </c>
      <c r="K503" s="281"/>
      <c r="L503" s="359"/>
      <c r="M503" s="360"/>
      <c r="O503" s="372" t="str">
        <f>IFERROR(__xludf.DUMMYFUNCTION("""COMPUTED_VALUE"""),"Storm Port - Rope 2★ #D93")</f>
        <v>Storm Port - Rope 2★ #D93</v>
      </c>
      <c r="P503" s="281">
        <f>IFERROR(__xludf.DUMMYFUNCTION("""COMPUTED_VALUE"""),20.0)</f>
        <v>20</v>
      </c>
      <c r="Q503" s="360"/>
    </row>
    <row r="504" ht="12.75" customHeight="1">
      <c r="G504" s="359" t="s">
        <v>1224</v>
      </c>
      <c r="H504" s="281">
        <v>20.0</v>
      </c>
      <c r="I504" s="358">
        <v>9.769441187964048E-4</v>
      </c>
      <c r="K504" s="281"/>
      <c r="L504" s="359"/>
      <c r="M504" s="360"/>
      <c r="O504" s="372" t="str">
        <f>IFERROR(__xludf.DUMMYFUNCTION("""COMPUTED_VALUE"""),"Storm Port - Rope 2★ #848")</f>
        <v>Storm Port - Rope 2★ #848</v>
      </c>
      <c r="P504" s="281">
        <f>IFERROR(__xludf.DUMMYFUNCTION("""COMPUTED_VALUE"""),20.0)</f>
        <v>20</v>
      </c>
      <c r="Q504" s="360"/>
    </row>
    <row r="505" ht="12.75" customHeight="1">
      <c r="G505" s="359" t="s">
        <v>1225</v>
      </c>
      <c r="H505" s="281">
        <v>20.0</v>
      </c>
      <c r="I505" s="358">
        <v>9.769441187964048E-4</v>
      </c>
      <c r="K505" s="281"/>
      <c r="L505" s="359"/>
      <c r="M505" s="360"/>
      <c r="O505" s="372" t="str">
        <f>IFERROR(__xludf.DUMMYFUNCTION("""COMPUTED_VALUE"""),"Storm Port - Rope 2★ #2FD")</f>
        <v>Storm Port - Rope 2★ #2FD</v>
      </c>
      <c r="P505" s="281">
        <f>IFERROR(__xludf.DUMMYFUNCTION("""COMPUTED_VALUE"""),20.0)</f>
        <v>20</v>
      </c>
      <c r="Q505" s="360"/>
    </row>
    <row r="506" ht="12.75" customHeight="1">
      <c r="G506" s="359" t="s">
        <v>1226</v>
      </c>
      <c r="H506" s="281">
        <v>20.0</v>
      </c>
      <c r="I506" s="358">
        <v>9.769441187964048E-4</v>
      </c>
      <c r="K506" s="281"/>
      <c r="L506" s="359"/>
      <c r="M506" s="360"/>
      <c r="O506" s="372" t="str">
        <f>IFERROR(__xludf.DUMMYFUNCTION("""COMPUTED_VALUE"""),"Storm Port - Rope 2★ #DB2")</f>
        <v>Storm Port - Rope 2★ #DB2</v>
      </c>
      <c r="P506" s="281">
        <f>IFERROR(__xludf.DUMMYFUNCTION("""COMPUTED_VALUE"""),20.0)</f>
        <v>20</v>
      </c>
      <c r="Q506" s="360"/>
    </row>
    <row r="507" ht="12.75" customHeight="1">
      <c r="G507" s="359" t="s">
        <v>1227</v>
      </c>
      <c r="H507" s="281">
        <v>20.0</v>
      </c>
      <c r="I507" s="358">
        <v>9.769441187964048E-4</v>
      </c>
      <c r="K507" s="281"/>
      <c r="L507" s="359"/>
      <c r="M507" s="360"/>
      <c r="O507" s="372" t="str">
        <f>IFERROR(__xludf.DUMMYFUNCTION("""COMPUTED_VALUE"""),"Storm Port - Rope 2★ #867")</f>
        <v>Storm Port - Rope 2★ #867</v>
      </c>
      <c r="P507" s="281">
        <f>IFERROR(__xludf.DUMMYFUNCTION("""COMPUTED_VALUE"""),20.0)</f>
        <v>20</v>
      </c>
      <c r="Q507" s="360"/>
    </row>
    <row r="508" ht="12.75" customHeight="1">
      <c r="G508" s="359" t="s">
        <v>1228</v>
      </c>
      <c r="H508" s="281">
        <v>20.0</v>
      </c>
      <c r="I508" s="358">
        <v>9.769441187964048E-4</v>
      </c>
      <c r="K508" s="281"/>
      <c r="L508" s="359"/>
      <c r="M508" s="360"/>
      <c r="O508" s="372" t="str">
        <f>IFERROR(__xludf.DUMMYFUNCTION("""COMPUTED_VALUE"""),"Storm Port - Cleat 2★ #31C")</f>
        <v>Storm Port - Cleat 2★ #31C</v>
      </c>
      <c r="P508" s="281">
        <f>IFERROR(__xludf.DUMMYFUNCTION("""COMPUTED_VALUE"""),20.0)</f>
        <v>20</v>
      </c>
      <c r="Q508" s="360"/>
    </row>
    <row r="509" ht="12.75" customHeight="1">
      <c r="G509" s="359" t="s">
        <v>1229</v>
      </c>
      <c r="H509" s="281">
        <v>20.0</v>
      </c>
      <c r="I509" s="358">
        <v>9.769441187964048E-4</v>
      </c>
      <c r="K509" s="281"/>
      <c r="L509" s="359"/>
      <c r="M509" s="360"/>
      <c r="O509" s="372" t="str">
        <f>IFERROR(__xludf.DUMMYFUNCTION("""COMPUTED_VALUE"""),"Storm Port - Cleat 2★ #DD1")</f>
        <v>Storm Port - Cleat 2★ #DD1</v>
      </c>
      <c r="P509" s="281">
        <f>IFERROR(__xludf.DUMMYFUNCTION("""COMPUTED_VALUE"""),20.0)</f>
        <v>20</v>
      </c>
      <c r="Q509" s="360"/>
    </row>
    <row r="510" ht="12.75" customHeight="1">
      <c r="G510" s="359" t="s">
        <v>1230</v>
      </c>
      <c r="H510" s="281">
        <v>20.0</v>
      </c>
      <c r="I510" s="358">
        <v>9.769441187964048E-4</v>
      </c>
      <c r="K510" s="281"/>
      <c r="L510" s="359"/>
      <c r="M510" s="360"/>
      <c r="O510" s="372" t="str">
        <f>IFERROR(__xludf.DUMMYFUNCTION("""COMPUTED_VALUE"""),"Storm Port - Cleat 2★ #886")</f>
        <v>Storm Port - Cleat 2★ #886</v>
      </c>
      <c r="P510" s="281">
        <f>IFERROR(__xludf.DUMMYFUNCTION("""COMPUTED_VALUE"""),20.0)</f>
        <v>20</v>
      </c>
      <c r="Q510" s="360"/>
    </row>
    <row r="511" ht="12.75" customHeight="1">
      <c r="G511" s="359" t="s">
        <v>1231</v>
      </c>
      <c r="H511" s="281">
        <v>20.0</v>
      </c>
      <c r="I511" s="358">
        <v>9.769441187964048E-4</v>
      </c>
      <c r="K511" s="281"/>
      <c r="L511" s="359"/>
      <c r="M511" s="360"/>
      <c r="O511" s="372" t="str">
        <f>IFERROR(__xludf.DUMMYFUNCTION("""COMPUTED_VALUE"""),"Storm Port - Cleat 2★ #33B")</f>
        <v>Storm Port - Cleat 2★ #33B</v>
      </c>
      <c r="P511" s="281">
        <f>IFERROR(__xludf.DUMMYFUNCTION("""COMPUTED_VALUE"""),20.0)</f>
        <v>20</v>
      </c>
      <c r="Q511" s="360"/>
    </row>
    <row r="512" ht="12.75" customHeight="1">
      <c r="G512" s="359" t="s">
        <v>1232</v>
      </c>
      <c r="H512" s="281">
        <v>20.0</v>
      </c>
      <c r="I512" s="358">
        <v>9.769441187964048E-4</v>
      </c>
      <c r="K512" s="281"/>
      <c r="L512" s="359"/>
      <c r="M512" s="360"/>
      <c r="O512" s="372" t="str">
        <f>IFERROR(__xludf.DUMMYFUNCTION("""COMPUTED_VALUE"""),"Storm Port - Cleat 2★ #DF0")</f>
        <v>Storm Port - Cleat 2★ #DF0</v>
      </c>
      <c r="P512" s="281">
        <f>IFERROR(__xludf.DUMMYFUNCTION("""COMPUTED_VALUE"""),20.0)</f>
        <v>20</v>
      </c>
      <c r="Q512" s="360"/>
    </row>
    <row r="513" ht="12.75" customHeight="1">
      <c r="G513" s="359" t="s">
        <v>1233</v>
      </c>
      <c r="H513" s="281">
        <v>20.0</v>
      </c>
      <c r="I513" s="358">
        <v>9.769441187964048E-4</v>
      </c>
      <c r="K513" s="281"/>
      <c r="L513" s="359"/>
      <c r="M513" s="360"/>
      <c r="O513" s="372" t="str">
        <f>IFERROR(__xludf.DUMMYFUNCTION("""COMPUTED_VALUE"""),"Storm Port - Cleat 2★ #8A5")</f>
        <v>Storm Port - Cleat 2★ #8A5</v>
      </c>
      <c r="P513" s="281">
        <f>IFERROR(__xludf.DUMMYFUNCTION("""COMPUTED_VALUE"""),20.0)</f>
        <v>20</v>
      </c>
      <c r="Q513" s="360"/>
    </row>
    <row r="514" ht="12.75" customHeight="1">
      <c r="G514" s="359" t="s">
        <v>1234</v>
      </c>
      <c r="H514" s="281">
        <v>20.0</v>
      </c>
      <c r="I514" s="358">
        <v>9.769441187964048E-4</v>
      </c>
      <c r="K514" s="281"/>
      <c r="L514" s="359"/>
      <c r="M514" s="360"/>
      <c r="O514" s="372" t="str">
        <f>IFERROR(__xludf.DUMMYFUNCTION("""COMPUTED_VALUE"""),"Storm Port - Cleat 2★ #35A")</f>
        <v>Storm Port - Cleat 2★ #35A</v>
      </c>
      <c r="P514" s="281">
        <f>IFERROR(__xludf.DUMMYFUNCTION("""COMPUTED_VALUE"""),20.0)</f>
        <v>20</v>
      </c>
      <c r="Q514" s="360"/>
    </row>
    <row r="515" ht="12.75" customHeight="1">
      <c r="G515" s="359" t="s">
        <v>1235</v>
      </c>
      <c r="H515" s="281">
        <v>20.0</v>
      </c>
      <c r="I515" s="358">
        <v>9.769441187964048E-4</v>
      </c>
      <c r="K515" s="281"/>
      <c r="L515" s="359"/>
      <c r="M515" s="360"/>
      <c r="O515" s="372" t="str">
        <f>IFERROR(__xludf.DUMMYFUNCTION("""COMPUTED_VALUE"""),"Storm Port - Cleat 2★ #E0F")</f>
        <v>Storm Port - Cleat 2★ #E0F</v>
      </c>
      <c r="P515" s="281">
        <f>IFERROR(__xludf.DUMMYFUNCTION("""COMPUTED_VALUE"""),20.0)</f>
        <v>20</v>
      </c>
      <c r="Q515" s="360"/>
    </row>
    <row r="516" ht="12.75" customHeight="1">
      <c r="G516" s="359" t="s">
        <v>1236</v>
      </c>
      <c r="H516" s="281">
        <v>20.0</v>
      </c>
      <c r="I516" s="358">
        <v>9.769441187964048E-4</v>
      </c>
      <c r="K516" s="281"/>
      <c r="L516" s="359"/>
      <c r="M516" s="360"/>
      <c r="O516" s="372" t="str">
        <f>IFERROR(__xludf.DUMMYFUNCTION("""COMPUTED_VALUE"""),"Storm Port - Cleat 2★ #8C4")</f>
        <v>Storm Port - Cleat 2★ #8C4</v>
      </c>
      <c r="P516" s="281">
        <f>IFERROR(__xludf.DUMMYFUNCTION("""COMPUTED_VALUE"""),20.0)</f>
        <v>20</v>
      </c>
      <c r="Q516" s="360"/>
    </row>
    <row r="517" ht="12.75" customHeight="1">
      <c r="G517" s="359" t="s">
        <v>1237</v>
      </c>
      <c r="H517" s="281">
        <v>20.0</v>
      </c>
      <c r="I517" s="358">
        <v>9.769441187964048E-4</v>
      </c>
      <c r="K517" s="281"/>
      <c r="L517" s="359"/>
      <c r="M517" s="360"/>
      <c r="O517" s="372" t="str">
        <f>IFERROR(__xludf.DUMMYFUNCTION("""COMPUTED_VALUE"""),"Storm Port - Cleat 2★ #379")</f>
        <v>Storm Port - Cleat 2★ #379</v>
      </c>
      <c r="P517" s="281">
        <f>IFERROR(__xludf.DUMMYFUNCTION("""COMPUTED_VALUE"""),20.0)</f>
        <v>20</v>
      </c>
      <c r="Q517" s="360"/>
    </row>
    <row r="518" ht="12.75" customHeight="1">
      <c r="G518" s="359" t="s">
        <v>1238</v>
      </c>
      <c r="H518" s="281">
        <v>20.0</v>
      </c>
      <c r="I518" s="358">
        <v>9.769441187964048E-4</v>
      </c>
      <c r="K518" s="281"/>
      <c r="L518" s="359"/>
      <c r="M518" s="360"/>
      <c r="O518" s="372" t="str">
        <f>IFERROR(__xludf.DUMMYFUNCTION("""COMPUTED_VALUE"""),"Storm Port - Cleat 2★ #E2E")</f>
        <v>Storm Port - Cleat 2★ #E2E</v>
      </c>
      <c r="P518" s="281">
        <f>IFERROR(__xludf.DUMMYFUNCTION("""COMPUTED_VALUE"""),20.0)</f>
        <v>20</v>
      </c>
      <c r="Q518" s="360"/>
    </row>
    <row r="519" ht="12.75" customHeight="1">
      <c r="G519" s="359" t="s">
        <v>1239</v>
      </c>
      <c r="H519" s="281">
        <v>20.0</v>
      </c>
      <c r="I519" s="358">
        <v>9.769441187964048E-4</v>
      </c>
      <c r="K519" s="281"/>
      <c r="L519" s="359"/>
      <c r="M519" s="360"/>
      <c r="O519" s="372" t="str">
        <f>IFERROR(__xludf.DUMMYFUNCTION("""COMPUTED_VALUE"""),"Storm Port - Cleat 2★ #8E3")</f>
        <v>Storm Port - Cleat 2★ #8E3</v>
      </c>
      <c r="P519" s="281">
        <f>IFERROR(__xludf.DUMMYFUNCTION("""COMPUTED_VALUE"""),20.0)</f>
        <v>20</v>
      </c>
      <c r="Q519" s="360"/>
    </row>
    <row r="520" ht="12.75" customHeight="1">
      <c r="G520" s="359" t="s">
        <v>1240</v>
      </c>
      <c r="H520" s="281">
        <v>20.0</v>
      </c>
      <c r="I520" s="358">
        <v>9.769441187964048E-4</v>
      </c>
      <c r="K520" s="281"/>
      <c r="L520" s="359"/>
      <c r="M520" s="360"/>
      <c r="O520" s="372" t="str">
        <f>IFERROR(__xludf.DUMMYFUNCTION("""COMPUTED_VALUE"""),"Storm Port - Cleat 2★ #398")</f>
        <v>Storm Port - Cleat 2★ #398</v>
      </c>
      <c r="P520" s="281">
        <f>IFERROR(__xludf.DUMMYFUNCTION("""COMPUTED_VALUE"""),20.0)</f>
        <v>20</v>
      </c>
      <c r="Q520" s="360"/>
    </row>
    <row r="521" ht="12.75" customHeight="1">
      <c r="G521" s="359" t="s">
        <v>1241</v>
      </c>
      <c r="H521" s="281">
        <v>10.0</v>
      </c>
      <c r="I521" s="358">
        <v>4.884720593982024E-4</v>
      </c>
      <c r="K521" s="281"/>
      <c r="L521" s="359"/>
      <c r="M521" s="360"/>
      <c r="O521" s="372" t="str">
        <f>IFERROR(__xludf.DUMMYFUNCTION("""COMPUTED_VALUE"""),"Storm Port - Flare 3★ #E4D")</f>
        <v>Storm Port - Flare 3★ #E4D</v>
      </c>
      <c r="P521" s="281">
        <f>IFERROR(__xludf.DUMMYFUNCTION("""COMPUTED_VALUE"""),10.0)</f>
        <v>10</v>
      </c>
      <c r="Q521" s="360"/>
    </row>
    <row r="522" ht="12.75" customHeight="1">
      <c r="G522" s="359" t="s">
        <v>1242</v>
      </c>
      <c r="H522" s="281">
        <v>10.0</v>
      </c>
      <c r="I522" s="358">
        <v>4.884720593982024E-4</v>
      </c>
      <c r="K522" s="281"/>
      <c r="L522" s="359"/>
      <c r="M522" s="360"/>
      <c r="O522" s="372" t="str">
        <f>IFERROR(__xludf.DUMMYFUNCTION("""COMPUTED_VALUE"""),"Storm Port - Flare 3★ #902")</f>
        <v>Storm Port - Flare 3★ #902</v>
      </c>
      <c r="P522" s="281">
        <f>IFERROR(__xludf.DUMMYFUNCTION("""COMPUTED_VALUE"""),10.0)</f>
        <v>10</v>
      </c>
      <c r="Q522" s="360"/>
    </row>
    <row r="523" ht="12.75" customHeight="1">
      <c r="G523" s="359" t="s">
        <v>1243</v>
      </c>
      <c r="H523" s="281">
        <v>10.0</v>
      </c>
      <c r="I523" s="358">
        <v>4.884720593982024E-4</v>
      </c>
      <c r="K523" s="281"/>
      <c r="L523" s="359"/>
      <c r="M523" s="360"/>
      <c r="O523" s="372" t="str">
        <f>IFERROR(__xludf.DUMMYFUNCTION("""COMPUTED_VALUE"""),"Storm Port - Flare 3★ #3B7")</f>
        <v>Storm Port - Flare 3★ #3B7</v>
      </c>
      <c r="P523" s="281">
        <f>IFERROR(__xludf.DUMMYFUNCTION("""COMPUTED_VALUE"""),10.0)</f>
        <v>10</v>
      </c>
      <c r="Q523" s="360"/>
    </row>
    <row r="524" ht="12.75" customHeight="1">
      <c r="G524" s="359" t="s">
        <v>1244</v>
      </c>
      <c r="H524" s="281">
        <v>10.0</v>
      </c>
      <c r="I524" s="358">
        <v>4.884720593982024E-4</v>
      </c>
      <c r="K524" s="281"/>
      <c r="L524" s="359"/>
      <c r="M524" s="360"/>
      <c r="O524" s="372" t="str">
        <f>IFERROR(__xludf.DUMMYFUNCTION("""COMPUTED_VALUE"""),"Storm Port - Flare 3★ #E6C")</f>
        <v>Storm Port - Flare 3★ #E6C</v>
      </c>
      <c r="P524" s="281">
        <f>IFERROR(__xludf.DUMMYFUNCTION("""COMPUTED_VALUE"""),10.0)</f>
        <v>10</v>
      </c>
      <c r="Q524" s="360"/>
    </row>
    <row r="525" ht="12.75" customHeight="1">
      <c r="G525" s="359" t="s">
        <v>1245</v>
      </c>
      <c r="H525" s="281">
        <v>10.0</v>
      </c>
      <c r="I525" s="358">
        <v>4.884720593982024E-4</v>
      </c>
      <c r="K525" s="281"/>
      <c r="L525" s="359"/>
      <c r="M525" s="360"/>
      <c r="O525" s="372" t="str">
        <f>IFERROR(__xludf.DUMMYFUNCTION("""COMPUTED_VALUE"""),"Storm Port - Flare 3★ #921")</f>
        <v>Storm Port - Flare 3★ #921</v>
      </c>
      <c r="P525" s="281">
        <f>IFERROR(__xludf.DUMMYFUNCTION("""COMPUTED_VALUE"""),10.0)</f>
        <v>10</v>
      </c>
      <c r="Q525" s="360"/>
    </row>
    <row r="526" ht="12.75" customHeight="1">
      <c r="G526" s="359" t="s">
        <v>1246</v>
      </c>
      <c r="H526" s="281">
        <v>10.0</v>
      </c>
      <c r="I526" s="358">
        <v>4.884720593982024E-4</v>
      </c>
      <c r="K526" s="281"/>
      <c r="L526" s="359"/>
      <c r="M526" s="360"/>
      <c r="O526" s="372" t="str">
        <f>IFERROR(__xludf.DUMMYFUNCTION("""COMPUTED_VALUE"""),"Storm Port - Flare 3★ #3D6")</f>
        <v>Storm Port - Flare 3★ #3D6</v>
      </c>
      <c r="P526" s="281">
        <f>IFERROR(__xludf.DUMMYFUNCTION("""COMPUTED_VALUE"""),10.0)</f>
        <v>10</v>
      </c>
      <c r="Q526" s="360"/>
    </row>
    <row r="527" ht="12.75" customHeight="1">
      <c r="G527" s="359" t="s">
        <v>1247</v>
      </c>
      <c r="H527" s="281">
        <v>10.0</v>
      </c>
      <c r="I527" s="358">
        <v>4.884720593982024E-4</v>
      </c>
      <c r="K527" s="281"/>
      <c r="L527" s="359"/>
      <c r="M527" s="360"/>
      <c r="O527" s="372" t="str">
        <f>IFERROR(__xludf.DUMMYFUNCTION("""COMPUTED_VALUE"""),"Storm Port - Flare 3★ #E8B")</f>
        <v>Storm Port - Flare 3★ #E8B</v>
      </c>
      <c r="P527" s="281">
        <f>IFERROR(__xludf.DUMMYFUNCTION("""COMPUTED_VALUE"""),10.0)</f>
        <v>10</v>
      </c>
      <c r="Q527" s="360"/>
    </row>
    <row r="528" ht="12.75" customHeight="1">
      <c r="G528" s="359" t="s">
        <v>1248</v>
      </c>
      <c r="H528" s="281">
        <v>10.0</v>
      </c>
      <c r="I528" s="358">
        <v>4.884720593982024E-4</v>
      </c>
      <c r="K528" s="281"/>
      <c r="L528" s="359"/>
      <c r="M528" s="360"/>
      <c r="O528" s="372" t="str">
        <f>IFERROR(__xludf.DUMMYFUNCTION("""COMPUTED_VALUE"""),"Storm Port - Flare 3★ #940")</f>
        <v>Storm Port - Flare 3★ #940</v>
      </c>
      <c r="P528" s="281">
        <f>IFERROR(__xludf.DUMMYFUNCTION("""COMPUTED_VALUE"""),10.0)</f>
        <v>10</v>
      </c>
      <c r="Q528" s="360"/>
    </row>
    <row r="529" ht="12.75" customHeight="1">
      <c r="G529" s="359" t="s">
        <v>1249</v>
      </c>
      <c r="H529" s="281">
        <v>10.0</v>
      </c>
      <c r="I529" s="358">
        <v>4.884720593982024E-4</v>
      </c>
      <c r="K529" s="281"/>
      <c r="L529" s="359"/>
      <c r="M529" s="360"/>
      <c r="O529" s="372" t="str">
        <f>IFERROR(__xludf.DUMMYFUNCTION("""COMPUTED_VALUE"""),"Storm Port - Flare 3★ #3F5")</f>
        <v>Storm Port - Flare 3★ #3F5</v>
      </c>
      <c r="P529" s="281">
        <f>IFERROR(__xludf.DUMMYFUNCTION("""COMPUTED_VALUE"""),10.0)</f>
        <v>10</v>
      </c>
      <c r="Q529" s="360"/>
    </row>
    <row r="530" ht="12.75" customHeight="1">
      <c r="G530" s="359" t="s">
        <v>1250</v>
      </c>
      <c r="H530" s="281">
        <v>10.0</v>
      </c>
      <c r="I530" s="358">
        <v>4.884720593982024E-4</v>
      </c>
      <c r="K530" s="281"/>
      <c r="L530" s="359"/>
      <c r="M530" s="360"/>
      <c r="O530" s="372" t="str">
        <f>IFERROR(__xludf.DUMMYFUNCTION("""COMPUTED_VALUE"""),"Storm Port - Flare 3★ #EAA")</f>
        <v>Storm Port - Flare 3★ #EAA</v>
      </c>
      <c r="P530" s="281">
        <f>IFERROR(__xludf.DUMMYFUNCTION("""COMPUTED_VALUE"""),10.0)</f>
        <v>10</v>
      </c>
      <c r="Q530" s="360"/>
    </row>
    <row r="531" ht="12.75" customHeight="1">
      <c r="G531" s="359" t="s">
        <v>1251</v>
      </c>
      <c r="H531" s="281">
        <v>10.0</v>
      </c>
      <c r="I531" s="358">
        <v>4.884720593982024E-4</v>
      </c>
      <c r="K531" s="281"/>
      <c r="L531" s="359"/>
      <c r="M531" s="360"/>
      <c r="O531" s="372" t="str">
        <f>IFERROR(__xludf.DUMMYFUNCTION("""COMPUTED_VALUE"""),"Storm Port - Flare 3★ #95F")</f>
        <v>Storm Port - Flare 3★ #95F</v>
      </c>
      <c r="P531" s="281">
        <f>IFERROR(__xludf.DUMMYFUNCTION("""COMPUTED_VALUE"""),10.0)</f>
        <v>10</v>
      </c>
      <c r="Q531" s="360"/>
    </row>
    <row r="532" ht="12.75" customHeight="1">
      <c r="G532" s="359" t="s">
        <v>1252</v>
      </c>
      <c r="H532" s="281">
        <v>10.0</v>
      </c>
      <c r="I532" s="358">
        <v>4.884720593982024E-4</v>
      </c>
      <c r="K532" s="281"/>
      <c r="L532" s="359"/>
      <c r="M532" s="360"/>
      <c r="O532" s="372" t="str">
        <f>IFERROR(__xludf.DUMMYFUNCTION("""COMPUTED_VALUE"""),"Storm Port - Flare 3★ #414")</f>
        <v>Storm Port - Flare 3★ #414</v>
      </c>
      <c r="P532" s="281">
        <f>IFERROR(__xludf.DUMMYFUNCTION("""COMPUTED_VALUE"""),10.0)</f>
        <v>10</v>
      </c>
      <c r="Q532" s="360"/>
    </row>
    <row r="533" ht="12.75" customHeight="1">
      <c r="G533" s="359" t="s">
        <v>1253</v>
      </c>
      <c r="H533" s="281">
        <v>10.0</v>
      </c>
      <c r="I533" s="358">
        <v>4.884720593982024E-4</v>
      </c>
      <c r="K533" s="281"/>
      <c r="L533" s="359"/>
      <c r="M533" s="360"/>
      <c r="O533" s="372" t="str">
        <f>IFERROR(__xludf.DUMMYFUNCTION("""COMPUTED_VALUE"""),"Storm Port - Flare 3★ #EC9")</f>
        <v>Storm Port - Flare 3★ #EC9</v>
      </c>
      <c r="P533" s="281">
        <f>IFERROR(__xludf.DUMMYFUNCTION("""COMPUTED_VALUE"""),10.0)</f>
        <v>10</v>
      </c>
      <c r="Q533" s="360"/>
    </row>
    <row r="534" ht="12.75" customHeight="1">
      <c r="G534" s="359" t="s">
        <v>1254</v>
      </c>
      <c r="H534" s="281">
        <v>5.0</v>
      </c>
      <c r="I534" s="358">
        <v>2.442360296991012E-4</v>
      </c>
      <c r="K534" s="281"/>
      <c r="L534" s="359"/>
      <c r="M534" s="360"/>
      <c r="O534" s="372" t="str">
        <f>IFERROR(__xludf.DUMMYFUNCTION("""COMPUTED_VALUE"""),"Storm Port - Bucket 4★ #97E")</f>
        <v>Storm Port - Bucket 4★ #97E</v>
      </c>
      <c r="P534" s="281">
        <f>IFERROR(__xludf.DUMMYFUNCTION("""COMPUTED_VALUE"""),5.0)</f>
        <v>5</v>
      </c>
      <c r="Q534" s="360"/>
    </row>
    <row r="535" ht="12.75" customHeight="1">
      <c r="G535" s="359" t="s">
        <v>1255</v>
      </c>
      <c r="H535" s="281">
        <v>5.0</v>
      </c>
      <c r="I535" s="358">
        <v>2.442360296991012E-4</v>
      </c>
      <c r="K535" s="281"/>
      <c r="L535" s="359"/>
      <c r="M535" s="360"/>
      <c r="O535" s="372" t="str">
        <f>IFERROR(__xludf.DUMMYFUNCTION("""COMPUTED_VALUE"""),"Storm Port - Bucket 4★ #433")</f>
        <v>Storm Port - Bucket 4★ #433</v>
      </c>
      <c r="P535" s="281">
        <f>IFERROR(__xludf.DUMMYFUNCTION("""COMPUTED_VALUE"""),5.0)</f>
        <v>5</v>
      </c>
      <c r="Q535" s="360"/>
    </row>
    <row r="536" ht="12.75" customHeight="1">
      <c r="G536" s="359" t="s">
        <v>1256</v>
      </c>
      <c r="H536" s="281">
        <v>5.0</v>
      </c>
      <c r="I536" s="358">
        <v>2.442360296991012E-4</v>
      </c>
      <c r="K536" s="281"/>
      <c r="L536" s="359"/>
      <c r="M536" s="360"/>
      <c r="O536" s="372" t="str">
        <f>IFERROR(__xludf.DUMMYFUNCTION("""COMPUTED_VALUE"""),"Storm Port - Bucket 4★ #EE8")</f>
        <v>Storm Port - Bucket 4★ #EE8</v>
      </c>
      <c r="P536" s="281">
        <f>IFERROR(__xludf.DUMMYFUNCTION("""COMPUTED_VALUE"""),5.0)</f>
        <v>5</v>
      </c>
      <c r="Q536" s="360"/>
    </row>
    <row r="537" ht="12.75" customHeight="1">
      <c r="G537" s="359" t="s">
        <v>1257</v>
      </c>
      <c r="H537" s="281">
        <v>5.0</v>
      </c>
      <c r="I537" s="358">
        <v>2.442360296991012E-4</v>
      </c>
      <c r="K537" s="281"/>
      <c r="L537" s="359"/>
      <c r="M537" s="360"/>
      <c r="O537" s="372" t="str">
        <f>IFERROR(__xludf.DUMMYFUNCTION("""COMPUTED_VALUE"""),"Storm Port - Bucket 4★ #99D")</f>
        <v>Storm Port - Bucket 4★ #99D</v>
      </c>
      <c r="P537" s="281">
        <f>IFERROR(__xludf.DUMMYFUNCTION("""COMPUTED_VALUE"""),5.0)</f>
        <v>5</v>
      </c>
      <c r="Q537" s="360"/>
    </row>
    <row r="538" ht="12.75" customHeight="1">
      <c r="G538" s="359" t="s">
        <v>1258</v>
      </c>
      <c r="H538" s="281">
        <v>5.0</v>
      </c>
      <c r="I538" s="358">
        <v>2.442360296991012E-4</v>
      </c>
      <c r="K538" s="281"/>
      <c r="L538" s="359"/>
      <c r="M538" s="360"/>
      <c r="O538" s="372" t="str">
        <f>IFERROR(__xludf.DUMMYFUNCTION("""COMPUTED_VALUE"""),"Storm Port - Bucket 4★ #452")</f>
        <v>Storm Port - Bucket 4★ #452</v>
      </c>
      <c r="P538" s="281">
        <f>IFERROR(__xludf.DUMMYFUNCTION("""COMPUTED_VALUE"""),5.0)</f>
        <v>5</v>
      </c>
      <c r="Q538" s="360"/>
    </row>
    <row r="539" ht="12.75" customHeight="1">
      <c r="G539" s="359" t="s">
        <v>1259</v>
      </c>
      <c r="H539" s="281">
        <v>5.0</v>
      </c>
      <c r="I539" s="358">
        <v>2.442360296991012E-4</v>
      </c>
      <c r="K539" s="281"/>
      <c r="L539" s="359"/>
      <c r="M539" s="360"/>
      <c r="O539" s="372" t="str">
        <f>IFERROR(__xludf.DUMMYFUNCTION("""COMPUTED_VALUE"""),"Storm Port - Bucket 4★ #F07")</f>
        <v>Storm Port - Bucket 4★ #F07</v>
      </c>
      <c r="P539" s="281">
        <f>IFERROR(__xludf.DUMMYFUNCTION("""COMPUTED_VALUE"""),5.0)</f>
        <v>5</v>
      </c>
      <c r="Q539" s="360"/>
    </row>
    <row r="540" ht="12.75" customHeight="1">
      <c r="G540" s="359" t="s">
        <v>1260</v>
      </c>
      <c r="H540" s="281">
        <v>5.0</v>
      </c>
      <c r="I540" s="358">
        <v>2.442360296991012E-4</v>
      </c>
      <c r="K540" s="281"/>
      <c r="L540" s="359"/>
      <c r="M540" s="360"/>
      <c r="O540" s="372" t="str">
        <f>IFERROR(__xludf.DUMMYFUNCTION("""COMPUTED_VALUE"""),"Storm Port - Bucket 4★ #9BC")</f>
        <v>Storm Port - Bucket 4★ #9BC</v>
      </c>
      <c r="P540" s="281">
        <f>IFERROR(__xludf.DUMMYFUNCTION("""COMPUTED_VALUE"""),5.0)</f>
        <v>5</v>
      </c>
      <c r="Q540" s="360"/>
    </row>
    <row r="541" ht="12.75" customHeight="1">
      <c r="G541" s="359" t="s">
        <v>1261</v>
      </c>
      <c r="H541" s="281">
        <v>5.0</v>
      </c>
      <c r="I541" s="358">
        <v>2.442360296991012E-4</v>
      </c>
      <c r="K541" s="281"/>
      <c r="L541" s="359"/>
      <c r="M541" s="360"/>
      <c r="O541" s="372" t="str">
        <f>IFERROR(__xludf.DUMMYFUNCTION("""COMPUTED_VALUE"""),"Storm Port - Bucket 4★ #471")</f>
        <v>Storm Port - Bucket 4★ #471</v>
      </c>
      <c r="P541" s="281">
        <f>IFERROR(__xludf.DUMMYFUNCTION("""COMPUTED_VALUE"""),5.0)</f>
        <v>5</v>
      </c>
      <c r="Q541" s="360"/>
    </row>
    <row r="542" ht="12.75" customHeight="1">
      <c r="G542" s="359" t="s">
        <v>1262</v>
      </c>
      <c r="H542" s="281">
        <v>5.0</v>
      </c>
      <c r="I542" s="358">
        <v>2.442360296991012E-4</v>
      </c>
      <c r="K542" s="281"/>
      <c r="L542" s="359"/>
      <c r="M542" s="360"/>
      <c r="O542" s="372" t="str">
        <f>IFERROR(__xludf.DUMMYFUNCTION("""COMPUTED_VALUE"""),"Storm Port - Bucket 4★ #F26")</f>
        <v>Storm Port - Bucket 4★ #F26</v>
      </c>
      <c r="P542" s="281">
        <f>IFERROR(__xludf.DUMMYFUNCTION("""COMPUTED_VALUE"""),5.0)</f>
        <v>5</v>
      </c>
      <c r="Q542" s="360"/>
    </row>
    <row r="543" ht="12.75" customHeight="1">
      <c r="G543" s="359" t="s">
        <v>1263</v>
      </c>
      <c r="H543" s="281">
        <v>5.0</v>
      </c>
      <c r="I543" s="358">
        <v>2.442360296991012E-4</v>
      </c>
      <c r="K543" s="281"/>
      <c r="L543" s="359"/>
      <c r="M543" s="360"/>
      <c r="O543" s="372" t="str">
        <f>IFERROR(__xludf.DUMMYFUNCTION("""COMPUTED_VALUE"""),"Storm Port - Bucket 4★ #9DB")</f>
        <v>Storm Port - Bucket 4★ #9DB</v>
      </c>
      <c r="P543" s="281">
        <f>IFERROR(__xludf.DUMMYFUNCTION("""COMPUTED_VALUE"""),5.0)</f>
        <v>5</v>
      </c>
      <c r="Q543" s="360"/>
    </row>
    <row r="544" ht="12.75" customHeight="1">
      <c r="G544" s="359" t="s">
        <v>1264</v>
      </c>
      <c r="H544" s="281">
        <v>5.0</v>
      </c>
      <c r="I544" s="358">
        <v>2.442360296991012E-4</v>
      </c>
      <c r="K544" s="281"/>
      <c r="L544" s="359"/>
      <c r="M544" s="360"/>
      <c r="O544" s="372" t="str">
        <f>IFERROR(__xludf.DUMMYFUNCTION("""COMPUTED_VALUE"""),"Storm Port - Bucket 4★ #490")</f>
        <v>Storm Port - Bucket 4★ #490</v>
      </c>
      <c r="P544" s="281">
        <f>IFERROR(__xludf.DUMMYFUNCTION("""COMPUTED_VALUE"""),5.0)</f>
        <v>5</v>
      </c>
      <c r="Q544" s="360"/>
    </row>
    <row r="545" ht="12.75" customHeight="1">
      <c r="G545" s="359" t="s">
        <v>1265</v>
      </c>
      <c r="H545" s="281">
        <v>5.0</v>
      </c>
      <c r="I545" s="358">
        <v>2.442360296991012E-4</v>
      </c>
      <c r="K545" s="281"/>
      <c r="L545" s="359"/>
      <c r="M545" s="360"/>
      <c r="O545" s="372" t="str">
        <f>IFERROR(__xludf.DUMMYFUNCTION("""COMPUTED_VALUE"""),"Storm Port - Windmill 4★ #F45")</f>
        <v>Storm Port - Windmill 4★ #F45</v>
      </c>
      <c r="P545" s="281">
        <f>IFERROR(__xludf.DUMMYFUNCTION("""COMPUTED_VALUE"""),5.0)</f>
        <v>5</v>
      </c>
      <c r="Q545" s="360"/>
    </row>
    <row r="546" ht="12.75" customHeight="1">
      <c r="G546" s="359" t="s">
        <v>1266</v>
      </c>
      <c r="H546" s="281">
        <v>5.0</v>
      </c>
      <c r="I546" s="358">
        <v>2.442360296991012E-4</v>
      </c>
      <c r="K546" s="281"/>
      <c r="L546" s="359"/>
      <c r="M546" s="360"/>
      <c r="O546" s="372" t="str">
        <f>IFERROR(__xludf.DUMMYFUNCTION("""COMPUTED_VALUE"""),"Storm Port - Windmill 4★ #9FA")</f>
        <v>Storm Port - Windmill 4★ #9FA</v>
      </c>
      <c r="P546" s="281">
        <f>IFERROR(__xludf.DUMMYFUNCTION("""COMPUTED_VALUE"""),5.0)</f>
        <v>5</v>
      </c>
      <c r="Q546" s="360"/>
    </row>
    <row r="547" ht="12.75" customHeight="1">
      <c r="G547" s="359" t="s">
        <v>1267</v>
      </c>
      <c r="H547" s="281">
        <v>5.0</v>
      </c>
      <c r="I547" s="358">
        <v>2.442360296991012E-4</v>
      </c>
      <c r="K547" s="281"/>
      <c r="L547" s="359"/>
      <c r="M547" s="360"/>
      <c r="O547" s="372" t="str">
        <f>IFERROR(__xludf.DUMMYFUNCTION("""COMPUTED_VALUE"""),"Storm Port - Windmill 4★ #4AF")</f>
        <v>Storm Port - Windmill 4★ #4AF</v>
      </c>
      <c r="P547" s="281">
        <f>IFERROR(__xludf.DUMMYFUNCTION("""COMPUTED_VALUE"""),5.0)</f>
        <v>5</v>
      </c>
      <c r="Q547" s="360"/>
    </row>
    <row r="548" ht="12.75" customHeight="1">
      <c r="G548" s="359" t="s">
        <v>1268</v>
      </c>
      <c r="H548" s="281">
        <v>5.0</v>
      </c>
      <c r="I548" s="358">
        <v>2.442360296991012E-4</v>
      </c>
      <c r="K548" s="281"/>
      <c r="L548" s="359"/>
      <c r="M548" s="360"/>
      <c r="O548" s="372" t="str">
        <f>IFERROR(__xludf.DUMMYFUNCTION("""COMPUTED_VALUE"""),"Storm Port - Windmill 4★ #F64")</f>
        <v>Storm Port - Windmill 4★ #F64</v>
      </c>
      <c r="P548" s="281">
        <f>IFERROR(__xludf.DUMMYFUNCTION("""COMPUTED_VALUE"""),5.0)</f>
        <v>5</v>
      </c>
      <c r="Q548" s="360"/>
    </row>
    <row r="549" ht="12.75" customHeight="1">
      <c r="G549" s="359" t="s">
        <v>1269</v>
      </c>
      <c r="H549" s="281">
        <v>5.0</v>
      </c>
      <c r="I549" s="358">
        <v>2.442360296991012E-4</v>
      </c>
      <c r="K549" s="281"/>
      <c r="L549" s="359"/>
      <c r="M549" s="360"/>
      <c r="O549" s="372" t="str">
        <f>IFERROR(__xludf.DUMMYFUNCTION("""COMPUTED_VALUE"""),"Storm Port - Windmill 4★ #A19")</f>
        <v>Storm Port - Windmill 4★ #A19</v>
      </c>
      <c r="P549" s="281">
        <f>IFERROR(__xludf.DUMMYFUNCTION("""COMPUTED_VALUE"""),5.0)</f>
        <v>5</v>
      </c>
      <c r="Q549" s="360"/>
    </row>
    <row r="550" ht="12.75" customHeight="1">
      <c r="G550" s="359" t="s">
        <v>1270</v>
      </c>
      <c r="H550" s="281">
        <v>5.0</v>
      </c>
      <c r="I550" s="358">
        <v>2.442360296991012E-4</v>
      </c>
      <c r="K550" s="281"/>
      <c r="L550" s="359"/>
      <c r="M550" s="360"/>
      <c r="O550" s="372" t="str">
        <f>IFERROR(__xludf.DUMMYFUNCTION("""COMPUTED_VALUE"""),"Storm Port - Windmill 4★ #4CE")</f>
        <v>Storm Port - Windmill 4★ #4CE</v>
      </c>
      <c r="P550" s="281">
        <f>IFERROR(__xludf.DUMMYFUNCTION("""COMPUTED_VALUE"""),5.0)</f>
        <v>5</v>
      </c>
      <c r="Q550" s="360"/>
    </row>
    <row r="551" ht="12.75" customHeight="1">
      <c r="G551" s="359" t="s">
        <v>1271</v>
      </c>
      <c r="H551" s="281">
        <v>5.0</v>
      </c>
      <c r="I551" s="358">
        <v>2.442360296991012E-4</v>
      </c>
      <c r="K551" s="281"/>
      <c r="L551" s="359"/>
      <c r="M551" s="360"/>
      <c r="O551" s="372" t="str">
        <f>IFERROR(__xludf.DUMMYFUNCTION("""COMPUTED_VALUE"""),"Storm Port - Windmill 4★ #F83")</f>
        <v>Storm Port - Windmill 4★ #F83</v>
      </c>
      <c r="P551" s="281">
        <f>IFERROR(__xludf.DUMMYFUNCTION("""COMPUTED_VALUE"""),5.0)</f>
        <v>5</v>
      </c>
      <c r="Q551" s="360"/>
    </row>
    <row r="552" ht="12.75" customHeight="1">
      <c r="G552" s="359" t="s">
        <v>1272</v>
      </c>
      <c r="H552" s="281">
        <v>5.0</v>
      </c>
      <c r="I552" s="358">
        <v>2.442360296991012E-4</v>
      </c>
      <c r="K552" s="281"/>
      <c r="L552" s="359"/>
      <c r="M552" s="360"/>
      <c r="O552" s="372" t="str">
        <f>IFERROR(__xludf.DUMMYFUNCTION("""COMPUTED_VALUE"""),"Storm Port - Windmill 4★ #A38")</f>
        <v>Storm Port - Windmill 4★ #A38</v>
      </c>
      <c r="P552" s="281">
        <f>IFERROR(__xludf.DUMMYFUNCTION("""COMPUTED_VALUE"""),5.0)</f>
        <v>5</v>
      </c>
      <c r="Q552" s="360"/>
    </row>
    <row r="553" ht="12.75" customHeight="1">
      <c r="G553" s="359" t="s">
        <v>1273</v>
      </c>
      <c r="H553" s="281">
        <v>5.0</v>
      </c>
      <c r="I553" s="358">
        <v>2.442360296991012E-4</v>
      </c>
      <c r="K553" s="281"/>
      <c r="L553" s="359"/>
      <c r="M553" s="360"/>
      <c r="O553" s="372" t="str">
        <f>IFERROR(__xludf.DUMMYFUNCTION("""COMPUTED_VALUE"""),"Storm Port - Windmill 4★ #4ED")</f>
        <v>Storm Port - Windmill 4★ #4ED</v>
      </c>
      <c r="P553" s="281">
        <f>IFERROR(__xludf.DUMMYFUNCTION("""COMPUTED_VALUE"""),5.0)</f>
        <v>5</v>
      </c>
      <c r="Q553" s="360"/>
    </row>
    <row r="554" ht="12.75" customHeight="1">
      <c r="G554" s="359" t="s">
        <v>1274</v>
      </c>
      <c r="H554" s="281">
        <v>5.0</v>
      </c>
      <c r="I554" s="358">
        <v>2.442360296991012E-4</v>
      </c>
      <c r="K554" s="281"/>
      <c r="L554" s="359"/>
      <c r="M554" s="360"/>
      <c r="O554" s="372" t="str">
        <f>IFERROR(__xludf.DUMMYFUNCTION("""COMPUTED_VALUE"""),"Storm Port - Windmill 4★ #FA2")</f>
        <v>Storm Port - Windmill 4★ #FA2</v>
      </c>
      <c r="P554" s="281">
        <f>IFERROR(__xludf.DUMMYFUNCTION("""COMPUTED_VALUE"""),5.0)</f>
        <v>5</v>
      </c>
      <c r="Q554" s="360"/>
    </row>
    <row r="555" ht="12.75" customHeight="1">
      <c r="G555" s="359" t="s">
        <v>1275</v>
      </c>
      <c r="H555" s="281">
        <v>5.0</v>
      </c>
      <c r="I555" s="358">
        <v>2.442360296991012E-4</v>
      </c>
      <c r="K555" s="281"/>
      <c r="L555" s="359"/>
      <c r="M555" s="360"/>
      <c r="O555" s="372" t="str">
        <f>IFERROR(__xludf.DUMMYFUNCTION("""COMPUTED_VALUE"""),"Storm Port - Windmill 4★ #A57")</f>
        <v>Storm Port - Windmill 4★ #A57</v>
      </c>
      <c r="P555" s="281">
        <f>IFERROR(__xludf.DUMMYFUNCTION("""COMPUTED_VALUE"""),5.0)</f>
        <v>5</v>
      </c>
      <c r="Q555" s="360"/>
    </row>
    <row r="556" ht="12.75" customHeight="1">
      <c r="G556" s="359" t="s">
        <v>1276</v>
      </c>
      <c r="H556" s="281">
        <v>2.0</v>
      </c>
      <c r="I556" s="358">
        <v>9.769441187964049E-5</v>
      </c>
      <c r="K556" s="281"/>
      <c r="L556" s="359"/>
      <c r="M556" s="360"/>
      <c r="O556" s="372" t="str">
        <f>IFERROR(__xludf.DUMMYFUNCTION("""COMPUTED_VALUE"""),"Storm Port - Lighthouse 5★ #50C")</f>
        <v>Storm Port - Lighthouse 5★ #50C</v>
      </c>
      <c r="P556" s="281">
        <f>IFERROR(__xludf.DUMMYFUNCTION("""COMPUTED_VALUE"""),2.0)</f>
        <v>2</v>
      </c>
      <c r="Q556" s="360"/>
    </row>
    <row r="557" ht="12.75" customHeight="1">
      <c r="G557" s="359" t="s">
        <v>1277</v>
      </c>
      <c r="H557" s="281">
        <v>2.0</v>
      </c>
      <c r="I557" s="358">
        <v>9.769441187964049E-5</v>
      </c>
      <c r="K557" s="281"/>
      <c r="L557" s="359"/>
      <c r="M557" s="360"/>
      <c r="O557" s="372" t="str">
        <f>IFERROR(__xludf.DUMMYFUNCTION("""COMPUTED_VALUE"""),"Storm Port - Lighthouse 5★ #FC1")</f>
        <v>Storm Port - Lighthouse 5★ #FC1</v>
      </c>
      <c r="P557" s="281">
        <f>IFERROR(__xludf.DUMMYFUNCTION("""COMPUTED_VALUE"""),2.0)</f>
        <v>2</v>
      </c>
      <c r="Q557" s="360"/>
    </row>
    <row r="558" ht="12.75" customHeight="1">
      <c r="G558" s="359" t="s">
        <v>1278</v>
      </c>
      <c r="H558" s="281">
        <v>2.0</v>
      </c>
      <c r="I558" s="358">
        <v>9.769441187964049E-5</v>
      </c>
      <c r="K558" s="281"/>
      <c r="L558" s="359"/>
      <c r="M558" s="360"/>
      <c r="O558" s="372" t="str">
        <f>IFERROR(__xludf.DUMMYFUNCTION("""COMPUTED_VALUE"""),"Storm Port - Lighthouse 5★ #A76")</f>
        <v>Storm Port - Lighthouse 5★ #A76</v>
      </c>
      <c r="P558" s="281">
        <f>IFERROR(__xludf.DUMMYFUNCTION("""COMPUTED_VALUE"""),2.0)</f>
        <v>2</v>
      </c>
      <c r="Q558" s="360"/>
    </row>
    <row r="559" ht="12.75" customHeight="1">
      <c r="G559" s="359" t="s">
        <v>1279</v>
      </c>
      <c r="H559" s="281">
        <v>2.0</v>
      </c>
      <c r="I559" s="358">
        <v>9.769441187964049E-5</v>
      </c>
      <c r="K559" s="281"/>
      <c r="L559" s="359"/>
      <c r="M559" s="360"/>
      <c r="O559" s="372" t="str">
        <f>IFERROR(__xludf.DUMMYFUNCTION("""COMPUTED_VALUE"""),"Storm Port - Lighthouse 5★ #52B")</f>
        <v>Storm Port - Lighthouse 5★ #52B</v>
      </c>
      <c r="P559" s="281">
        <f>IFERROR(__xludf.DUMMYFUNCTION("""COMPUTED_VALUE"""),2.0)</f>
        <v>2</v>
      </c>
      <c r="Q559" s="360"/>
    </row>
    <row r="560" ht="12.75" customHeight="1">
      <c r="G560" s="359" t="s">
        <v>1280</v>
      </c>
      <c r="H560" s="281">
        <v>2.0</v>
      </c>
      <c r="I560" s="358">
        <v>9.769441187964049E-5</v>
      </c>
      <c r="K560" s="281"/>
      <c r="L560" s="359"/>
      <c r="M560" s="360"/>
      <c r="O560" s="372" t="str">
        <f>IFERROR(__xludf.DUMMYFUNCTION("""COMPUTED_VALUE"""),"Storm Port - Lighthouse 5★ #FE0")</f>
        <v>Storm Port - Lighthouse 5★ #FE0</v>
      </c>
      <c r="P560" s="281">
        <f>IFERROR(__xludf.DUMMYFUNCTION("""COMPUTED_VALUE"""),2.0)</f>
        <v>2</v>
      </c>
      <c r="Q560" s="360"/>
    </row>
    <row r="561" ht="12.75" customHeight="1">
      <c r="G561" s="359" t="s">
        <v>1281</v>
      </c>
      <c r="H561" s="281">
        <v>2.0</v>
      </c>
      <c r="I561" s="358">
        <v>9.769441187964049E-5</v>
      </c>
      <c r="K561" s="281"/>
      <c r="L561" s="359"/>
      <c r="M561" s="360"/>
      <c r="O561" s="372" t="str">
        <f>IFERROR(__xludf.DUMMYFUNCTION("""COMPUTED_VALUE"""),"Storm Port - Drum 5★ #A95")</f>
        <v>Storm Port - Drum 5★ #A95</v>
      </c>
      <c r="P561" s="281">
        <f>IFERROR(__xludf.DUMMYFUNCTION("""COMPUTED_VALUE"""),2.0)</f>
        <v>2</v>
      </c>
      <c r="Q561" s="360"/>
    </row>
    <row r="562" ht="12.75" customHeight="1">
      <c r="G562" s="359" t="s">
        <v>1282</v>
      </c>
      <c r="H562" s="281">
        <v>2.0</v>
      </c>
      <c r="I562" s="358">
        <v>9.769441187964049E-5</v>
      </c>
      <c r="K562" s="281"/>
      <c r="L562" s="359"/>
      <c r="M562" s="360"/>
      <c r="O562" s="372" t="str">
        <f>IFERROR(__xludf.DUMMYFUNCTION("""COMPUTED_VALUE"""),"Storm Port - Drum 5★ #54A")</f>
        <v>Storm Port - Drum 5★ #54A</v>
      </c>
      <c r="P562" s="281">
        <f>IFERROR(__xludf.DUMMYFUNCTION("""COMPUTED_VALUE"""),2.0)</f>
        <v>2</v>
      </c>
      <c r="Q562" s="360"/>
    </row>
    <row r="563" ht="12.75" customHeight="1">
      <c r="G563" s="359" t="s">
        <v>1283</v>
      </c>
      <c r="H563" s="281">
        <v>2.0</v>
      </c>
      <c r="I563" s="358">
        <v>9.769441187964049E-5</v>
      </c>
      <c r="K563" s="281"/>
      <c r="L563" s="359"/>
      <c r="M563" s="360"/>
      <c r="O563" s="372" t="str">
        <f>IFERROR(__xludf.DUMMYFUNCTION("""COMPUTED_VALUE"""),"Storm Port - Drum 5★ #FFF")</f>
        <v>Storm Port - Drum 5★ #FFF</v>
      </c>
      <c r="P563" s="281">
        <f>IFERROR(__xludf.DUMMYFUNCTION("""COMPUTED_VALUE"""),2.0)</f>
        <v>2</v>
      </c>
      <c r="Q563" s="360"/>
    </row>
    <row r="564" ht="12.75" customHeight="1">
      <c r="G564" s="359" t="s">
        <v>1284</v>
      </c>
      <c r="H564" s="281">
        <v>2.0</v>
      </c>
      <c r="I564" s="358">
        <v>9.769441187964049E-5</v>
      </c>
      <c r="K564" s="281"/>
      <c r="L564" s="359"/>
      <c r="M564" s="360"/>
      <c r="O564" s="372" t="str">
        <f>IFERROR(__xludf.DUMMYFUNCTION("""COMPUTED_VALUE"""),"Storm Port - Drum 5★ #AB4")</f>
        <v>Storm Port - Drum 5★ #AB4</v>
      </c>
      <c r="P564" s="281">
        <f>IFERROR(__xludf.DUMMYFUNCTION("""COMPUTED_VALUE"""),2.0)</f>
        <v>2</v>
      </c>
      <c r="Q564" s="360"/>
    </row>
    <row r="565" ht="12.75" customHeight="1">
      <c r="G565" s="359" t="s">
        <v>1285</v>
      </c>
      <c r="H565" s="281">
        <v>2.0</v>
      </c>
      <c r="I565" s="358">
        <v>9.769441187964049E-5</v>
      </c>
      <c r="K565" s="281"/>
      <c r="L565" s="359"/>
      <c r="M565" s="360"/>
      <c r="O565" s="372" t="str">
        <f>IFERROR(__xludf.DUMMYFUNCTION("""COMPUTED_VALUE"""),"Storm Port - Drum 5★ #569")</f>
        <v>Storm Port - Drum 5★ #569</v>
      </c>
      <c r="P565" s="281">
        <f>IFERROR(__xludf.DUMMYFUNCTION("""COMPUTED_VALUE"""),2.0)</f>
        <v>2</v>
      </c>
      <c r="Q565" s="360"/>
    </row>
    <row r="566" ht="12.75" customHeight="1">
      <c r="G566" s="359" t="s">
        <v>1286</v>
      </c>
      <c r="H566" s="281">
        <v>50.0</v>
      </c>
      <c r="I566" s="358">
        <v>0.0024423602969910123</v>
      </c>
      <c r="K566" s="281"/>
      <c r="L566" s="359"/>
      <c r="M566" s="360"/>
      <c r="O566" s="372" t="str">
        <f>IFERROR(__xludf.DUMMYFUNCTION("""COMPUTED_VALUE"""),"Cannon Fort - Cannonball 1★ #01E")</f>
        <v>Cannon Fort - Cannonball 1★ #01E</v>
      </c>
      <c r="P566" s="281">
        <f>IFERROR(__xludf.DUMMYFUNCTION("""COMPUTED_VALUE"""),50.0)</f>
        <v>50</v>
      </c>
      <c r="Q566" s="360"/>
    </row>
    <row r="567" ht="12.75" customHeight="1">
      <c r="G567" s="359" t="s">
        <v>1287</v>
      </c>
      <c r="H567" s="281">
        <v>50.0</v>
      </c>
      <c r="I567" s="358">
        <v>0.0024423602969910123</v>
      </c>
      <c r="K567" s="281"/>
      <c r="L567" s="359"/>
      <c r="M567" s="360"/>
      <c r="O567" s="372" t="str">
        <f>IFERROR(__xludf.DUMMYFUNCTION("""COMPUTED_VALUE"""),"Cannon Fort - Cannonball 1★ #AD3")</f>
        <v>Cannon Fort - Cannonball 1★ #AD3</v>
      </c>
      <c r="P567" s="281">
        <f>IFERROR(__xludf.DUMMYFUNCTION("""COMPUTED_VALUE"""),50.0)</f>
        <v>50</v>
      </c>
      <c r="Q567" s="360"/>
    </row>
    <row r="568" ht="12.75" customHeight="1">
      <c r="G568" s="359" t="s">
        <v>1288</v>
      </c>
      <c r="H568" s="281">
        <v>50.0</v>
      </c>
      <c r="I568" s="358">
        <v>0.0024423602969910123</v>
      </c>
      <c r="K568" s="281"/>
      <c r="L568" s="359"/>
      <c r="M568" s="360"/>
      <c r="O568" s="372" t="str">
        <f>IFERROR(__xludf.DUMMYFUNCTION("""COMPUTED_VALUE"""),"Cannon Fort - Cannonball 1★ #588")</f>
        <v>Cannon Fort - Cannonball 1★ #588</v>
      </c>
      <c r="P568" s="281">
        <f>IFERROR(__xludf.DUMMYFUNCTION("""COMPUTED_VALUE"""),50.0)</f>
        <v>50</v>
      </c>
      <c r="Q568" s="360"/>
    </row>
    <row r="569" ht="12.75" customHeight="1">
      <c r="G569" s="359" t="s">
        <v>1289</v>
      </c>
      <c r="H569" s="281">
        <v>50.0</v>
      </c>
      <c r="I569" s="358">
        <v>0.0024423602969910123</v>
      </c>
      <c r="K569" s="281"/>
      <c r="L569" s="359"/>
      <c r="M569" s="360"/>
      <c r="O569" s="372" t="str">
        <f>IFERROR(__xludf.DUMMYFUNCTION("""COMPUTED_VALUE"""),"Cannon Fort - Cannonball 1★ #03D")</f>
        <v>Cannon Fort - Cannonball 1★ #03D</v>
      </c>
      <c r="P569" s="281">
        <f>IFERROR(__xludf.DUMMYFUNCTION("""COMPUTED_VALUE"""),50.0)</f>
        <v>50</v>
      </c>
      <c r="Q569" s="360"/>
    </row>
    <row r="570" ht="12.75" customHeight="1">
      <c r="G570" s="359" t="s">
        <v>1290</v>
      </c>
      <c r="H570" s="281">
        <v>50.0</v>
      </c>
      <c r="I570" s="358">
        <v>0.0024423602969910123</v>
      </c>
      <c r="K570" s="281"/>
      <c r="L570" s="359"/>
      <c r="M570" s="360"/>
      <c r="O570" s="372" t="str">
        <f>IFERROR(__xludf.DUMMYFUNCTION("""COMPUTED_VALUE"""),"Cannon Fort - Cannonball 1★ #AF2")</f>
        <v>Cannon Fort - Cannonball 1★ #AF2</v>
      </c>
      <c r="P570" s="281">
        <f>IFERROR(__xludf.DUMMYFUNCTION("""COMPUTED_VALUE"""),50.0)</f>
        <v>50</v>
      </c>
      <c r="Q570" s="360"/>
    </row>
    <row r="571" ht="12.75" customHeight="1">
      <c r="G571" s="359" t="s">
        <v>1291</v>
      </c>
      <c r="H571" s="281">
        <v>50.0</v>
      </c>
      <c r="I571" s="358">
        <v>0.0024423602969910123</v>
      </c>
      <c r="K571" s="281"/>
      <c r="L571" s="359"/>
      <c r="M571" s="360"/>
      <c r="O571" s="372" t="str">
        <f>IFERROR(__xludf.DUMMYFUNCTION("""COMPUTED_VALUE"""),"Cannon Fort - Cannonball 1★ #5A7")</f>
        <v>Cannon Fort - Cannonball 1★ #5A7</v>
      </c>
      <c r="P571" s="281">
        <f>IFERROR(__xludf.DUMMYFUNCTION("""COMPUTED_VALUE"""),50.0)</f>
        <v>50</v>
      </c>
      <c r="Q571" s="360"/>
    </row>
    <row r="572" ht="12.75" customHeight="1">
      <c r="G572" s="359" t="s">
        <v>1292</v>
      </c>
      <c r="H572" s="281">
        <v>50.0</v>
      </c>
      <c r="I572" s="358">
        <v>0.0024423602969910123</v>
      </c>
      <c r="K572" s="281"/>
      <c r="L572" s="359"/>
      <c r="M572" s="360"/>
      <c r="O572" s="372" t="str">
        <f>IFERROR(__xludf.DUMMYFUNCTION("""COMPUTED_VALUE"""),"Cannon Fort - Cannonball 1★ #05C")</f>
        <v>Cannon Fort - Cannonball 1★ #05C</v>
      </c>
      <c r="P572" s="281">
        <f>IFERROR(__xludf.DUMMYFUNCTION("""COMPUTED_VALUE"""),50.0)</f>
        <v>50</v>
      </c>
      <c r="Q572" s="360"/>
    </row>
    <row r="573" ht="12.75" customHeight="1">
      <c r="G573" s="359" t="s">
        <v>1293</v>
      </c>
      <c r="H573" s="281">
        <v>50.0</v>
      </c>
      <c r="I573" s="358">
        <v>0.0024423602969910123</v>
      </c>
      <c r="K573" s="281"/>
      <c r="L573" s="359"/>
      <c r="M573" s="360"/>
      <c r="O573" s="372" t="str">
        <f>IFERROR(__xludf.DUMMYFUNCTION("""COMPUTED_VALUE"""),"Cannon Fort - Cannonball 1★ #B11")</f>
        <v>Cannon Fort - Cannonball 1★ #B11</v>
      </c>
      <c r="P573" s="281">
        <f>IFERROR(__xludf.DUMMYFUNCTION("""COMPUTED_VALUE"""),50.0)</f>
        <v>50</v>
      </c>
      <c r="Q573" s="360"/>
    </row>
    <row r="574" ht="12.75" customHeight="1">
      <c r="G574" s="359" t="s">
        <v>1294</v>
      </c>
      <c r="H574" s="281">
        <v>50.0</v>
      </c>
      <c r="I574" s="358">
        <v>0.0024423602969910123</v>
      </c>
      <c r="K574" s="281"/>
      <c r="L574" s="359"/>
      <c r="M574" s="360"/>
      <c r="O574" s="372" t="str">
        <f>IFERROR(__xludf.DUMMYFUNCTION("""COMPUTED_VALUE"""),"Cannon Fort - Cannonball 1★ #5C6")</f>
        <v>Cannon Fort - Cannonball 1★ #5C6</v>
      </c>
      <c r="P574" s="281">
        <f>IFERROR(__xludf.DUMMYFUNCTION("""COMPUTED_VALUE"""),50.0)</f>
        <v>50</v>
      </c>
      <c r="Q574" s="360"/>
    </row>
    <row r="575" ht="12.75" customHeight="1">
      <c r="G575" s="359" t="s">
        <v>1295</v>
      </c>
      <c r="H575" s="281">
        <v>50.0</v>
      </c>
      <c r="I575" s="358">
        <v>0.0024423602969910123</v>
      </c>
      <c r="K575" s="281"/>
      <c r="L575" s="359"/>
      <c r="M575" s="360"/>
      <c r="O575" s="372" t="str">
        <f>IFERROR(__xludf.DUMMYFUNCTION("""COMPUTED_VALUE"""),"Cannon Fort - Cannonball 1★ #07B")</f>
        <v>Cannon Fort - Cannonball 1★ #07B</v>
      </c>
      <c r="P575" s="281">
        <f>IFERROR(__xludf.DUMMYFUNCTION("""COMPUTED_VALUE"""),50.0)</f>
        <v>50</v>
      </c>
      <c r="Q575" s="360"/>
    </row>
    <row r="576" ht="12.75" customHeight="1">
      <c r="G576" s="359" t="s">
        <v>1296</v>
      </c>
      <c r="H576" s="281">
        <v>50.0</v>
      </c>
      <c r="I576" s="358">
        <v>0.0024423602969910123</v>
      </c>
      <c r="K576" s="281"/>
      <c r="L576" s="359"/>
      <c r="M576" s="360"/>
      <c r="O576" s="372" t="str">
        <f>IFERROR(__xludf.DUMMYFUNCTION("""COMPUTED_VALUE"""),"Cannon Fort - Cannonball 1★ #B30")</f>
        <v>Cannon Fort - Cannonball 1★ #B30</v>
      </c>
      <c r="P576" s="281">
        <f>IFERROR(__xludf.DUMMYFUNCTION("""COMPUTED_VALUE"""),50.0)</f>
        <v>50</v>
      </c>
      <c r="Q576" s="360"/>
    </row>
    <row r="577" ht="12.75" customHeight="1">
      <c r="G577" s="359" t="s">
        <v>1297</v>
      </c>
      <c r="H577" s="281">
        <v>50.0</v>
      </c>
      <c r="I577" s="358">
        <v>0.0024423602969910123</v>
      </c>
      <c r="K577" s="281"/>
      <c r="L577" s="359"/>
      <c r="M577" s="360"/>
      <c r="O577" s="372" t="str">
        <f>IFERROR(__xludf.DUMMYFUNCTION("""COMPUTED_VALUE"""),"Cannon Fort - Cannonball 1★ #5E5")</f>
        <v>Cannon Fort - Cannonball 1★ #5E5</v>
      </c>
      <c r="P577" s="281">
        <f>IFERROR(__xludf.DUMMYFUNCTION("""COMPUTED_VALUE"""),50.0)</f>
        <v>50</v>
      </c>
      <c r="Q577" s="360"/>
    </row>
    <row r="578" ht="12.75" customHeight="1">
      <c r="G578" s="359" t="s">
        <v>1298</v>
      </c>
      <c r="H578" s="281">
        <v>50.0</v>
      </c>
      <c r="I578" s="358">
        <v>0.0024423602969910123</v>
      </c>
      <c r="K578" s="281"/>
      <c r="L578" s="359"/>
      <c r="M578" s="360"/>
      <c r="O578" s="372" t="str">
        <f>IFERROR(__xludf.DUMMYFUNCTION("""COMPUTED_VALUE"""),"Cannon Fort - Cannonball 1★ #09A")</f>
        <v>Cannon Fort - Cannonball 1★ #09A</v>
      </c>
      <c r="P578" s="281">
        <f>IFERROR(__xludf.DUMMYFUNCTION("""COMPUTED_VALUE"""),50.0)</f>
        <v>50</v>
      </c>
      <c r="Q578" s="360"/>
    </row>
    <row r="579" ht="12.75" customHeight="1">
      <c r="G579" s="359" t="s">
        <v>1299</v>
      </c>
      <c r="H579" s="281">
        <v>50.0</v>
      </c>
      <c r="I579" s="358">
        <v>0.0024423602969910123</v>
      </c>
      <c r="K579" s="281"/>
      <c r="L579" s="359"/>
      <c r="M579" s="360"/>
      <c r="O579" s="372" t="str">
        <f>IFERROR(__xludf.DUMMYFUNCTION("""COMPUTED_VALUE"""),"Cannon Fort - Powder 1★ #B4F")</f>
        <v>Cannon Fort - Powder 1★ #B4F</v>
      </c>
      <c r="P579" s="281">
        <f>IFERROR(__xludf.DUMMYFUNCTION("""COMPUTED_VALUE"""),50.0)</f>
        <v>50</v>
      </c>
      <c r="Q579" s="360"/>
    </row>
    <row r="580" ht="12.75" customHeight="1">
      <c r="G580" s="359" t="s">
        <v>1300</v>
      </c>
      <c r="H580" s="281">
        <v>50.0</v>
      </c>
      <c r="I580" s="358">
        <v>0.0024423602969910123</v>
      </c>
      <c r="K580" s="281"/>
      <c r="L580" s="359"/>
      <c r="M580" s="360"/>
      <c r="O580" s="372" t="str">
        <f>IFERROR(__xludf.DUMMYFUNCTION("""COMPUTED_VALUE"""),"Cannon Fort - Powder 1★ #604")</f>
        <v>Cannon Fort - Powder 1★ #604</v>
      </c>
      <c r="P580" s="281">
        <f>IFERROR(__xludf.DUMMYFUNCTION("""COMPUTED_VALUE"""),50.0)</f>
        <v>50</v>
      </c>
      <c r="Q580" s="360"/>
    </row>
    <row r="581" ht="12.75" customHeight="1">
      <c r="G581" s="359" t="s">
        <v>1301</v>
      </c>
      <c r="H581" s="281">
        <v>50.0</v>
      </c>
      <c r="I581" s="358">
        <v>0.0024423602969910123</v>
      </c>
      <c r="K581" s="281"/>
      <c r="L581" s="359"/>
      <c r="M581" s="360"/>
      <c r="O581" s="372" t="str">
        <f>IFERROR(__xludf.DUMMYFUNCTION("""COMPUTED_VALUE"""),"Cannon Fort - Powder 1★ #0B9")</f>
        <v>Cannon Fort - Powder 1★ #0B9</v>
      </c>
      <c r="P581" s="281">
        <f>IFERROR(__xludf.DUMMYFUNCTION("""COMPUTED_VALUE"""),50.0)</f>
        <v>50</v>
      </c>
      <c r="Q581" s="360"/>
    </row>
    <row r="582" ht="12.75" customHeight="1">
      <c r="G582" s="359" t="s">
        <v>1302</v>
      </c>
      <c r="H582" s="281">
        <v>50.0</v>
      </c>
      <c r="I582" s="358">
        <v>0.0024423602969910123</v>
      </c>
      <c r="K582" s="281"/>
      <c r="L582" s="359"/>
      <c r="M582" s="360"/>
      <c r="O582" s="372" t="str">
        <f>IFERROR(__xludf.DUMMYFUNCTION("""COMPUTED_VALUE"""),"Cannon Fort - Powder 1★ #B6E")</f>
        <v>Cannon Fort - Powder 1★ #B6E</v>
      </c>
      <c r="P582" s="281">
        <f>IFERROR(__xludf.DUMMYFUNCTION("""COMPUTED_VALUE"""),50.0)</f>
        <v>50</v>
      </c>
      <c r="Q582" s="360"/>
    </row>
    <row r="583" ht="12.75" customHeight="1">
      <c r="G583" s="359" t="s">
        <v>1303</v>
      </c>
      <c r="H583" s="281">
        <v>50.0</v>
      </c>
      <c r="I583" s="358">
        <v>0.0024423602969910123</v>
      </c>
      <c r="K583" s="281"/>
      <c r="L583" s="359"/>
      <c r="M583" s="360"/>
      <c r="O583" s="372" t="str">
        <f>IFERROR(__xludf.DUMMYFUNCTION("""COMPUTED_VALUE"""),"Cannon Fort - Powder 1★ #623")</f>
        <v>Cannon Fort - Powder 1★ #623</v>
      </c>
      <c r="P583" s="281">
        <f>IFERROR(__xludf.DUMMYFUNCTION("""COMPUTED_VALUE"""),50.0)</f>
        <v>50</v>
      </c>
      <c r="Q583" s="360"/>
    </row>
    <row r="584" ht="12.75" customHeight="1">
      <c r="G584" s="359" t="s">
        <v>1304</v>
      </c>
      <c r="H584" s="281">
        <v>50.0</v>
      </c>
      <c r="I584" s="358">
        <v>0.0024423602969910123</v>
      </c>
      <c r="K584" s="281"/>
      <c r="L584" s="359"/>
      <c r="M584" s="360"/>
      <c r="O584" s="372" t="str">
        <f>IFERROR(__xludf.DUMMYFUNCTION("""COMPUTED_VALUE"""),"Cannon Fort - Powder 1★ #0D8")</f>
        <v>Cannon Fort - Powder 1★ #0D8</v>
      </c>
      <c r="P584" s="281">
        <f>IFERROR(__xludf.DUMMYFUNCTION("""COMPUTED_VALUE"""),50.0)</f>
        <v>50</v>
      </c>
      <c r="Q584" s="360"/>
    </row>
    <row r="585" ht="12.75" customHeight="1">
      <c r="G585" s="359" t="s">
        <v>1305</v>
      </c>
      <c r="H585" s="281">
        <v>50.0</v>
      </c>
      <c r="I585" s="358">
        <v>0.0024423602969910123</v>
      </c>
      <c r="K585" s="281"/>
      <c r="L585" s="359"/>
      <c r="M585" s="360"/>
      <c r="O585" s="372" t="str">
        <f>IFERROR(__xludf.DUMMYFUNCTION("""COMPUTED_VALUE"""),"Cannon Fort - Powder 1★ #B8D")</f>
        <v>Cannon Fort - Powder 1★ #B8D</v>
      </c>
      <c r="P585" s="281">
        <f>IFERROR(__xludf.DUMMYFUNCTION("""COMPUTED_VALUE"""),50.0)</f>
        <v>50</v>
      </c>
      <c r="Q585" s="360"/>
    </row>
    <row r="586" ht="12.75" customHeight="1">
      <c r="G586" s="359" t="s">
        <v>1306</v>
      </c>
      <c r="H586" s="281">
        <v>50.0</v>
      </c>
      <c r="I586" s="358">
        <v>0.0024423602969910123</v>
      </c>
      <c r="K586" s="281"/>
      <c r="L586" s="359"/>
      <c r="M586" s="360"/>
      <c r="O586" s="372" t="str">
        <f>IFERROR(__xludf.DUMMYFUNCTION("""COMPUTED_VALUE"""),"Cannon Fort - Powder 1★ #642")</f>
        <v>Cannon Fort - Powder 1★ #642</v>
      </c>
      <c r="P586" s="281">
        <f>IFERROR(__xludf.DUMMYFUNCTION("""COMPUTED_VALUE"""),50.0)</f>
        <v>50</v>
      </c>
      <c r="Q586" s="360"/>
    </row>
    <row r="587" ht="12.75" customHeight="1">
      <c r="G587" s="359" t="s">
        <v>1307</v>
      </c>
      <c r="H587" s="281">
        <v>50.0</v>
      </c>
      <c r="I587" s="358">
        <v>0.0024423602969910123</v>
      </c>
      <c r="K587" s="281"/>
      <c r="L587" s="359"/>
      <c r="M587" s="360"/>
      <c r="O587" s="372" t="str">
        <f>IFERROR(__xludf.DUMMYFUNCTION("""COMPUTED_VALUE"""),"Cannon Fort - Powder 1★ #0F7")</f>
        <v>Cannon Fort - Powder 1★ #0F7</v>
      </c>
      <c r="P587" s="281">
        <f>IFERROR(__xludf.DUMMYFUNCTION("""COMPUTED_VALUE"""),50.0)</f>
        <v>50</v>
      </c>
      <c r="Q587" s="360"/>
    </row>
    <row r="588" ht="12.75" customHeight="1">
      <c r="G588" s="359" t="s">
        <v>1308</v>
      </c>
      <c r="H588" s="281">
        <v>50.0</v>
      </c>
      <c r="I588" s="358">
        <v>0.0024423602969910123</v>
      </c>
      <c r="K588" s="281"/>
      <c r="L588" s="359"/>
      <c r="M588" s="360"/>
      <c r="O588" s="372" t="str">
        <f>IFERROR(__xludf.DUMMYFUNCTION("""COMPUTED_VALUE"""),"Cannon Fort - Powder 1★ #BAC")</f>
        <v>Cannon Fort - Powder 1★ #BAC</v>
      </c>
      <c r="P588" s="281">
        <f>IFERROR(__xludf.DUMMYFUNCTION("""COMPUTED_VALUE"""),50.0)</f>
        <v>50</v>
      </c>
      <c r="Q588" s="360"/>
    </row>
    <row r="589" ht="12.75" customHeight="1">
      <c r="G589" s="359" t="s">
        <v>1309</v>
      </c>
      <c r="H589" s="281">
        <v>50.0</v>
      </c>
      <c r="I589" s="358">
        <v>0.0024423602969910123</v>
      </c>
      <c r="K589" s="281"/>
      <c r="L589" s="359"/>
      <c r="M589" s="360"/>
      <c r="O589" s="372" t="str">
        <f>IFERROR(__xludf.DUMMYFUNCTION("""COMPUTED_VALUE"""),"Cannon Fort - Powder 1★ #661")</f>
        <v>Cannon Fort - Powder 1★ #661</v>
      </c>
      <c r="P589" s="281">
        <f>IFERROR(__xludf.DUMMYFUNCTION("""COMPUTED_VALUE"""),50.0)</f>
        <v>50</v>
      </c>
      <c r="Q589" s="360"/>
    </row>
    <row r="590" ht="12.75" customHeight="1">
      <c r="G590" s="359" t="s">
        <v>1310</v>
      </c>
      <c r="H590" s="281">
        <v>50.0</v>
      </c>
      <c r="I590" s="358">
        <v>0.0024423602969910123</v>
      </c>
      <c r="K590" s="281"/>
      <c r="L590" s="359"/>
      <c r="M590" s="360"/>
      <c r="O590" s="372" t="str">
        <f>IFERROR(__xludf.DUMMYFUNCTION("""COMPUTED_VALUE"""),"Cannon Fort - Powder 1★ #116")</f>
        <v>Cannon Fort - Powder 1★ #116</v>
      </c>
      <c r="P590" s="281">
        <f>IFERROR(__xludf.DUMMYFUNCTION("""COMPUTED_VALUE"""),50.0)</f>
        <v>50</v>
      </c>
      <c r="Q590" s="360"/>
    </row>
    <row r="591" ht="12.75" customHeight="1">
      <c r="G591" s="359" t="s">
        <v>1311</v>
      </c>
      <c r="H591" s="281">
        <v>50.0</v>
      </c>
      <c r="I591" s="358">
        <v>0.0024423602969910123</v>
      </c>
      <c r="K591" s="281"/>
      <c r="L591" s="359"/>
      <c r="M591" s="360"/>
      <c r="O591" s="372" t="str">
        <f>IFERROR(__xludf.DUMMYFUNCTION("""COMPUTED_VALUE"""),"Cannon Fort - Powder 1★ #BCB")</f>
        <v>Cannon Fort - Powder 1★ #BCB</v>
      </c>
      <c r="P591" s="281">
        <f>IFERROR(__xludf.DUMMYFUNCTION("""COMPUTED_VALUE"""),50.0)</f>
        <v>50</v>
      </c>
      <c r="Q591" s="360"/>
    </row>
    <row r="592" ht="12.75" customHeight="1">
      <c r="G592" s="359" t="s">
        <v>1312</v>
      </c>
      <c r="H592" s="281">
        <v>20.0</v>
      </c>
      <c r="I592" s="358">
        <v>9.769441187964048E-4</v>
      </c>
      <c r="K592" s="281"/>
      <c r="L592" s="359"/>
      <c r="M592" s="360"/>
      <c r="O592" s="372" t="str">
        <f>IFERROR(__xludf.DUMMYFUNCTION("""COMPUTED_VALUE"""),"Cannon Fort - Fuse 2★ #680")</f>
        <v>Cannon Fort - Fuse 2★ #680</v>
      </c>
      <c r="P592" s="281">
        <f>IFERROR(__xludf.DUMMYFUNCTION("""COMPUTED_VALUE"""),20.0)</f>
        <v>20</v>
      </c>
      <c r="Q592" s="360"/>
    </row>
    <row r="593" ht="12.75" customHeight="1">
      <c r="G593" s="359" t="s">
        <v>1313</v>
      </c>
      <c r="H593" s="281">
        <v>20.0</v>
      </c>
      <c r="I593" s="358">
        <v>9.769441187964048E-4</v>
      </c>
      <c r="K593" s="281"/>
      <c r="L593" s="359"/>
      <c r="M593" s="360"/>
      <c r="O593" s="372" t="str">
        <f>IFERROR(__xludf.DUMMYFUNCTION("""COMPUTED_VALUE"""),"Cannon Fort - Fuse 2★ #135")</f>
        <v>Cannon Fort - Fuse 2★ #135</v>
      </c>
      <c r="P593" s="281">
        <f>IFERROR(__xludf.DUMMYFUNCTION("""COMPUTED_VALUE"""),20.0)</f>
        <v>20</v>
      </c>
      <c r="Q593" s="360"/>
    </row>
    <row r="594" ht="12.75" customHeight="1">
      <c r="G594" s="359" t="s">
        <v>1314</v>
      </c>
      <c r="H594" s="281">
        <v>20.0</v>
      </c>
      <c r="I594" s="358">
        <v>9.769441187964048E-4</v>
      </c>
      <c r="K594" s="281"/>
      <c r="L594" s="359"/>
      <c r="M594" s="360"/>
      <c r="O594" s="372" t="str">
        <f>IFERROR(__xludf.DUMMYFUNCTION("""COMPUTED_VALUE"""),"Cannon Fort - Fuse 2★ #BEA")</f>
        <v>Cannon Fort - Fuse 2★ #BEA</v>
      </c>
      <c r="P594" s="281">
        <f>IFERROR(__xludf.DUMMYFUNCTION("""COMPUTED_VALUE"""),20.0)</f>
        <v>20</v>
      </c>
      <c r="Q594" s="360"/>
    </row>
    <row r="595" ht="12.75" customHeight="1">
      <c r="G595" s="359" t="s">
        <v>1315</v>
      </c>
      <c r="H595" s="281">
        <v>20.0</v>
      </c>
      <c r="I595" s="358">
        <v>9.769441187964048E-4</v>
      </c>
      <c r="K595" s="281"/>
      <c r="L595" s="359"/>
      <c r="M595" s="360"/>
      <c r="O595" s="372" t="str">
        <f>IFERROR(__xludf.DUMMYFUNCTION("""COMPUTED_VALUE"""),"Cannon Fort - Fuse 2★ #69F")</f>
        <v>Cannon Fort - Fuse 2★ #69F</v>
      </c>
      <c r="P595" s="281">
        <f>IFERROR(__xludf.DUMMYFUNCTION("""COMPUTED_VALUE"""),20.0)</f>
        <v>20</v>
      </c>
      <c r="Q595" s="360"/>
    </row>
    <row r="596" ht="12.75" customHeight="1">
      <c r="G596" s="359" t="s">
        <v>1316</v>
      </c>
      <c r="H596" s="281">
        <v>20.0</v>
      </c>
      <c r="I596" s="358">
        <v>9.769441187964048E-4</v>
      </c>
      <c r="K596" s="281"/>
      <c r="L596" s="359"/>
      <c r="M596" s="360"/>
      <c r="O596" s="372" t="str">
        <f>IFERROR(__xludf.DUMMYFUNCTION("""COMPUTED_VALUE"""),"Cannon Fort - Fuse 2★ #154")</f>
        <v>Cannon Fort - Fuse 2★ #154</v>
      </c>
      <c r="P596" s="281">
        <f>IFERROR(__xludf.DUMMYFUNCTION("""COMPUTED_VALUE"""),20.0)</f>
        <v>20</v>
      </c>
      <c r="Q596" s="360"/>
    </row>
    <row r="597" ht="12.75" customHeight="1">
      <c r="G597" s="359" t="s">
        <v>1317</v>
      </c>
      <c r="H597" s="281">
        <v>20.0</v>
      </c>
      <c r="I597" s="358">
        <v>9.769441187964048E-4</v>
      </c>
      <c r="K597" s="281"/>
      <c r="L597" s="359"/>
      <c r="M597" s="360"/>
      <c r="O597" s="372" t="str">
        <f>IFERROR(__xludf.DUMMYFUNCTION("""COMPUTED_VALUE"""),"Cannon Fort - Fuse 2★ #C09")</f>
        <v>Cannon Fort - Fuse 2★ #C09</v>
      </c>
      <c r="P597" s="281">
        <f>IFERROR(__xludf.DUMMYFUNCTION("""COMPUTED_VALUE"""),20.0)</f>
        <v>20</v>
      </c>
      <c r="Q597" s="360"/>
    </row>
    <row r="598" ht="12.75" customHeight="1">
      <c r="G598" s="359" t="s">
        <v>1318</v>
      </c>
      <c r="H598" s="281">
        <v>20.0</v>
      </c>
      <c r="I598" s="358">
        <v>9.769441187964048E-4</v>
      </c>
      <c r="K598" s="281"/>
      <c r="L598" s="359"/>
      <c r="M598" s="360"/>
      <c r="O598" s="372" t="str">
        <f>IFERROR(__xludf.DUMMYFUNCTION("""COMPUTED_VALUE"""),"Cannon Fort - Fuse 2★ #6BE")</f>
        <v>Cannon Fort - Fuse 2★ #6BE</v>
      </c>
      <c r="P598" s="281">
        <f>IFERROR(__xludf.DUMMYFUNCTION("""COMPUTED_VALUE"""),20.0)</f>
        <v>20</v>
      </c>
      <c r="Q598" s="360"/>
    </row>
    <row r="599" ht="12.75" customHeight="1">
      <c r="G599" s="359" t="s">
        <v>1319</v>
      </c>
      <c r="H599" s="281">
        <v>20.0</v>
      </c>
      <c r="I599" s="358">
        <v>9.769441187964048E-4</v>
      </c>
      <c r="K599" s="281"/>
      <c r="L599" s="359"/>
      <c r="M599" s="360"/>
      <c r="O599" s="372" t="str">
        <f>IFERROR(__xludf.DUMMYFUNCTION("""COMPUTED_VALUE"""),"Cannon Fort - Fuse 2★ #173")</f>
        <v>Cannon Fort - Fuse 2★ #173</v>
      </c>
      <c r="P599" s="281">
        <f>IFERROR(__xludf.DUMMYFUNCTION("""COMPUTED_VALUE"""),20.0)</f>
        <v>20</v>
      </c>
      <c r="Q599" s="360"/>
    </row>
    <row r="600" ht="12.75" customHeight="1">
      <c r="G600" s="359" t="s">
        <v>1320</v>
      </c>
      <c r="H600" s="281">
        <v>20.0</v>
      </c>
      <c r="I600" s="358">
        <v>9.769441187964048E-4</v>
      </c>
      <c r="K600" s="281"/>
      <c r="L600" s="359"/>
      <c r="M600" s="360"/>
      <c r="O600" s="372" t="str">
        <f>IFERROR(__xludf.DUMMYFUNCTION("""COMPUTED_VALUE"""),"Cannon Fort - Fuse 2★ #C28")</f>
        <v>Cannon Fort - Fuse 2★ #C28</v>
      </c>
      <c r="P600" s="281">
        <f>IFERROR(__xludf.DUMMYFUNCTION("""COMPUTED_VALUE"""),20.0)</f>
        <v>20</v>
      </c>
      <c r="Q600" s="360"/>
    </row>
    <row r="601" ht="12.75" customHeight="1">
      <c r="G601" s="359" t="s">
        <v>1321</v>
      </c>
      <c r="H601" s="281">
        <v>20.0</v>
      </c>
      <c r="I601" s="358">
        <v>9.769441187964048E-4</v>
      </c>
      <c r="K601" s="281"/>
      <c r="L601" s="359"/>
      <c r="M601" s="360"/>
      <c r="O601" s="372" t="str">
        <f>IFERROR(__xludf.DUMMYFUNCTION("""COMPUTED_VALUE"""),"Cannon Fort - Fuse 2★ #6DD")</f>
        <v>Cannon Fort - Fuse 2★ #6DD</v>
      </c>
      <c r="P601" s="281">
        <f>IFERROR(__xludf.DUMMYFUNCTION("""COMPUTED_VALUE"""),20.0)</f>
        <v>20</v>
      </c>
      <c r="Q601" s="360"/>
    </row>
    <row r="602" ht="12.75" customHeight="1">
      <c r="G602" s="359" t="s">
        <v>1322</v>
      </c>
      <c r="H602" s="281">
        <v>20.0</v>
      </c>
      <c r="I602" s="358">
        <v>9.769441187964048E-4</v>
      </c>
      <c r="K602" s="281"/>
      <c r="L602" s="359"/>
      <c r="M602" s="360"/>
      <c r="O602" s="372" t="str">
        <f>IFERROR(__xludf.DUMMYFUNCTION("""COMPUTED_VALUE"""),"Cannon Fort - Fuse 2★ #192")</f>
        <v>Cannon Fort - Fuse 2★ #192</v>
      </c>
      <c r="P602" s="281">
        <f>IFERROR(__xludf.DUMMYFUNCTION("""COMPUTED_VALUE"""),20.0)</f>
        <v>20</v>
      </c>
      <c r="Q602" s="360"/>
    </row>
    <row r="603" ht="12.75" customHeight="1">
      <c r="G603" s="359" t="s">
        <v>1323</v>
      </c>
      <c r="H603" s="281">
        <v>20.0</v>
      </c>
      <c r="I603" s="358">
        <v>9.769441187964048E-4</v>
      </c>
      <c r="K603" s="281"/>
      <c r="L603" s="359"/>
      <c r="M603" s="360"/>
      <c r="O603" s="372" t="str">
        <f>IFERROR(__xludf.DUMMYFUNCTION("""COMPUTED_VALUE"""),"Cannon Fort - Fuse 2★ #C47")</f>
        <v>Cannon Fort - Fuse 2★ #C47</v>
      </c>
      <c r="P603" s="281">
        <f>IFERROR(__xludf.DUMMYFUNCTION("""COMPUTED_VALUE"""),20.0)</f>
        <v>20</v>
      </c>
      <c r="Q603" s="360"/>
    </row>
    <row r="604" ht="12.75" customHeight="1">
      <c r="G604" s="359" t="s">
        <v>1324</v>
      </c>
      <c r="H604" s="281">
        <v>20.0</v>
      </c>
      <c r="I604" s="358">
        <v>9.769441187964048E-4</v>
      </c>
      <c r="K604" s="281"/>
      <c r="L604" s="359"/>
      <c r="M604" s="360"/>
      <c r="O604" s="372" t="str">
        <f>IFERROR(__xludf.DUMMYFUNCTION("""COMPUTED_VALUE"""),"Cannon Fort - Ramrod 2★ #6FC")</f>
        <v>Cannon Fort - Ramrod 2★ #6FC</v>
      </c>
      <c r="P604" s="281">
        <f>IFERROR(__xludf.DUMMYFUNCTION("""COMPUTED_VALUE"""),20.0)</f>
        <v>20</v>
      </c>
      <c r="Q604" s="360"/>
    </row>
    <row r="605" ht="12.75" customHeight="1">
      <c r="G605" s="359" t="s">
        <v>1325</v>
      </c>
      <c r="H605" s="281">
        <v>20.0</v>
      </c>
      <c r="I605" s="358">
        <v>9.769441187964048E-4</v>
      </c>
      <c r="K605" s="281"/>
      <c r="L605" s="359"/>
      <c r="M605" s="360"/>
      <c r="O605" s="372" t="str">
        <f>IFERROR(__xludf.DUMMYFUNCTION("""COMPUTED_VALUE"""),"Cannon Fort - Ramrod 2★ #1B1")</f>
        <v>Cannon Fort - Ramrod 2★ #1B1</v>
      </c>
      <c r="P605" s="281">
        <f>IFERROR(__xludf.DUMMYFUNCTION("""COMPUTED_VALUE"""),20.0)</f>
        <v>20</v>
      </c>
      <c r="Q605" s="360"/>
    </row>
    <row r="606" ht="12.75" customHeight="1">
      <c r="G606" s="359" t="s">
        <v>1326</v>
      </c>
      <c r="H606" s="281">
        <v>20.0</v>
      </c>
      <c r="I606" s="358">
        <v>9.769441187964048E-4</v>
      </c>
      <c r="K606" s="281"/>
      <c r="L606" s="359"/>
      <c r="M606" s="360"/>
      <c r="O606" s="372" t="str">
        <f>IFERROR(__xludf.DUMMYFUNCTION("""COMPUTED_VALUE"""),"Cannon Fort - Ramrod 2★ #C66")</f>
        <v>Cannon Fort - Ramrod 2★ #C66</v>
      </c>
      <c r="P606" s="281">
        <f>IFERROR(__xludf.DUMMYFUNCTION("""COMPUTED_VALUE"""),20.0)</f>
        <v>20</v>
      </c>
      <c r="Q606" s="360"/>
    </row>
    <row r="607" ht="12.75" customHeight="1">
      <c r="G607" s="359" t="s">
        <v>1327</v>
      </c>
      <c r="H607" s="281">
        <v>20.0</v>
      </c>
      <c r="I607" s="358">
        <v>9.769441187964048E-4</v>
      </c>
      <c r="K607" s="281"/>
      <c r="L607" s="359"/>
      <c r="M607" s="360"/>
      <c r="O607" s="372" t="str">
        <f>IFERROR(__xludf.DUMMYFUNCTION("""COMPUTED_VALUE"""),"Cannon Fort - Ramrod 2★ #71B")</f>
        <v>Cannon Fort - Ramrod 2★ #71B</v>
      </c>
      <c r="P607" s="281">
        <f>IFERROR(__xludf.DUMMYFUNCTION("""COMPUTED_VALUE"""),20.0)</f>
        <v>20</v>
      </c>
      <c r="Q607" s="360"/>
    </row>
    <row r="608" ht="12.75" customHeight="1">
      <c r="G608" s="359" t="s">
        <v>1328</v>
      </c>
      <c r="H608" s="281">
        <v>20.0</v>
      </c>
      <c r="I608" s="358">
        <v>9.769441187964048E-4</v>
      </c>
      <c r="K608" s="281"/>
      <c r="L608" s="359"/>
      <c r="M608" s="360"/>
      <c r="O608" s="372" t="str">
        <f>IFERROR(__xludf.DUMMYFUNCTION("""COMPUTED_VALUE"""),"Cannon Fort - Ramrod 2★ #1D0")</f>
        <v>Cannon Fort - Ramrod 2★ #1D0</v>
      </c>
      <c r="P608" s="281">
        <f>IFERROR(__xludf.DUMMYFUNCTION("""COMPUTED_VALUE"""),20.0)</f>
        <v>20</v>
      </c>
      <c r="Q608" s="360"/>
    </row>
    <row r="609" ht="12.75" customHeight="1">
      <c r="G609" s="359" t="s">
        <v>1329</v>
      </c>
      <c r="H609" s="281">
        <v>20.0</v>
      </c>
      <c r="I609" s="358">
        <v>9.769441187964048E-4</v>
      </c>
      <c r="K609" s="281"/>
      <c r="L609" s="359"/>
      <c r="M609" s="360"/>
      <c r="O609" s="372" t="str">
        <f>IFERROR(__xludf.DUMMYFUNCTION("""COMPUTED_VALUE"""),"Cannon Fort - Ramrod 2★ #C85")</f>
        <v>Cannon Fort - Ramrod 2★ #C85</v>
      </c>
      <c r="P609" s="281">
        <f>IFERROR(__xludf.DUMMYFUNCTION("""COMPUTED_VALUE"""),20.0)</f>
        <v>20</v>
      </c>
      <c r="Q609" s="360"/>
    </row>
    <row r="610" ht="12.75" customHeight="1">
      <c r="G610" s="359" t="s">
        <v>1330</v>
      </c>
      <c r="H610" s="281">
        <v>20.0</v>
      </c>
      <c r="I610" s="358">
        <v>9.769441187964048E-4</v>
      </c>
      <c r="K610" s="281"/>
      <c r="L610" s="359"/>
      <c r="M610" s="360"/>
      <c r="O610" s="372" t="str">
        <f>IFERROR(__xludf.DUMMYFUNCTION("""COMPUTED_VALUE"""),"Cannon Fort - Ramrod 2★ #73A")</f>
        <v>Cannon Fort - Ramrod 2★ #73A</v>
      </c>
      <c r="P610" s="281">
        <f>IFERROR(__xludf.DUMMYFUNCTION("""COMPUTED_VALUE"""),20.0)</f>
        <v>20</v>
      </c>
      <c r="Q610" s="360"/>
    </row>
    <row r="611" ht="12.75" customHeight="1">
      <c r="G611" s="359" t="s">
        <v>1331</v>
      </c>
      <c r="H611" s="281">
        <v>20.0</v>
      </c>
      <c r="I611" s="358">
        <v>9.769441187964048E-4</v>
      </c>
      <c r="K611" s="281"/>
      <c r="L611" s="359"/>
      <c r="M611" s="360"/>
      <c r="O611" s="372" t="str">
        <f>IFERROR(__xludf.DUMMYFUNCTION("""COMPUTED_VALUE"""),"Cannon Fort - Ramrod 2★ #1EF")</f>
        <v>Cannon Fort - Ramrod 2★ #1EF</v>
      </c>
      <c r="P611" s="281">
        <f>IFERROR(__xludf.DUMMYFUNCTION("""COMPUTED_VALUE"""),20.0)</f>
        <v>20</v>
      </c>
      <c r="Q611" s="360"/>
    </row>
    <row r="612" ht="12.75" customHeight="1">
      <c r="G612" s="359" t="s">
        <v>1332</v>
      </c>
      <c r="H612" s="281">
        <v>20.0</v>
      </c>
      <c r="I612" s="358">
        <v>9.769441187964048E-4</v>
      </c>
      <c r="K612" s="281"/>
      <c r="L612" s="359"/>
      <c r="M612" s="360"/>
      <c r="O612" s="372" t="str">
        <f>IFERROR(__xludf.DUMMYFUNCTION("""COMPUTED_VALUE"""),"Cannon Fort - Ramrod 2★ #CA4")</f>
        <v>Cannon Fort - Ramrod 2★ #CA4</v>
      </c>
      <c r="P612" s="281">
        <f>IFERROR(__xludf.DUMMYFUNCTION("""COMPUTED_VALUE"""),20.0)</f>
        <v>20</v>
      </c>
      <c r="Q612" s="360"/>
    </row>
    <row r="613" ht="12.75" customHeight="1">
      <c r="G613" s="359" t="s">
        <v>1333</v>
      </c>
      <c r="H613" s="281">
        <v>20.0</v>
      </c>
      <c r="I613" s="358">
        <v>9.769441187964048E-4</v>
      </c>
      <c r="K613" s="281"/>
      <c r="L613" s="359"/>
      <c r="M613" s="360"/>
      <c r="O613" s="372" t="str">
        <f>IFERROR(__xludf.DUMMYFUNCTION("""COMPUTED_VALUE"""),"Cannon Fort - Ramrod 2★ #759")</f>
        <v>Cannon Fort - Ramrod 2★ #759</v>
      </c>
      <c r="P613" s="281">
        <f>IFERROR(__xludf.DUMMYFUNCTION("""COMPUTED_VALUE"""),20.0)</f>
        <v>20</v>
      </c>
      <c r="Q613" s="360"/>
    </row>
    <row r="614" ht="12.75" customHeight="1">
      <c r="G614" s="359" t="s">
        <v>1334</v>
      </c>
      <c r="H614" s="281">
        <v>20.0</v>
      </c>
      <c r="I614" s="358">
        <v>9.769441187964048E-4</v>
      </c>
      <c r="K614" s="281"/>
      <c r="L614" s="359"/>
      <c r="M614" s="360"/>
      <c r="O614" s="372" t="str">
        <f>IFERROR(__xludf.DUMMYFUNCTION("""COMPUTED_VALUE"""),"Cannon Fort - Ramrod 2★ #20E")</f>
        <v>Cannon Fort - Ramrod 2★ #20E</v>
      </c>
      <c r="P614" s="281">
        <f>IFERROR(__xludf.DUMMYFUNCTION("""COMPUTED_VALUE"""),20.0)</f>
        <v>20</v>
      </c>
      <c r="Q614" s="360"/>
    </row>
    <row r="615" ht="12.75" customHeight="1">
      <c r="G615" s="359" t="s">
        <v>1335</v>
      </c>
      <c r="H615" s="281">
        <v>20.0</v>
      </c>
      <c r="I615" s="358">
        <v>9.769441187964048E-4</v>
      </c>
      <c r="K615" s="281"/>
      <c r="L615" s="359"/>
      <c r="M615" s="360"/>
      <c r="O615" s="372" t="str">
        <f>IFERROR(__xludf.DUMMYFUNCTION("""COMPUTED_VALUE"""),"Cannon Fort - Ramrod 2★ #CC3")</f>
        <v>Cannon Fort - Ramrod 2★ #CC3</v>
      </c>
      <c r="P615" s="281">
        <f>IFERROR(__xludf.DUMMYFUNCTION("""COMPUTED_VALUE"""),20.0)</f>
        <v>20</v>
      </c>
      <c r="Q615" s="360"/>
    </row>
    <row r="616" ht="12.75" customHeight="1">
      <c r="G616" s="359" t="s">
        <v>1336</v>
      </c>
      <c r="H616" s="281">
        <v>10.0</v>
      </c>
      <c r="I616" s="358">
        <v>4.884720593982024E-4</v>
      </c>
      <c r="K616" s="281"/>
      <c r="L616" s="359"/>
      <c r="M616" s="360"/>
      <c r="O616" s="372" t="str">
        <f>IFERROR(__xludf.DUMMYFUNCTION("""COMPUTED_VALUE"""),"Cannon Fort - War Flag 3★ #778")</f>
        <v>Cannon Fort - War Flag 3★ #778</v>
      </c>
      <c r="P616" s="281">
        <f>IFERROR(__xludf.DUMMYFUNCTION("""COMPUTED_VALUE"""),10.0)</f>
        <v>10</v>
      </c>
      <c r="Q616" s="360"/>
    </row>
    <row r="617" ht="12.75" customHeight="1">
      <c r="G617" s="359" t="s">
        <v>1337</v>
      </c>
      <c r="H617" s="281">
        <v>10.0</v>
      </c>
      <c r="I617" s="358">
        <v>4.884720593982024E-4</v>
      </c>
      <c r="K617" s="281"/>
      <c r="L617" s="359"/>
      <c r="M617" s="360"/>
      <c r="O617" s="372" t="str">
        <f>IFERROR(__xludf.DUMMYFUNCTION("""COMPUTED_VALUE"""),"Cannon Fort - War Flag 3★ #22D")</f>
        <v>Cannon Fort - War Flag 3★ #22D</v>
      </c>
      <c r="P617" s="281">
        <f>IFERROR(__xludf.DUMMYFUNCTION("""COMPUTED_VALUE"""),10.0)</f>
        <v>10</v>
      </c>
      <c r="Q617" s="360"/>
    </row>
    <row r="618" ht="12.75" customHeight="1">
      <c r="G618" s="359" t="s">
        <v>1338</v>
      </c>
      <c r="H618" s="281">
        <v>10.0</v>
      </c>
      <c r="I618" s="358">
        <v>4.884720593982024E-4</v>
      </c>
      <c r="K618" s="281"/>
      <c r="L618" s="359"/>
      <c r="M618" s="360"/>
      <c r="O618" s="372" t="str">
        <f>IFERROR(__xludf.DUMMYFUNCTION("""COMPUTED_VALUE"""),"Cannon Fort - War Flag 3★ #CE2")</f>
        <v>Cannon Fort - War Flag 3★ #CE2</v>
      </c>
      <c r="P618" s="281">
        <f>IFERROR(__xludf.DUMMYFUNCTION("""COMPUTED_VALUE"""),10.0)</f>
        <v>10</v>
      </c>
      <c r="Q618" s="360"/>
    </row>
    <row r="619" ht="12.75" customHeight="1">
      <c r="G619" s="359" t="s">
        <v>1339</v>
      </c>
      <c r="H619" s="281">
        <v>10.0</v>
      </c>
      <c r="I619" s="358">
        <v>4.884720593982024E-4</v>
      </c>
      <c r="K619" s="281"/>
      <c r="L619" s="359"/>
      <c r="M619" s="360"/>
      <c r="O619" s="372" t="str">
        <f>IFERROR(__xludf.DUMMYFUNCTION("""COMPUTED_VALUE"""),"Cannon Fort - War Flag 3★ #797")</f>
        <v>Cannon Fort - War Flag 3★ #797</v>
      </c>
      <c r="P619" s="281">
        <f>IFERROR(__xludf.DUMMYFUNCTION("""COMPUTED_VALUE"""),10.0)</f>
        <v>10</v>
      </c>
      <c r="Q619" s="360"/>
    </row>
    <row r="620" ht="12.75" customHeight="1">
      <c r="G620" s="359" t="s">
        <v>1340</v>
      </c>
      <c r="H620" s="281">
        <v>10.0</v>
      </c>
      <c r="I620" s="358">
        <v>4.884720593982024E-4</v>
      </c>
      <c r="K620" s="281"/>
      <c r="L620" s="359"/>
      <c r="M620" s="360"/>
      <c r="O620" s="372" t="str">
        <f>IFERROR(__xludf.DUMMYFUNCTION("""COMPUTED_VALUE"""),"Cannon Fort - War Flag 3★ #24C")</f>
        <v>Cannon Fort - War Flag 3★ #24C</v>
      </c>
      <c r="P620" s="281">
        <f>IFERROR(__xludf.DUMMYFUNCTION("""COMPUTED_VALUE"""),10.0)</f>
        <v>10</v>
      </c>
      <c r="Q620" s="360"/>
    </row>
    <row r="621" ht="12.75" customHeight="1">
      <c r="G621" s="359" t="s">
        <v>1341</v>
      </c>
      <c r="H621" s="281">
        <v>10.0</v>
      </c>
      <c r="I621" s="358">
        <v>4.884720593982024E-4</v>
      </c>
      <c r="K621" s="281"/>
      <c r="L621" s="359"/>
      <c r="M621" s="360"/>
      <c r="O621" s="372" t="str">
        <f>IFERROR(__xludf.DUMMYFUNCTION("""COMPUTED_VALUE"""),"Cannon Fort - War Flag 3★ #D01")</f>
        <v>Cannon Fort - War Flag 3★ #D01</v>
      </c>
      <c r="P621" s="281">
        <f>IFERROR(__xludf.DUMMYFUNCTION("""COMPUTED_VALUE"""),10.0)</f>
        <v>10</v>
      </c>
      <c r="Q621" s="360"/>
    </row>
    <row r="622" ht="12.75" customHeight="1">
      <c r="G622" s="359" t="s">
        <v>1342</v>
      </c>
      <c r="H622" s="281">
        <v>10.0</v>
      </c>
      <c r="I622" s="358">
        <v>4.884720593982024E-4</v>
      </c>
      <c r="K622" s="281"/>
      <c r="L622" s="359"/>
      <c r="M622" s="360"/>
      <c r="O622" s="372" t="str">
        <f>IFERROR(__xludf.DUMMYFUNCTION("""COMPUTED_VALUE"""),"Cannon Fort - War Flag 3★ #7B6")</f>
        <v>Cannon Fort - War Flag 3★ #7B6</v>
      </c>
      <c r="P622" s="281">
        <f>IFERROR(__xludf.DUMMYFUNCTION("""COMPUTED_VALUE"""),10.0)</f>
        <v>10</v>
      </c>
      <c r="Q622" s="360"/>
    </row>
    <row r="623" ht="12.75" customHeight="1">
      <c r="G623" s="359" t="s">
        <v>1343</v>
      </c>
      <c r="H623" s="281">
        <v>10.0</v>
      </c>
      <c r="I623" s="358">
        <v>4.884720593982024E-4</v>
      </c>
      <c r="K623" s="281"/>
      <c r="L623" s="359"/>
      <c r="M623" s="360"/>
      <c r="O623" s="372" t="str">
        <f>IFERROR(__xludf.DUMMYFUNCTION("""COMPUTED_VALUE"""),"Cannon Fort - War Flag 3★ #26B")</f>
        <v>Cannon Fort - War Flag 3★ #26B</v>
      </c>
      <c r="P623" s="281">
        <f>IFERROR(__xludf.DUMMYFUNCTION("""COMPUTED_VALUE"""),10.0)</f>
        <v>10</v>
      </c>
      <c r="Q623" s="360"/>
    </row>
    <row r="624" ht="12.75" customHeight="1">
      <c r="G624" s="359" t="s">
        <v>1344</v>
      </c>
      <c r="H624" s="281">
        <v>10.0</v>
      </c>
      <c r="I624" s="358">
        <v>4.884720593982024E-4</v>
      </c>
      <c r="K624" s="281"/>
      <c r="L624" s="359"/>
      <c r="M624" s="360"/>
      <c r="O624" s="372" t="str">
        <f>IFERROR(__xludf.DUMMYFUNCTION("""COMPUTED_VALUE"""),"Cannon Fort - War Flag 3★ #D20")</f>
        <v>Cannon Fort - War Flag 3★ #D20</v>
      </c>
      <c r="P624" s="281">
        <f>IFERROR(__xludf.DUMMYFUNCTION("""COMPUTED_VALUE"""),10.0)</f>
        <v>10</v>
      </c>
      <c r="Q624" s="360"/>
    </row>
    <row r="625" ht="12.75" customHeight="1">
      <c r="G625" s="359" t="s">
        <v>1345</v>
      </c>
      <c r="H625" s="281">
        <v>10.0</v>
      </c>
      <c r="I625" s="358">
        <v>4.884720593982024E-4</v>
      </c>
      <c r="K625" s="281"/>
      <c r="L625" s="359"/>
      <c r="M625" s="360"/>
      <c r="O625" s="372" t="str">
        <f>IFERROR(__xludf.DUMMYFUNCTION("""COMPUTED_VALUE"""),"Cannon Fort - War Flag 3★ #7D5")</f>
        <v>Cannon Fort - War Flag 3★ #7D5</v>
      </c>
      <c r="P625" s="281">
        <f>IFERROR(__xludf.DUMMYFUNCTION("""COMPUTED_VALUE"""),10.0)</f>
        <v>10</v>
      </c>
      <c r="Q625" s="360"/>
    </row>
    <row r="626" ht="12.75" customHeight="1">
      <c r="G626" s="359" t="s">
        <v>1346</v>
      </c>
      <c r="H626" s="281">
        <v>10.0</v>
      </c>
      <c r="I626" s="358">
        <v>4.884720593982024E-4</v>
      </c>
      <c r="K626" s="281"/>
      <c r="L626" s="359"/>
      <c r="M626" s="360"/>
      <c r="O626" s="372" t="str">
        <f>IFERROR(__xludf.DUMMYFUNCTION("""COMPUTED_VALUE"""),"Cannon Fort - War Flag 3★ #28A")</f>
        <v>Cannon Fort - War Flag 3★ #28A</v>
      </c>
      <c r="P626" s="281">
        <f>IFERROR(__xludf.DUMMYFUNCTION("""COMPUTED_VALUE"""),10.0)</f>
        <v>10</v>
      </c>
      <c r="Q626" s="360"/>
    </row>
    <row r="627" ht="12.75" customHeight="1">
      <c r="G627" s="359" t="s">
        <v>1347</v>
      </c>
      <c r="H627" s="281">
        <v>10.0</v>
      </c>
      <c r="I627" s="358">
        <v>4.884720593982024E-4</v>
      </c>
      <c r="K627" s="281"/>
      <c r="L627" s="359"/>
      <c r="M627" s="360"/>
      <c r="O627" s="372" t="str">
        <f>IFERROR(__xludf.DUMMYFUNCTION("""COMPUTED_VALUE"""),"Cannon Fort - War Flag 3★ #D3F")</f>
        <v>Cannon Fort - War Flag 3★ #D3F</v>
      </c>
      <c r="P627" s="281">
        <f>IFERROR(__xludf.DUMMYFUNCTION("""COMPUTED_VALUE"""),10.0)</f>
        <v>10</v>
      </c>
      <c r="Q627" s="360"/>
    </row>
    <row r="628" ht="12.75" customHeight="1">
      <c r="G628" s="359" t="s">
        <v>1348</v>
      </c>
      <c r="H628" s="281">
        <v>10.0</v>
      </c>
      <c r="I628" s="358">
        <v>4.884720593982024E-4</v>
      </c>
      <c r="K628" s="281"/>
      <c r="L628" s="359"/>
      <c r="M628" s="360"/>
      <c r="O628" s="372" t="str">
        <f>IFERROR(__xludf.DUMMYFUNCTION("""COMPUTED_VALUE"""),"Cannon Fort - War Flag 3★ #7F4")</f>
        <v>Cannon Fort - War Flag 3★ #7F4</v>
      </c>
      <c r="P628" s="281">
        <f>IFERROR(__xludf.DUMMYFUNCTION("""COMPUTED_VALUE"""),10.0)</f>
        <v>10</v>
      </c>
      <c r="Q628" s="360"/>
    </row>
    <row r="629" ht="12.75" customHeight="1">
      <c r="G629" s="359" t="s">
        <v>1349</v>
      </c>
      <c r="H629" s="281">
        <v>5.0</v>
      </c>
      <c r="I629" s="358">
        <v>2.442360296991012E-4</v>
      </c>
      <c r="K629" s="281"/>
      <c r="L629" s="359"/>
      <c r="M629" s="360"/>
      <c r="O629" s="372" t="str">
        <f>IFERROR(__xludf.DUMMYFUNCTION("""COMPUTED_VALUE"""),"Cannon Fort - Tower 4★ #2A9")</f>
        <v>Cannon Fort - Tower 4★ #2A9</v>
      </c>
      <c r="P629" s="281">
        <f>IFERROR(__xludf.DUMMYFUNCTION("""COMPUTED_VALUE"""),5.0)</f>
        <v>5</v>
      </c>
      <c r="Q629" s="360"/>
    </row>
    <row r="630" ht="12.75" customHeight="1">
      <c r="G630" s="359" t="s">
        <v>1350</v>
      </c>
      <c r="H630" s="281">
        <v>5.0</v>
      </c>
      <c r="I630" s="358">
        <v>2.442360296991012E-4</v>
      </c>
      <c r="K630" s="281"/>
      <c r="L630" s="359"/>
      <c r="M630" s="360"/>
      <c r="O630" s="372" t="str">
        <f>IFERROR(__xludf.DUMMYFUNCTION("""COMPUTED_VALUE"""),"Cannon Fort - Tower 4★ #D5E")</f>
        <v>Cannon Fort - Tower 4★ #D5E</v>
      </c>
      <c r="P630" s="281">
        <f>IFERROR(__xludf.DUMMYFUNCTION("""COMPUTED_VALUE"""),5.0)</f>
        <v>5</v>
      </c>
      <c r="Q630" s="360"/>
    </row>
    <row r="631" ht="12.75" customHeight="1">
      <c r="G631" s="359" t="s">
        <v>1351</v>
      </c>
      <c r="H631" s="281">
        <v>5.0</v>
      </c>
      <c r="I631" s="358">
        <v>2.442360296991012E-4</v>
      </c>
      <c r="K631" s="281"/>
      <c r="L631" s="359"/>
      <c r="M631" s="360"/>
      <c r="O631" s="372" t="str">
        <f>IFERROR(__xludf.DUMMYFUNCTION("""COMPUTED_VALUE"""),"Cannon Fort - Tower 4★ #813")</f>
        <v>Cannon Fort - Tower 4★ #813</v>
      </c>
      <c r="P631" s="281">
        <f>IFERROR(__xludf.DUMMYFUNCTION("""COMPUTED_VALUE"""),5.0)</f>
        <v>5</v>
      </c>
      <c r="Q631" s="360"/>
    </row>
    <row r="632" ht="12.75" customHeight="1">
      <c r="G632" s="359" t="s">
        <v>1352</v>
      </c>
      <c r="H632" s="281">
        <v>5.0</v>
      </c>
      <c r="I632" s="358">
        <v>2.442360296991012E-4</v>
      </c>
      <c r="K632" s="281"/>
      <c r="L632" s="359"/>
      <c r="M632" s="360"/>
      <c r="O632" s="372" t="str">
        <f>IFERROR(__xludf.DUMMYFUNCTION("""COMPUTED_VALUE"""),"Cannon Fort - Tower 4★ #2C8")</f>
        <v>Cannon Fort - Tower 4★ #2C8</v>
      </c>
      <c r="P632" s="281">
        <f>IFERROR(__xludf.DUMMYFUNCTION("""COMPUTED_VALUE"""),5.0)</f>
        <v>5</v>
      </c>
      <c r="Q632" s="360"/>
    </row>
    <row r="633" ht="12.75" customHeight="1">
      <c r="G633" s="359" t="s">
        <v>1353</v>
      </c>
      <c r="H633" s="281">
        <v>5.0</v>
      </c>
      <c r="I633" s="358">
        <v>2.442360296991012E-4</v>
      </c>
      <c r="K633" s="281"/>
      <c r="L633" s="359"/>
      <c r="M633" s="360"/>
      <c r="O633" s="372" t="str">
        <f>IFERROR(__xludf.DUMMYFUNCTION("""COMPUTED_VALUE"""),"Cannon Fort - Tower 4★ #D7D")</f>
        <v>Cannon Fort - Tower 4★ #D7D</v>
      </c>
      <c r="P633" s="281">
        <f>IFERROR(__xludf.DUMMYFUNCTION("""COMPUTED_VALUE"""),5.0)</f>
        <v>5</v>
      </c>
      <c r="Q633" s="360"/>
    </row>
    <row r="634" ht="12.75" customHeight="1">
      <c r="G634" s="359" t="s">
        <v>1354</v>
      </c>
      <c r="H634" s="281">
        <v>5.0</v>
      </c>
      <c r="I634" s="358">
        <v>2.442360296991012E-4</v>
      </c>
      <c r="K634" s="281"/>
      <c r="L634" s="359"/>
      <c r="M634" s="360"/>
      <c r="O634" s="372" t="str">
        <f>IFERROR(__xludf.DUMMYFUNCTION("""COMPUTED_VALUE"""),"Cannon Fort - Tower 4★ #832")</f>
        <v>Cannon Fort - Tower 4★ #832</v>
      </c>
      <c r="P634" s="281">
        <f>IFERROR(__xludf.DUMMYFUNCTION("""COMPUTED_VALUE"""),5.0)</f>
        <v>5</v>
      </c>
      <c r="Q634" s="360"/>
    </row>
    <row r="635" ht="12.75" customHeight="1">
      <c r="G635" s="359" t="s">
        <v>1355</v>
      </c>
      <c r="H635" s="281">
        <v>5.0</v>
      </c>
      <c r="I635" s="358">
        <v>2.442360296991012E-4</v>
      </c>
      <c r="K635" s="281"/>
      <c r="L635" s="359"/>
      <c r="M635" s="360"/>
      <c r="O635" s="372" t="str">
        <f>IFERROR(__xludf.DUMMYFUNCTION("""COMPUTED_VALUE"""),"Cannon Fort - Tower 4★ #2E7")</f>
        <v>Cannon Fort - Tower 4★ #2E7</v>
      </c>
      <c r="P635" s="281">
        <f>IFERROR(__xludf.DUMMYFUNCTION("""COMPUTED_VALUE"""),5.0)</f>
        <v>5</v>
      </c>
      <c r="Q635" s="360"/>
    </row>
    <row r="636" ht="12.75" customHeight="1">
      <c r="G636" s="359" t="s">
        <v>1356</v>
      </c>
      <c r="H636" s="281">
        <v>5.0</v>
      </c>
      <c r="I636" s="358">
        <v>2.442360296991012E-4</v>
      </c>
      <c r="K636" s="281"/>
      <c r="L636" s="359"/>
      <c r="M636" s="360"/>
      <c r="O636" s="372" t="str">
        <f>IFERROR(__xludf.DUMMYFUNCTION("""COMPUTED_VALUE"""),"Cannon Fort - Tower 4★ #D9C")</f>
        <v>Cannon Fort - Tower 4★ #D9C</v>
      </c>
      <c r="P636" s="281">
        <f>IFERROR(__xludf.DUMMYFUNCTION("""COMPUTED_VALUE"""),5.0)</f>
        <v>5</v>
      </c>
      <c r="Q636" s="360"/>
    </row>
    <row r="637" ht="12.75" customHeight="1">
      <c r="G637" s="359" t="s">
        <v>1357</v>
      </c>
      <c r="H637" s="281">
        <v>5.0</v>
      </c>
      <c r="I637" s="358">
        <v>2.442360296991012E-4</v>
      </c>
      <c r="K637" s="281"/>
      <c r="L637" s="359"/>
      <c r="M637" s="360"/>
      <c r="O637" s="372" t="str">
        <f>IFERROR(__xludf.DUMMYFUNCTION("""COMPUTED_VALUE"""),"Cannon Fort - Tower 4★ #851")</f>
        <v>Cannon Fort - Tower 4★ #851</v>
      </c>
      <c r="P637" s="281">
        <f>IFERROR(__xludf.DUMMYFUNCTION("""COMPUTED_VALUE"""),5.0)</f>
        <v>5</v>
      </c>
      <c r="Q637" s="360"/>
    </row>
    <row r="638" ht="12.75" customHeight="1">
      <c r="G638" s="359" t="s">
        <v>1358</v>
      </c>
      <c r="H638" s="281">
        <v>5.0</v>
      </c>
      <c r="I638" s="358">
        <v>2.442360296991012E-4</v>
      </c>
      <c r="K638" s="281"/>
      <c r="L638" s="359"/>
      <c r="M638" s="360"/>
      <c r="O638" s="372" t="str">
        <f>IFERROR(__xludf.DUMMYFUNCTION("""COMPUTED_VALUE"""),"Cannon Fort - Tower 4★ #306")</f>
        <v>Cannon Fort - Tower 4★ #306</v>
      </c>
      <c r="P638" s="281">
        <f>IFERROR(__xludf.DUMMYFUNCTION("""COMPUTED_VALUE"""),5.0)</f>
        <v>5</v>
      </c>
      <c r="Q638" s="360"/>
    </row>
    <row r="639" ht="12.75" customHeight="1">
      <c r="G639" s="359" t="s">
        <v>1359</v>
      </c>
      <c r="H639" s="281">
        <v>5.0</v>
      </c>
      <c r="I639" s="358">
        <v>2.442360296991012E-4</v>
      </c>
      <c r="K639" s="281"/>
      <c r="L639" s="359"/>
      <c r="M639" s="360"/>
      <c r="O639" s="372" t="str">
        <f>IFERROR(__xludf.DUMMYFUNCTION("""COMPUTED_VALUE"""),"Cannon Fort - Tower 4★ #DBB")</f>
        <v>Cannon Fort - Tower 4★ #DBB</v>
      </c>
      <c r="P639" s="281">
        <f>IFERROR(__xludf.DUMMYFUNCTION("""COMPUTED_VALUE"""),5.0)</f>
        <v>5</v>
      </c>
      <c r="Q639" s="360"/>
    </row>
    <row r="640" ht="12.75" customHeight="1">
      <c r="G640" s="359" t="s">
        <v>1360</v>
      </c>
      <c r="H640" s="281">
        <v>2.0</v>
      </c>
      <c r="I640" s="358">
        <v>9.769441187964049E-5</v>
      </c>
      <c r="K640" s="281"/>
      <c r="L640" s="359"/>
      <c r="M640" s="360"/>
      <c r="O640" s="372" t="str">
        <f>IFERROR(__xludf.DUMMYFUNCTION("""COMPUTED_VALUE"""),"Cannon Fort - Bridge 5★ #870")</f>
        <v>Cannon Fort - Bridge 5★ #870</v>
      </c>
      <c r="P640" s="281">
        <f>IFERROR(__xludf.DUMMYFUNCTION("""COMPUTED_VALUE"""),2.0)</f>
        <v>2</v>
      </c>
      <c r="Q640" s="360"/>
    </row>
    <row r="641" ht="12.75" customHeight="1">
      <c r="G641" s="359" t="s">
        <v>1361</v>
      </c>
      <c r="H641" s="281">
        <v>2.0</v>
      </c>
      <c r="I641" s="358">
        <v>9.769441187964049E-5</v>
      </c>
      <c r="K641" s="281"/>
      <c r="L641" s="359"/>
      <c r="M641" s="360"/>
      <c r="O641" s="372" t="str">
        <f>IFERROR(__xludf.DUMMYFUNCTION("""COMPUTED_VALUE"""),"Cannon Fort - Bridge 5★ #325")</f>
        <v>Cannon Fort - Bridge 5★ #325</v>
      </c>
      <c r="P641" s="281">
        <f>IFERROR(__xludf.DUMMYFUNCTION("""COMPUTED_VALUE"""),2.0)</f>
        <v>2</v>
      </c>
      <c r="Q641" s="360"/>
    </row>
    <row r="642" ht="12.75" customHeight="1">
      <c r="G642" s="359" t="s">
        <v>1362</v>
      </c>
      <c r="H642" s="281">
        <v>2.0</v>
      </c>
      <c r="I642" s="358">
        <v>9.769441187964049E-5</v>
      </c>
      <c r="K642" s="281"/>
      <c r="L642" s="359"/>
      <c r="M642" s="360"/>
      <c r="O642" s="372" t="str">
        <f>IFERROR(__xludf.DUMMYFUNCTION("""COMPUTED_VALUE"""),"Cannon Fort - Bridge 5★ #DDA")</f>
        <v>Cannon Fort - Bridge 5★ #DDA</v>
      </c>
      <c r="P642" s="281">
        <f>IFERROR(__xludf.DUMMYFUNCTION("""COMPUTED_VALUE"""),2.0)</f>
        <v>2</v>
      </c>
      <c r="Q642" s="360"/>
    </row>
    <row r="643" ht="12.75" customHeight="1">
      <c r="G643" s="359" t="s">
        <v>1363</v>
      </c>
      <c r="H643" s="281">
        <v>2.0</v>
      </c>
      <c r="I643" s="358">
        <v>9.769441187964049E-5</v>
      </c>
      <c r="K643" s="281"/>
      <c r="L643" s="359"/>
      <c r="M643" s="360"/>
      <c r="O643" s="372" t="str">
        <f>IFERROR(__xludf.DUMMYFUNCTION("""COMPUTED_VALUE"""),"Cannon Fort - Bridge 5★ #88F")</f>
        <v>Cannon Fort - Bridge 5★ #88F</v>
      </c>
      <c r="P643" s="281">
        <f>IFERROR(__xludf.DUMMYFUNCTION("""COMPUTED_VALUE"""),2.0)</f>
        <v>2</v>
      </c>
      <c r="Q643" s="360"/>
    </row>
    <row r="644" ht="12.75" customHeight="1">
      <c r="G644" s="359" t="s">
        <v>1364</v>
      </c>
      <c r="H644" s="281">
        <v>2.0</v>
      </c>
      <c r="I644" s="358">
        <v>9.769441187964049E-5</v>
      </c>
      <c r="K644" s="281"/>
      <c r="L644" s="359"/>
      <c r="M644" s="360"/>
      <c r="O644" s="372" t="str">
        <f>IFERROR(__xludf.DUMMYFUNCTION("""COMPUTED_VALUE"""),"Cannon Fort - Bridge 5★ #344")</f>
        <v>Cannon Fort - Bridge 5★ #344</v>
      </c>
      <c r="P644" s="281">
        <f>IFERROR(__xludf.DUMMYFUNCTION("""COMPUTED_VALUE"""),2.0)</f>
        <v>2</v>
      </c>
      <c r="Q644" s="360"/>
    </row>
    <row r="645" ht="12.75" customHeight="1">
      <c r="G645" s="359" t="s">
        <v>1365</v>
      </c>
      <c r="H645" s="281">
        <v>2.0</v>
      </c>
      <c r="I645" s="358">
        <v>9.769441187964049E-5</v>
      </c>
      <c r="K645" s="281"/>
      <c r="L645" s="359"/>
      <c r="M645" s="360"/>
      <c r="O645" s="372" t="str">
        <f>IFERROR(__xludf.DUMMYFUNCTION("""COMPUTED_VALUE"""),"Cannon Fort - Catapult 5★ #DF9")</f>
        <v>Cannon Fort - Catapult 5★ #DF9</v>
      </c>
      <c r="P645" s="281">
        <f>IFERROR(__xludf.DUMMYFUNCTION("""COMPUTED_VALUE"""),2.0)</f>
        <v>2</v>
      </c>
      <c r="Q645" s="360"/>
    </row>
    <row r="646" ht="12.75" customHeight="1">
      <c r="G646" s="359" t="s">
        <v>1366</v>
      </c>
      <c r="H646" s="281">
        <v>2.0</v>
      </c>
      <c r="I646" s="358">
        <v>9.769441187964049E-5</v>
      </c>
      <c r="K646" s="281"/>
      <c r="L646" s="359"/>
      <c r="M646" s="360"/>
      <c r="O646" s="372" t="str">
        <f>IFERROR(__xludf.DUMMYFUNCTION("""COMPUTED_VALUE"""),"Cannon Fort - Catapult 5★ #8AE")</f>
        <v>Cannon Fort - Catapult 5★ #8AE</v>
      </c>
      <c r="P646" s="281">
        <f>IFERROR(__xludf.DUMMYFUNCTION("""COMPUTED_VALUE"""),2.0)</f>
        <v>2</v>
      </c>
      <c r="Q646" s="360"/>
    </row>
    <row r="647" ht="12.75" customHeight="1">
      <c r="G647" s="359" t="s">
        <v>1367</v>
      </c>
      <c r="H647" s="281">
        <v>2.0</v>
      </c>
      <c r="I647" s="358">
        <v>9.769441187964049E-5</v>
      </c>
      <c r="K647" s="281"/>
      <c r="L647" s="359"/>
      <c r="M647" s="360"/>
      <c r="O647" s="372" t="str">
        <f>IFERROR(__xludf.DUMMYFUNCTION("""COMPUTED_VALUE"""),"Cannon Fort - Catapult 5★ #363")</f>
        <v>Cannon Fort - Catapult 5★ #363</v>
      </c>
      <c r="P647" s="281">
        <f>IFERROR(__xludf.DUMMYFUNCTION("""COMPUTED_VALUE"""),2.0)</f>
        <v>2</v>
      </c>
      <c r="Q647" s="360"/>
    </row>
    <row r="648" ht="12.75" customHeight="1">
      <c r="G648" s="359" t="s">
        <v>1368</v>
      </c>
      <c r="H648" s="281">
        <v>2.0</v>
      </c>
      <c r="I648" s="358">
        <v>9.769441187964049E-5</v>
      </c>
      <c r="K648" s="281"/>
      <c r="L648" s="359"/>
      <c r="M648" s="360"/>
      <c r="O648" s="372" t="str">
        <f>IFERROR(__xludf.DUMMYFUNCTION("""COMPUTED_VALUE"""),"Cannon Fort - Catapult 5★ #E18")</f>
        <v>Cannon Fort - Catapult 5★ #E18</v>
      </c>
      <c r="P648" s="281">
        <f>IFERROR(__xludf.DUMMYFUNCTION("""COMPUTED_VALUE"""),2.0)</f>
        <v>2</v>
      </c>
      <c r="Q648" s="360"/>
    </row>
    <row r="649" ht="12.75" customHeight="1">
      <c r="G649" s="359" t="s">
        <v>1369</v>
      </c>
      <c r="H649" s="281">
        <v>2.0</v>
      </c>
      <c r="I649" s="358">
        <v>9.769441187964049E-5</v>
      </c>
      <c r="K649" s="281"/>
      <c r="L649" s="359"/>
      <c r="M649" s="360"/>
      <c r="O649" s="372" t="str">
        <f>IFERROR(__xludf.DUMMYFUNCTION("""COMPUTED_VALUE"""),"Cannon Fort - Catapult 5★ #8CD")</f>
        <v>Cannon Fort - Catapult 5★ #8CD</v>
      </c>
      <c r="P649" s="281">
        <f>IFERROR(__xludf.DUMMYFUNCTION("""COMPUTED_VALUE"""),2.0)</f>
        <v>2</v>
      </c>
      <c r="Q649" s="360"/>
    </row>
    <row r="650" ht="12.75" customHeight="1">
      <c r="G650" s="359" t="s">
        <v>1370</v>
      </c>
      <c r="H650" s="281">
        <v>2.0</v>
      </c>
      <c r="I650" s="358">
        <v>9.769441187964049E-5</v>
      </c>
      <c r="K650" s="281"/>
      <c r="L650" s="359"/>
      <c r="M650" s="360"/>
      <c r="O650" s="372" t="str">
        <f>IFERROR(__xludf.DUMMYFUNCTION("""COMPUTED_VALUE"""),"Cannon Fort - Horn 5★ #382")</f>
        <v>Cannon Fort - Horn 5★ #382</v>
      </c>
      <c r="P650" s="281">
        <f>IFERROR(__xludf.DUMMYFUNCTION("""COMPUTED_VALUE"""),2.0)</f>
        <v>2</v>
      </c>
      <c r="Q650" s="360"/>
    </row>
    <row r="651" ht="12.75" customHeight="1">
      <c r="G651" s="359" t="s">
        <v>1371</v>
      </c>
      <c r="H651" s="281">
        <v>2.0</v>
      </c>
      <c r="I651" s="358">
        <v>9.769441187964049E-5</v>
      </c>
      <c r="K651" s="281"/>
      <c r="L651" s="359"/>
      <c r="M651" s="360"/>
      <c r="O651" s="372" t="str">
        <f>IFERROR(__xludf.DUMMYFUNCTION("""COMPUTED_VALUE"""),"Cannon Fort - Horn 5★ #E37")</f>
        <v>Cannon Fort - Horn 5★ #E37</v>
      </c>
      <c r="P651" s="281">
        <f>IFERROR(__xludf.DUMMYFUNCTION("""COMPUTED_VALUE"""),2.0)</f>
        <v>2</v>
      </c>
      <c r="Q651" s="360"/>
    </row>
    <row r="652" ht="12.75" customHeight="1">
      <c r="G652" s="359" t="s">
        <v>1372</v>
      </c>
      <c r="H652" s="281">
        <v>2.0</v>
      </c>
      <c r="I652" s="358">
        <v>9.769441187964049E-5</v>
      </c>
      <c r="K652" s="281"/>
      <c r="L652" s="359"/>
      <c r="M652" s="360"/>
      <c r="O652" s="372" t="str">
        <f>IFERROR(__xludf.DUMMYFUNCTION("""COMPUTED_VALUE"""),"Cannon Fort - Horn 5★ #8EC")</f>
        <v>Cannon Fort - Horn 5★ #8EC</v>
      </c>
      <c r="P652" s="281">
        <f>IFERROR(__xludf.DUMMYFUNCTION("""COMPUTED_VALUE"""),2.0)</f>
        <v>2</v>
      </c>
      <c r="Q652" s="360"/>
    </row>
    <row r="653" ht="12.75" customHeight="1">
      <c r="G653" s="359" t="s">
        <v>1373</v>
      </c>
      <c r="H653" s="281">
        <v>2.0</v>
      </c>
      <c r="I653" s="358">
        <v>9.769441187964049E-5</v>
      </c>
      <c r="K653" s="281"/>
      <c r="L653" s="359"/>
      <c r="M653" s="360"/>
      <c r="O653" s="372" t="str">
        <f>IFERROR(__xludf.DUMMYFUNCTION("""COMPUTED_VALUE"""),"Cannon Fort - Horn 5★ #3A1")</f>
        <v>Cannon Fort - Horn 5★ #3A1</v>
      </c>
      <c r="P653" s="281">
        <f>IFERROR(__xludf.DUMMYFUNCTION("""COMPUTED_VALUE"""),2.0)</f>
        <v>2</v>
      </c>
      <c r="Q653" s="360"/>
    </row>
    <row r="654" ht="12.75" customHeight="1">
      <c r="G654" s="359" t="s">
        <v>1374</v>
      </c>
      <c r="H654" s="281">
        <v>2.0</v>
      </c>
      <c r="I654" s="358">
        <v>9.769441187964049E-5</v>
      </c>
      <c r="K654" s="281"/>
      <c r="L654" s="359"/>
      <c r="M654" s="360"/>
      <c r="O654" s="372" t="str">
        <f>IFERROR(__xludf.DUMMYFUNCTION("""COMPUTED_VALUE"""),"Cannon Fort - Horn 5★ #E56")</f>
        <v>Cannon Fort - Horn 5★ #E56</v>
      </c>
      <c r="P654" s="281">
        <f>IFERROR(__xludf.DUMMYFUNCTION("""COMPUTED_VALUE"""),2.0)</f>
        <v>2</v>
      </c>
      <c r="Q654" s="360"/>
    </row>
    <row r="655" ht="12.75" customHeight="1">
      <c r="G655" s="359" t="s">
        <v>1375</v>
      </c>
      <c r="H655" s="281">
        <v>50.0</v>
      </c>
      <c r="I655" s="358">
        <v>0.0024423602969910123</v>
      </c>
      <c r="K655" s="281"/>
      <c r="L655" s="359"/>
      <c r="M655" s="360"/>
      <c r="O655" s="372" t="str">
        <f>IFERROR(__xludf.DUMMYFUNCTION("""COMPUTED_VALUE"""),"Siren Reef - Harp 1★ #90B")</f>
        <v>Siren Reef - Harp 1★ #90B</v>
      </c>
      <c r="P655" s="281">
        <f>IFERROR(__xludf.DUMMYFUNCTION("""COMPUTED_VALUE"""),50.0)</f>
        <v>50</v>
      </c>
      <c r="Q655" s="360"/>
    </row>
    <row r="656" ht="12.75" customHeight="1">
      <c r="G656" s="359" t="s">
        <v>1376</v>
      </c>
      <c r="H656" s="281">
        <v>50.0</v>
      </c>
      <c r="I656" s="358">
        <v>0.0024423602969910123</v>
      </c>
      <c r="K656" s="281"/>
      <c r="L656" s="359"/>
      <c r="M656" s="360"/>
      <c r="O656" s="372" t="str">
        <f>IFERROR(__xludf.DUMMYFUNCTION("""COMPUTED_VALUE"""),"Siren Reef - Harp 1★ #3C0")</f>
        <v>Siren Reef - Harp 1★ #3C0</v>
      </c>
      <c r="P656" s="281">
        <f>IFERROR(__xludf.DUMMYFUNCTION("""COMPUTED_VALUE"""),50.0)</f>
        <v>50</v>
      </c>
      <c r="Q656" s="360"/>
    </row>
    <row r="657" ht="12.75" customHeight="1">
      <c r="G657" s="359" t="s">
        <v>1377</v>
      </c>
      <c r="H657" s="281">
        <v>50.0</v>
      </c>
      <c r="I657" s="358">
        <v>0.0024423602969910123</v>
      </c>
      <c r="K657" s="281"/>
      <c r="L657" s="359"/>
      <c r="M657" s="360"/>
      <c r="O657" s="372" t="str">
        <f>IFERROR(__xludf.DUMMYFUNCTION("""COMPUTED_VALUE"""),"Siren Reef - Harp 1★ #E75")</f>
        <v>Siren Reef - Harp 1★ #E75</v>
      </c>
      <c r="P657" s="281">
        <f>IFERROR(__xludf.DUMMYFUNCTION("""COMPUTED_VALUE"""),50.0)</f>
        <v>50</v>
      </c>
      <c r="Q657" s="360"/>
    </row>
    <row r="658" ht="12.75" customHeight="1">
      <c r="G658" s="359" t="s">
        <v>1378</v>
      </c>
      <c r="H658" s="281">
        <v>50.0</v>
      </c>
      <c r="I658" s="358">
        <v>0.0024423602969910123</v>
      </c>
      <c r="K658" s="281"/>
      <c r="L658" s="359"/>
      <c r="M658" s="360"/>
      <c r="O658" s="372" t="str">
        <f>IFERROR(__xludf.DUMMYFUNCTION("""COMPUTED_VALUE"""),"Siren Reef - Harp 1★ #92A")</f>
        <v>Siren Reef - Harp 1★ #92A</v>
      </c>
      <c r="P658" s="281">
        <f>IFERROR(__xludf.DUMMYFUNCTION("""COMPUTED_VALUE"""),50.0)</f>
        <v>50</v>
      </c>
      <c r="Q658" s="360"/>
    </row>
    <row r="659" ht="12.75" customHeight="1">
      <c r="G659" s="359" t="s">
        <v>1379</v>
      </c>
      <c r="H659" s="281">
        <v>50.0</v>
      </c>
      <c r="I659" s="358">
        <v>0.0024423602969910123</v>
      </c>
      <c r="K659" s="281"/>
      <c r="L659" s="359"/>
      <c r="M659" s="360"/>
      <c r="O659" s="372" t="str">
        <f>IFERROR(__xludf.DUMMYFUNCTION("""COMPUTED_VALUE"""),"Siren Reef - Harp 1★ #3DF")</f>
        <v>Siren Reef - Harp 1★ #3DF</v>
      </c>
      <c r="P659" s="281">
        <f>IFERROR(__xludf.DUMMYFUNCTION("""COMPUTED_VALUE"""),50.0)</f>
        <v>50</v>
      </c>
      <c r="Q659" s="360"/>
    </row>
    <row r="660" ht="12.75" customHeight="1">
      <c r="G660" s="359" t="s">
        <v>1380</v>
      </c>
      <c r="H660" s="281">
        <v>50.0</v>
      </c>
      <c r="I660" s="358">
        <v>0.0024423602969910123</v>
      </c>
      <c r="K660" s="281"/>
      <c r="L660" s="359"/>
      <c r="M660" s="360"/>
      <c r="O660" s="372" t="str">
        <f>IFERROR(__xludf.DUMMYFUNCTION("""COMPUTED_VALUE"""),"Siren Reef - Harp 1★ #E94")</f>
        <v>Siren Reef - Harp 1★ #E94</v>
      </c>
      <c r="P660" s="281">
        <f>IFERROR(__xludf.DUMMYFUNCTION("""COMPUTED_VALUE"""),50.0)</f>
        <v>50</v>
      </c>
      <c r="Q660" s="360"/>
    </row>
    <row r="661" ht="12.75" customHeight="1">
      <c r="G661" s="359" t="s">
        <v>1381</v>
      </c>
      <c r="H661" s="281">
        <v>50.0</v>
      </c>
      <c r="I661" s="358">
        <v>0.0024423602969910123</v>
      </c>
      <c r="K661" s="281"/>
      <c r="L661" s="359"/>
      <c r="M661" s="360"/>
      <c r="O661" s="372" t="str">
        <f>IFERROR(__xludf.DUMMYFUNCTION("""COMPUTED_VALUE"""),"Siren Reef - Harp 1★ #949")</f>
        <v>Siren Reef - Harp 1★ #949</v>
      </c>
      <c r="P661" s="281">
        <f>IFERROR(__xludf.DUMMYFUNCTION("""COMPUTED_VALUE"""),50.0)</f>
        <v>50</v>
      </c>
      <c r="Q661" s="360"/>
    </row>
    <row r="662" ht="12.75" customHeight="1">
      <c r="G662" s="359" t="s">
        <v>1382</v>
      </c>
      <c r="H662" s="281">
        <v>50.0</v>
      </c>
      <c r="I662" s="358">
        <v>0.0024423602969910123</v>
      </c>
      <c r="K662" s="281"/>
      <c r="L662" s="359"/>
      <c r="M662" s="360"/>
      <c r="O662" s="372" t="str">
        <f>IFERROR(__xludf.DUMMYFUNCTION("""COMPUTED_VALUE"""),"Siren Reef - Harp 1★ #3FE")</f>
        <v>Siren Reef - Harp 1★ #3FE</v>
      </c>
      <c r="P662" s="281">
        <f>IFERROR(__xludf.DUMMYFUNCTION("""COMPUTED_VALUE"""),50.0)</f>
        <v>50</v>
      </c>
      <c r="Q662" s="360"/>
    </row>
    <row r="663" ht="12.75" customHeight="1">
      <c r="G663" s="359" t="s">
        <v>1383</v>
      </c>
      <c r="H663" s="281">
        <v>50.0</v>
      </c>
      <c r="I663" s="358">
        <v>0.0024423602969910123</v>
      </c>
      <c r="K663" s="281"/>
      <c r="L663" s="359"/>
      <c r="M663" s="360"/>
      <c r="O663" s="372" t="str">
        <f>IFERROR(__xludf.DUMMYFUNCTION("""COMPUTED_VALUE"""),"Siren Reef - Harp 1★ #EB3")</f>
        <v>Siren Reef - Harp 1★ #EB3</v>
      </c>
      <c r="P663" s="281">
        <f>IFERROR(__xludf.DUMMYFUNCTION("""COMPUTED_VALUE"""),50.0)</f>
        <v>50</v>
      </c>
      <c r="Q663" s="360"/>
    </row>
    <row r="664" ht="12.75" customHeight="1">
      <c r="G664" s="359" t="s">
        <v>1384</v>
      </c>
      <c r="H664" s="281">
        <v>50.0</v>
      </c>
      <c r="I664" s="358">
        <v>0.0024423602969910123</v>
      </c>
      <c r="K664" s="281"/>
      <c r="L664" s="359"/>
      <c r="M664" s="360"/>
      <c r="O664" s="372" t="str">
        <f>IFERROR(__xludf.DUMMYFUNCTION("""COMPUTED_VALUE"""),"Siren Reef - Harp 1★ #968")</f>
        <v>Siren Reef - Harp 1★ #968</v>
      </c>
      <c r="P664" s="281">
        <f>IFERROR(__xludf.DUMMYFUNCTION("""COMPUTED_VALUE"""),50.0)</f>
        <v>50</v>
      </c>
      <c r="Q664" s="360"/>
    </row>
    <row r="665" ht="12.75" customHeight="1">
      <c r="G665" s="359" t="s">
        <v>1385</v>
      </c>
      <c r="H665" s="281">
        <v>50.0</v>
      </c>
      <c r="I665" s="358">
        <v>0.0024423602969910123</v>
      </c>
      <c r="K665" s="281"/>
      <c r="L665" s="359"/>
      <c r="M665" s="360"/>
      <c r="O665" s="372" t="str">
        <f>IFERROR(__xludf.DUMMYFUNCTION("""COMPUTED_VALUE"""),"Siren Reef - Harp 1★ #41D")</f>
        <v>Siren Reef - Harp 1★ #41D</v>
      </c>
      <c r="P665" s="281">
        <f>IFERROR(__xludf.DUMMYFUNCTION("""COMPUTED_VALUE"""),50.0)</f>
        <v>50</v>
      </c>
      <c r="Q665" s="360"/>
    </row>
    <row r="666" ht="12.75" customHeight="1">
      <c r="G666" s="359" t="s">
        <v>1386</v>
      </c>
      <c r="H666" s="281">
        <v>50.0</v>
      </c>
      <c r="I666" s="358">
        <v>0.0024423602969910123</v>
      </c>
      <c r="K666" s="281"/>
      <c r="L666" s="359"/>
      <c r="M666" s="360"/>
      <c r="O666" s="372" t="str">
        <f>IFERROR(__xludf.DUMMYFUNCTION("""COMPUTED_VALUE"""),"Siren Reef - Harp 1★ #ED2")</f>
        <v>Siren Reef - Harp 1★ #ED2</v>
      </c>
      <c r="P666" s="281">
        <f>IFERROR(__xludf.DUMMYFUNCTION("""COMPUTED_VALUE"""),50.0)</f>
        <v>50</v>
      </c>
      <c r="Q666" s="360"/>
    </row>
    <row r="667" ht="12.75" customHeight="1">
      <c r="G667" s="359" t="s">
        <v>1387</v>
      </c>
      <c r="H667" s="281">
        <v>50.0</v>
      </c>
      <c r="I667" s="358">
        <v>0.0024423602969910123</v>
      </c>
      <c r="K667" s="281"/>
      <c r="L667" s="359"/>
      <c r="M667" s="360"/>
      <c r="O667" s="372" t="str">
        <f>IFERROR(__xludf.DUMMYFUNCTION("""COMPUTED_VALUE"""),"Siren Reef - Harp 1★ #987")</f>
        <v>Siren Reef - Harp 1★ #987</v>
      </c>
      <c r="P667" s="281">
        <f>IFERROR(__xludf.DUMMYFUNCTION("""COMPUTED_VALUE"""),50.0)</f>
        <v>50</v>
      </c>
      <c r="Q667" s="360"/>
    </row>
    <row r="668" ht="12.75" customHeight="1">
      <c r="G668" s="359" t="s">
        <v>1388</v>
      </c>
      <c r="H668" s="281">
        <v>50.0</v>
      </c>
      <c r="I668" s="358">
        <v>0.0024423602969910123</v>
      </c>
      <c r="K668" s="281"/>
      <c r="L668" s="359"/>
      <c r="M668" s="360"/>
      <c r="O668" s="372" t="str">
        <f>IFERROR(__xludf.DUMMYFUNCTION("""COMPUTED_VALUE"""),"Siren Reef - Mirror 1★ #43C")</f>
        <v>Siren Reef - Mirror 1★ #43C</v>
      </c>
      <c r="P668" s="281">
        <f>IFERROR(__xludf.DUMMYFUNCTION("""COMPUTED_VALUE"""),50.0)</f>
        <v>50</v>
      </c>
      <c r="Q668" s="360"/>
    </row>
    <row r="669" ht="12.75" customHeight="1">
      <c r="G669" s="359" t="s">
        <v>1389</v>
      </c>
      <c r="H669" s="281">
        <v>50.0</v>
      </c>
      <c r="I669" s="358">
        <v>0.0024423602969910123</v>
      </c>
      <c r="K669" s="281"/>
      <c r="L669" s="359"/>
      <c r="M669" s="360"/>
      <c r="O669" s="372" t="str">
        <f>IFERROR(__xludf.DUMMYFUNCTION("""COMPUTED_VALUE"""),"Siren Reef - Mirror 1★ #EF1")</f>
        <v>Siren Reef - Mirror 1★ #EF1</v>
      </c>
      <c r="P669" s="281">
        <f>IFERROR(__xludf.DUMMYFUNCTION("""COMPUTED_VALUE"""),50.0)</f>
        <v>50</v>
      </c>
      <c r="Q669" s="360"/>
    </row>
    <row r="670" ht="12.75" customHeight="1">
      <c r="G670" s="359" t="s">
        <v>1390</v>
      </c>
      <c r="H670" s="281">
        <v>50.0</v>
      </c>
      <c r="I670" s="358">
        <v>0.0024423602969910123</v>
      </c>
      <c r="K670" s="281"/>
      <c r="L670" s="359"/>
      <c r="M670" s="360"/>
      <c r="O670" s="372" t="str">
        <f>IFERROR(__xludf.DUMMYFUNCTION("""COMPUTED_VALUE"""),"Siren Reef - Mirror 1★ #9A6")</f>
        <v>Siren Reef - Mirror 1★ #9A6</v>
      </c>
      <c r="P670" s="281">
        <f>IFERROR(__xludf.DUMMYFUNCTION("""COMPUTED_VALUE"""),50.0)</f>
        <v>50</v>
      </c>
      <c r="Q670" s="360"/>
    </row>
    <row r="671" ht="12.75" customHeight="1">
      <c r="G671" s="359" t="s">
        <v>1391</v>
      </c>
      <c r="H671" s="281">
        <v>50.0</v>
      </c>
      <c r="I671" s="358">
        <v>0.0024423602969910123</v>
      </c>
      <c r="K671" s="281"/>
      <c r="L671" s="359"/>
      <c r="M671" s="360"/>
      <c r="O671" s="372" t="str">
        <f>IFERROR(__xludf.DUMMYFUNCTION("""COMPUTED_VALUE"""),"Siren Reef - Mirror 1★ #45B")</f>
        <v>Siren Reef - Mirror 1★ #45B</v>
      </c>
      <c r="P671" s="281">
        <f>IFERROR(__xludf.DUMMYFUNCTION("""COMPUTED_VALUE"""),50.0)</f>
        <v>50</v>
      </c>
      <c r="Q671" s="360"/>
    </row>
    <row r="672" ht="12.75" customHeight="1">
      <c r="G672" s="359" t="s">
        <v>1392</v>
      </c>
      <c r="H672" s="281">
        <v>50.0</v>
      </c>
      <c r="I672" s="358">
        <v>0.0024423602969910123</v>
      </c>
      <c r="K672" s="281"/>
      <c r="L672" s="359"/>
      <c r="M672" s="360"/>
      <c r="O672" s="372" t="str">
        <f>IFERROR(__xludf.DUMMYFUNCTION("""COMPUTED_VALUE"""),"Siren Reef - Mirror 1★ #F10")</f>
        <v>Siren Reef - Mirror 1★ #F10</v>
      </c>
      <c r="P672" s="281">
        <f>IFERROR(__xludf.DUMMYFUNCTION("""COMPUTED_VALUE"""),50.0)</f>
        <v>50</v>
      </c>
      <c r="Q672" s="360"/>
    </row>
    <row r="673" ht="12.75" customHeight="1">
      <c r="G673" s="359" t="s">
        <v>1393</v>
      </c>
      <c r="H673" s="281">
        <v>50.0</v>
      </c>
      <c r="I673" s="358">
        <v>0.0024423602969910123</v>
      </c>
      <c r="K673" s="281"/>
      <c r="L673" s="359"/>
      <c r="M673" s="360"/>
      <c r="O673" s="372" t="str">
        <f>IFERROR(__xludf.DUMMYFUNCTION("""COMPUTED_VALUE"""),"Siren Reef - Mirror 1★ #9C5")</f>
        <v>Siren Reef - Mirror 1★ #9C5</v>
      </c>
      <c r="P673" s="281">
        <f>IFERROR(__xludf.DUMMYFUNCTION("""COMPUTED_VALUE"""),50.0)</f>
        <v>50</v>
      </c>
      <c r="Q673" s="360"/>
    </row>
    <row r="674" ht="12.75" customHeight="1">
      <c r="G674" s="359" t="s">
        <v>1394</v>
      </c>
      <c r="H674" s="281">
        <v>50.0</v>
      </c>
      <c r="I674" s="358">
        <v>0.0024423602969910123</v>
      </c>
      <c r="K674" s="281"/>
      <c r="L674" s="359"/>
      <c r="M674" s="360"/>
      <c r="O674" s="372" t="str">
        <f>IFERROR(__xludf.DUMMYFUNCTION("""COMPUTED_VALUE"""),"Siren Reef - Mirror 1★ #47A")</f>
        <v>Siren Reef - Mirror 1★ #47A</v>
      </c>
      <c r="P674" s="281">
        <f>IFERROR(__xludf.DUMMYFUNCTION("""COMPUTED_VALUE"""),50.0)</f>
        <v>50</v>
      </c>
      <c r="Q674" s="360"/>
    </row>
    <row r="675" ht="12.75" customHeight="1">
      <c r="G675" s="359" t="s">
        <v>1395</v>
      </c>
      <c r="H675" s="281">
        <v>50.0</v>
      </c>
      <c r="I675" s="358">
        <v>0.0024423602969910123</v>
      </c>
      <c r="K675" s="281"/>
      <c r="L675" s="359"/>
      <c r="M675" s="360"/>
      <c r="O675" s="372" t="str">
        <f>IFERROR(__xludf.DUMMYFUNCTION("""COMPUTED_VALUE"""),"Siren Reef - Mirror 1★ #F2F")</f>
        <v>Siren Reef - Mirror 1★ #F2F</v>
      </c>
      <c r="P675" s="281">
        <f>IFERROR(__xludf.DUMMYFUNCTION("""COMPUTED_VALUE"""),50.0)</f>
        <v>50</v>
      </c>
      <c r="Q675" s="360"/>
    </row>
    <row r="676" ht="12.75" customHeight="1">
      <c r="G676" s="359" t="s">
        <v>1396</v>
      </c>
      <c r="H676" s="281">
        <v>50.0</v>
      </c>
      <c r="I676" s="358">
        <v>0.0024423602969910123</v>
      </c>
      <c r="K676" s="281"/>
      <c r="L676" s="359"/>
      <c r="M676" s="360"/>
      <c r="O676" s="372" t="str">
        <f>IFERROR(__xludf.DUMMYFUNCTION("""COMPUTED_VALUE"""),"Siren Reef - Mirror 1★ #9E4")</f>
        <v>Siren Reef - Mirror 1★ #9E4</v>
      </c>
      <c r="P676" s="281">
        <f>IFERROR(__xludf.DUMMYFUNCTION("""COMPUTED_VALUE"""),50.0)</f>
        <v>50</v>
      </c>
      <c r="Q676" s="360"/>
    </row>
    <row r="677" ht="12.75" customHeight="1">
      <c r="G677" s="359" t="s">
        <v>1397</v>
      </c>
      <c r="H677" s="281">
        <v>50.0</v>
      </c>
      <c r="I677" s="358">
        <v>0.0024423602969910123</v>
      </c>
      <c r="K677" s="281"/>
      <c r="L677" s="359"/>
      <c r="M677" s="360"/>
      <c r="O677" s="372" t="str">
        <f>IFERROR(__xludf.DUMMYFUNCTION("""COMPUTED_VALUE"""),"Siren Reef - Mirror 1★ #499")</f>
        <v>Siren Reef - Mirror 1★ #499</v>
      </c>
      <c r="P677" s="281">
        <f>IFERROR(__xludf.DUMMYFUNCTION("""COMPUTED_VALUE"""),50.0)</f>
        <v>50</v>
      </c>
      <c r="Q677" s="360"/>
    </row>
    <row r="678" ht="12.75" customHeight="1">
      <c r="G678" s="359" t="s">
        <v>1398</v>
      </c>
      <c r="H678" s="281">
        <v>50.0</v>
      </c>
      <c r="I678" s="358">
        <v>0.0024423602969910123</v>
      </c>
      <c r="K678" s="281"/>
      <c r="L678" s="359"/>
      <c r="M678" s="360"/>
      <c r="O678" s="372" t="str">
        <f>IFERROR(__xludf.DUMMYFUNCTION("""COMPUTED_VALUE"""),"Siren Reef - Mirror 1★ #F4E")</f>
        <v>Siren Reef - Mirror 1★ #F4E</v>
      </c>
      <c r="P678" s="281">
        <f>IFERROR(__xludf.DUMMYFUNCTION("""COMPUTED_VALUE"""),50.0)</f>
        <v>50</v>
      </c>
      <c r="Q678" s="360"/>
    </row>
    <row r="679" ht="12.75" customHeight="1">
      <c r="G679" s="359" t="s">
        <v>1399</v>
      </c>
      <c r="H679" s="281">
        <v>50.0</v>
      </c>
      <c r="I679" s="358">
        <v>0.0024423602969910123</v>
      </c>
      <c r="K679" s="281"/>
      <c r="L679" s="359"/>
      <c r="M679" s="360"/>
      <c r="O679" s="372" t="str">
        <f>IFERROR(__xludf.DUMMYFUNCTION("""COMPUTED_VALUE"""),"Siren Reef - Mirror 1★ #A03")</f>
        <v>Siren Reef - Mirror 1★ #A03</v>
      </c>
      <c r="P679" s="281">
        <f>IFERROR(__xludf.DUMMYFUNCTION("""COMPUTED_VALUE"""),50.0)</f>
        <v>50</v>
      </c>
      <c r="Q679" s="360"/>
    </row>
    <row r="680" ht="12.75" customHeight="1">
      <c r="G680" s="359" t="s">
        <v>1400</v>
      </c>
      <c r="H680" s="281">
        <v>50.0</v>
      </c>
      <c r="I680" s="358">
        <v>0.0024423602969910123</v>
      </c>
      <c r="K680" s="281"/>
      <c r="L680" s="359"/>
      <c r="M680" s="360"/>
      <c r="O680" s="372" t="str">
        <f>IFERROR(__xludf.DUMMYFUNCTION("""COMPUTED_VALUE"""),"Siren Reef - Mirror 1★ #4B8")</f>
        <v>Siren Reef - Mirror 1★ #4B8</v>
      </c>
      <c r="P680" s="281">
        <f>IFERROR(__xludf.DUMMYFUNCTION("""COMPUTED_VALUE"""),50.0)</f>
        <v>50</v>
      </c>
      <c r="Q680" s="360"/>
    </row>
    <row r="681" ht="12.75" customHeight="1">
      <c r="G681" s="359" t="s">
        <v>1401</v>
      </c>
      <c r="H681" s="281">
        <v>20.0</v>
      </c>
      <c r="I681" s="358">
        <v>9.769441187964048E-4</v>
      </c>
      <c r="K681" s="281"/>
      <c r="L681" s="359"/>
      <c r="M681" s="360"/>
      <c r="O681" s="372" t="str">
        <f>IFERROR(__xludf.DUMMYFUNCTION("""COMPUTED_VALUE"""),"Siren Reef - Comb 2★ #F6D")</f>
        <v>Siren Reef - Comb 2★ #F6D</v>
      </c>
      <c r="P681" s="281">
        <f>IFERROR(__xludf.DUMMYFUNCTION("""COMPUTED_VALUE"""),20.0)</f>
        <v>20</v>
      </c>
      <c r="Q681" s="360"/>
    </row>
    <row r="682" ht="12.75" customHeight="1">
      <c r="G682" s="359" t="s">
        <v>1402</v>
      </c>
      <c r="H682" s="281">
        <v>20.0</v>
      </c>
      <c r="I682" s="358">
        <v>9.769441187964048E-4</v>
      </c>
      <c r="K682" s="281"/>
      <c r="L682" s="359"/>
      <c r="M682" s="360"/>
      <c r="O682" s="372" t="str">
        <f>IFERROR(__xludf.DUMMYFUNCTION("""COMPUTED_VALUE"""),"Siren Reef - Comb 2★ #A22")</f>
        <v>Siren Reef - Comb 2★ #A22</v>
      </c>
      <c r="P682" s="281">
        <f>IFERROR(__xludf.DUMMYFUNCTION("""COMPUTED_VALUE"""),20.0)</f>
        <v>20</v>
      </c>
      <c r="Q682" s="360"/>
    </row>
    <row r="683" ht="12.75" customHeight="1">
      <c r="G683" s="359" t="s">
        <v>1403</v>
      </c>
      <c r="H683" s="281">
        <v>20.0</v>
      </c>
      <c r="I683" s="358">
        <v>9.769441187964048E-4</v>
      </c>
      <c r="K683" s="281"/>
      <c r="L683" s="359"/>
      <c r="M683" s="360"/>
      <c r="O683" s="372" t="str">
        <f>IFERROR(__xludf.DUMMYFUNCTION("""COMPUTED_VALUE"""),"Siren Reef - Comb 2★ #4D7")</f>
        <v>Siren Reef - Comb 2★ #4D7</v>
      </c>
      <c r="P683" s="281">
        <f>IFERROR(__xludf.DUMMYFUNCTION("""COMPUTED_VALUE"""),20.0)</f>
        <v>20</v>
      </c>
      <c r="Q683" s="360"/>
    </row>
    <row r="684" ht="12.75" customHeight="1">
      <c r="G684" s="359" t="s">
        <v>1404</v>
      </c>
      <c r="H684" s="281">
        <v>20.0</v>
      </c>
      <c r="I684" s="358">
        <v>9.769441187964048E-4</v>
      </c>
      <c r="K684" s="281"/>
      <c r="L684" s="359"/>
      <c r="M684" s="360"/>
      <c r="O684" s="372" t="str">
        <f>IFERROR(__xludf.DUMMYFUNCTION("""COMPUTED_VALUE"""),"Siren Reef - Comb 2★ #F8C")</f>
        <v>Siren Reef - Comb 2★ #F8C</v>
      </c>
      <c r="P684" s="281">
        <f>IFERROR(__xludf.DUMMYFUNCTION("""COMPUTED_VALUE"""),20.0)</f>
        <v>20</v>
      </c>
      <c r="Q684" s="360"/>
    </row>
    <row r="685" ht="12.75" customHeight="1">
      <c r="G685" s="359" t="s">
        <v>1405</v>
      </c>
      <c r="H685" s="281">
        <v>20.0</v>
      </c>
      <c r="I685" s="358">
        <v>9.769441187964048E-4</v>
      </c>
      <c r="K685" s="281"/>
      <c r="L685" s="359"/>
      <c r="M685" s="360"/>
      <c r="O685" s="372" t="str">
        <f>IFERROR(__xludf.DUMMYFUNCTION("""COMPUTED_VALUE"""),"Siren Reef - Comb 2★ #A41")</f>
        <v>Siren Reef - Comb 2★ #A41</v>
      </c>
      <c r="P685" s="281">
        <f>IFERROR(__xludf.DUMMYFUNCTION("""COMPUTED_VALUE"""),20.0)</f>
        <v>20</v>
      </c>
      <c r="Q685" s="360"/>
    </row>
    <row r="686" ht="12.75" customHeight="1">
      <c r="G686" s="359" t="s">
        <v>1406</v>
      </c>
      <c r="H686" s="281">
        <v>20.0</v>
      </c>
      <c r="I686" s="358">
        <v>9.769441187964048E-4</v>
      </c>
      <c r="K686" s="281"/>
      <c r="L686" s="359"/>
      <c r="M686" s="360"/>
      <c r="O686" s="372" t="str">
        <f>IFERROR(__xludf.DUMMYFUNCTION("""COMPUTED_VALUE"""),"Siren Reef - Comb 2★ #4F6")</f>
        <v>Siren Reef - Comb 2★ #4F6</v>
      </c>
      <c r="P686" s="281">
        <f>IFERROR(__xludf.DUMMYFUNCTION("""COMPUTED_VALUE"""),20.0)</f>
        <v>20</v>
      </c>
      <c r="Q686" s="360"/>
    </row>
    <row r="687" ht="12.75" customHeight="1">
      <c r="G687" s="359" t="s">
        <v>1407</v>
      </c>
      <c r="H687" s="281">
        <v>20.0</v>
      </c>
      <c r="I687" s="358">
        <v>9.769441187964048E-4</v>
      </c>
      <c r="K687" s="281"/>
      <c r="L687" s="359"/>
      <c r="M687" s="360"/>
      <c r="O687" s="372" t="str">
        <f>IFERROR(__xludf.DUMMYFUNCTION("""COMPUTED_VALUE"""),"Siren Reef - Comb 2★ #FAB")</f>
        <v>Siren Reef - Comb 2★ #FAB</v>
      </c>
      <c r="P687" s="281">
        <f>IFERROR(__xludf.DUMMYFUNCTION("""COMPUTED_VALUE"""),20.0)</f>
        <v>20</v>
      </c>
      <c r="Q687" s="360"/>
    </row>
    <row r="688" ht="12.75" customHeight="1">
      <c r="G688" s="359" t="s">
        <v>1408</v>
      </c>
      <c r="H688" s="281">
        <v>20.0</v>
      </c>
      <c r="I688" s="358">
        <v>9.769441187964048E-4</v>
      </c>
      <c r="K688" s="281"/>
      <c r="L688" s="359"/>
      <c r="M688" s="360"/>
      <c r="O688" s="372" t="str">
        <f>IFERROR(__xludf.DUMMYFUNCTION("""COMPUTED_VALUE"""),"Siren Reef - Comb 2★ #A60")</f>
        <v>Siren Reef - Comb 2★ #A60</v>
      </c>
      <c r="P688" s="281">
        <f>IFERROR(__xludf.DUMMYFUNCTION("""COMPUTED_VALUE"""),20.0)</f>
        <v>20</v>
      </c>
      <c r="Q688" s="360"/>
    </row>
    <row r="689" ht="12.75" customHeight="1">
      <c r="G689" s="359" t="s">
        <v>1409</v>
      </c>
      <c r="H689" s="281">
        <v>20.0</v>
      </c>
      <c r="I689" s="358">
        <v>9.769441187964048E-4</v>
      </c>
      <c r="K689" s="281"/>
      <c r="L689" s="359"/>
      <c r="M689" s="360"/>
      <c r="O689" s="372" t="str">
        <f>IFERROR(__xludf.DUMMYFUNCTION("""COMPUTED_VALUE"""),"Siren Reef - Comb 2★ #515")</f>
        <v>Siren Reef - Comb 2★ #515</v>
      </c>
      <c r="P689" s="281">
        <f>IFERROR(__xludf.DUMMYFUNCTION("""COMPUTED_VALUE"""),20.0)</f>
        <v>20</v>
      </c>
      <c r="Q689" s="360"/>
    </row>
    <row r="690" ht="12.75" customHeight="1">
      <c r="G690" s="359" t="s">
        <v>1410</v>
      </c>
      <c r="H690" s="281">
        <v>20.0</v>
      </c>
      <c r="I690" s="358">
        <v>9.769441187964048E-4</v>
      </c>
      <c r="K690" s="281"/>
      <c r="L690" s="359"/>
      <c r="M690" s="360"/>
      <c r="O690" s="372" t="str">
        <f>IFERROR(__xludf.DUMMYFUNCTION("""COMPUTED_VALUE"""),"Siren Reef - Comb 2★ #FCA")</f>
        <v>Siren Reef - Comb 2★ #FCA</v>
      </c>
      <c r="P690" s="281">
        <f>IFERROR(__xludf.DUMMYFUNCTION("""COMPUTED_VALUE"""),20.0)</f>
        <v>20</v>
      </c>
      <c r="Q690" s="360"/>
    </row>
    <row r="691" ht="12.75" customHeight="1">
      <c r="G691" s="359" t="s">
        <v>1411</v>
      </c>
      <c r="H691" s="281">
        <v>20.0</v>
      </c>
      <c r="I691" s="358">
        <v>9.769441187964048E-4</v>
      </c>
      <c r="K691" s="281"/>
      <c r="L691" s="359"/>
      <c r="M691" s="360"/>
      <c r="O691" s="372" t="str">
        <f>IFERROR(__xludf.DUMMYFUNCTION("""COMPUTED_VALUE"""),"Siren Reef - Comb 2★ #A7F")</f>
        <v>Siren Reef - Comb 2★ #A7F</v>
      </c>
      <c r="P691" s="281">
        <f>IFERROR(__xludf.DUMMYFUNCTION("""COMPUTED_VALUE"""),20.0)</f>
        <v>20</v>
      </c>
      <c r="Q691" s="360"/>
    </row>
    <row r="692" ht="12.75" customHeight="1">
      <c r="G692" s="359" t="s">
        <v>1412</v>
      </c>
      <c r="H692" s="281">
        <v>20.0</v>
      </c>
      <c r="I692" s="358">
        <v>9.769441187964048E-4</v>
      </c>
      <c r="K692" s="281"/>
      <c r="L692" s="359"/>
      <c r="M692" s="360"/>
      <c r="O692" s="372" t="str">
        <f>IFERROR(__xludf.DUMMYFUNCTION("""COMPUTED_VALUE"""),"Siren Reef - Comb 2★ #534")</f>
        <v>Siren Reef - Comb 2★ #534</v>
      </c>
      <c r="P692" s="281">
        <f>IFERROR(__xludf.DUMMYFUNCTION("""COMPUTED_VALUE"""),20.0)</f>
        <v>20</v>
      </c>
      <c r="Q692" s="360"/>
    </row>
    <row r="693" ht="12.75" customHeight="1">
      <c r="G693" s="359" t="s">
        <v>1413</v>
      </c>
      <c r="H693" s="281">
        <v>20.0</v>
      </c>
      <c r="I693" s="358">
        <v>9.769441187964048E-4</v>
      </c>
      <c r="K693" s="281"/>
      <c r="L693" s="359"/>
      <c r="M693" s="360"/>
      <c r="O693" s="372" t="str">
        <f>IFERROR(__xludf.DUMMYFUNCTION("""COMPUTED_VALUE"""),"Siren Reef - Witch 2★ #FE9")</f>
        <v>Siren Reef - Witch 2★ #FE9</v>
      </c>
      <c r="P693" s="281">
        <f>IFERROR(__xludf.DUMMYFUNCTION("""COMPUTED_VALUE"""),20.0)</f>
        <v>20</v>
      </c>
      <c r="Q693" s="360"/>
    </row>
    <row r="694" ht="12.75" customHeight="1">
      <c r="G694" s="359" t="s">
        <v>1414</v>
      </c>
      <c r="H694" s="281">
        <v>20.0</v>
      </c>
      <c r="I694" s="358">
        <v>9.769441187964048E-4</v>
      </c>
      <c r="K694" s="281"/>
      <c r="L694" s="359"/>
      <c r="M694" s="360"/>
      <c r="O694" s="372" t="str">
        <f>IFERROR(__xludf.DUMMYFUNCTION("""COMPUTED_VALUE"""),"Siren Reef - Witch 2★ #A9E")</f>
        <v>Siren Reef - Witch 2★ #A9E</v>
      </c>
      <c r="P694" s="281">
        <f>IFERROR(__xludf.DUMMYFUNCTION("""COMPUTED_VALUE"""),20.0)</f>
        <v>20</v>
      </c>
      <c r="Q694" s="360"/>
    </row>
    <row r="695" ht="12.75" customHeight="1">
      <c r="G695" s="359" t="s">
        <v>1415</v>
      </c>
      <c r="H695" s="281">
        <v>20.0</v>
      </c>
      <c r="I695" s="358">
        <v>9.769441187964048E-4</v>
      </c>
      <c r="K695" s="281"/>
      <c r="L695" s="359"/>
      <c r="M695" s="360"/>
      <c r="O695" s="372" t="str">
        <f>IFERROR(__xludf.DUMMYFUNCTION("""COMPUTED_VALUE"""),"Siren Reef - Witch 2★ #553")</f>
        <v>Siren Reef - Witch 2★ #553</v>
      </c>
      <c r="P695" s="281">
        <f>IFERROR(__xludf.DUMMYFUNCTION("""COMPUTED_VALUE"""),20.0)</f>
        <v>20</v>
      </c>
      <c r="Q695" s="360"/>
    </row>
    <row r="696" ht="12.75" customHeight="1">
      <c r="G696" s="359" t="s">
        <v>1416</v>
      </c>
      <c r="H696" s="281">
        <v>20.0</v>
      </c>
      <c r="I696" s="358">
        <v>9.769441187964048E-4</v>
      </c>
      <c r="K696" s="281"/>
      <c r="L696" s="359"/>
      <c r="M696" s="360"/>
      <c r="O696" s="372" t="str">
        <f>IFERROR(__xludf.DUMMYFUNCTION("""COMPUTED_VALUE"""),"Siren Reef - Witch 2★ #008")</f>
        <v>Siren Reef - Witch 2★ #008</v>
      </c>
      <c r="P696" s="281">
        <f>IFERROR(__xludf.DUMMYFUNCTION("""COMPUTED_VALUE"""),20.0)</f>
        <v>20</v>
      </c>
      <c r="Q696" s="360"/>
    </row>
    <row r="697" ht="12.75" customHeight="1">
      <c r="G697" s="359" t="s">
        <v>1417</v>
      </c>
      <c r="H697" s="281">
        <v>20.0</v>
      </c>
      <c r="I697" s="358">
        <v>9.769441187964048E-4</v>
      </c>
      <c r="K697" s="281"/>
      <c r="L697" s="359"/>
      <c r="M697" s="360"/>
      <c r="O697" s="372" t="str">
        <f>IFERROR(__xludf.DUMMYFUNCTION("""COMPUTED_VALUE"""),"Siren Reef - Witch 2★ #ABD")</f>
        <v>Siren Reef - Witch 2★ #ABD</v>
      </c>
      <c r="P697" s="281">
        <f>IFERROR(__xludf.DUMMYFUNCTION("""COMPUTED_VALUE"""),20.0)</f>
        <v>20</v>
      </c>
      <c r="Q697" s="360"/>
    </row>
    <row r="698" ht="12.75" customHeight="1">
      <c r="G698" s="359" t="s">
        <v>1418</v>
      </c>
      <c r="H698" s="281">
        <v>20.0</v>
      </c>
      <c r="I698" s="358">
        <v>9.769441187964048E-4</v>
      </c>
      <c r="K698" s="281"/>
      <c r="L698" s="359"/>
      <c r="M698" s="360"/>
      <c r="O698" s="372" t="str">
        <f>IFERROR(__xludf.DUMMYFUNCTION("""COMPUTED_VALUE"""),"Siren Reef - Witch 2★ #572")</f>
        <v>Siren Reef - Witch 2★ #572</v>
      </c>
      <c r="P698" s="281">
        <f>IFERROR(__xludf.DUMMYFUNCTION("""COMPUTED_VALUE"""),20.0)</f>
        <v>20</v>
      </c>
      <c r="Q698" s="360"/>
    </row>
    <row r="699" ht="12.75" customHeight="1">
      <c r="G699" s="359" t="s">
        <v>1419</v>
      </c>
      <c r="H699" s="281">
        <v>20.0</v>
      </c>
      <c r="I699" s="358">
        <v>9.769441187964048E-4</v>
      </c>
      <c r="K699" s="281"/>
      <c r="L699" s="359"/>
      <c r="M699" s="360"/>
      <c r="O699" s="372" t="str">
        <f>IFERROR(__xludf.DUMMYFUNCTION("""COMPUTED_VALUE"""),"Siren Reef - Witch 2★ #027")</f>
        <v>Siren Reef - Witch 2★ #027</v>
      </c>
      <c r="P699" s="281">
        <f>IFERROR(__xludf.DUMMYFUNCTION("""COMPUTED_VALUE"""),20.0)</f>
        <v>20</v>
      </c>
      <c r="Q699" s="360"/>
    </row>
    <row r="700" ht="12.75" customHeight="1">
      <c r="G700" s="359" t="s">
        <v>1420</v>
      </c>
      <c r="H700" s="281">
        <v>20.0</v>
      </c>
      <c r="I700" s="358">
        <v>9.769441187964048E-4</v>
      </c>
      <c r="K700" s="281"/>
      <c r="L700" s="359"/>
      <c r="M700" s="360"/>
      <c r="O700" s="372" t="str">
        <f>IFERROR(__xludf.DUMMYFUNCTION("""COMPUTED_VALUE"""),"Siren Reef - Witch 2★ #ADC")</f>
        <v>Siren Reef - Witch 2★ #ADC</v>
      </c>
      <c r="P700" s="281">
        <f>IFERROR(__xludf.DUMMYFUNCTION("""COMPUTED_VALUE"""),20.0)</f>
        <v>20</v>
      </c>
      <c r="Q700" s="360"/>
    </row>
    <row r="701" ht="12.75" customHeight="1">
      <c r="G701" s="359" t="s">
        <v>1421</v>
      </c>
      <c r="H701" s="281">
        <v>20.0</v>
      </c>
      <c r="I701" s="358">
        <v>9.769441187964048E-4</v>
      </c>
      <c r="K701" s="281"/>
      <c r="L701" s="359"/>
      <c r="M701" s="360"/>
      <c r="O701" s="372" t="str">
        <f>IFERROR(__xludf.DUMMYFUNCTION("""COMPUTED_VALUE"""),"Siren Reef - Witch 2★ #591")</f>
        <v>Siren Reef - Witch 2★ #591</v>
      </c>
      <c r="P701" s="281">
        <f>IFERROR(__xludf.DUMMYFUNCTION("""COMPUTED_VALUE"""),20.0)</f>
        <v>20</v>
      </c>
      <c r="Q701" s="360"/>
    </row>
    <row r="702" ht="12.75" customHeight="1">
      <c r="G702" s="359" t="s">
        <v>1422</v>
      </c>
      <c r="H702" s="281">
        <v>20.0</v>
      </c>
      <c r="I702" s="358">
        <v>9.769441187964048E-4</v>
      </c>
      <c r="K702" s="281"/>
      <c r="L702" s="359"/>
      <c r="M702" s="360"/>
      <c r="O702" s="372" t="str">
        <f>IFERROR(__xludf.DUMMYFUNCTION("""COMPUTED_VALUE"""),"Siren Reef - Witch 2★ #046")</f>
        <v>Siren Reef - Witch 2★ #046</v>
      </c>
      <c r="P702" s="281">
        <f>IFERROR(__xludf.DUMMYFUNCTION("""COMPUTED_VALUE"""),20.0)</f>
        <v>20</v>
      </c>
      <c r="Q702" s="360"/>
    </row>
    <row r="703" ht="12.75" customHeight="1">
      <c r="G703" s="359" t="s">
        <v>1423</v>
      </c>
      <c r="H703" s="281">
        <v>20.0</v>
      </c>
      <c r="I703" s="358">
        <v>9.769441187964048E-4</v>
      </c>
      <c r="K703" s="281"/>
      <c r="L703" s="359"/>
      <c r="M703" s="360"/>
      <c r="O703" s="372" t="str">
        <f>IFERROR(__xludf.DUMMYFUNCTION("""COMPUTED_VALUE"""),"Siren Reef - Witch 2★ #AFB")</f>
        <v>Siren Reef - Witch 2★ #AFB</v>
      </c>
      <c r="P703" s="281">
        <f>IFERROR(__xludf.DUMMYFUNCTION("""COMPUTED_VALUE"""),20.0)</f>
        <v>20</v>
      </c>
      <c r="Q703" s="360"/>
    </row>
    <row r="704" ht="12.75" customHeight="1">
      <c r="G704" s="359" t="s">
        <v>1424</v>
      </c>
      <c r="H704" s="281">
        <v>20.0</v>
      </c>
      <c r="I704" s="358">
        <v>9.769441187964048E-4</v>
      </c>
      <c r="K704" s="281"/>
      <c r="L704" s="359"/>
      <c r="M704" s="360"/>
      <c r="O704" s="372" t="str">
        <f>IFERROR(__xludf.DUMMYFUNCTION("""COMPUTED_VALUE"""),"Siren Reef - Witch 2★ #5B0")</f>
        <v>Siren Reef - Witch 2★ #5B0</v>
      </c>
      <c r="P704" s="281">
        <f>IFERROR(__xludf.DUMMYFUNCTION("""COMPUTED_VALUE"""),20.0)</f>
        <v>20</v>
      </c>
      <c r="Q704" s="360"/>
    </row>
    <row r="705" ht="12.75" customHeight="1">
      <c r="G705" s="359" t="s">
        <v>1425</v>
      </c>
      <c r="H705" s="281">
        <v>10.0</v>
      </c>
      <c r="I705" s="358">
        <v>4.884720593982024E-4</v>
      </c>
      <c r="K705" s="281"/>
      <c r="L705" s="359"/>
      <c r="M705" s="360"/>
      <c r="O705" s="372" t="str">
        <f>IFERROR(__xludf.DUMMYFUNCTION("""COMPUTED_VALUE"""),"Siren Reef - Starfish 3★ #065")</f>
        <v>Siren Reef - Starfish 3★ #065</v>
      </c>
      <c r="P705" s="281">
        <f>IFERROR(__xludf.DUMMYFUNCTION("""COMPUTED_VALUE"""),10.0)</f>
        <v>10</v>
      </c>
      <c r="Q705" s="360"/>
    </row>
    <row r="706" ht="12.75" customHeight="1">
      <c r="G706" s="359" t="s">
        <v>1426</v>
      </c>
      <c r="H706" s="281">
        <v>10.0</v>
      </c>
      <c r="I706" s="358">
        <v>4.884720593982024E-4</v>
      </c>
      <c r="K706" s="281"/>
      <c r="L706" s="359"/>
      <c r="M706" s="360"/>
      <c r="O706" s="372" t="str">
        <f>IFERROR(__xludf.DUMMYFUNCTION("""COMPUTED_VALUE"""),"Siren Reef - Starfish 3★ #B1A")</f>
        <v>Siren Reef - Starfish 3★ #B1A</v>
      </c>
      <c r="P706" s="281">
        <f>IFERROR(__xludf.DUMMYFUNCTION("""COMPUTED_VALUE"""),10.0)</f>
        <v>10</v>
      </c>
      <c r="Q706" s="360"/>
    </row>
    <row r="707" ht="12.75" customHeight="1">
      <c r="G707" s="359" t="s">
        <v>1427</v>
      </c>
      <c r="H707" s="281">
        <v>10.0</v>
      </c>
      <c r="I707" s="358">
        <v>4.884720593982024E-4</v>
      </c>
      <c r="K707" s="281"/>
      <c r="L707" s="359"/>
      <c r="M707" s="360"/>
      <c r="O707" s="372" t="str">
        <f>IFERROR(__xludf.DUMMYFUNCTION("""COMPUTED_VALUE"""),"Siren Reef - Starfish 3★ #5CF")</f>
        <v>Siren Reef - Starfish 3★ #5CF</v>
      </c>
      <c r="P707" s="281">
        <f>IFERROR(__xludf.DUMMYFUNCTION("""COMPUTED_VALUE"""),10.0)</f>
        <v>10</v>
      </c>
      <c r="Q707" s="360"/>
    </row>
    <row r="708" ht="12.75" customHeight="1">
      <c r="G708" s="359" t="s">
        <v>1428</v>
      </c>
      <c r="H708" s="281">
        <v>10.0</v>
      </c>
      <c r="I708" s="358">
        <v>4.884720593982024E-4</v>
      </c>
      <c r="K708" s="281"/>
      <c r="L708" s="359"/>
      <c r="M708" s="360"/>
      <c r="O708" s="372" t="str">
        <f>IFERROR(__xludf.DUMMYFUNCTION("""COMPUTED_VALUE"""),"Siren Reef - Starfish 3★ #084")</f>
        <v>Siren Reef - Starfish 3★ #084</v>
      </c>
      <c r="P708" s="281">
        <f>IFERROR(__xludf.DUMMYFUNCTION("""COMPUTED_VALUE"""),10.0)</f>
        <v>10</v>
      </c>
      <c r="Q708" s="360"/>
    </row>
    <row r="709" ht="12.75" customHeight="1">
      <c r="G709" s="359" t="s">
        <v>1429</v>
      </c>
      <c r="H709" s="281">
        <v>10.0</v>
      </c>
      <c r="I709" s="358">
        <v>4.884720593982024E-4</v>
      </c>
      <c r="K709" s="281"/>
      <c r="L709" s="359"/>
      <c r="M709" s="360"/>
      <c r="O709" s="372" t="str">
        <f>IFERROR(__xludf.DUMMYFUNCTION("""COMPUTED_VALUE"""),"Siren Reef - Starfish 3★ #B39")</f>
        <v>Siren Reef - Starfish 3★ #B39</v>
      </c>
      <c r="P709" s="281">
        <f>IFERROR(__xludf.DUMMYFUNCTION("""COMPUTED_VALUE"""),10.0)</f>
        <v>10</v>
      </c>
      <c r="Q709" s="360"/>
    </row>
    <row r="710" ht="12.75" customHeight="1">
      <c r="G710" s="359" t="s">
        <v>1430</v>
      </c>
      <c r="H710" s="281">
        <v>10.0</v>
      </c>
      <c r="I710" s="358">
        <v>4.884720593982024E-4</v>
      </c>
      <c r="K710" s="281"/>
      <c r="L710" s="359"/>
      <c r="M710" s="360"/>
      <c r="O710" s="372" t="str">
        <f>IFERROR(__xludf.DUMMYFUNCTION("""COMPUTED_VALUE"""),"Siren Reef - Starfish 3★ #5EE")</f>
        <v>Siren Reef - Starfish 3★ #5EE</v>
      </c>
      <c r="P710" s="281">
        <f>IFERROR(__xludf.DUMMYFUNCTION("""COMPUTED_VALUE"""),10.0)</f>
        <v>10</v>
      </c>
      <c r="Q710" s="360"/>
    </row>
    <row r="711" ht="12.75" customHeight="1">
      <c r="G711" s="359" t="s">
        <v>1431</v>
      </c>
      <c r="H711" s="281">
        <v>10.0</v>
      </c>
      <c r="I711" s="358">
        <v>4.884720593982024E-4</v>
      </c>
      <c r="K711" s="281"/>
      <c r="L711" s="359"/>
      <c r="M711" s="360"/>
      <c r="O711" s="372" t="str">
        <f>IFERROR(__xludf.DUMMYFUNCTION("""COMPUTED_VALUE"""),"Siren Reef - Starfish 3★ #0A3")</f>
        <v>Siren Reef - Starfish 3★ #0A3</v>
      </c>
      <c r="P711" s="281">
        <f>IFERROR(__xludf.DUMMYFUNCTION("""COMPUTED_VALUE"""),10.0)</f>
        <v>10</v>
      </c>
      <c r="Q711" s="360"/>
    </row>
    <row r="712" ht="12.75" customHeight="1">
      <c r="G712" s="359" t="s">
        <v>1432</v>
      </c>
      <c r="H712" s="281">
        <v>10.0</v>
      </c>
      <c r="I712" s="358">
        <v>4.884720593982024E-4</v>
      </c>
      <c r="K712" s="281"/>
      <c r="L712" s="359"/>
      <c r="M712" s="360"/>
      <c r="O712" s="372" t="str">
        <f>IFERROR(__xludf.DUMMYFUNCTION("""COMPUTED_VALUE"""),"Siren Reef - Starfish 3★ #B58")</f>
        <v>Siren Reef - Starfish 3★ #B58</v>
      </c>
      <c r="P712" s="281">
        <f>IFERROR(__xludf.DUMMYFUNCTION("""COMPUTED_VALUE"""),10.0)</f>
        <v>10</v>
      </c>
      <c r="Q712" s="360"/>
    </row>
    <row r="713" ht="12.75" customHeight="1">
      <c r="G713" s="359" t="s">
        <v>1433</v>
      </c>
      <c r="H713" s="281">
        <v>10.0</v>
      </c>
      <c r="I713" s="358">
        <v>4.884720593982024E-4</v>
      </c>
      <c r="K713" s="281"/>
      <c r="L713" s="359"/>
      <c r="M713" s="360"/>
      <c r="O713" s="372" t="str">
        <f>IFERROR(__xludf.DUMMYFUNCTION("""COMPUTED_VALUE"""),"Siren Reef - Starfish 3★ #60D")</f>
        <v>Siren Reef - Starfish 3★ #60D</v>
      </c>
      <c r="P713" s="281">
        <f>IFERROR(__xludf.DUMMYFUNCTION("""COMPUTED_VALUE"""),10.0)</f>
        <v>10</v>
      </c>
      <c r="Q713" s="360"/>
    </row>
    <row r="714" ht="12.75" customHeight="1">
      <c r="G714" s="359" t="s">
        <v>1434</v>
      </c>
      <c r="H714" s="281">
        <v>10.0</v>
      </c>
      <c r="I714" s="358">
        <v>4.884720593982024E-4</v>
      </c>
      <c r="K714" s="281"/>
      <c r="L714" s="359"/>
      <c r="M714" s="360"/>
      <c r="O714" s="372" t="str">
        <f>IFERROR(__xludf.DUMMYFUNCTION("""COMPUTED_VALUE"""),"Siren Reef - Starfish 3★ #0C2")</f>
        <v>Siren Reef - Starfish 3★ #0C2</v>
      </c>
      <c r="P714" s="281">
        <f>IFERROR(__xludf.DUMMYFUNCTION("""COMPUTED_VALUE"""),10.0)</f>
        <v>10</v>
      </c>
      <c r="Q714" s="360"/>
    </row>
    <row r="715" ht="12.75" customHeight="1">
      <c r="G715" s="359" t="s">
        <v>1435</v>
      </c>
      <c r="H715" s="281">
        <v>10.0</v>
      </c>
      <c r="I715" s="358">
        <v>4.884720593982024E-4</v>
      </c>
      <c r="K715" s="281"/>
      <c r="L715" s="359"/>
      <c r="M715" s="360"/>
      <c r="O715" s="372" t="str">
        <f>IFERROR(__xludf.DUMMYFUNCTION("""COMPUTED_VALUE"""),"Siren Reef - Starfish 3★ #B77")</f>
        <v>Siren Reef - Starfish 3★ #B77</v>
      </c>
      <c r="P715" s="281">
        <f>IFERROR(__xludf.DUMMYFUNCTION("""COMPUTED_VALUE"""),10.0)</f>
        <v>10</v>
      </c>
      <c r="Q715" s="360"/>
    </row>
    <row r="716" ht="12.75" customHeight="1">
      <c r="G716" s="359" t="s">
        <v>1436</v>
      </c>
      <c r="H716" s="281">
        <v>10.0</v>
      </c>
      <c r="I716" s="358">
        <v>4.884720593982024E-4</v>
      </c>
      <c r="K716" s="281"/>
      <c r="L716" s="359"/>
      <c r="M716" s="360"/>
      <c r="O716" s="372" t="str">
        <f>IFERROR(__xludf.DUMMYFUNCTION("""COMPUTED_VALUE"""),"Siren Reef - Starfish 3★ #62C")</f>
        <v>Siren Reef - Starfish 3★ #62C</v>
      </c>
      <c r="P716" s="281">
        <f>IFERROR(__xludf.DUMMYFUNCTION("""COMPUTED_VALUE"""),10.0)</f>
        <v>10</v>
      </c>
      <c r="Q716" s="360"/>
    </row>
    <row r="717" ht="12.75" customHeight="1">
      <c r="G717" s="359" t="s">
        <v>1437</v>
      </c>
      <c r="H717" s="281">
        <v>10.0</v>
      </c>
      <c r="I717" s="358">
        <v>4.884720593982024E-4</v>
      </c>
      <c r="K717" s="281"/>
      <c r="L717" s="359"/>
      <c r="M717" s="360"/>
      <c r="O717" s="372" t="str">
        <f>IFERROR(__xludf.DUMMYFUNCTION("""COMPUTED_VALUE"""),"Siren Reef - Starfish 3★ #0E1")</f>
        <v>Siren Reef - Starfish 3★ #0E1</v>
      </c>
      <c r="P717" s="281">
        <f>IFERROR(__xludf.DUMMYFUNCTION("""COMPUTED_VALUE"""),10.0)</f>
        <v>10</v>
      </c>
      <c r="Q717" s="360"/>
    </row>
    <row r="718" ht="12.75" customHeight="1">
      <c r="G718" s="359" t="s">
        <v>1438</v>
      </c>
      <c r="H718" s="281">
        <v>5.0</v>
      </c>
      <c r="I718" s="358">
        <v>2.442360296991012E-4</v>
      </c>
      <c r="K718" s="281"/>
      <c r="L718" s="359"/>
      <c r="M718" s="360"/>
      <c r="O718" s="372" t="str">
        <f>IFERROR(__xludf.DUMMYFUNCTION("""COMPUTED_VALUE"""),"Siren Reef - Moonstone 4★ #B96")</f>
        <v>Siren Reef - Moonstone 4★ #B96</v>
      </c>
      <c r="P718" s="281">
        <f>IFERROR(__xludf.DUMMYFUNCTION("""COMPUTED_VALUE"""),5.0)</f>
        <v>5</v>
      </c>
      <c r="Q718" s="360"/>
    </row>
    <row r="719" ht="12.75" customHeight="1">
      <c r="G719" s="359" t="s">
        <v>1439</v>
      </c>
      <c r="H719" s="281">
        <v>5.0</v>
      </c>
      <c r="I719" s="358">
        <v>2.442360296991012E-4</v>
      </c>
      <c r="K719" s="281"/>
      <c r="L719" s="359"/>
      <c r="M719" s="360"/>
      <c r="O719" s="372" t="str">
        <f>IFERROR(__xludf.DUMMYFUNCTION("""COMPUTED_VALUE"""),"Siren Reef - Moonstone 4★ #64B")</f>
        <v>Siren Reef - Moonstone 4★ #64B</v>
      </c>
      <c r="P719" s="281">
        <f>IFERROR(__xludf.DUMMYFUNCTION("""COMPUTED_VALUE"""),5.0)</f>
        <v>5</v>
      </c>
      <c r="Q719" s="360"/>
    </row>
    <row r="720" ht="12.75" customHeight="1">
      <c r="G720" s="359" t="s">
        <v>1440</v>
      </c>
      <c r="H720" s="281">
        <v>5.0</v>
      </c>
      <c r="I720" s="358">
        <v>2.442360296991012E-4</v>
      </c>
      <c r="K720" s="281"/>
      <c r="L720" s="359"/>
      <c r="M720" s="360"/>
      <c r="O720" s="372" t="str">
        <f>IFERROR(__xludf.DUMMYFUNCTION("""COMPUTED_VALUE"""),"Siren Reef - Moonstone 4★ #100")</f>
        <v>Siren Reef - Moonstone 4★ #100</v>
      </c>
      <c r="P720" s="281">
        <f>IFERROR(__xludf.DUMMYFUNCTION("""COMPUTED_VALUE"""),5.0)</f>
        <v>5</v>
      </c>
      <c r="Q720" s="360"/>
    </row>
    <row r="721" ht="12.75" customHeight="1">
      <c r="G721" s="359" t="s">
        <v>1441</v>
      </c>
      <c r="H721" s="281">
        <v>5.0</v>
      </c>
      <c r="I721" s="358">
        <v>2.442360296991012E-4</v>
      </c>
      <c r="K721" s="281"/>
      <c r="L721" s="359"/>
      <c r="M721" s="360"/>
      <c r="O721" s="372" t="str">
        <f>IFERROR(__xludf.DUMMYFUNCTION("""COMPUTED_VALUE"""),"Siren Reef - Moonstone 4★ #BB5")</f>
        <v>Siren Reef - Moonstone 4★ #BB5</v>
      </c>
      <c r="P721" s="281">
        <f>IFERROR(__xludf.DUMMYFUNCTION("""COMPUTED_VALUE"""),5.0)</f>
        <v>5</v>
      </c>
      <c r="Q721" s="360"/>
    </row>
    <row r="722" ht="12.75" customHeight="1">
      <c r="G722" s="359" t="s">
        <v>1442</v>
      </c>
      <c r="H722" s="281">
        <v>5.0</v>
      </c>
      <c r="I722" s="358">
        <v>2.442360296991012E-4</v>
      </c>
      <c r="K722" s="281"/>
      <c r="L722" s="359"/>
      <c r="M722" s="360"/>
      <c r="O722" s="372" t="str">
        <f>IFERROR(__xludf.DUMMYFUNCTION("""COMPUTED_VALUE"""),"Siren Reef - Moonstone 4★ #66A")</f>
        <v>Siren Reef - Moonstone 4★ #66A</v>
      </c>
      <c r="P722" s="281">
        <f>IFERROR(__xludf.DUMMYFUNCTION("""COMPUTED_VALUE"""),5.0)</f>
        <v>5</v>
      </c>
      <c r="Q722" s="360"/>
    </row>
    <row r="723" ht="12.75" customHeight="1">
      <c r="G723" s="359" t="s">
        <v>1443</v>
      </c>
      <c r="H723" s="281">
        <v>5.0</v>
      </c>
      <c r="I723" s="358">
        <v>2.442360296991012E-4</v>
      </c>
      <c r="K723" s="281"/>
      <c r="L723" s="359"/>
      <c r="M723" s="360"/>
      <c r="O723" s="372" t="str">
        <f>IFERROR(__xludf.DUMMYFUNCTION("""COMPUTED_VALUE"""),"Siren Reef - Moonstone 4★ #11F")</f>
        <v>Siren Reef - Moonstone 4★ #11F</v>
      </c>
      <c r="P723" s="281">
        <f>IFERROR(__xludf.DUMMYFUNCTION("""COMPUTED_VALUE"""),5.0)</f>
        <v>5</v>
      </c>
      <c r="Q723" s="360"/>
    </row>
    <row r="724" ht="12.75" customHeight="1">
      <c r="G724" s="359" t="s">
        <v>1444</v>
      </c>
      <c r="H724" s="281">
        <v>5.0</v>
      </c>
      <c r="I724" s="358">
        <v>2.442360296991012E-4</v>
      </c>
      <c r="K724" s="281"/>
      <c r="L724" s="359"/>
      <c r="M724" s="360"/>
      <c r="O724" s="372" t="str">
        <f>IFERROR(__xludf.DUMMYFUNCTION("""COMPUTED_VALUE"""),"Siren Reef - Moonstone 4★ #BD4")</f>
        <v>Siren Reef - Moonstone 4★ #BD4</v>
      </c>
      <c r="P724" s="281">
        <f>IFERROR(__xludf.DUMMYFUNCTION("""COMPUTED_VALUE"""),5.0)</f>
        <v>5</v>
      </c>
      <c r="Q724" s="360"/>
    </row>
    <row r="725" ht="12.75" customHeight="1">
      <c r="G725" s="359" t="s">
        <v>1445</v>
      </c>
      <c r="H725" s="281">
        <v>5.0</v>
      </c>
      <c r="I725" s="358">
        <v>2.442360296991012E-4</v>
      </c>
      <c r="K725" s="281"/>
      <c r="L725" s="359"/>
      <c r="M725" s="360"/>
      <c r="O725" s="372" t="str">
        <f>IFERROR(__xludf.DUMMYFUNCTION("""COMPUTED_VALUE"""),"Siren Reef - Moonstone 4★ #689")</f>
        <v>Siren Reef - Moonstone 4★ #689</v>
      </c>
      <c r="P725" s="281">
        <f>IFERROR(__xludf.DUMMYFUNCTION("""COMPUTED_VALUE"""),5.0)</f>
        <v>5</v>
      </c>
      <c r="Q725" s="360"/>
    </row>
    <row r="726" ht="12.75" customHeight="1">
      <c r="G726" s="359" t="s">
        <v>1446</v>
      </c>
      <c r="H726" s="281">
        <v>5.0</v>
      </c>
      <c r="I726" s="358">
        <v>2.442360296991012E-4</v>
      </c>
      <c r="K726" s="281"/>
      <c r="L726" s="359"/>
      <c r="M726" s="360"/>
      <c r="O726" s="372" t="str">
        <f>IFERROR(__xludf.DUMMYFUNCTION("""COMPUTED_VALUE"""),"Siren Reef - Moonstone 4★ #13E")</f>
        <v>Siren Reef - Moonstone 4★ #13E</v>
      </c>
      <c r="P726" s="281">
        <f>IFERROR(__xludf.DUMMYFUNCTION("""COMPUTED_VALUE"""),5.0)</f>
        <v>5</v>
      </c>
      <c r="Q726" s="360"/>
    </row>
    <row r="727" ht="12.75" customHeight="1">
      <c r="G727" s="359" t="s">
        <v>1447</v>
      </c>
      <c r="H727" s="281">
        <v>5.0</v>
      </c>
      <c r="I727" s="358">
        <v>2.442360296991012E-4</v>
      </c>
      <c r="K727" s="281"/>
      <c r="L727" s="359"/>
      <c r="M727" s="360"/>
      <c r="O727" s="372" t="str">
        <f>IFERROR(__xludf.DUMMYFUNCTION("""COMPUTED_VALUE"""),"Siren Reef - Moonstone 4★ #BF3")</f>
        <v>Siren Reef - Moonstone 4★ #BF3</v>
      </c>
      <c r="P727" s="281">
        <f>IFERROR(__xludf.DUMMYFUNCTION("""COMPUTED_VALUE"""),5.0)</f>
        <v>5</v>
      </c>
      <c r="Q727" s="360"/>
    </row>
    <row r="728" ht="12.75" customHeight="1">
      <c r="G728" s="359" t="s">
        <v>1448</v>
      </c>
      <c r="H728" s="281">
        <v>5.0</v>
      </c>
      <c r="I728" s="358">
        <v>2.442360296991012E-4</v>
      </c>
      <c r="K728" s="281"/>
      <c r="L728" s="359"/>
      <c r="M728" s="360"/>
      <c r="O728" s="372" t="str">
        <f>IFERROR(__xludf.DUMMYFUNCTION("""COMPUTED_VALUE"""),"Siren Reef - Moonstone 4★ #6A8")</f>
        <v>Siren Reef - Moonstone 4★ #6A8</v>
      </c>
      <c r="P728" s="281">
        <f>IFERROR(__xludf.DUMMYFUNCTION("""COMPUTED_VALUE"""),5.0)</f>
        <v>5</v>
      </c>
      <c r="Q728" s="360"/>
    </row>
    <row r="729" ht="12.75" customHeight="1">
      <c r="G729" s="359" t="s">
        <v>1449</v>
      </c>
      <c r="H729" s="281">
        <v>2.0</v>
      </c>
      <c r="I729" s="358">
        <v>9.769441187964049E-5</v>
      </c>
      <c r="K729" s="281"/>
      <c r="L729" s="359"/>
      <c r="M729" s="360"/>
      <c r="O729" s="372" t="str">
        <f>IFERROR(__xludf.DUMMYFUNCTION("""COMPUTED_VALUE"""),"Siren Reef - Wave 5★ #15D")</f>
        <v>Siren Reef - Wave 5★ #15D</v>
      </c>
      <c r="P729" s="281">
        <f>IFERROR(__xludf.DUMMYFUNCTION("""COMPUTED_VALUE"""),2.0)</f>
        <v>2</v>
      </c>
      <c r="Q729" s="360"/>
    </row>
    <row r="730" ht="12.75" customHeight="1">
      <c r="G730" s="359" t="s">
        <v>1450</v>
      </c>
      <c r="H730" s="281">
        <v>2.0</v>
      </c>
      <c r="I730" s="358">
        <v>9.769441187964049E-5</v>
      </c>
      <c r="K730" s="281"/>
      <c r="L730" s="359"/>
      <c r="M730" s="360"/>
      <c r="O730" s="372" t="str">
        <f>IFERROR(__xludf.DUMMYFUNCTION("""COMPUTED_VALUE"""),"Siren Reef - Wave 5★ #C12")</f>
        <v>Siren Reef - Wave 5★ #C12</v>
      </c>
      <c r="P730" s="281">
        <f>IFERROR(__xludf.DUMMYFUNCTION("""COMPUTED_VALUE"""),2.0)</f>
        <v>2</v>
      </c>
      <c r="Q730" s="360"/>
    </row>
    <row r="731" ht="12.75" customHeight="1">
      <c r="G731" s="359" t="s">
        <v>1451</v>
      </c>
      <c r="H731" s="281">
        <v>2.0</v>
      </c>
      <c r="I731" s="358">
        <v>9.769441187964049E-5</v>
      </c>
      <c r="K731" s="281"/>
      <c r="L731" s="359"/>
      <c r="M731" s="360"/>
      <c r="O731" s="372" t="str">
        <f>IFERROR(__xludf.DUMMYFUNCTION("""COMPUTED_VALUE"""),"Siren Reef - Wave 5★ #6C7")</f>
        <v>Siren Reef - Wave 5★ #6C7</v>
      </c>
      <c r="P731" s="281">
        <f>IFERROR(__xludf.DUMMYFUNCTION("""COMPUTED_VALUE"""),2.0)</f>
        <v>2</v>
      </c>
      <c r="Q731" s="360"/>
    </row>
    <row r="732" ht="12.75" customHeight="1">
      <c r="G732" s="359" t="s">
        <v>1452</v>
      </c>
      <c r="H732" s="281">
        <v>2.0</v>
      </c>
      <c r="I732" s="358">
        <v>9.769441187964049E-5</v>
      </c>
      <c r="K732" s="281"/>
      <c r="L732" s="359"/>
      <c r="M732" s="360"/>
      <c r="O732" s="372" t="str">
        <f>IFERROR(__xludf.DUMMYFUNCTION("""COMPUTED_VALUE"""),"Siren Reef - Wave 5★ #17C")</f>
        <v>Siren Reef - Wave 5★ #17C</v>
      </c>
      <c r="P732" s="281">
        <f>IFERROR(__xludf.DUMMYFUNCTION("""COMPUTED_VALUE"""),2.0)</f>
        <v>2</v>
      </c>
      <c r="Q732" s="360"/>
    </row>
    <row r="733" ht="12.75" customHeight="1">
      <c r="G733" s="359" t="s">
        <v>1453</v>
      </c>
      <c r="H733" s="281">
        <v>2.0</v>
      </c>
      <c r="I733" s="358">
        <v>9.769441187964049E-5</v>
      </c>
      <c r="K733" s="281"/>
      <c r="L733" s="359"/>
      <c r="M733" s="360"/>
      <c r="O733" s="372" t="str">
        <f>IFERROR(__xludf.DUMMYFUNCTION("""COMPUTED_VALUE"""),"Siren Reef - Wave 5★ #C31")</f>
        <v>Siren Reef - Wave 5★ #C31</v>
      </c>
      <c r="P733" s="281">
        <f>IFERROR(__xludf.DUMMYFUNCTION("""COMPUTED_VALUE"""),2.0)</f>
        <v>2</v>
      </c>
      <c r="Q733" s="360"/>
    </row>
    <row r="734" ht="12.75" customHeight="1">
      <c r="G734" s="359" t="s">
        <v>1454</v>
      </c>
      <c r="H734" s="281">
        <v>2.0</v>
      </c>
      <c r="I734" s="358">
        <v>9.769441187964049E-5</v>
      </c>
      <c r="K734" s="281"/>
      <c r="L734" s="359"/>
      <c r="M734" s="360"/>
      <c r="O734" s="372" t="str">
        <f>IFERROR(__xludf.DUMMYFUNCTION("""COMPUTED_VALUE"""),"Siren Reef - Driftwood 5★ #6E6")</f>
        <v>Siren Reef - Driftwood 5★ #6E6</v>
      </c>
      <c r="P734" s="281">
        <f>IFERROR(__xludf.DUMMYFUNCTION("""COMPUTED_VALUE"""),2.0)</f>
        <v>2</v>
      </c>
      <c r="Q734" s="360"/>
    </row>
    <row r="735" ht="12.75" customHeight="1">
      <c r="G735" s="359" t="s">
        <v>1455</v>
      </c>
      <c r="H735" s="281">
        <v>2.0</v>
      </c>
      <c r="I735" s="358">
        <v>9.769441187964049E-5</v>
      </c>
      <c r="K735" s="281"/>
      <c r="L735" s="359"/>
      <c r="M735" s="360"/>
      <c r="O735" s="372" t="str">
        <f>IFERROR(__xludf.DUMMYFUNCTION("""COMPUTED_VALUE"""),"Siren Reef - Driftwood 5★ #19B")</f>
        <v>Siren Reef - Driftwood 5★ #19B</v>
      </c>
      <c r="P735" s="281">
        <f>IFERROR(__xludf.DUMMYFUNCTION("""COMPUTED_VALUE"""),2.0)</f>
        <v>2</v>
      </c>
      <c r="Q735" s="360"/>
    </row>
    <row r="736" ht="12.75" customHeight="1">
      <c r="G736" s="359" t="s">
        <v>1456</v>
      </c>
      <c r="H736" s="281">
        <v>2.0</v>
      </c>
      <c r="I736" s="358">
        <v>9.769441187964049E-5</v>
      </c>
      <c r="K736" s="281"/>
      <c r="L736" s="359"/>
      <c r="M736" s="360"/>
      <c r="O736" s="372" t="str">
        <f>IFERROR(__xludf.DUMMYFUNCTION("""COMPUTED_VALUE"""),"Siren Reef - Driftwood 5★ #C50")</f>
        <v>Siren Reef - Driftwood 5★ #C50</v>
      </c>
      <c r="P736" s="281">
        <f>IFERROR(__xludf.DUMMYFUNCTION("""COMPUTED_VALUE"""),2.0)</f>
        <v>2</v>
      </c>
      <c r="Q736" s="360"/>
    </row>
    <row r="737" ht="12.75" customHeight="1">
      <c r="G737" s="359" t="s">
        <v>1457</v>
      </c>
      <c r="H737" s="281">
        <v>2.0</v>
      </c>
      <c r="I737" s="358">
        <v>9.769441187964049E-5</v>
      </c>
      <c r="K737" s="281"/>
      <c r="L737" s="359"/>
      <c r="M737" s="360"/>
      <c r="O737" s="372" t="str">
        <f>IFERROR(__xludf.DUMMYFUNCTION("""COMPUTED_VALUE"""),"Siren Reef - Driftwood 5★ #705")</f>
        <v>Siren Reef - Driftwood 5★ #705</v>
      </c>
      <c r="P737" s="281">
        <f>IFERROR(__xludf.DUMMYFUNCTION("""COMPUTED_VALUE"""),2.0)</f>
        <v>2</v>
      </c>
      <c r="Q737" s="360"/>
    </row>
    <row r="738" ht="12.75" customHeight="1">
      <c r="G738" s="359" t="s">
        <v>1458</v>
      </c>
      <c r="H738" s="281">
        <v>2.0</v>
      </c>
      <c r="I738" s="358">
        <v>9.769441187964049E-5</v>
      </c>
      <c r="K738" s="281"/>
      <c r="L738" s="359"/>
      <c r="M738" s="360"/>
      <c r="O738" s="372" t="str">
        <f>IFERROR(__xludf.DUMMYFUNCTION("""COMPUTED_VALUE"""),"Siren Reef - Driftwood 5★ #1BA")</f>
        <v>Siren Reef - Driftwood 5★ #1BA</v>
      </c>
      <c r="P738" s="281">
        <f>IFERROR(__xludf.DUMMYFUNCTION("""COMPUTED_VALUE"""),2.0)</f>
        <v>2</v>
      </c>
      <c r="Q738" s="360"/>
    </row>
    <row r="739" ht="12.75" customHeight="1">
      <c r="G739" s="359" t="s">
        <v>1459</v>
      </c>
      <c r="H739" s="281">
        <v>2.0</v>
      </c>
      <c r="I739" s="358">
        <v>9.769441187964049E-5</v>
      </c>
      <c r="K739" s="281"/>
      <c r="L739" s="359"/>
      <c r="M739" s="360"/>
      <c r="O739" s="372" t="str">
        <f>IFERROR(__xludf.DUMMYFUNCTION("""COMPUTED_VALUE"""),"Siren Reef - Conch 5★ #C6F")</f>
        <v>Siren Reef - Conch 5★ #C6F</v>
      </c>
      <c r="P739" s="281">
        <f>IFERROR(__xludf.DUMMYFUNCTION("""COMPUTED_VALUE"""),2.0)</f>
        <v>2</v>
      </c>
      <c r="Q739" s="360"/>
    </row>
    <row r="740" ht="12.75" customHeight="1">
      <c r="G740" s="359" t="s">
        <v>1460</v>
      </c>
      <c r="H740" s="281">
        <v>2.0</v>
      </c>
      <c r="I740" s="358">
        <v>9.769441187964049E-5</v>
      </c>
      <c r="K740" s="281"/>
      <c r="L740" s="359"/>
      <c r="M740" s="360"/>
      <c r="O740" s="372" t="str">
        <f>IFERROR(__xludf.DUMMYFUNCTION("""COMPUTED_VALUE"""),"Siren Reef - Conch 5★ #724")</f>
        <v>Siren Reef - Conch 5★ #724</v>
      </c>
      <c r="P740" s="281">
        <f>IFERROR(__xludf.DUMMYFUNCTION("""COMPUTED_VALUE"""),2.0)</f>
        <v>2</v>
      </c>
      <c r="Q740" s="360"/>
    </row>
    <row r="741" ht="12.75" customHeight="1">
      <c r="G741" s="359" t="s">
        <v>1461</v>
      </c>
      <c r="H741" s="281">
        <v>2.0</v>
      </c>
      <c r="I741" s="358">
        <v>9.769441187964049E-5</v>
      </c>
      <c r="K741" s="281"/>
      <c r="L741" s="359"/>
      <c r="M741" s="360"/>
      <c r="O741" s="372" t="str">
        <f>IFERROR(__xludf.DUMMYFUNCTION("""COMPUTED_VALUE"""),"Siren Reef - Conch 5★ #1D9")</f>
        <v>Siren Reef - Conch 5★ #1D9</v>
      </c>
      <c r="P741" s="281">
        <f>IFERROR(__xludf.DUMMYFUNCTION("""COMPUTED_VALUE"""),2.0)</f>
        <v>2</v>
      </c>
      <c r="Q741" s="360"/>
    </row>
    <row r="742" ht="12.75" customHeight="1">
      <c r="G742" s="359" t="s">
        <v>1462</v>
      </c>
      <c r="H742" s="281">
        <v>2.0</v>
      </c>
      <c r="I742" s="358">
        <v>9.769441187964049E-5</v>
      </c>
      <c r="K742" s="281"/>
      <c r="L742" s="359"/>
      <c r="M742" s="360"/>
      <c r="O742" s="372" t="str">
        <f>IFERROR(__xludf.DUMMYFUNCTION("""COMPUTED_VALUE"""),"Siren Reef - Conch 5★ #C8E")</f>
        <v>Siren Reef - Conch 5★ #C8E</v>
      </c>
      <c r="P742" s="281">
        <f>IFERROR(__xludf.DUMMYFUNCTION("""COMPUTED_VALUE"""),2.0)</f>
        <v>2</v>
      </c>
      <c r="Q742" s="360"/>
    </row>
    <row r="743" ht="12.75" customHeight="1">
      <c r="G743" s="359" t="s">
        <v>1463</v>
      </c>
      <c r="H743" s="281">
        <v>2.0</v>
      </c>
      <c r="I743" s="358">
        <v>9.769441187964049E-5</v>
      </c>
      <c r="K743" s="281"/>
      <c r="L743" s="359"/>
      <c r="M743" s="360"/>
      <c r="O743" s="372" t="str">
        <f>IFERROR(__xludf.DUMMYFUNCTION("""COMPUTED_VALUE"""),"Siren Reef - Conch 5★ #743")</f>
        <v>Siren Reef - Conch 5★ #743</v>
      </c>
      <c r="P743" s="281">
        <f>IFERROR(__xludf.DUMMYFUNCTION("""COMPUTED_VALUE"""),2.0)</f>
        <v>2</v>
      </c>
      <c r="Q743" s="360"/>
    </row>
    <row r="744" ht="12.75" customHeight="1">
      <c r="G744" s="359" t="s">
        <v>1464</v>
      </c>
      <c r="H744" s="281">
        <v>50.0</v>
      </c>
      <c r="I744" s="358">
        <v>0.0024423602969910123</v>
      </c>
      <c r="K744" s="281"/>
      <c r="L744" s="359"/>
      <c r="M744" s="360"/>
      <c r="O744" s="372" t="str">
        <f>IFERROR(__xludf.DUMMYFUNCTION("""COMPUTED_VALUE"""),"Dead Man Bay - Pistol 1★ #1F8")</f>
        <v>Dead Man Bay - Pistol 1★ #1F8</v>
      </c>
      <c r="P744" s="281">
        <f>IFERROR(__xludf.DUMMYFUNCTION("""COMPUTED_VALUE"""),50.0)</f>
        <v>50</v>
      </c>
      <c r="Q744" s="360"/>
    </row>
    <row r="745" ht="12.75" customHeight="1">
      <c r="G745" s="359" t="s">
        <v>1465</v>
      </c>
      <c r="H745" s="281">
        <v>50.0</v>
      </c>
      <c r="I745" s="358">
        <v>0.0024423602969910123</v>
      </c>
      <c r="K745" s="281"/>
      <c r="L745" s="359"/>
      <c r="M745" s="360"/>
      <c r="O745" s="372" t="str">
        <f>IFERROR(__xludf.DUMMYFUNCTION("""COMPUTED_VALUE"""),"Dead Man Bay - Pistol 1★ #CAD")</f>
        <v>Dead Man Bay - Pistol 1★ #CAD</v>
      </c>
      <c r="P745" s="281">
        <f>IFERROR(__xludf.DUMMYFUNCTION("""COMPUTED_VALUE"""),50.0)</f>
        <v>50</v>
      </c>
      <c r="Q745" s="360"/>
    </row>
    <row r="746" ht="12.75" customHeight="1">
      <c r="G746" s="359" t="s">
        <v>1466</v>
      </c>
      <c r="H746" s="281">
        <v>50.0</v>
      </c>
      <c r="I746" s="358">
        <v>0.0024423602969910123</v>
      </c>
      <c r="K746" s="281"/>
      <c r="L746" s="359"/>
      <c r="M746" s="360"/>
      <c r="O746" s="372" t="str">
        <f>IFERROR(__xludf.DUMMYFUNCTION("""COMPUTED_VALUE"""),"Dead Man Bay - Pistol 1★ #762")</f>
        <v>Dead Man Bay - Pistol 1★ #762</v>
      </c>
      <c r="P746" s="281">
        <f>IFERROR(__xludf.DUMMYFUNCTION("""COMPUTED_VALUE"""),50.0)</f>
        <v>50</v>
      </c>
      <c r="Q746" s="360"/>
    </row>
    <row r="747" ht="12.75" customHeight="1">
      <c r="G747" s="359" t="s">
        <v>1467</v>
      </c>
      <c r="H747" s="281">
        <v>50.0</v>
      </c>
      <c r="I747" s="358">
        <v>0.0024423602969910123</v>
      </c>
      <c r="K747" s="281"/>
      <c r="L747" s="359"/>
      <c r="M747" s="360"/>
      <c r="O747" s="372" t="str">
        <f>IFERROR(__xludf.DUMMYFUNCTION("""COMPUTED_VALUE"""),"Dead Man Bay - Pistol 1★ #217")</f>
        <v>Dead Man Bay - Pistol 1★ #217</v>
      </c>
      <c r="P747" s="281">
        <f>IFERROR(__xludf.DUMMYFUNCTION("""COMPUTED_VALUE"""),50.0)</f>
        <v>50</v>
      </c>
      <c r="Q747" s="360"/>
    </row>
    <row r="748" ht="12.75" customHeight="1">
      <c r="G748" s="359" t="s">
        <v>1468</v>
      </c>
      <c r="H748" s="281">
        <v>50.0</v>
      </c>
      <c r="I748" s="358">
        <v>0.0024423602969910123</v>
      </c>
      <c r="K748" s="281"/>
      <c r="L748" s="359"/>
      <c r="M748" s="360"/>
      <c r="O748" s="372" t="str">
        <f>IFERROR(__xludf.DUMMYFUNCTION("""COMPUTED_VALUE"""),"Dead Man Bay - Pistol 1★ #CCC")</f>
        <v>Dead Man Bay - Pistol 1★ #CCC</v>
      </c>
      <c r="P748" s="281">
        <f>IFERROR(__xludf.DUMMYFUNCTION("""COMPUTED_VALUE"""),50.0)</f>
        <v>50</v>
      </c>
      <c r="Q748" s="360"/>
    </row>
    <row r="749" ht="12.75" customHeight="1">
      <c r="G749" s="359" t="s">
        <v>1469</v>
      </c>
      <c r="H749" s="281">
        <v>50.0</v>
      </c>
      <c r="I749" s="358">
        <v>0.0024423602969910123</v>
      </c>
      <c r="K749" s="281"/>
      <c r="L749" s="359"/>
      <c r="M749" s="360"/>
      <c r="O749" s="372" t="str">
        <f>IFERROR(__xludf.DUMMYFUNCTION("""COMPUTED_VALUE"""),"Dead Man Bay - Pistol 1★ #781")</f>
        <v>Dead Man Bay - Pistol 1★ #781</v>
      </c>
      <c r="P749" s="281">
        <f>IFERROR(__xludf.DUMMYFUNCTION("""COMPUTED_VALUE"""),50.0)</f>
        <v>50</v>
      </c>
      <c r="Q749" s="360"/>
    </row>
    <row r="750" ht="12.75" customHeight="1">
      <c r="G750" s="359" t="s">
        <v>1470</v>
      </c>
      <c r="H750" s="281">
        <v>50.0</v>
      </c>
      <c r="I750" s="358">
        <v>0.0024423602969910123</v>
      </c>
      <c r="K750" s="281"/>
      <c r="L750" s="359"/>
      <c r="M750" s="360"/>
      <c r="O750" s="372" t="str">
        <f>IFERROR(__xludf.DUMMYFUNCTION("""COMPUTED_VALUE"""),"Dead Man Bay - Pistol 1★ #236")</f>
        <v>Dead Man Bay - Pistol 1★ #236</v>
      </c>
      <c r="P750" s="281">
        <f>IFERROR(__xludf.DUMMYFUNCTION("""COMPUTED_VALUE"""),50.0)</f>
        <v>50</v>
      </c>
      <c r="Q750" s="360"/>
    </row>
    <row r="751" ht="12.75" customHeight="1">
      <c r="G751" s="359" t="s">
        <v>1471</v>
      </c>
      <c r="H751" s="281">
        <v>50.0</v>
      </c>
      <c r="I751" s="358">
        <v>0.0024423602969910123</v>
      </c>
      <c r="K751" s="281"/>
      <c r="L751" s="359"/>
      <c r="M751" s="360"/>
      <c r="O751" s="372" t="str">
        <f>IFERROR(__xludf.DUMMYFUNCTION("""COMPUTED_VALUE"""),"Dead Man Bay - Pistol 1★ #CEB")</f>
        <v>Dead Man Bay - Pistol 1★ #CEB</v>
      </c>
      <c r="P751" s="281">
        <f>IFERROR(__xludf.DUMMYFUNCTION("""COMPUTED_VALUE"""),50.0)</f>
        <v>50</v>
      </c>
      <c r="Q751" s="360"/>
    </row>
    <row r="752" ht="12.75" customHeight="1">
      <c r="G752" s="359" t="s">
        <v>1472</v>
      </c>
      <c r="H752" s="281">
        <v>50.0</v>
      </c>
      <c r="I752" s="358">
        <v>0.0024423602969910123</v>
      </c>
      <c r="K752" s="281"/>
      <c r="L752" s="359"/>
      <c r="M752" s="360"/>
      <c r="O752" s="372" t="str">
        <f>IFERROR(__xludf.DUMMYFUNCTION("""COMPUTED_VALUE"""),"Dead Man Bay - Pistol 1★ #7A0")</f>
        <v>Dead Man Bay - Pistol 1★ #7A0</v>
      </c>
      <c r="P752" s="281">
        <f>IFERROR(__xludf.DUMMYFUNCTION("""COMPUTED_VALUE"""),50.0)</f>
        <v>50</v>
      </c>
      <c r="Q752" s="360"/>
    </row>
    <row r="753" ht="12.75" customHeight="1">
      <c r="G753" s="359" t="s">
        <v>1473</v>
      </c>
      <c r="H753" s="281">
        <v>50.0</v>
      </c>
      <c r="I753" s="358">
        <v>0.0024423602969910123</v>
      </c>
      <c r="K753" s="281"/>
      <c r="L753" s="359"/>
      <c r="M753" s="360"/>
      <c r="O753" s="372" t="str">
        <f>IFERROR(__xludf.DUMMYFUNCTION("""COMPUTED_VALUE"""),"Dead Man Bay - Pistol 1★ #255")</f>
        <v>Dead Man Bay - Pistol 1★ #255</v>
      </c>
      <c r="P753" s="281">
        <f>IFERROR(__xludf.DUMMYFUNCTION("""COMPUTED_VALUE"""),50.0)</f>
        <v>50</v>
      </c>
      <c r="Q753" s="360"/>
    </row>
    <row r="754" ht="12.75" customHeight="1">
      <c r="G754" s="359" t="s">
        <v>1474</v>
      </c>
      <c r="H754" s="281">
        <v>50.0</v>
      </c>
      <c r="I754" s="358">
        <v>0.0024423602969910123</v>
      </c>
      <c r="K754" s="281"/>
      <c r="L754" s="359"/>
      <c r="M754" s="360"/>
      <c r="O754" s="372" t="str">
        <f>IFERROR(__xludf.DUMMYFUNCTION("""COMPUTED_VALUE"""),"Dead Man Bay - Pistol 1★ #D0A")</f>
        <v>Dead Man Bay - Pistol 1★ #D0A</v>
      </c>
      <c r="P754" s="281">
        <f>IFERROR(__xludf.DUMMYFUNCTION("""COMPUTED_VALUE"""),50.0)</f>
        <v>50</v>
      </c>
      <c r="Q754" s="360"/>
    </row>
    <row r="755" ht="12.75" customHeight="1">
      <c r="G755" s="359" t="s">
        <v>1475</v>
      </c>
      <c r="H755" s="281">
        <v>50.0</v>
      </c>
      <c r="I755" s="358">
        <v>0.0024423602969910123</v>
      </c>
      <c r="K755" s="281"/>
      <c r="L755" s="359"/>
      <c r="M755" s="360"/>
      <c r="O755" s="372" t="str">
        <f>IFERROR(__xludf.DUMMYFUNCTION("""COMPUTED_VALUE"""),"Dead Man Bay - Pistol 1★ #7BF")</f>
        <v>Dead Man Bay - Pistol 1★ #7BF</v>
      </c>
      <c r="P755" s="281">
        <f>IFERROR(__xludf.DUMMYFUNCTION("""COMPUTED_VALUE"""),50.0)</f>
        <v>50</v>
      </c>
      <c r="Q755" s="360"/>
    </row>
    <row r="756" ht="12.75" customHeight="1">
      <c r="G756" s="359" t="s">
        <v>1476</v>
      </c>
      <c r="H756" s="281">
        <v>50.0</v>
      </c>
      <c r="I756" s="358">
        <v>0.0024423602969910123</v>
      </c>
      <c r="K756" s="281"/>
      <c r="L756" s="359"/>
      <c r="M756" s="360"/>
      <c r="O756" s="372" t="str">
        <f>IFERROR(__xludf.DUMMYFUNCTION("""COMPUTED_VALUE"""),"Dead Man Bay - Pistol 1★ #274")</f>
        <v>Dead Man Bay - Pistol 1★ #274</v>
      </c>
      <c r="P756" s="281">
        <f>IFERROR(__xludf.DUMMYFUNCTION("""COMPUTED_VALUE"""),50.0)</f>
        <v>50</v>
      </c>
      <c r="Q756" s="360"/>
    </row>
    <row r="757" ht="12.75" customHeight="1">
      <c r="G757" s="359" t="s">
        <v>1477</v>
      </c>
      <c r="H757" s="281">
        <v>50.0</v>
      </c>
      <c r="I757" s="358">
        <v>0.0024423602969910123</v>
      </c>
      <c r="K757" s="281"/>
      <c r="L757" s="359"/>
      <c r="M757" s="360"/>
      <c r="O757" s="372" t="str">
        <f>IFERROR(__xludf.DUMMYFUNCTION("""COMPUTED_VALUE"""),"Dead Man Bay - Rum 1★ #D29")</f>
        <v>Dead Man Bay - Rum 1★ #D29</v>
      </c>
      <c r="P757" s="281">
        <f>IFERROR(__xludf.DUMMYFUNCTION("""COMPUTED_VALUE"""),50.0)</f>
        <v>50</v>
      </c>
      <c r="Q757" s="360"/>
    </row>
    <row r="758" ht="12.75" customHeight="1">
      <c r="G758" s="359" t="s">
        <v>1478</v>
      </c>
      <c r="H758" s="281">
        <v>50.0</v>
      </c>
      <c r="I758" s="358">
        <v>0.0024423602969910123</v>
      </c>
      <c r="K758" s="281"/>
      <c r="L758" s="359"/>
      <c r="M758" s="360"/>
      <c r="O758" s="372" t="str">
        <f>IFERROR(__xludf.DUMMYFUNCTION("""COMPUTED_VALUE"""),"Dead Man Bay - Rum 1★ #7DE")</f>
        <v>Dead Man Bay - Rum 1★ #7DE</v>
      </c>
      <c r="P758" s="281">
        <f>IFERROR(__xludf.DUMMYFUNCTION("""COMPUTED_VALUE"""),50.0)</f>
        <v>50</v>
      </c>
      <c r="Q758" s="360"/>
    </row>
    <row r="759" ht="12.75" customHeight="1">
      <c r="G759" s="359" t="s">
        <v>1479</v>
      </c>
      <c r="H759" s="281">
        <v>50.0</v>
      </c>
      <c r="I759" s="358">
        <v>0.0024423602969910123</v>
      </c>
      <c r="K759" s="281"/>
      <c r="L759" s="359"/>
      <c r="M759" s="360"/>
      <c r="O759" s="372" t="str">
        <f>IFERROR(__xludf.DUMMYFUNCTION("""COMPUTED_VALUE"""),"Dead Man Bay - Rum 1★ #293")</f>
        <v>Dead Man Bay - Rum 1★ #293</v>
      </c>
      <c r="P759" s="281">
        <f>IFERROR(__xludf.DUMMYFUNCTION("""COMPUTED_VALUE"""),50.0)</f>
        <v>50</v>
      </c>
      <c r="Q759" s="360"/>
    </row>
    <row r="760" ht="12.75" customHeight="1">
      <c r="G760" s="359" t="s">
        <v>1480</v>
      </c>
      <c r="H760" s="281">
        <v>50.0</v>
      </c>
      <c r="I760" s="358">
        <v>0.0024423602969910123</v>
      </c>
      <c r="K760" s="281"/>
      <c r="L760" s="359"/>
      <c r="M760" s="360"/>
      <c r="O760" s="372" t="str">
        <f>IFERROR(__xludf.DUMMYFUNCTION("""COMPUTED_VALUE"""),"Dead Man Bay - Rum 1★ #D48")</f>
        <v>Dead Man Bay - Rum 1★ #D48</v>
      </c>
      <c r="P760" s="281">
        <f>IFERROR(__xludf.DUMMYFUNCTION("""COMPUTED_VALUE"""),50.0)</f>
        <v>50</v>
      </c>
      <c r="Q760" s="360"/>
    </row>
    <row r="761" ht="12.75" customHeight="1">
      <c r="G761" s="359" t="s">
        <v>1481</v>
      </c>
      <c r="H761" s="281">
        <v>50.0</v>
      </c>
      <c r="I761" s="358">
        <v>0.0024423602969910123</v>
      </c>
      <c r="K761" s="281"/>
      <c r="L761" s="359"/>
      <c r="M761" s="360"/>
      <c r="O761" s="372" t="str">
        <f>IFERROR(__xludf.DUMMYFUNCTION("""COMPUTED_VALUE"""),"Dead Man Bay - Rum 1★ #7FD")</f>
        <v>Dead Man Bay - Rum 1★ #7FD</v>
      </c>
      <c r="P761" s="281">
        <f>IFERROR(__xludf.DUMMYFUNCTION("""COMPUTED_VALUE"""),50.0)</f>
        <v>50</v>
      </c>
      <c r="Q761" s="360"/>
    </row>
    <row r="762" ht="12.75" customHeight="1">
      <c r="G762" s="359" t="s">
        <v>1482</v>
      </c>
      <c r="H762" s="281">
        <v>50.0</v>
      </c>
      <c r="I762" s="358">
        <v>0.0024423602969910123</v>
      </c>
      <c r="K762" s="281"/>
      <c r="L762" s="359"/>
      <c r="M762" s="360"/>
      <c r="O762" s="372" t="str">
        <f>IFERROR(__xludf.DUMMYFUNCTION("""COMPUTED_VALUE"""),"Dead Man Bay - Rum 1★ #2B2")</f>
        <v>Dead Man Bay - Rum 1★ #2B2</v>
      </c>
      <c r="P762" s="281">
        <f>IFERROR(__xludf.DUMMYFUNCTION("""COMPUTED_VALUE"""),50.0)</f>
        <v>50</v>
      </c>
      <c r="Q762" s="360"/>
    </row>
    <row r="763" ht="12.75" customHeight="1">
      <c r="G763" s="359" t="s">
        <v>1483</v>
      </c>
      <c r="H763" s="281">
        <v>50.0</v>
      </c>
      <c r="I763" s="358">
        <v>0.0024423602969910123</v>
      </c>
      <c r="K763" s="281"/>
      <c r="L763" s="359"/>
      <c r="M763" s="360"/>
      <c r="O763" s="372" t="str">
        <f>IFERROR(__xludf.DUMMYFUNCTION("""COMPUTED_VALUE"""),"Dead Man Bay - Rum 1★ #D67")</f>
        <v>Dead Man Bay - Rum 1★ #D67</v>
      </c>
      <c r="P763" s="281">
        <f>IFERROR(__xludf.DUMMYFUNCTION("""COMPUTED_VALUE"""),50.0)</f>
        <v>50</v>
      </c>
      <c r="Q763" s="360"/>
    </row>
    <row r="764" ht="12.75" customHeight="1">
      <c r="G764" s="359" t="s">
        <v>1484</v>
      </c>
      <c r="H764" s="281">
        <v>50.0</v>
      </c>
      <c r="I764" s="358">
        <v>0.0024423602969910123</v>
      </c>
      <c r="K764" s="281"/>
      <c r="L764" s="359"/>
      <c r="M764" s="360"/>
      <c r="O764" s="372" t="str">
        <f>IFERROR(__xludf.DUMMYFUNCTION("""COMPUTED_VALUE"""),"Dead Man Bay - Rum 1★ #81C")</f>
        <v>Dead Man Bay - Rum 1★ #81C</v>
      </c>
      <c r="P764" s="281">
        <f>IFERROR(__xludf.DUMMYFUNCTION("""COMPUTED_VALUE"""),50.0)</f>
        <v>50</v>
      </c>
      <c r="Q764" s="360"/>
    </row>
    <row r="765" ht="12.75" customHeight="1">
      <c r="G765" s="359" t="s">
        <v>1485</v>
      </c>
      <c r="H765" s="281">
        <v>50.0</v>
      </c>
      <c r="I765" s="358">
        <v>0.0024423602969910123</v>
      </c>
      <c r="K765" s="281"/>
      <c r="L765" s="359"/>
      <c r="M765" s="360"/>
      <c r="O765" s="372" t="str">
        <f>IFERROR(__xludf.DUMMYFUNCTION("""COMPUTED_VALUE"""),"Dead Man Bay - Rum 1★ #2D1")</f>
        <v>Dead Man Bay - Rum 1★ #2D1</v>
      </c>
      <c r="P765" s="281">
        <f>IFERROR(__xludf.DUMMYFUNCTION("""COMPUTED_VALUE"""),50.0)</f>
        <v>50</v>
      </c>
      <c r="Q765" s="360"/>
    </row>
    <row r="766" ht="12.75" customHeight="1">
      <c r="G766" s="359" t="s">
        <v>1486</v>
      </c>
      <c r="H766" s="281">
        <v>50.0</v>
      </c>
      <c r="I766" s="358">
        <v>0.0024423602969910123</v>
      </c>
      <c r="K766" s="281"/>
      <c r="L766" s="359"/>
      <c r="M766" s="360"/>
      <c r="O766" s="372" t="str">
        <f>IFERROR(__xludf.DUMMYFUNCTION("""COMPUTED_VALUE"""),"Dead Man Bay - Rum 1★ #D86")</f>
        <v>Dead Man Bay - Rum 1★ #D86</v>
      </c>
      <c r="P766" s="281">
        <f>IFERROR(__xludf.DUMMYFUNCTION("""COMPUTED_VALUE"""),50.0)</f>
        <v>50</v>
      </c>
      <c r="Q766" s="360"/>
    </row>
    <row r="767" ht="12.75" customHeight="1">
      <c r="G767" s="359" t="s">
        <v>1487</v>
      </c>
      <c r="H767" s="281">
        <v>50.0</v>
      </c>
      <c r="I767" s="358">
        <v>0.0024423602969910123</v>
      </c>
      <c r="K767" s="281"/>
      <c r="L767" s="359"/>
      <c r="M767" s="360"/>
      <c r="O767" s="372" t="str">
        <f>IFERROR(__xludf.DUMMYFUNCTION("""COMPUTED_VALUE"""),"Dead Man Bay - Rum 1★ #83B")</f>
        <v>Dead Man Bay - Rum 1★ #83B</v>
      </c>
      <c r="P767" s="281">
        <f>IFERROR(__xludf.DUMMYFUNCTION("""COMPUTED_VALUE"""),50.0)</f>
        <v>50</v>
      </c>
      <c r="Q767" s="360"/>
    </row>
    <row r="768" ht="12.75" customHeight="1">
      <c r="G768" s="359" t="s">
        <v>1488</v>
      </c>
      <c r="H768" s="281">
        <v>50.0</v>
      </c>
      <c r="I768" s="358">
        <v>0.0024423602969910123</v>
      </c>
      <c r="K768" s="281"/>
      <c r="L768" s="359"/>
      <c r="M768" s="360"/>
      <c r="O768" s="372" t="str">
        <f>IFERROR(__xludf.DUMMYFUNCTION("""COMPUTED_VALUE"""),"Dead Man Bay - Rum 1★ #2F0")</f>
        <v>Dead Man Bay - Rum 1★ #2F0</v>
      </c>
      <c r="P768" s="281">
        <f>IFERROR(__xludf.DUMMYFUNCTION("""COMPUTED_VALUE"""),50.0)</f>
        <v>50</v>
      </c>
      <c r="Q768" s="360"/>
    </row>
    <row r="769" ht="12.75" customHeight="1">
      <c r="G769" s="359" t="s">
        <v>1489</v>
      </c>
      <c r="H769" s="281">
        <v>50.0</v>
      </c>
      <c r="I769" s="358">
        <v>0.0024423602969910123</v>
      </c>
      <c r="K769" s="281"/>
      <c r="L769" s="359"/>
      <c r="M769" s="360"/>
      <c r="O769" s="372" t="str">
        <f>IFERROR(__xludf.DUMMYFUNCTION("""COMPUTED_VALUE"""),"Dead Man Bay - Rum 1★ #DA5")</f>
        <v>Dead Man Bay - Rum 1★ #DA5</v>
      </c>
      <c r="P769" s="281">
        <f>IFERROR(__xludf.DUMMYFUNCTION("""COMPUTED_VALUE"""),50.0)</f>
        <v>50</v>
      </c>
      <c r="Q769" s="360"/>
    </row>
    <row r="770" ht="12.75" customHeight="1">
      <c r="G770" s="359" t="s">
        <v>1490</v>
      </c>
      <c r="H770" s="281">
        <v>20.0</v>
      </c>
      <c r="I770" s="358">
        <v>9.769441187964048E-4</v>
      </c>
      <c r="K770" s="281"/>
      <c r="L770" s="359"/>
      <c r="M770" s="360"/>
      <c r="O770" s="372" t="str">
        <f>IFERROR(__xludf.DUMMYFUNCTION("""COMPUTED_VALUE"""),"Dead Man Bay - Treasure Map 2★ #85A")</f>
        <v>Dead Man Bay - Treasure Map 2★ #85A</v>
      </c>
      <c r="P770" s="281">
        <f>IFERROR(__xludf.DUMMYFUNCTION("""COMPUTED_VALUE"""),20.0)</f>
        <v>20</v>
      </c>
      <c r="Q770" s="360"/>
    </row>
    <row r="771" ht="12.75" customHeight="1">
      <c r="G771" s="359" t="s">
        <v>1491</v>
      </c>
      <c r="H771" s="281">
        <v>20.0</v>
      </c>
      <c r="I771" s="358">
        <v>9.769441187964048E-4</v>
      </c>
      <c r="K771" s="281"/>
      <c r="L771" s="359"/>
      <c r="M771" s="360"/>
      <c r="O771" s="372" t="str">
        <f>IFERROR(__xludf.DUMMYFUNCTION("""COMPUTED_VALUE"""),"Dead Man Bay - Treasure Map 2★ #30F")</f>
        <v>Dead Man Bay - Treasure Map 2★ #30F</v>
      </c>
      <c r="P771" s="281">
        <f>IFERROR(__xludf.DUMMYFUNCTION("""COMPUTED_VALUE"""),20.0)</f>
        <v>20</v>
      </c>
      <c r="Q771" s="360"/>
    </row>
    <row r="772" ht="12.75" customHeight="1">
      <c r="G772" s="359" t="s">
        <v>1492</v>
      </c>
      <c r="H772" s="281">
        <v>20.0</v>
      </c>
      <c r="I772" s="358">
        <v>9.769441187964048E-4</v>
      </c>
      <c r="K772" s="281"/>
      <c r="L772" s="359"/>
      <c r="M772" s="360"/>
      <c r="O772" s="372" t="str">
        <f>IFERROR(__xludf.DUMMYFUNCTION("""COMPUTED_VALUE"""),"Dead Man Bay - Treasure Map 2★ #DC4")</f>
        <v>Dead Man Bay - Treasure Map 2★ #DC4</v>
      </c>
      <c r="P772" s="281">
        <f>IFERROR(__xludf.DUMMYFUNCTION("""COMPUTED_VALUE"""),20.0)</f>
        <v>20</v>
      </c>
      <c r="Q772" s="360"/>
    </row>
    <row r="773" ht="12.75" customHeight="1">
      <c r="G773" s="359" t="s">
        <v>1493</v>
      </c>
      <c r="H773" s="281">
        <v>20.0</v>
      </c>
      <c r="I773" s="358">
        <v>9.769441187964048E-4</v>
      </c>
      <c r="K773" s="281"/>
      <c r="L773" s="359"/>
      <c r="M773" s="360"/>
      <c r="O773" s="372" t="str">
        <f>IFERROR(__xludf.DUMMYFUNCTION("""COMPUTED_VALUE"""),"Dead Man Bay - Treasure Map 2★ #879")</f>
        <v>Dead Man Bay - Treasure Map 2★ #879</v>
      </c>
      <c r="P773" s="281">
        <f>IFERROR(__xludf.DUMMYFUNCTION("""COMPUTED_VALUE"""),20.0)</f>
        <v>20</v>
      </c>
      <c r="Q773" s="360"/>
    </row>
    <row r="774" ht="12.75" customHeight="1">
      <c r="G774" s="359" t="s">
        <v>1494</v>
      </c>
      <c r="H774" s="281">
        <v>20.0</v>
      </c>
      <c r="I774" s="358">
        <v>9.769441187964048E-4</v>
      </c>
      <c r="K774" s="281"/>
      <c r="L774" s="359"/>
      <c r="M774" s="360"/>
      <c r="O774" s="372" t="str">
        <f>IFERROR(__xludf.DUMMYFUNCTION("""COMPUTED_VALUE"""),"Dead Man Bay - Treasure Map 2★ #32E")</f>
        <v>Dead Man Bay - Treasure Map 2★ #32E</v>
      </c>
      <c r="P774" s="281">
        <f>IFERROR(__xludf.DUMMYFUNCTION("""COMPUTED_VALUE"""),20.0)</f>
        <v>20</v>
      </c>
      <c r="Q774" s="360"/>
    </row>
    <row r="775" ht="12.75" customHeight="1">
      <c r="G775" s="359" t="s">
        <v>1495</v>
      </c>
      <c r="H775" s="281">
        <v>20.0</v>
      </c>
      <c r="I775" s="358">
        <v>9.769441187964048E-4</v>
      </c>
      <c r="K775" s="281"/>
      <c r="L775" s="359"/>
      <c r="M775" s="360"/>
      <c r="O775" s="372" t="str">
        <f>IFERROR(__xludf.DUMMYFUNCTION("""COMPUTED_VALUE"""),"Dead Man Bay - Treasure Map 2★ #DE3")</f>
        <v>Dead Man Bay - Treasure Map 2★ #DE3</v>
      </c>
      <c r="P775" s="281">
        <f>IFERROR(__xludf.DUMMYFUNCTION("""COMPUTED_VALUE"""),20.0)</f>
        <v>20</v>
      </c>
      <c r="Q775" s="360"/>
    </row>
    <row r="776" ht="12.75" customHeight="1">
      <c r="G776" s="359" t="s">
        <v>1496</v>
      </c>
      <c r="H776" s="281">
        <v>20.0</v>
      </c>
      <c r="I776" s="358">
        <v>9.769441187964048E-4</v>
      </c>
      <c r="K776" s="281"/>
      <c r="L776" s="359"/>
      <c r="M776" s="360"/>
      <c r="O776" s="372" t="str">
        <f>IFERROR(__xludf.DUMMYFUNCTION("""COMPUTED_VALUE"""),"Dead Man Bay - Treasure Map 2★ #898")</f>
        <v>Dead Man Bay - Treasure Map 2★ #898</v>
      </c>
      <c r="P776" s="281">
        <f>IFERROR(__xludf.DUMMYFUNCTION("""COMPUTED_VALUE"""),20.0)</f>
        <v>20</v>
      </c>
      <c r="Q776" s="360"/>
    </row>
    <row r="777" ht="12.75" customHeight="1">
      <c r="G777" s="359" t="s">
        <v>1497</v>
      </c>
      <c r="H777" s="281">
        <v>20.0</v>
      </c>
      <c r="I777" s="358">
        <v>9.769441187964048E-4</v>
      </c>
      <c r="K777" s="281"/>
      <c r="L777" s="359"/>
      <c r="M777" s="360"/>
      <c r="O777" s="372" t="str">
        <f>IFERROR(__xludf.DUMMYFUNCTION("""COMPUTED_VALUE"""),"Dead Man Bay - Treasure Map 2★ #34D")</f>
        <v>Dead Man Bay - Treasure Map 2★ #34D</v>
      </c>
      <c r="P777" s="281">
        <f>IFERROR(__xludf.DUMMYFUNCTION("""COMPUTED_VALUE"""),20.0)</f>
        <v>20</v>
      </c>
      <c r="Q777" s="360"/>
    </row>
    <row r="778" ht="12.75" customHeight="1">
      <c r="G778" s="359" t="s">
        <v>1498</v>
      </c>
      <c r="H778" s="281">
        <v>20.0</v>
      </c>
      <c r="I778" s="358">
        <v>9.769441187964048E-4</v>
      </c>
      <c r="K778" s="281"/>
      <c r="L778" s="359"/>
      <c r="M778" s="360"/>
      <c r="O778" s="372" t="str">
        <f>IFERROR(__xludf.DUMMYFUNCTION("""COMPUTED_VALUE"""),"Dead Man Bay - Treasure Map 2★ #E02")</f>
        <v>Dead Man Bay - Treasure Map 2★ #E02</v>
      </c>
      <c r="P778" s="281">
        <f>IFERROR(__xludf.DUMMYFUNCTION("""COMPUTED_VALUE"""),20.0)</f>
        <v>20</v>
      </c>
      <c r="Q778" s="360"/>
    </row>
    <row r="779" ht="12.75" customHeight="1">
      <c r="G779" s="359" t="s">
        <v>1499</v>
      </c>
      <c r="H779" s="281">
        <v>20.0</v>
      </c>
      <c r="I779" s="358">
        <v>9.769441187964048E-4</v>
      </c>
      <c r="K779" s="281"/>
      <c r="L779" s="359"/>
      <c r="M779" s="360"/>
      <c r="O779" s="372" t="str">
        <f>IFERROR(__xludf.DUMMYFUNCTION("""COMPUTED_VALUE"""),"Dead Man Bay - Treasure Map 2★ #8B7")</f>
        <v>Dead Man Bay - Treasure Map 2★ #8B7</v>
      </c>
      <c r="P779" s="281">
        <f>IFERROR(__xludf.DUMMYFUNCTION("""COMPUTED_VALUE"""),20.0)</f>
        <v>20</v>
      </c>
      <c r="Q779" s="360"/>
    </row>
    <row r="780" ht="12.75" customHeight="1">
      <c r="G780" s="359" t="s">
        <v>1500</v>
      </c>
      <c r="H780" s="281">
        <v>20.0</v>
      </c>
      <c r="I780" s="358">
        <v>9.769441187964048E-4</v>
      </c>
      <c r="K780" s="281"/>
      <c r="L780" s="359"/>
      <c r="M780" s="360"/>
      <c r="O780" s="372" t="str">
        <f>IFERROR(__xludf.DUMMYFUNCTION("""COMPUTED_VALUE"""),"Dead Man Bay - Treasure Map 2★ #36C")</f>
        <v>Dead Man Bay - Treasure Map 2★ #36C</v>
      </c>
      <c r="P780" s="281">
        <f>IFERROR(__xludf.DUMMYFUNCTION("""COMPUTED_VALUE"""),20.0)</f>
        <v>20</v>
      </c>
      <c r="Q780" s="360"/>
    </row>
    <row r="781" ht="12.75" customHeight="1">
      <c r="G781" s="359" t="s">
        <v>1501</v>
      </c>
      <c r="H781" s="281">
        <v>20.0</v>
      </c>
      <c r="I781" s="358">
        <v>9.769441187964048E-4</v>
      </c>
      <c r="K781" s="281"/>
      <c r="L781" s="359"/>
      <c r="M781" s="360"/>
      <c r="O781" s="372" t="str">
        <f>IFERROR(__xludf.DUMMYFUNCTION("""COMPUTED_VALUE"""),"Dead Man Bay - Treasure Map 2★ #E21")</f>
        <v>Dead Man Bay - Treasure Map 2★ #E21</v>
      </c>
      <c r="P781" s="281">
        <f>IFERROR(__xludf.DUMMYFUNCTION("""COMPUTED_VALUE"""),20.0)</f>
        <v>20</v>
      </c>
      <c r="Q781" s="360"/>
    </row>
    <row r="782" ht="12.75" customHeight="1">
      <c r="G782" s="359" t="s">
        <v>1502</v>
      </c>
      <c r="H782" s="281">
        <v>20.0</v>
      </c>
      <c r="I782" s="358">
        <v>9.769441187964048E-4</v>
      </c>
      <c r="K782" s="281"/>
      <c r="L782" s="359"/>
      <c r="M782" s="360"/>
      <c r="O782" s="372" t="str">
        <f>IFERROR(__xludf.DUMMYFUNCTION("""COMPUTED_VALUE"""),"Dead Man Bay - Jolly Roger 2★ #8D6")</f>
        <v>Dead Man Bay - Jolly Roger 2★ #8D6</v>
      </c>
      <c r="P782" s="281">
        <f>IFERROR(__xludf.DUMMYFUNCTION("""COMPUTED_VALUE"""),20.0)</f>
        <v>20</v>
      </c>
      <c r="Q782" s="360"/>
    </row>
    <row r="783" ht="12.75" customHeight="1">
      <c r="G783" s="359" t="s">
        <v>1503</v>
      </c>
      <c r="H783" s="281">
        <v>20.0</v>
      </c>
      <c r="I783" s="358">
        <v>9.769441187964048E-4</v>
      </c>
      <c r="K783" s="281"/>
      <c r="L783" s="359"/>
      <c r="M783" s="360"/>
      <c r="O783" s="372" t="str">
        <f>IFERROR(__xludf.DUMMYFUNCTION("""COMPUTED_VALUE"""),"Dead Man Bay - Jolly Roger 2★ #38B")</f>
        <v>Dead Man Bay - Jolly Roger 2★ #38B</v>
      </c>
      <c r="P783" s="281">
        <f>IFERROR(__xludf.DUMMYFUNCTION("""COMPUTED_VALUE"""),20.0)</f>
        <v>20</v>
      </c>
      <c r="Q783" s="360"/>
    </row>
    <row r="784" ht="12.75" customHeight="1">
      <c r="G784" s="359" t="s">
        <v>1504</v>
      </c>
      <c r="H784" s="281">
        <v>20.0</v>
      </c>
      <c r="I784" s="358">
        <v>9.769441187964048E-4</v>
      </c>
      <c r="K784" s="281"/>
      <c r="L784" s="359"/>
      <c r="M784" s="360"/>
      <c r="O784" s="372" t="str">
        <f>IFERROR(__xludf.DUMMYFUNCTION("""COMPUTED_VALUE"""),"Dead Man Bay - Jolly Roger 2★ #E40")</f>
        <v>Dead Man Bay - Jolly Roger 2★ #E40</v>
      </c>
      <c r="P784" s="281">
        <f>IFERROR(__xludf.DUMMYFUNCTION("""COMPUTED_VALUE"""),20.0)</f>
        <v>20</v>
      </c>
      <c r="Q784" s="360"/>
    </row>
    <row r="785" ht="12.75" customHeight="1">
      <c r="G785" s="359" t="s">
        <v>1505</v>
      </c>
      <c r="H785" s="281">
        <v>20.0</v>
      </c>
      <c r="I785" s="358">
        <v>9.769441187964048E-4</v>
      </c>
      <c r="K785" s="281"/>
      <c r="L785" s="359"/>
      <c r="M785" s="360"/>
      <c r="O785" s="372" t="str">
        <f>IFERROR(__xludf.DUMMYFUNCTION("""COMPUTED_VALUE"""),"Dead Man Bay - Jolly Roger 2★ #8F5")</f>
        <v>Dead Man Bay - Jolly Roger 2★ #8F5</v>
      </c>
      <c r="P785" s="281">
        <f>IFERROR(__xludf.DUMMYFUNCTION("""COMPUTED_VALUE"""),20.0)</f>
        <v>20</v>
      </c>
      <c r="Q785" s="360"/>
    </row>
    <row r="786" ht="12.75" customHeight="1">
      <c r="G786" s="359" t="s">
        <v>1506</v>
      </c>
      <c r="H786" s="281">
        <v>20.0</v>
      </c>
      <c r="I786" s="358">
        <v>9.769441187964048E-4</v>
      </c>
      <c r="K786" s="281"/>
      <c r="L786" s="359"/>
      <c r="M786" s="360"/>
      <c r="O786" s="372" t="str">
        <f>IFERROR(__xludf.DUMMYFUNCTION("""COMPUTED_VALUE"""),"Dead Man Bay - Jolly Roger 2★ #3AA")</f>
        <v>Dead Man Bay - Jolly Roger 2★ #3AA</v>
      </c>
      <c r="P786" s="281">
        <f>IFERROR(__xludf.DUMMYFUNCTION("""COMPUTED_VALUE"""),20.0)</f>
        <v>20</v>
      </c>
      <c r="Q786" s="360"/>
    </row>
    <row r="787" ht="12.75" customHeight="1">
      <c r="G787" s="359" t="s">
        <v>1507</v>
      </c>
      <c r="H787" s="281">
        <v>20.0</v>
      </c>
      <c r="I787" s="358">
        <v>9.769441187964048E-4</v>
      </c>
      <c r="K787" s="281"/>
      <c r="L787" s="359"/>
      <c r="M787" s="360"/>
      <c r="O787" s="372" t="str">
        <f>IFERROR(__xludf.DUMMYFUNCTION("""COMPUTED_VALUE"""),"Dead Man Bay - Jolly Roger 2★ #E5F")</f>
        <v>Dead Man Bay - Jolly Roger 2★ #E5F</v>
      </c>
      <c r="P787" s="281">
        <f>IFERROR(__xludf.DUMMYFUNCTION("""COMPUTED_VALUE"""),20.0)</f>
        <v>20</v>
      </c>
      <c r="Q787" s="360"/>
    </row>
    <row r="788" ht="12.75" customHeight="1">
      <c r="G788" s="359" t="s">
        <v>1508</v>
      </c>
      <c r="H788" s="281">
        <v>20.0</v>
      </c>
      <c r="I788" s="358">
        <v>9.769441187964048E-4</v>
      </c>
      <c r="K788" s="281"/>
      <c r="L788" s="359"/>
      <c r="M788" s="360"/>
      <c r="O788" s="372" t="str">
        <f>IFERROR(__xludf.DUMMYFUNCTION("""COMPUTED_VALUE"""),"Dead Man Bay - Jolly Roger 2★ #914")</f>
        <v>Dead Man Bay - Jolly Roger 2★ #914</v>
      </c>
      <c r="P788" s="281">
        <f>IFERROR(__xludf.DUMMYFUNCTION("""COMPUTED_VALUE"""),20.0)</f>
        <v>20</v>
      </c>
      <c r="Q788" s="360"/>
    </row>
    <row r="789" ht="12.75" customHeight="1">
      <c r="G789" s="359" t="s">
        <v>1509</v>
      </c>
      <c r="H789" s="281">
        <v>20.0</v>
      </c>
      <c r="I789" s="358">
        <v>9.769441187964048E-4</v>
      </c>
      <c r="K789" s="281"/>
      <c r="L789" s="359"/>
      <c r="M789" s="360"/>
      <c r="O789" s="372" t="str">
        <f>IFERROR(__xludf.DUMMYFUNCTION("""COMPUTED_VALUE"""),"Dead Man Bay - Jolly Roger 2★ #3C9")</f>
        <v>Dead Man Bay - Jolly Roger 2★ #3C9</v>
      </c>
      <c r="P789" s="281">
        <f>IFERROR(__xludf.DUMMYFUNCTION("""COMPUTED_VALUE"""),20.0)</f>
        <v>20</v>
      </c>
      <c r="Q789" s="360"/>
    </row>
    <row r="790" ht="12.75" customHeight="1">
      <c r="G790" s="359" t="s">
        <v>1510</v>
      </c>
      <c r="H790" s="281">
        <v>20.0</v>
      </c>
      <c r="I790" s="358">
        <v>9.769441187964048E-4</v>
      </c>
      <c r="K790" s="281"/>
      <c r="L790" s="359"/>
      <c r="M790" s="360"/>
      <c r="O790" s="372" t="str">
        <f>IFERROR(__xludf.DUMMYFUNCTION("""COMPUTED_VALUE"""),"Dead Man Bay - Jolly Roger 2★ #E7E")</f>
        <v>Dead Man Bay - Jolly Roger 2★ #E7E</v>
      </c>
      <c r="P790" s="281">
        <f>IFERROR(__xludf.DUMMYFUNCTION("""COMPUTED_VALUE"""),20.0)</f>
        <v>20</v>
      </c>
      <c r="Q790" s="360"/>
    </row>
    <row r="791" ht="12.75" customHeight="1">
      <c r="G791" s="359" t="s">
        <v>1511</v>
      </c>
      <c r="H791" s="281">
        <v>20.0</v>
      </c>
      <c r="I791" s="358">
        <v>9.769441187964048E-4</v>
      </c>
      <c r="K791" s="281"/>
      <c r="L791" s="359"/>
      <c r="M791" s="360"/>
      <c r="O791" s="372" t="str">
        <f>IFERROR(__xludf.DUMMYFUNCTION("""COMPUTED_VALUE"""),"Dead Man Bay - Jolly Roger 2★ #933")</f>
        <v>Dead Man Bay - Jolly Roger 2★ #933</v>
      </c>
      <c r="P791" s="281">
        <f>IFERROR(__xludf.DUMMYFUNCTION("""COMPUTED_VALUE"""),20.0)</f>
        <v>20</v>
      </c>
      <c r="Q791" s="360"/>
    </row>
    <row r="792" ht="12.75" customHeight="1">
      <c r="G792" s="359" t="s">
        <v>1512</v>
      </c>
      <c r="H792" s="281">
        <v>20.0</v>
      </c>
      <c r="I792" s="358">
        <v>9.769441187964048E-4</v>
      </c>
      <c r="K792" s="281"/>
      <c r="L792" s="359"/>
      <c r="M792" s="360"/>
      <c r="O792" s="372" t="str">
        <f>IFERROR(__xludf.DUMMYFUNCTION("""COMPUTED_VALUE"""),"Dead Man Bay - Jolly Roger 2★ #3E8")</f>
        <v>Dead Man Bay - Jolly Roger 2★ #3E8</v>
      </c>
      <c r="P792" s="281">
        <f>IFERROR(__xludf.DUMMYFUNCTION("""COMPUTED_VALUE"""),20.0)</f>
        <v>20</v>
      </c>
      <c r="Q792" s="360"/>
    </row>
    <row r="793" ht="12.75" customHeight="1">
      <c r="G793" s="359" t="s">
        <v>1513</v>
      </c>
      <c r="H793" s="281">
        <v>20.0</v>
      </c>
      <c r="I793" s="358">
        <v>9.769441187964048E-4</v>
      </c>
      <c r="K793" s="281"/>
      <c r="L793" s="359"/>
      <c r="M793" s="360"/>
      <c r="O793" s="372" t="str">
        <f>IFERROR(__xludf.DUMMYFUNCTION("""COMPUTED_VALUE"""),"Dead Man Bay - Jolly Roger 2★ #E9D")</f>
        <v>Dead Man Bay - Jolly Roger 2★ #E9D</v>
      </c>
      <c r="P793" s="281">
        <f>IFERROR(__xludf.DUMMYFUNCTION("""COMPUTED_VALUE"""),20.0)</f>
        <v>20</v>
      </c>
      <c r="Q793" s="360"/>
    </row>
    <row r="794" ht="12.75" customHeight="1">
      <c r="G794" s="359" t="s">
        <v>1514</v>
      </c>
      <c r="H794" s="281">
        <v>10.0</v>
      </c>
      <c r="I794" s="358">
        <v>4.884720593982024E-4</v>
      </c>
      <c r="K794" s="281"/>
      <c r="L794" s="359"/>
      <c r="M794" s="360"/>
      <c r="O794" s="372" t="str">
        <f>IFERROR(__xludf.DUMMYFUNCTION("""COMPUTED_VALUE"""),"Dead Man Bay - Gold Tooth 3★ #952")</f>
        <v>Dead Man Bay - Gold Tooth 3★ #952</v>
      </c>
      <c r="P794" s="281">
        <f>IFERROR(__xludf.DUMMYFUNCTION("""COMPUTED_VALUE"""),10.0)</f>
        <v>10</v>
      </c>
      <c r="Q794" s="360"/>
    </row>
    <row r="795" ht="12.75" customHeight="1">
      <c r="G795" s="359" t="s">
        <v>1515</v>
      </c>
      <c r="H795" s="281">
        <v>10.0</v>
      </c>
      <c r="I795" s="358">
        <v>4.884720593982024E-4</v>
      </c>
      <c r="K795" s="281"/>
      <c r="L795" s="359"/>
      <c r="M795" s="360"/>
      <c r="O795" s="372" t="str">
        <f>IFERROR(__xludf.DUMMYFUNCTION("""COMPUTED_VALUE"""),"Dead Man Bay - Gold Tooth 3★ #407")</f>
        <v>Dead Man Bay - Gold Tooth 3★ #407</v>
      </c>
      <c r="P795" s="281">
        <f>IFERROR(__xludf.DUMMYFUNCTION("""COMPUTED_VALUE"""),10.0)</f>
        <v>10</v>
      </c>
      <c r="Q795" s="360"/>
    </row>
    <row r="796" ht="12.75" customHeight="1">
      <c r="G796" s="359" t="s">
        <v>1516</v>
      </c>
      <c r="H796" s="281">
        <v>10.0</v>
      </c>
      <c r="I796" s="358">
        <v>4.884720593982024E-4</v>
      </c>
      <c r="K796" s="281"/>
      <c r="L796" s="359"/>
      <c r="M796" s="360"/>
      <c r="O796" s="372" t="str">
        <f>IFERROR(__xludf.DUMMYFUNCTION("""COMPUTED_VALUE"""),"Dead Man Bay - Gold Tooth 3★ #EBC")</f>
        <v>Dead Man Bay - Gold Tooth 3★ #EBC</v>
      </c>
      <c r="P796" s="281">
        <f>IFERROR(__xludf.DUMMYFUNCTION("""COMPUTED_VALUE"""),10.0)</f>
        <v>10</v>
      </c>
      <c r="Q796" s="360"/>
    </row>
    <row r="797" ht="12.75" customHeight="1">
      <c r="G797" s="359" t="s">
        <v>1517</v>
      </c>
      <c r="H797" s="281">
        <v>10.0</v>
      </c>
      <c r="I797" s="358">
        <v>4.884720593982024E-4</v>
      </c>
      <c r="K797" s="281"/>
      <c r="L797" s="359"/>
      <c r="M797" s="360"/>
      <c r="O797" s="372" t="str">
        <f>IFERROR(__xludf.DUMMYFUNCTION("""COMPUTED_VALUE"""),"Dead Man Bay - Gold Tooth 3★ #971")</f>
        <v>Dead Man Bay - Gold Tooth 3★ #971</v>
      </c>
      <c r="P797" s="281">
        <f>IFERROR(__xludf.DUMMYFUNCTION("""COMPUTED_VALUE"""),10.0)</f>
        <v>10</v>
      </c>
      <c r="Q797" s="360"/>
    </row>
    <row r="798" ht="12.75" customHeight="1">
      <c r="G798" s="359" t="s">
        <v>1518</v>
      </c>
      <c r="H798" s="281">
        <v>10.0</v>
      </c>
      <c r="I798" s="358">
        <v>4.884720593982024E-4</v>
      </c>
      <c r="K798" s="281"/>
      <c r="L798" s="359"/>
      <c r="M798" s="360"/>
      <c r="O798" s="372" t="str">
        <f>IFERROR(__xludf.DUMMYFUNCTION("""COMPUTED_VALUE"""),"Dead Man Bay - Gold Tooth 3★ #426")</f>
        <v>Dead Man Bay - Gold Tooth 3★ #426</v>
      </c>
      <c r="P798" s="281">
        <f>IFERROR(__xludf.DUMMYFUNCTION("""COMPUTED_VALUE"""),10.0)</f>
        <v>10</v>
      </c>
      <c r="Q798" s="360"/>
    </row>
    <row r="799" ht="12.75" customHeight="1">
      <c r="G799" s="359" t="s">
        <v>1519</v>
      </c>
      <c r="H799" s="281">
        <v>10.0</v>
      </c>
      <c r="I799" s="358">
        <v>4.884720593982024E-4</v>
      </c>
      <c r="K799" s="281"/>
      <c r="L799" s="359"/>
      <c r="M799" s="360"/>
      <c r="O799" s="372" t="str">
        <f>IFERROR(__xludf.DUMMYFUNCTION("""COMPUTED_VALUE"""),"Dead Man Bay - Gold Tooth 3★ #EDB")</f>
        <v>Dead Man Bay - Gold Tooth 3★ #EDB</v>
      </c>
      <c r="P799" s="281">
        <f>IFERROR(__xludf.DUMMYFUNCTION("""COMPUTED_VALUE"""),10.0)</f>
        <v>10</v>
      </c>
      <c r="Q799" s="360"/>
    </row>
    <row r="800" ht="12.75" customHeight="1">
      <c r="G800" s="359" t="s">
        <v>1520</v>
      </c>
      <c r="H800" s="281">
        <v>10.0</v>
      </c>
      <c r="I800" s="358">
        <v>4.884720593982024E-4</v>
      </c>
      <c r="K800" s="281"/>
      <c r="L800" s="359"/>
      <c r="M800" s="360"/>
      <c r="O800" s="372" t="str">
        <f>IFERROR(__xludf.DUMMYFUNCTION("""COMPUTED_VALUE"""),"Dead Man Bay - Gold Tooth 3★ #990")</f>
        <v>Dead Man Bay - Gold Tooth 3★ #990</v>
      </c>
      <c r="P800" s="281">
        <f>IFERROR(__xludf.DUMMYFUNCTION("""COMPUTED_VALUE"""),10.0)</f>
        <v>10</v>
      </c>
      <c r="Q800" s="360"/>
    </row>
    <row r="801" ht="12.75" customHeight="1">
      <c r="G801" s="359" t="s">
        <v>1521</v>
      </c>
      <c r="H801" s="281">
        <v>10.0</v>
      </c>
      <c r="I801" s="358">
        <v>4.884720593982024E-4</v>
      </c>
      <c r="K801" s="281"/>
      <c r="L801" s="359"/>
      <c r="M801" s="360"/>
      <c r="O801" s="372" t="str">
        <f>IFERROR(__xludf.DUMMYFUNCTION("""COMPUTED_VALUE"""),"Dead Man Bay - Gold Tooth 3★ #445")</f>
        <v>Dead Man Bay - Gold Tooth 3★ #445</v>
      </c>
      <c r="P801" s="281">
        <f>IFERROR(__xludf.DUMMYFUNCTION("""COMPUTED_VALUE"""),10.0)</f>
        <v>10</v>
      </c>
      <c r="Q801" s="360"/>
    </row>
    <row r="802" ht="12.75" customHeight="1">
      <c r="G802" s="359" t="s">
        <v>1522</v>
      </c>
      <c r="H802" s="281">
        <v>10.0</v>
      </c>
      <c r="I802" s="358">
        <v>4.884720593982024E-4</v>
      </c>
      <c r="K802" s="281"/>
      <c r="L802" s="359"/>
      <c r="M802" s="360"/>
      <c r="O802" s="372" t="str">
        <f>IFERROR(__xludf.DUMMYFUNCTION("""COMPUTED_VALUE"""),"Dead Man Bay - Gold Tooth 3★ #EFA")</f>
        <v>Dead Man Bay - Gold Tooth 3★ #EFA</v>
      </c>
      <c r="P802" s="281">
        <f>IFERROR(__xludf.DUMMYFUNCTION("""COMPUTED_VALUE"""),10.0)</f>
        <v>10</v>
      </c>
      <c r="Q802" s="360"/>
    </row>
    <row r="803" ht="12.75" customHeight="1">
      <c r="G803" s="359" t="s">
        <v>1523</v>
      </c>
      <c r="H803" s="281">
        <v>10.0</v>
      </c>
      <c r="I803" s="358">
        <v>4.884720593982024E-4</v>
      </c>
      <c r="K803" s="281"/>
      <c r="L803" s="359"/>
      <c r="M803" s="360"/>
      <c r="O803" s="372" t="str">
        <f>IFERROR(__xludf.DUMMYFUNCTION("""COMPUTED_VALUE"""),"Dead Man Bay - Gold Tooth 3★ #9AF")</f>
        <v>Dead Man Bay - Gold Tooth 3★ #9AF</v>
      </c>
      <c r="P803" s="281">
        <f>IFERROR(__xludf.DUMMYFUNCTION("""COMPUTED_VALUE"""),10.0)</f>
        <v>10</v>
      </c>
      <c r="Q803" s="360"/>
    </row>
    <row r="804" ht="12.75" customHeight="1">
      <c r="G804" s="359" t="s">
        <v>1524</v>
      </c>
      <c r="H804" s="281">
        <v>10.0</v>
      </c>
      <c r="I804" s="358">
        <v>4.884720593982024E-4</v>
      </c>
      <c r="K804" s="281"/>
      <c r="L804" s="359"/>
      <c r="M804" s="360"/>
      <c r="O804" s="372" t="str">
        <f>IFERROR(__xludf.DUMMYFUNCTION("""COMPUTED_VALUE"""),"Dead Man Bay - Gold Tooth 3★ #464")</f>
        <v>Dead Man Bay - Gold Tooth 3★ #464</v>
      </c>
      <c r="P804" s="281">
        <f>IFERROR(__xludf.DUMMYFUNCTION("""COMPUTED_VALUE"""),10.0)</f>
        <v>10</v>
      </c>
      <c r="Q804" s="360"/>
    </row>
    <row r="805" ht="12.75" customHeight="1">
      <c r="G805" s="359" t="s">
        <v>1525</v>
      </c>
      <c r="H805" s="281">
        <v>10.0</v>
      </c>
      <c r="I805" s="358">
        <v>4.884720593982024E-4</v>
      </c>
      <c r="K805" s="281"/>
      <c r="L805" s="359"/>
      <c r="M805" s="360"/>
      <c r="O805" s="372" t="str">
        <f>IFERROR(__xludf.DUMMYFUNCTION("""COMPUTED_VALUE"""),"Dead Man Bay - Gold Tooth 3★ #F19")</f>
        <v>Dead Man Bay - Gold Tooth 3★ #F19</v>
      </c>
      <c r="P805" s="281">
        <f>IFERROR(__xludf.DUMMYFUNCTION("""COMPUTED_VALUE"""),10.0)</f>
        <v>10</v>
      </c>
      <c r="Q805" s="360"/>
    </row>
    <row r="806" ht="12.75" customHeight="1">
      <c r="G806" s="359" t="s">
        <v>1526</v>
      </c>
      <c r="H806" s="281">
        <v>10.0</v>
      </c>
      <c r="I806" s="358">
        <v>4.884720593982024E-4</v>
      </c>
      <c r="K806" s="281"/>
      <c r="L806" s="359"/>
      <c r="M806" s="360"/>
      <c r="O806" s="372" t="str">
        <f>IFERROR(__xludf.DUMMYFUNCTION("""COMPUTED_VALUE"""),"Dead Man Bay - Gold Tooth 3★ #9CE")</f>
        <v>Dead Man Bay - Gold Tooth 3★ #9CE</v>
      </c>
      <c r="P806" s="281">
        <f>IFERROR(__xludf.DUMMYFUNCTION("""COMPUTED_VALUE"""),10.0)</f>
        <v>10</v>
      </c>
      <c r="Q806" s="360"/>
    </row>
    <row r="807" ht="12.75" customHeight="1">
      <c r="G807" s="359" t="s">
        <v>1527</v>
      </c>
      <c r="H807" s="281">
        <v>5.0</v>
      </c>
      <c r="I807" s="358">
        <v>2.442360296991012E-4</v>
      </c>
      <c r="K807" s="281"/>
      <c r="L807" s="359"/>
      <c r="M807" s="360"/>
      <c r="O807" s="372" t="str">
        <f>IFERROR(__xludf.DUMMYFUNCTION("""COMPUTED_VALUE"""),"Dead Man Bay - Dagger 4★ #483")</f>
        <v>Dead Man Bay - Dagger 4★ #483</v>
      </c>
      <c r="P807" s="281">
        <f>IFERROR(__xludf.DUMMYFUNCTION("""COMPUTED_VALUE"""),5.0)</f>
        <v>5</v>
      </c>
      <c r="Q807" s="360"/>
    </row>
    <row r="808" ht="12.75" customHeight="1">
      <c r="G808" s="359" t="s">
        <v>1528</v>
      </c>
      <c r="H808" s="281">
        <v>5.0</v>
      </c>
      <c r="I808" s="358">
        <v>2.442360296991012E-4</v>
      </c>
      <c r="K808" s="281"/>
      <c r="L808" s="359"/>
      <c r="M808" s="360"/>
      <c r="O808" s="372" t="str">
        <f>IFERROR(__xludf.DUMMYFUNCTION("""COMPUTED_VALUE"""),"Dead Man Bay - Dagger 4★ #F38")</f>
        <v>Dead Man Bay - Dagger 4★ #F38</v>
      </c>
      <c r="P808" s="281">
        <f>IFERROR(__xludf.DUMMYFUNCTION("""COMPUTED_VALUE"""),5.0)</f>
        <v>5</v>
      </c>
      <c r="Q808" s="360"/>
    </row>
    <row r="809" ht="12.75" customHeight="1">
      <c r="G809" s="359" t="s">
        <v>1529</v>
      </c>
      <c r="H809" s="281">
        <v>5.0</v>
      </c>
      <c r="I809" s="358">
        <v>2.442360296991012E-4</v>
      </c>
      <c r="K809" s="281"/>
      <c r="L809" s="359"/>
      <c r="M809" s="360"/>
      <c r="O809" s="372" t="str">
        <f>IFERROR(__xludf.DUMMYFUNCTION("""COMPUTED_VALUE"""),"Dead Man Bay - Dagger 4★ #9ED")</f>
        <v>Dead Man Bay - Dagger 4★ #9ED</v>
      </c>
      <c r="P809" s="281">
        <f>IFERROR(__xludf.DUMMYFUNCTION("""COMPUTED_VALUE"""),5.0)</f>
        <v>5</v>
      </c>
      <c r="Q809" s="360"/>
    </row>
    <row r="810" ht="12.75" customHeight="1">
      <c r="G810" s="359" t="s">
        <v>1530</v>
      </c>
      <c r="H810" s="281">
        <v>5.0</v>
      </c>
      <c r="I810" s="358">
        <v>2.442360296991012E-4</v>
      </c>
      <c r="K810" s="281"/>
      <c r="L810" s="359"/>
      <c r="M810" s="360"/>
      <c r="O810" s="372" t="str">
        <f>IFERROR(__xludf.DUMMYFUNCTION("""COMPUTED_VALUE"""),"Dead Man Bay - Dagger 4★ #4A2")</f>
        <v>Dead Man Bay - Dagger 4★ #4A2</v>
      </c>
      <c r="P810" s="281">
        <f>IFERROR(__xludf.DUMMYFUNCTION("""COMPUTED_VALUE"""),5.0)</f>
        <v>5</v>
      </c>
      <c r="Q810" s="360"/>
    </row>
    <row r="811" ht="12.75" customHeight="1">
      <c r="G811" s="359" t="s">
        <v>1531</v>
      </c>
      <c r="H811" s="281">
        <v>5.0</v>
      </c>
      <c r="I811" s="358">
        <v>2.442360296991012E-4</v>
      </c>
      <c r="K811" s="281"/>
      <c r="L811" s="359"/>
      <c r="M811" s="360"/>
      <c r="O811" s="372" t="str">
        <f>IFERROR(__xludf.DUMMYFUNCTION("""COMPUTED_VALUE"""),"Dead Man Bay - Dagger 4★ #F57")</f>
        <v>Dead Man Bay - Dagger 4★ #F57</v>
      </c>
      <c r="P811" s="281">
        <f>IFERROR(__xludf.DUMMYFUNCTION("""COMPUTED_VALUE"""),5.0)</f>
        <v>5</v>
      </c>
      <c r="Q811" s="360"/>
    </row>
    <row r="812" ht="12.75" customHeight="1">
      <c r="G812" s="359" t="s">
        <v>1532</v>
      </c>
      <c r="H812" s="281">
        <v>5.0</v>
      </c>
      <c r="I812" s="358">
        <v>2.442360296991012E-4</v>
      </c>
      <c r="K812" s="281"/>
      <c r="L812" s="359"/>
      <c r="M812" s="360"/>
      <c r="O812" s="372" t="str">
        <f>IFERROR(__xludf.DUMMYFUNCTION("""COMPUTED_VALUE"""),"Dead Man Bay - Dagger 4★ #A0C")</f>
        <v>Dead Man Bay - Dagger 4★ #A0C</v>
      </c>
      <c r="P812" s="281">
        <f>IFERROR(__xludf.DUMMYFUNCTION("""COMPUTED_VALUE"""),5.0)</f>
        <v>5</v>
      </c>
      <c r="Q812" s="360"/>
    </row>
    <row r="813" ht="12.75" customHeight="1">
      <c r="G813" s="359" t="s">
        <v>1533</v>
      </c>
      <c r="H813" s="281">
        <v>5.0</v>
      </c>
      <c r="I813" s="358">
        <v>2.442360296991012E-4</v>
      </c>
      <c r="K813" s="281"/>
      <c r="L813" s="359"/>
      <c r="M813" s="360"/>
      <c r="O813" s="372" t="str">
        <f>IFERROR(__xludf.DUMMYFUNCTION("""COMPUTED_VALUE"""),"Dead Man Bay - Dagger 4★ #4C1")</f>
        <v>Dead Man Bay - Dagger 4★ #4C1</v>
      </c>
      <c r="P813" s="281">
        <f>IFERROR(__xludf.DUMMYFUNCTION("""COMPUTED_VALUE"""),5.0)</f>
        <v>5</v>
      </c>
      <c r="Q813" s="360"/>
    </row>
    <row r="814" ht="12.75" customHeight="1">
      <c r="G814" s="359" t="s">
        <v>1534</v>
      </c>
      <c r="H814" s="281">
        <v>5.0</v>
      </c>
      <c r="I814" s="358">
        <v>2.442360296991012E-4</v>
      </c>
      <c r="K814" s="281"/>
      <c r="L814" s="359"/>
      <c r="M814" s="360"/>
      <c r="O814" s="372" t="str">
        <f>IFERROR(__xludf.DUMMYFUNCTION("""COMPUTED_VALUE"""),"Dead Man Bay - Dagger 4★ #F76")</f>
        <v>Dead Man Bay - Dagger 4★ #F76</v>
      </c>
      <c r="P814" s="281">
        <f>IFERROR(__xludf.DUMMYFUNCTION("""COMPUTED_VALUE"""),5.0)</f>
        <v>5</v>
      </c>
      <c r="Q814" s="360"/>
    </row>
    <row r="815" ht="12.75" customHeight="1">
      <c r="G815" s="359" t="s">
        <v>1535</v>
      </c>
      <c r="H815" s="281">
        <v>5.0</v>
      </c>
      <c r="I815" s="358">
        <v>2.442360296991012E-4</v>
      </c>
      <c r="K815" s="281"/>
      <c r="L815" s="359"/>
      <c r="M815" s="360"/>
      <c r="O815" s="372" t="str">
        <f>IFERROR(__xludf.DUMMYFUNCTION("""COMPUTED_VALUE"""),"Dead Man Bay - Dagger 4★ #A2B")</f>
        <v>Dead Man Bay - Dagger 4★ #A2B</v>
      </c>
      <c r="P815" s="281">
        <f>IFERROR(__xludf.DUMMYFUNCTION("""COMPUTED_VALUE"""),5.0)</f>
        <v>5</v>
      </c>
      <c r="Q815" s="360"/>
    </row>
    <row r="816" ht="12.75" customHeight="1">
      <c r="G816" s="359" t="s">
        <v>1536</v>
      </c>
      <c r="H816" s="281">
        <v>5.0</v>
      </c>
      <c r="I816" s="358">
        <v>2.442360296991012E-4</v>
      </c>
      <c r="K816" s="281"/>
      <c r="L816" s="359"/>
      <c r="M816" s="360"/>
      <c r="O816" s="372" t="str">
        <f>IFERROR(__xludf.DUMMYFUNCTION("""COMPUTED_VALUE"""),"Dead Man Bay - Dagger 4★ #4E0")</f>
        <v>Dead Man Bay - Dagger 4★ #4E0</v>
      </c>
      <c r="P816" s="281">
        <f>IFERROR(__xludf.DUMMYFUNCTION("""COMPUTED_VALUE"""),5.0)</f>
        <v>5</v>
      </c>
      <c r="Q816" s="360"/>
    </row>
    <row r="817" ht="12.75" customHeight="1">
      <c r="G817" s="359" t="s">
        <v>1537</v>
      </c>
      <c r="H817" s="281">
        <v>5.0</v>
      </c>
      <c r="I817" s="358">
        <v>2.442360296991012E-4</v>
      </c>
      <c r="K817" s="281"/>
      <c r="L817" s="359"/>
      <c r="M817" s="360"/>
      <c r="O817" s="372" t="str">
        <f>IFERROR(__xludf.DUMMYFUNCTION("""COMPUTED_VALUE"""),"Dead Man Bay - Dagger 4★ #F95")</f>
        <v>Dead Man Bay - Dagger 4★ #F95</v>
      </c>
      <c r="P817" s="281">
        <f>IFERROR(__xludf.DUMMYFUNCTION("""COMPUTED_VALUE"""),5.0)</f>
        <v>5</v>
      </c>
      <c r="Q817" s="360"/>
    </row>
    <row r="818" ht="12.75" customHeight="1">
      <c r="G818" s="359" t="s">
        <v>1538</v>
      </c>
      <c r="H818" s="281">
        <v>2.0</v>
      </c>
      <c r="I818" s="358">
        <v>9.769441187964049E-5</v>
      </c>
      <c r="K818" s="281"/>
      <c r="L818" s="359"/>
      <c r="M818" s="360"/>
      <c r="O818" s="372" t="str">
        <f>IFERROR(__xludf.DUMMYFUNCTION("""COMPUTED_VALUE"""),"Dead Man Bay - Bandana 5★ #A4A")</f>
        <v>Dead Man Bay - Bandana 5★ #A4A</v>
      </c>
      <c r="P818" s="281">
        <f>IFERROR(__xludf.DUMMYFUNCTION("""COMPUTED_VALUE"""),2.0)</f>
        <v>2</v>
      </c>
      <c r="Q818" s="360"/>
    </row>
    <row r="819" ht="12.75" customHeight="1">
      <c r="G819" s="359" t="s">
        <v>1539</v>
      </c>
      <c r="H819" s="281">
        <v>2.0</v>
      </c>
      <c r="I819" s="358">
        <v>9.769441187964049E-5</v>
      </c>
      <c r="K819" s="281"/>
      <c r="L819" s="359"/>
      <c r="M819" s="360"/>
      <c r="O819" s="372" t="str">
        <f>IFERROR(__xludf.DUMMYFUNCTION("""COMPUTED_VALUE"""),"Dead Man Bay - Bandana 5★ #4FF")</f>
        <v>Dead Man Bay - Bandana 5★ #4FF</v>
      </c>
      <c r="P819" s="281">
        <f>IFERROR(__xludf.DUMMYFUNCTION("""COMPUTED_VALUE"""),2.0)</f>
        <v>2</v>
      </c>
      <c r="Q819" s="360"/>
    </row>
    <row r="820" ht="12.75" customHeight="1">
      <c r="G820" s="359" t="s">
        <v>1540</v>
      </c>
      <c r="H820" s="281">
        <v>2.0</v>
      </c>
      <c r="I820" s="358">
        <v>9.769441187964049E-5</v>
      </c>
      <c r="K820" s="281"/>
      <c r="L820" s="359"/>
      <c r="M820" s="360"/>
      <c r="O820" s="372" t="str">
        <f>IFERROR(__xludf.DUMMYFUNCTION("""COMPUTED_VALUE"""),"Dead Man Bay - Bandana 5★ #FB4")</f>
        <v>Dead Man Bay - Bandana 5★ #FB4</v>
      </c>
      <c r="P820" s="281">
        <f>IFERROR(__xludf.DUMMYFUNCTION("""COMPUTED_VALUE"""),2.0)</f>
        <v>2</v>
      </c>
      <c r="Q820" s="360"/>
    </row>
    <row r="821" ht="12.75" customHeight="1">
      <c r="G821" s="359" t="s">
        <v>1541</v>
      </c>
      <c r="H821" s="281">
        <v>2.0</v>
      </c>
      <c r="I821" s="358">
        <v>9.769441187964049E-5</v>
      </c>
      <c r="K821" s="281"/>
      <c r="L821" s="359"/>
      <c r="M821" s="360"/>
      <c r="O821" s="372" t="str">
        <f>IFERROR(__xludf.DUMMYFUNCTION("""COMPUTED_VALUE"""),"Dead Man Bay - Bandana 5★ #A69")</f>
        <v>Dead Man Bay - Bandana 5★ #A69</v>
      </c>
      <c r="P821" s="281">
        <f>IFERROR(__xludf.DUMMYFUNCTION("""COMPUTED_VALUE"""),2.0)</f>
        <v>2</v>
      </c>
      <c r="Q821" s="360"/>
    </row>
    <row r="822" ht="12.75" customHeight="1">
      <c r="G822" s="359" t="s">
        <v>1542</v>
      </c>
      <c r="H822" s="281">
        <v>2.0</v>
      </c>
      <c r="I822" s="358">
        <v>9.769441187964049E-5</v>
      </c>
      <c r="K822" s="281"/>
      <c r="L822" s="359"/>
      <c r="M822" s="360"/>
      <c r="O822" s="372" t="str">
        <f>IFERROR(__xludf.DUMMYFUNCTION("""COMPUTED_VALUE"""),"Dead Man Bay - Bandana 5★ #51E")</f>
        <v>Dead Man Bay - Bandana 5★ #51E</v>
      </c>
      <c r="P822" s="281">
        <f>IFERROR(__xludf.DUMMYFUNCTION("""COMPUTED_VALUE"""),2.0)</f>
        <v>2</v>
      </c>
      <c r="Q822" s="360"/>
    </row>
    <row r="823" ht="12.75" customHeight="1">
      <c r="G823" s="359" t="s">
        <v>1543</v>
      </c>
      <c r="H823" s="281">
        <v>2.0</v>
      </c>
      <c r="I823" s="358">
        <v>9.769441187964049E-5</v>
      </c>
      <c r="K823" s="281"/>
      <c r="L823" s="359"/>
      <c r="M823" s="360"/>
      <c r="O823" s="372" t="str">
        <f>IFERROR(__xludf.DUMMYFUNCTION("""COMPUTED_VALUE"""),"Dead Man Bay - Boots 5★ #FD3")</f>
        <v>Dead Man Bay - Boots 5★ #FD3</v>
      </c>
      <c r="P823" s="281">
        <f>IFERROR(__xludf.DUMMYFUNCTION("""COMPUTED_VALUE"""),2.0)</f>
        <v>2</v>
      </c>
      <c r="Q823" s="360"/>
    </row>
    <row r="824" ht="12.75" customHeight="1">
      <c r="G824" s="359" t="s">
        <v>1544</v>
      </c>
      <c r="H824" s="281">
        <v>2.0</v>
      </c>
      <c r="I824" s="358">
        <v>9.769441187964049E-5</v>
      </c>
      <c r="K824" s="281"/>
      <c r="L824" s="359"/>
      <c r="M824" s="360"/>
      <c r="O824" s="372" t="str">
        <f>IFERROR(__xludf.DUMMYFUNCTION("""COMPUTED_VALUE"""),"Dead Man Bay - Boots 5★ #A88")</f>
        <v>Dead Man Bay - Boots 5★ #A88</v>
      </c>
      <c r="P824" s="281">
        <f>IFERROR(__xludf.DUMMYFUNCTION("""COMPUTED_VALUE"""),2.0)</f>
        <v>2</v>
      </c>
      <c r="Q824" s="360"/>
    </row>
    <row r="825" ht="12.75" customHeight="1">
      <c r="G825" s="359" t="s">
        <v>1545</v>
      </c>
      <c r="H825" s="281">
        <v>2.0</v>
      </c>
      <c r="I825" s="358">
        <v>9.769441187964049E-5</v>
      </c>
      <c r="K825" s="281"/>
      <c r="L825" s="359"/>
      <c r="M825" s="360"/>
      <c r="O825" s="372" t="str">
        <f>IFERROR(__xludf.DUMMYFUNCTION("""COMPUTED_VALUE"""),"Dead Man Bay - Boots 5★ #53D")</f>
        <v>Dead Man Bay - Boots 5★ #53D</v>
      </c>
      <c r="P825" s="281">
        <f>IFERROR(__xludf.DUMMYFUNCTION("""COMPUTED_VALUE"""),2.0)</f>
        <v>2</v>
      </c>
      <c r="Q825" s="360"/>
    </row>
    <row r="826" ht="12.75" customHeight="1">
      <c r="G826" s="359" t="s">
        <v>1546</v>
      </c>
      <c r="H826" s="281">
        <v>2.0</v>
      </c>
      <c r="I826" s="358">
        <v>9.769441187964049E-5</v>
      </c>
      <c r="K826" s="281"/>
      <c r="L826" s="359"/>
      <c r="M826" s="360"/>
      <c r="O826" s="372" t="str">
        <f>IFERROR(__xludf.DUMMYFUNCTION("""COMPUTED_VALUE"""),"Dead Man Bay - Boots 5★ #FF2")</f>
        <v>Dead Man Bay - Boots 5★ #FF2</v>
      </c>
      <c r="P826" s="281">
        <f>IFERROR(__xludf.DUMMYFUNCTION("""COMPUTED_VALUE"""),2.0)</f>
        <v>2</v>
      </c>
      <c r="Q826" s="360"/>
    </row>
    <row r="827" ht="12.75" customHeight="1">
      <c r="G827" s="359" t="s">
        <v>1547</v>
      </c>
      <c r="H827" s="281">
        <v>2.0</v>
      </c>
      <c r="I827" s="358">
        <v>9.769441187964049E-5</v>
      </c>
      <c r="K827" s="281"/>
      <c r="L827" s="359"/>
      <c r="M827" s="360"/>
      <c r="O827" s="372" t="str">
        <f>IFERROR(__xludf.DUMMYFUNCTION("""COMPUTED_VALUE"""),"Dead Man Bay - Boots 5★ #AA7")</f>
        <v>Dead Man Bay - Boots 5★ #AA7</v>
      </c>
      <c r="P827" s="281">
        <f>IFERROR(__xludf.DUMMYFUNCTION("""COMPUTED_VALUE"""),2.0)</f>
        <v>2</v>
      </c>
      <c r="Q827" s="360"/>
    </row>
    <row r="828" ht="12.75" customHeight="1">
      <c r="G828" s="359" t="s">
        <v>1548</v>
      </c>
      <c r="H828" s="281">
        <v>2.0</v>
      </c>
      <c r="I828" s="358">
        <v>9.769441187964049E-5</v>
      </c>
      <c r="K828" s="281"/>
      <c r="L828" s="359"/>
      <c r="M828" s="360"/>
      <c r="O828" s="372" t="str">
        <f>IFERROR(__xludf.DUMMYFUNCTION("""COMPUTED_VALUE"""),"Dead Man Bay - Beard 5★ #55C")</f>
        <v>Dead Man Bay - Beard 5★ #55C</v>
      </c>
      <c r="P828" s="281">
        <f>IFERROR(__xludf.DUMMYFUNCTION("""COMPUTED_VALUE"""),2.0)</f>
        <v>2</v>
      </c>
      <c r="Q828" s="360"/>
    </row>
    <row r="829" ht="12.75" customHeight="1">
      <c r="G829" s="359" t="s">
        <v>1549</v>
      </c>
      <c r="H829" s="281">
        <v>2.0</v>
      </c>
      <c r="I829" s="358">
        <v>9.769441187964049E-5</v>
      </c>
      <c r="K829" s="281"/>
      <c r="L829" s="359"/>
      <c r="M829" s="360"/>
      <c r="O829" s="372" t="str">
        <f>IFERROR(__xludf.DUMMYFUNCTION("""COMPUTED_VALUE"""),"Dead Man Bay - Beard 5★ #011")</f>
        <v>Dead Man Bay - Beard 5★ #011</v>
      </c>
      <c r="P829" s="281">
        <f>IFERROR(__xludf.DUMMYFUNCTION("""COMPUTED_VALUE"""),2.0)</f>
        <v>2</v>
      </c>
      <c r="Q829" s="360"/>
    </row>
    <row r="830" ht="12.75" customHeight="1">
      <c r="G830" s="359" t="s">
        <v>1550</v>
      </c>
      <c r="H830" s="281">
        <v>2.0</v>
      </c>
      <c r="I830" s="358">
        <v>9.769441187964049E-5</v>
      </c>
      <c r="K830" s="281"/>
      <c r="L830" s="359"/>
      <c r="M830" s="360"/>
      <c r="O830" s="372" t="str">
        <f>IFERROR(__xludf.DUMMYFUNCTION("""COMPUTED_VALUE"""),"Dead Man Bay - Beard 5★ #AC6")</f>
        <v>Dead Man Bay - Beard 5★ #AC6</v>
      </c>
      <c r="P830" s="281">
        <f>IFERROR(__xludf.DUMMYFUNCTION("""COMPUTED_VALUE"""),2.0)</f>
        <v>2</v>
      </c>
      <c r="Q830" s="360"/>
    </row>
    <row r="831" ht="12.75" customHeight="1">
      <c r="G831" s="359" t="s">
        <v>1551</v>
      </c>
      <c r="H831" s="281">
        <v>2.0</v>
      </c>
      <c r="I831" s="358">
        <v>9.769441187964049E-5</v>
      </c>
      <c r="K831" s="281"/>
      <c r="L831" s="359"/>
      <c r="M831" s="360"/>
      <c r="O831" s="372" t="str">
        <f>IFERROR(__xludf.DUMMYFUNCTION("""COMPUTED_VALUE"""),"Dead Man Bay - Beard 5★ #57B")</f>
        <v>Dead Man Bay - Beard 5★ #57B</v>
      </c>
      <c r="P831" s="281">
        <f>IFERROR(__xludf.DUMMYFUNCTION("""COMPUTED_VALUE"""),2.0)</f>
        <v>2</v>
      </c>
      <c r="Q831" s="360"/>
    </row>
    <row r="832" ht="12.75" customHeight="1">
      <c r="G832" s="359" t="s">
        <v>1552</v>
      </c>
      <c r="H832" s="281">
        <v>2.0</v>
      </c>
      <c r="I832" s="358">
        <v>9.769441187964049E-5</v>
      </c>
      <c r="K832" s="281"/>
      <c r="L832" s="359"/>
      <c r="M832" s="360"/>
      <c r="O832" s="372" t="str">
        <f>IFERROR(__xludf.DUMMYFUNCTION("""COMPUTED_VALUE"""),"Dead Man Bay - Beard 5★ #030")</f>
        <v>Dead Man Bay - Beard 5★ #030</v>
      </c>
      <c r="P832" s="281">
        <f>IFERROR(__xludf.DUMMYFUNCTION("""COMPUTED_VALUE"""),2.0)</f>
        <v>2</v>
      </c>
      <c r="Q832" s="360"/>
    </row>
    <row r="833" ht="12.75" customHeight="1">
      <c r="G833" s="359"/>
      <c r="H833" s="281"/>
      <c r="I833" s="358"/>
      <c r="K833" s="281"/>
      <c r="L833" s="359"/>
      <c r="M833" s="360"/>
      <c r="O833" s="372"/>
      <c r="P833" s="281"/>
      <c r="Q833" s="360"/>
    </row>
    <row r="834" ht="12.75" customHeight="1">
      <c r="G834" s="359"/>
      <c r="H834" s="281"/>
      <c r="I834" s="358"/>
      <c r="K834" s="281"/>
      <c r="L834" s="359"/>
      <c r="M834" s="360"/>
      <c r="O834" s="372"/>
      <c r="P834" s="281"/>
      <c r="Q834" s="360"/>
    </row>
    <row r="835" ht="12.75" customHeight="1">
      <c r="G835" s="359"/>
      <c r="H835" s="281"/>
      <c r="I835" s="358"/>
      <c r="K835" s="281"/>
      <c r="L835" s="359"/>
      <c r="M835" s="360"/>
      <c r="O835" s="372"/>
      <c r="P835" s="281"/>
      <c r="Q835" s="360"/>
    </row>
    <row r="836" ht="12.75" customHeight="1">
      <c r="G836" s="359"/>
      <c r="H836" s="281"/>
      <c r="I836" s="358"/>
      <c r="K836" s="281"/>
      <c r="L836" s="359"/>
      <c r="M836" s="360"/>
      <c r="O836" s="372"/>
      <c r="P836" s="281"/>
      <c r="Q836" s="360"/>
    </row>
    <row r="837" ht="12.75" customHeight="1">
      <c r="G837" s="359"/>
      <c r="H837" s="281"/>
      <c r="I837" s="358"/>
      <c r="K837" s="281"/>
      <c r="L837" s="359"/>
      <c r="M837" s="360"/>
      <c r="O837" s="372"/>
      <c r="P837" s="281"/>
      <c r="Q837" s="360"/>
    </row>
    <row r="838" ht="12.75" customHeight="1">
      <c r="G838" s="359"/>
      <c r="H838" s="281"/>
      <c r="I838" s="358"/>
      <c r="K838" s="281"/>
      <c r="L838" s="359"/>
      <c r="M838" s="360"/>
      <c r="O838" s="372"/>
      <c r="P838" s="281"/>
      <c r="Q838" s="360"/>
    </row>
    <row r="839" ht="12.75" customHeight="1">
      <c r="G839" s="359"/>
      <c r="H839" s="281"/>
      <c r="I839" s="358"/>
      <c r="K839" s="281"/>
      <c r="L839" s="359"/>
      <c r="M839" s="360"/>
      <c r="O839" s="372"/>
      <c r="P839" s="281"/>
      <c r="Q839" s="360"/>
    </row>
    <row r="840" ht="12.75" customHeight="1">
      <c r="G840" s="359"/>
      <c r="H840" s="281"/>
      <c r="I840" s="358"/>
      <c r="K840" s="281"/>
      <c r="L840" s="359"/>
      <c r="M840" s="360"/>
      <c r="O840" s="372"/>
      <c r="P840" s="281"/>
      <c r="Q840" s="360"/>
    </row>
    <row r="841" ht="12.75" customHeight="1">
      <c r="G841" s="359"/>
      <c r="H841" s="281"/>
      <c r="I841" s="358"/>
      <c r="K841" s="281"/>
      <c r="L841" s="359"/>
      <c r="M841" s="360"/>
      <c r="O841" s="372"/>
      <c r="P841" s="281"/>
      <c r="Q841" s="360"/>
    </row>
    <row r="842" ht="12.75" customHeight="1">
      <c r="G842" s="359"/>
      <c r="H842" s="281"/>
      <c r="I842" s="358"/>
      <c r="K842" s="281"/>
      <c r="L842" s="359"/>
      <c r="M842" s="360"/>
      <c r="O842" s="372"/>
      <c r="P842" s="281"/>
      <c r="Q842" s="360"/>
    </row>
    <row r="843" ht="12.75" customHeight="1">
      <c r="G843" s="359"/>
      <c r="H843" s="281"/>
      <c r="I843" s="358"/>
      <c r="K843" s="281"/>
      <c r="L843" s="359"/>
      <c r="M843" s="360"/>
      <c r="O843" s="372"/>
      <c r="P843" s="281"/>
      <c r="Q843" s="360"/>
    </row>
    <row r="844" ht="12.75" customHeight="1">
      <c r="G844" s="359"/>
      <c r="H844" s="281"/>
      <c r="I844" s="358"/>
      <c r="K844" s="281"/>
      <c r="L844" s="359"/>
      <c r="M844" s="360"/>
      <c r="O844" s="372"/>
      <c r="P844" s="281"/>
      <c r="Q844" s="360"/>
    </row>
    <row r="845" ht="12.75" customHeight="1">
      <c r="G845" s="359"/>
      <c r="H845" s="281"/>
      <c r="I845" s="358"/>
      <c r="K845" s="281"/>
      <c r="L845" s="359"/>
      <c r="M845" s="360"/>
      <c r="O845" s="372"/>
      <c r="P845" s="281"/>
      <c r="Q845" s="360"/>
    </row>
    <row r="846" ht="12.75" customHeight="1">
      <c r="G846" s="359"/>
      <c r="H846" s="281"/>
      <c r="I846" s="358"/>
      <c r="K846" s="281"/>
      <c r="L846" s="359"/>
      <c r="M846" s="360"/>
      <c r="O846" s="372"/>
      <c r="P846" s="281"/>
      <c r="Q846" s="360"/>
    </row>
    <row r="847" ht="12.75" customHeight="1">
      <c r="G847" s="359"/>
      <c r="H847" s="281"/>
      <c r="I847" s="358"/>
      <c r="K847" s="281"/>
      <c r="L847" s="359"/>
      <c r="M847" s="360"/>
      <c r="O847" s="372"/>
      <c r="P847" s="281"/>
      <c r="Q847" s="360"/>
    </row>
    <row r="848" ht="12.75" customHeight="1">
      <c r="G848" s="359"/>
      <c r="H848" s="281"/>
      <c r="I848" s="358"/>
      <c r="K848" s="281"/>
      <c r="L848" s="359"/>
      <c r="M848" s="360"/>
      <c r="O848" s="372"/>
      <c r="P848" s="281"/>
      <c r="Q848" s="360"/>
    </row>
    <row r="849" ht="12.75" customHeight="1">
      <c r="G849" s="359"/>
      <c r="H849" s="281"/>
      <c r="I849" s="358"/>
      <c r="K849" s="281"/>
      <c r="L849" s="359"/>
      <c r="M849" s="360"/>
      <c r="O849" s="372"/>
      <c r="P849" s="281"/>
      <c r="Q849" s="360"/>
    </row>
    <row r="850" ht="12.75" customHeight="1">
      <c r="G850" s="359"/>
      <c r="H850" s="281"/>
      <c r="I850" s="358"/>
      <c r="K850" s="281"/>
      <c r="L850" s="359"/>
      <c r="M850" s="360"/>
      <c r="O850" s="372"/>
      <c r="P850" s="281"/>
      <c r="Q850" s="360"/>
    </row>
    <row r="851" ht="12.75" customHeight="1">
      <c r="G851" s="359"/>
      <c r="H851" s="281"/>
      <c r="I851" s="358"/>
      <c r="K851" s="281"/>
      <c r="L851" s="359"/>
      <c r="M851" s="360"/>
      <c r="O851" s="372"/>
      <c r="P851" s="281"/>
      <c r="Q851" s="360"/>
    </row>
    <row r="852" ht="12.75" customHeight="1">
      <c r="G852" s="359"/>
      <c r="H852" s="281"/>
      <c r="I852" s="358"/>
      <c r="K852" s="281"/>
      <c r="L852" s="359"/>
      <c r="M852" s="360"/>
      <c r="O852" s="372"/>
      <c r="P852" s="281"/>
      <c r="Q852" s="360"/>
    </row>
    <row r="853" ht="12.75" customHeight="1">
      <c r="G853" s="359"/>
      <c r="H853" s="281"/>
      <c r="I853" s="358"/>
      <c r="K853" s="281"/>
      <c r="L853" s="359"/>
      <c r="M853" s="360"/>
      <c r="O853" s="372"/>
      <c r="P853" s="281"/>
      <c r="Q853" s="360"/>
    </row>
    <row r="854" ht="12.75" customHeight="1">
      <c r="G854" s="359"/>
      <c r="H854" s="281"/>
      <c r="I854" s="358"/>
      <c r="K854" s="281"/>
      <c r="L854" s="359"/>
      <c r="M854" s="360"/>
      <c r="O854" s="372"/>
      <c r="P854" s="281"/>
      <c r="Q854" s="360"/>
    </row>
    <row r="855" ht="12.75" customHeight="1">
      <c r="G855" s="359"/>
      <c r="H855" s="281"/>
      <c r="I855" s="358"/>
      <c r="K855" s="281"/>
      <c r="L855" s="359"/>
      <c r="M855" s="360"/>
      <c r="O855" s="372"/>
      <c r="P855" s="281"/>
      <c r="Q855" s="360"/>
    </row>
    <row r="856" ht="12.75" customHeight="1">
      <c r="G856" s="359"/>
      <c r="H856" s="281"/>
      <c r="I856" s="358"/>
      <c r="K856" s="281"/>
      <c r="L856" s="359"/>
      <c r="M856" s="360"/>
      <c r="O856" s="372"/>
      <c r="P856" s="281"/>
      <c r="Q856" s="360"/>
    </row>
    <row r="857" ht="12.75" customHeight="1">
      <c r="G857" s="359"/>
      <c r="H857" s="281"/>
      <c r="I857" s="358"/>
      <c r="K857" s="281"/>
      <c r="L857" s="359"/>
      <c r="M857" s="360"/>
      <c r="O857" s="372"/>
      <c r="P857" s="281"/>
      <c r="Q857" s="360"/>
    </row>
    <row r="858" ht="12.75" customHeight="1">
      <c r="G858" s="359"/>
      <c r="H858" s="281"/>
      <c r="I858" s="358"/>
      <c r="K858" s="281"/>
      <c r="L858" s="359"/>
      <c r="M858" s="360"/>
      <c r="O858" s="372"/>
      <c r="P858" s="281"/>
      <c r="Q858" s="360"/>
    </row>
    <row r="859" ht="12.75" customHeight="1">
      <c r="G859" s="359"/>
      <c r="H859" s="281"/>
      <c r="I859" s="358"/>
      <c r="K859" s="281"/>
      <c r="L859" s="359"/>
      <c r="M859" s="360"/>
      <c r="O859" s="372"/>
      <c r="P859" s="281"/>
      <c r="Q859" s="360"/>
    </row>
    <row r="860" ht="12.75" customHeight="1">
      <c r="G860" s="359"/>
      <c r="H860" s="281"/>
      <c r="I860" s="358"/>
      <c r="K860" s="281"/>
      <c r="L860" s="359"/>
      <c r="M860" s="360"/>
      <c r="O860" s="372"/>
      <c r="P860" s="281"/>
      <c r="Q860" s="360"/>
    </row>
    <row r="861" ht="12.75" customHeight="1">
      <c r="G861" s="359"/>
      <c r="H861" s="281"/>
      <c r="I861" s="358"/>
      <c r="K861" s="281"/>
      <c r="L861" s="359"/>
      <c r="M861" s="360"/>
      <c r="O861" s="372"/>
      <c r="P861" s="281"/>
      <c r="Q861" s="360"/>
    </row>
    <row r="862" ht="12.75" customHeight="1">
      <c r="G862" s="359"/>
      <c r="H862" s="281"/>
      <c r="I862" s="358"/>
      <c r="K862" s="281"/>
      <c r="L862" s="359"/>
      <c r="M862" s="360"/>
      <c r="O862" s="372"/>
      <c r="P862" s="281"/>
      <c r="Q862" s="360"/>
    </row>
    <row r="863" ht="12.75" customHeight="1">
      <c r="G863" s="359"/>
      <c r="H863" s="281"/>
      <c r="I863" s="358"/>
      <c r="K863" s="281"/>
      <c r="L863" s="359"/>
      <c r="M863" s="360"/>
      <c r="O863" s="372"/>
      <c r="P863" s="281"/>
      <c r="Q863" s="360"/>
    </row>
    <row r="864" ht="12.75" customHeight="1">
      <c r="G864" s="359"/>
      <c r="H864" s="281"/>
      <c r="I864" s="358"/>
      <c r="K864" s="281"/>
      <c r="L864" s="359"/>
      <c r="M864" s="360"/>
      <c r="O864" s="372"/>
      <c r="P864" s="281"/>
      <c r="Q864" s="360"/>
    </row>
    <row r="865" ht="12.75" customHeight="1">
      <c r="G865" s="359"/>
      <c r="H865" s="281"/>
      <c r="I865" s="358"/>
      <c r="K865" s="281"/>
      <c r="L865" s="359"/>
      <c r="M865" s="360"/>
      <c r="O865" s="372"/>
      <c r="P865" s="281"/>
      <c r="Q865" s="360"/>
    </row>
    <row r="866" ht="12.75" customHeight="1">
      <c r="G866" s="359"/>
      <c r="H866" s="281"/>
      <c r="I866" s="358"/>
      <c r="K866" s="281"/>
      <c r="L866" s="359"/>
      <c r="M866" s="360"/>
      <c r="O866" s="372"/>
      <c r="P866" s="281"/>
      <c r="Q866" s="360"/>
    </row>
    <row r="867" ht="12.75" customHeight="1">
      <c r="G867" s="359"/>
      <c r="H867" s="281"/>
      <c r="I867" s="358"/>
      <c r="K867" s="281"/>
      <c r="L867" s="359"/>
      <c r="M867" s="360"/>
      <c r="O867" s="372"/>
      <c r="P867" s="281"/>
      <c r="Q867" s="360"/>
    </row>
    <row r="868" ht="12.75" customHeight="1">
      <c r="G868" s="359"/>
      <c r="H868" s="281"/>
      <c r="I868" s="358"/>
      <c r="K868" s="281"/>
      <c r="L868" s="359"/>
      <c r="M868" s="360"/>
      <c r="O868" s="372"/>
      <c r="P868" s="281"/>
      <c r="Q868" s="360"/>
    </row>
    <row r="869" ht="12.75" customHeight="1">
      <c r="G869" s="359"/>
      <c r="H869" s="281"/>
      <c r="I869" s="358"/>
      <c r="K869" s="281"/>
      <c r="L869" s="359"/>
      <c r="M869" s="360"/>
      <c r="O869" s="372"/>
      <c r="P869" s="281"/>
      <c r="Q869" s="360"/>
    </row>
    <row r="870" ht="12.75" customHeight="1">
      <c r="G870" s="359"/>
      <c r="H870" s="281"/>
      <c r="I870" s="358"/>
      <c r="K870" s="281"/>
      <c r="L870" s="359"/>
      <c r="M870" s="360"/>
      <c r="O870" s="372"/>
      <c r="P870" s="281"/>
      <c r="Q870" s="360"/>
    </row>
    <row r="871" ht="12.75" customHeight="1">
      <c r="G871" s="359"/>
      <c r="H871" s="281"/>
      <c r="I871" s="358"/>
      <c r="K871" s="281"/>
      <c r="L871" s="359"/>
      <c r="M871" s="360"/>
      <c r="O871" s="372"/>
      <c r="P871" s="281"/>
      <c r="Q871" s="360"/>
    </row>
    <row r="872" ht="12.75" customHeight="1">
      <c r="G872" s="359"/>
      <c r="H872" s="281"/>
      <c r="I872" s="358"/>
      <c r="K872" s="281"/>
      <c r="L872" s="359"/>
      <c r="M872" s="360"/>
      <c r="O872" s="372"/>
      <c r="P872" s="281"/>
      <c r="Q872" s="360"/>
    </row>
    <row r="873" ht="12.75" customHeight="1">
      <c r="G873" s="359"/>
      <c r="H873" s="281"/>
      <c r="I873" s="358"/>
      <c r="K873" s="281"/>
      <c r="L873" s="359"/>
      <c r="M873" s="360"/>
      <c r="O873" s="372"/>
      <c r="P873" s="281"/>
      <c r="Q873" s="360"/>
    </row>
    <row r="874" ht="12.75" customHeight="1">
      <c r="G874" s="359"/>
      <c r="H874" s="281"/>
      <c r="I874" s="358"/>
      <c r="K874" s="281"/>
      <c r="L874" s="359"/>
      <c r="M874" s="360"/>
      <c r="O874" s="372"/>
      <c r="P874" s="281"/>
      <c r="Q874" s="360"/>
    </row>
    <row r="875" ht="12.75" customHeight="1">
      <c r="G875" s="359"/>
      <c r="H875" s="281"/>
      <c r="I875" s="358"/>
      <c r="K875" s="281"/>
      <c r="L875" s="359"/>
      <c r="M875" s="360"/>
      <c r="O875" s="372"/>
      <c r="P875" s="281"/>
      <c r="Q875" s="360"/>
    </row>
    <row r="876" ht="12.75" customHeight="1">
      <c r="G876" s="359"/>
      <c r="H876" s="281"/>
      <c r="I876" s="358"/>
      <c r="K876" s="281"/>
      <c r="L876" s="359"/>
      <c r="M876" s="360"/>
      <c r="O876" s="372"/>
      <c r="P876" s="281"/>
      <c r="Q876" s="360"/>
    </row>
    <row r="877" ht="12.75" customHeight="1">
      <c r="G877" s="359"/>
      <c r="H877" s="281"/>
      <c r="I877" s="358"/>
      <c r="K877" s="281"/>
      <c r="L877" s="359"/>
      <c r="M877" s="360"/>
      <c r="O877" s="372"/>
      <c r="P877" s="281"/>
      <c r="Q877" s="360"/>
    </row>
    <row r="878" ht="12.75" customHeight="1">
      <c r="G878" s="359"/>
      <c r="H878" s="281"/>
      <c r="I878" s="358"/>
      <c r="K878" s="281"/>
      <c r="L878" s="359"/>
      <c r="M878" s="360"/>
      <c r="O878" s="372"/>
      <c r="P878" s="281"/>
      <c r="Q878" s="360"/>
    </row>
    <row r="879" ht="12.75" customHeight="1">
      <c r="G879" s="359"/>
      <c r="H879" s="281"/>
      <c r="I879" s="358"/>
      <c r="K879" s="281"/>
      <c r="L879" s="359"/>
      <c r="M879" s="360"/>
      <c r="O879" s="372"/>
      <c r="P879" s="281"/>
      <c r="Q879" s="360"/>
    </row>
    <row r="880" ht="12.75" customHeight="1">
      <c r="G880" s="359"/>
      <c r="H880" s="281"/>
      <c r="I880" s="358"/>
      <c r="K880" s="281"/>
      <c r="L880" s="359"/>
      <c r="M880" s="360"/>
      <c r="O880" s="372"/>
      <c r="P880" s="281"/>
      <c r="Q880" s="360"/>
    </row>
    <row r="881" ht="12.75" customHeight="1">
      <c r="G881" s="359"/>
      <c r="H881" s="281"/>
      <c r="I881" s="358"/>
      <c r="K881" s="281"/>
      <c r="L881" s="359"/>
      <c r="M881" s="360"/>
      <c r="O881" s="372"/>
      <c r="P881" s="281"/>
      <c r="Q881" s="360"/>
    </row>
    <row r="882" ht="12.75" customHeight="1">
      <c r="G882" s="359"/>
      <c r="H882" s="281"/>
      <c r="I882" s="358"/>
      <c r="K882" s="281"/>
      <c r="L882" s="359"/>
      <c r="M882" s="360"/>
      <c r="O882" s="372"/>
      <c r="P882" s="281"/>
      <c r="Q882" s="360"/>
    </row>
    <row r="883" ht="12.75" customHeight="1">
      <c r="G883" s="359"/>
      <c r="H883" s="281"/>
      <c r="I883" s="358"/>
      <c r="K883" s="281"/>
      <c r="L883" s="359"/>
      <c r="M883" s="360"/>
      <c r="O883" s="372"/>
      <c r="P883" s="281"/>
      <c r="Q883" s="360"/>
    </row>
    <row r="884" ht="12.75" customHeight="1">
      <c r="G884" s="359"/>
      <c r="H884" s="281"/>
      <c r="I884" s="358"/>
      <c r="K884" s="281"/>
      <c r="L884" s="359"/>
      <c r="M884" s="360"/>
      <c r="O884" s="372"/>
      <c r="P884" s="281"/>
      <c r="Q884" s="360"/>
    </row>
    <row r="885" ht="12.75" customHeight="1">
      <c r="G885" s="359"/>
      <c r="H885" s="281"/>
      <c r="I885" s="358"/>
      <c r="K885" s="281"/>
      <c r="L885" s="359"/>
      <c r="M885" s="360"/>
      <c r="O885" s="372"/>
      <c r="P885" s="281"/>
      <c r="Q885" s="360"/>
    </row>
    <row r="886" ht="12.75" customHeight="1">
      <c r="G886" s="359"/>
      <c r="H886" s="281"/>
      <c r="I886" s="358"/>
      <c r="K886" s="281"/>
      <c r="L886" s="359"/>
      <c r="M886" s="360"/>
      <c r="O886" s="372"/>
      <c r="P886" s="281"/>
      <c r="Q886" s="360"/>
    </row>
    <row r="887" ht="12.75" customHeight="1">
      <c r="G887" s="359"/>
      <c r="H887" s="281"/>
      <c r="I887" s="358"/>
      <c r="K887" s="281"/>
      <c r="L887" s="359"/>
      <c r="M887" s="360"/>
      <c r="O887" s="372"/>
      <c r="P887" s="281"/>
      <c r="Q887" s="360"/>
    </row>
    <row r="888" ht="12.75" customHeight="1">
      <c r="G888" s="359"/>
      <c r="H888" s="281"/>
      <c r="I888" s="358"/>
      <c r="K888" s="281"/>
      <c r="L888" s="359"/>
      <c r="M888" s="360"/>
      <c r="O888" s="372"/>
      <c r="P888" s="281"/>
      <c r="Q888" s="360"/>
    </row>
    <row r="889" ht="12.75" customHeight="1">
      <c r="G889" s="359"/>
      <c r="H889" s="281"/>
      <c r="I889" s="358"/>
      <c r="K889" s="281"/>
      <c r="L889" s="359"/>
      <c r="M889" s="360"/>
      <c r="O889" s="372"/>
      <c r="P889" s="281"/>
      <c r="Q889" s="360"/>
    </row>
    <row r="890" ht="12.75" customHeight="1">
      <c r="G890" s="359"/>
      <c r="H890" s="281"/>
      <c r="I890" s="358"/>
      <c r="K890" s="281"/>
      <c r="L890" s="359"/>
      <c r="M890" s="360"/>
      <c r="O890" s="372"/>
      <c r="P890" s="281"/>
      <c r="Q890" s="360"/>
    </row>
    <row r="891" ht="12.75" customHeight="1">
      <c r="G891" s="359"/>
      <c r="H891" s="281"/>
      <c r="I891" s="358"/>
      <c r="K891" s="281"/>
      <c r="L891" s="359"/>
      <c r="M891" s="360"/>
      <c r="O891" s="372"/>
      <c r="P891" s="281"/>
      <c r="Q891" s="360"/>
    </row>
    <row r="892" ht="12.75" customHeight="1">
      <c r="G892" s="359"/>
      <c r="H892" s="281"/>
      <c r="I892" s="358"/>
      <c r="K892" s="281"/>
      <c r="L892" s="359"/>
      <c r="M892" s="360"/>
      <c r="O892" s="372"/>
      <c r="P892" s="281"/>
      <c r="Q892" s="360"/>
    </row>
    <row r="893" ht="12.75" customHeight="1">
      <c r="G893" s="359"/>
      <c r="H893" s="281"/>
      <c r="I893" s="358"/>
      <c r="K893" s="281"/>
      <c r="L893" s="359"/>
      <c r="M893" s="360"/>
      <c r="O893" s="372"/>
      <c r="P893" s="281"/>
      <c r="Q893" s="360"/>
    </row>
    <row r="894" ht="12.75" customHeight="1">
      <c r="G894" s="359"/>
      <c r="H894" s="281"/>
      <c r="I894" s="358"/>
      <c r="K894" s="281"/>
      <c r="L894" s="359"/>
      <c r="M894" s="360"/>
      <c r="O894" s="372"/>
      <c r="P894" s="281"/>
      <c r="Q894" s="360"/>
    </row>
    <row r="895" ht="12.75" customHeight="1">
      <c r="G895" s="359"/>
      <c r="H895" s="281"/>
      <c r="I895" s="358"/>
      <c r="K895" s="281"/>
      <c r="L895" s="359"/>
      <c r="M895" s="360"/>
      <c r="O895" s="372"/>
      <c r="P895" s="281"/>
      <c r="Q895" s="360"/>
    </row>
    <row r="896" ht="12.75" customHeight="1">
      <c r="G896" s="359"/>
      <c r="H896" s="281"/>
      <c r="I896" s="358"/>
      <c r="K896" s="281"/>
      <c r="L896" s="359"/>
      <c r="M896" s="360"/>
      <c r="O896" s="372"/>
      <c r="P896" s="281"/>
      <c r="Q896" s="360"/>
    </row>
    <row r="897" ht="12.75" customHeight="1">
      <c r="G897" s="359"/>
      <c r="H897" s="281"/>
      <c r="I897" s="358"/>
      <c r="K897" s="281"/>
      <c r="L897" s="359"/>
      <c r="M897" s="360"/>
      <c r="O897" s="372"/>
      <c r="P897" s="281"/>
      <c r="Q897" s="360"/>
    </row>
    <row r="898" ht="12.75" customHeight="1">
      <c r="G898" s="359"/>
      <c r="H898" s="281"/>
      <c r="I898" s="358"/>
      <c r="K898" s="281"/>
      <c r="L898" s="359"/>
      <c r="M898" s="360"/>
      <c r="O898" s="372"/>
      <c r="P898" s="281"/>
      <c r="Q898" s="360"/>
    </row>
    <row r="899" ht="12.75" customHeight="1">
      <c r="G899" s="359"/>
      <c r="H899" s="281"/>
      <c r="I899" s="358"/>
      <c r="K899" s="281"/>
      <c r="L899" s="359"/>
      <c r="M899" s="360"/>
      <c r="O899" s="372"/>
      <c r="P899" s="281"/>
      <c r="Q899" s="360"/>
    </row>
    <row r="900" ht="12.75" customHeight="1">
      <c r="G900" s="359"/>
      <c r="H900" s="281"/>
      <c r="I900" s="358"/>
      <c r="K900" s="281"/>
      <c r="L900" s="359"/>
      <c r="M900" s="360"/>
      <c r="O900" s="372"/>
      <c r="P900" s="281"/>
      <c r="Q900" s="360"/>
    </row>
    <row r="901" ht="12.75" customHeight="1">
      <c r="G901" s="359"/>
      <c r="H901" s="281"/>
      <c r="I901" s="358"/>
      <c r="K901" s="281"/>
      <c r="L901" s="359"/>
      <c r="M901" s="360"/>
      <c r="O901" s="372"/>
      <c r="P901" s="281"/>
      <c r="Q901" s="360"/>
    </row>
    <row r="902" ht="12.75" customHeight="1">
      <c r="G902" s="359"/>
      <c r="H902" s="281"/>
      <c r="I902" s="358"/>
      <c r="K902" s="281"/>
      <c r="L902" s="359"/>
      <c r="M902" s="360"/>
      <c r="O902" s="372"/>
      <c r="P902" s="281"/>
      <c r="Q902" s="360"/>
    </row>
    <row r="903" ht="12.75" customHeight="1">
      <c r="G903" s="359"/>
      <c r="H903" s="281"/>
      <c r="I903" s="358"/>
      <c r="K903" s="281"/>
      <c r="L903" s="359"/>
      <c r="M903" s="360"/>
      <c r="O903" s="372"/>
      <c r="P903" s="281"/>
      <c r="Q903" s="360"/>
    </row>
    <row r="904" ht="12.75" customHeight="1">
      <c r="G904" s="359"/>
      <c r="H904" s="281"/>
      <c r="I904" s="358"/>
      <c r="K904" s="281"/>
      <c r="L904" s="359"/>
      <c r="M904" s="360"/>
      <c r="O904" s="372"/>
      <c r="P904" s="281"/>
      <c r="Q904" s="360"/>
    </row>
    <row r="905" ht="12.75" customHeight="1">
      <c r="G905" s="359"/>
      <c r="H905" s="281"/>
      <c r="I905" s="358"/>
      <c r="K905" s="281"/>
      <c r="L905" s="359"/>
      <c r="M905" s="360"/>
      <c r="O905" s="372"/>
      <c r="P905" s="281"/>
      <c r="Q905" s="360"/>
    </row>
    <row r="906" ht="12.75" customHeight="1">
      <c r="G906" s="359"/>
      <c r="H906" s="281"/>
      <c r="I906" s="358"/>
      <c r="K906" s="281"/>
      <c r="L906" s="359"/>
      <c r="M906" s="360"/>
      <c r="O906" s="372"/>
      <c r="P906" s="281"/>
      <c r="Q906" s="360"/>
    </row>
    <row r="907" ht="12.75" customHeight="1">
      <c r="G907" s="359"/>
      <c r="H907" s="281"/>
      <c r="I907" s="358"/>
      <c r="K907" s="281"/>
      <c r="L907" s="359"/>
      <c r="M907" s="360"/>
      <c r="O907" s="372"/>
      <c r="P907" s="281"/>
      <c r="Q907" s="360"/>
    </row>
    <row r="908" ht="12.75" customHeight="1">
      <c r="G908" s="359"/>
      <c r="H908" s="281"/>
      <c r="I908" s="358"/>
      <c r="K908" s="281"/>
      <c r="L908" s="359"/>
      <c r="M908" s="360"/>
      <c r="O908" s="372"/>
      <c r="P908" s="281"/>
      <c r="Q908" s="360"/>
    </row>
    <row r="909" ht="12.75" customHeight="1">
      <c r="G909" s="359"/>
      <c r="H909" s="281"/>
      <c r="I909" s="358"/>
      <c r="K909" s="281"/>
      <c r="L909" s="359"/>
      <c r="M909" s="360"/>
      <c r="O909" s="372"/>
      <c r="P909" s="281"/>
      <c r="Q909" s="360"/>
    </row>
    <row r="910" ht="12.75" customHeight="1">
      <c r="G910" s="359"/>
      <c r="H910" s="281"/>
      <c r="I910" s="358"/>
      <c r="K910" s="281"/>
      <c r="L910" s="359"/>
      <c r="M910" s="360"/>
      <c r="O910" s="372"/>
      <c r="P910" s="281"/>
      <c r="Q910" s="360"/>
    </row>
    <row r="911" ht="12.75" customHeight="1">
      <c r="G911" s="359"/>
      <c r="H911" s="281"/>
      <c r="I911" s="358"/>
      <c r="K911" s="281"/>
      <c r="L911" s="359"/>
      <c r="M911" s="360"/>
      <c r="O911" s="372"/>
      <c r="P911" s="281"/>
      <c r="Q911" s="360"/>
    </row>
    <row r="912" ht="12.75" customHeight="1">
      <c r="G912" s="359"/>
      <c r="H912" s="281"/>
      <c r="I912" s="358"/>
      <c r="K912" s="281"/>
      <c r="L912" s="359"/>
      <c r="M912" s="360"/>
      <c r="O912" s="372"/>
      <c r="P912" s="281"/>
      <c r="Q912" s="360"/>
    </row>
    <row r="913" ht="12.75" customHeight="1">
      <c r="G913" s="359"/>
      <c r="H913" s="281"/>
      <c r="I913" s="358"/>
      <c r="K913" s="281"/>
      <c r="L913" s="359"/>
      <c r="M913" s="360"/>
      <c r="O913" s="372"/>
      <c r="P913" s="281"/>
      <c r="Q913" s="360"/>
    </row>
    <row r="914" ht="12.75" customHeight="1">
      <c r="G914" s="359"/>
      <c r="H914" s="281"/>
      <c r="I914" s="358"/>
      <c r="K914" s="281"/>
      <c r="L914" s="359"/>
      <c r="M914" s="360"/>
      <c r="O914" s="372"/>
      <c r="P914" s="281"/>
      <c r="Q914" s="360"/>
    </row>
    <row r="915" ht="12.75" customHeight="1">
      <c r="G915" s="359"/>
      <c r="H915" s="281"/>
      <c r="I915" s="358"/>
      <c r="K915" s="281"/>
      <c r="L915" s="359"/>
      <c r="M915" s="360"/>
      <c r="O915" s="372"/>
      <c r="P915" s="281"/>
      <c r="Q915" s="360"/>
    </row>
    <row r="916" ht="12.75" customHeight="1">
      <c r="G916" s="359"/>
      <c r="H916" s="281"/>
      <c r="I916" s="358"/>
      <c r="K916" s="281"/>
      <c r="L916" s="359"/>
      <c r="M916" s="360"/>
      <c r="O916" s="372"/>
      <c r="P916" s="281"/>
      <c r="Q916" s="360"/>
    </row>
    <row r="917" ht="12.75" customHeight="1">
      <c r="G917" s="359"/>
      <c r="H917" s="281"/>
      <c r="I917" s="358"/>
      <c r="K917" s="281"/>
      <c r="L917" s="359"/>
      <c r="M917" s="360"/>
      <c r="O917" s="372"/>
      <c r="P917" s="281"/>
      <c r="Q917" s="360"/>
    </row>
    <row r="918" ht="12.75" customHeight="1">
      <c r="G918" s="359"/>
      <c r="H918" s="281"/>
      <c r="I918" s="358"/>
      <c r="K918" s="281"/>
      <c r="L918" s="359"/>
      <c r="M918" s="360"/>
      <c r="O918" s="372"/>
      <c r="P918" s="281"/>
      <c r="Q918" s="360"/>
    </row>
    <row r="919" ht="12.75" customHeight="1">
      <c r="G919" s="359"/>
      <c r="H919" s="281"/>
      <c r="I919" s="358"/>
      <c r="K919" s="281"/>
      <c r="L919" s="359"/>
      <c r="M919" s="360"/>
      <c r="O919" s="372"/>
      <c r="P919" s="281"/>
      <c r="Q919" s="360"/>
    </row>
    <row r="920" ht="12.75" customHeight="1">
      <c r="G920" s="359"/>
      <c r="H920" s="281"/>
      <c r="I920" s="358"/>
      <c r="K920" s="281"/>
      <c r="L920" s="359"/>
      <c r="M920" s="360"/>
      <c r="O920" s="372"/>
      <c r="P920" s="281"/>
      <c r="Q920" s="360"/>
    </row>
    <row r="921" ht="12.75" customHeight="1">
      <c r="G921" s="359"/>
      <c r="H921" s="281"/>
      <c r="I921" s="358"/>
      <c r="K921" s="281"/>
      <c r="L921" s="359"/>
      <c r="M921" s="360"/>
      <c r="O921" s="372"/>
      <c r="P921" s="281"/>
      <c r="Q921" s="360"/>
    </row>
    <row r="922" ht="12.75" customHeight="1">
      <c r="G922" s="359"/>
      <c r="H922" s="281"/>
      <c r="I922" s="358"/>
      <c r="K922" s="281"/>
      <c r="L922" s="359"/>
      <c r="M922" s="360"/>
      <c r="O922" s="372"/>
      <c r="P922" s="281"/>
      <c r="Q922" s="360"/>
    </row>
    <row r="923" ht="12.75" customHeight="1">
      <c r="G923" s="359"/>
      <c r="H923" s="281"/>
      <c r="I923" s="358"/>
      <c r="K923" s="281"/>
      <c r="L923" s="359"/>
      <c r="M923" s="360"/>
      <c r="O923" s="372"/>
      <c r="P923" s="281"/>
      <c r="Q923" s="360"/>
    </row>
    <row r="924" ht="12.75" customHeight="1">
      <c r="G924" s="359"/>
      <c r="H924" s="281"/>
      <c r="I924" s="358"/>
      <c r="K924" s="281"/>
      <c r="L924" s="359"/>
      <c r="M924" s="360"/>
      <c r="O924" s="372"/>
      <c r="P924" s="281"/>
      <c r="Q924" s="360"/>
    </row>
    <row r="925" ht="12.75" customHeight="1">
      <c r="G925" s="359"/>
      <c r="H925" s="281"/>
      <c r="I925" s="358"/>
      <c r="K925" s="281"/>
      <c r="L925" s="359"/>
      <c r="M925" s="360"/>
      <c r="O925" s="372"/>
      <c r="P925" s="281"/>
      <c r="Q925" s="360"/>
    </row>
    <row r="926" ht="12.75" customHeight="1">
      <c r="G926" s="359"/>
      <c r="H926" s="281"/>
      <c r="I926" s="358"/>
      <c r="K926" s="281"/>
      <c r="L926" s="359"/>
      <c r="M926" s="360"/>
      <c r="O926" s="372"/>
      <c r="P926" s="281"/>
      <c r="Q926" s="360"/>
    </row>
    <row r="927" ht="12.75" customHeight="1">
      <c r="G927" s="359"/>
      <c r="H927" s="281"/>
      <c r="I927" s="358"/>
      <c r="K927" s="281"/>
      <c r="L927" s="359"/>
      <c r="M927" s="360"/>
      <c r="O927" s="372"/>
      <c r="P927" s="281"/>
      <c r="Q927" s="360"/>
    </row>
    <row r="928" ht="12.75" customHeight="1">
      <c r="G928" s="359"/>
      <c r="H928" s="281"/>
      <c r="I928" s="358"/>
      <c r="K928" s="281"/>
      <c r="L928" s="359"/>
      <c r="M928" s="360"/>
      <c r="O928" s="372"/>
      <c r="P928" s="281"/>
      <c r="Q928" s="360"/>
    </row>
    <row r="929" ht="12.75" customHeight="1">
      <c r="G929" s="359"/>
      <c r="H929" s="281"/>
      <c r="I929" s="358"/>
      <c r="K929" s="281"/>
      <c r="L929" s="359"/>
      <c r="M929" s="360"/>
      <c r="O929" s="372"/>
      <c r="P929" s="281"/>
      <c r="Q929" s="360"/>
    </row>
    <row r="930" ht="12.75" customHeight="1">
      <c r="G930" s="359"/>
      <c r="H930" s="281"/>
      <c r="I930" s="358"/>
      <c r="K930" s="281"/>
      <c r="L930" s="359"/>
      <c r="M930" s="360"/>
      <c r="O930" s="372"/>
      <c r="P930" s="281"/>
      <c r="Q930" s="360"/>
    </row>
    <row r="931" ht="12.75" customHeight="1">
      <c r="G931" s="359"/>
      <c r="H931" s="281"/>
      <c r="I931" s="358"/>
      <c r="K931" s="281"/>
      <c r="L931" s="359"/>
      <c r="M931" s="360"/>
      <c r="O931" s="372"/>
      <c r="P931" s="281"/>
      <c r="Q931" s="360"/>
    </row>
    <row r="932" ht="12.75" customHeight="1">
      <c r="G932" s="359"/>
      <c r="H932" s="281"/>
      <c r="I932" s="358"/>
      <c r="K932" s="281"/>
      <c r="L932" s="359"/>
      <c r="M932" s="360"/>
      <c r="O932" s="372"/>
      <c r="P932" s="281"/>
      <c r="Q932" s="360"/>
    </row>
    <row r="933" ht="12.75" customHeight="1">
      <c r="G933" s="359"/>
      <c r="H933" s="281"/>
      <c r="I933" s="358"/>
      <c r="K933" s="281"/>
      <c r="L933" s="359"/>
      <c r="M933" s="360"/>
      <c r="O933" s="372"/>
      <c r="P933" s="281"/>
      <c r="Q933" s="360"/>
    </row>
    <row r="934" ht="12.75" customHeight="1">
      <c r="G934" s="359"/>
      <c r="H934" s="281"/>
      <c r="I934" s="358"/>
      <c r="K934" s="281"/>
      <c r="L934" s="359"/>
      <c r="M934" s="360"/>
      <c r="O934" s="372"/>
      <c r="P934" s="281"/>
      <c r="Q934" s="360"/>
    </row>
    <row r="935" ht="12.75" customHeight="1">
      <c r="G935" s="359"/>
      <c r="H935" s="281"/>
      <c r="I935" s="358"/>
      <c r="K935" s="281"/>
      <c r="L935" s="359"/>
      <c r="M935" s="360"/>
      <c r="O935" s="372"/>
      <c r="P935" s="281"/>
      <c r="Q935" s="360"/>
    </row>
    <row r="936" ht="12.75" customHeight="1">
      <c r="G936" s="359"/>
      <c r="H936" s="281"/>
      <c r="I936" s="358"/>
      <c r="K936" s="281"/>
      <c r="L936" s="359"/>
      <c r="M936" s="360"/>
      <c r="O936" s="372"/>
      <c r="P936" s="281"/>
      <c r="Q936" s="360"/>
    </row>
    <row r="937" ht="12.75" customHeight="1">
      <c r="G937" s="359"/>
      <c r="H937" s="281"/>
      <c r="I937" s="358"/>
      <c r="K937" s="281"/>
      <c r="L937" s="359"/>
      <c r="M937" s="360"/>
      <c r="O937" s="372"/>
      <c r="P937" s="281"/>
      <c r="Q937" s="360"/>
    </row>
    <row r="938" ht="12.75" customHeight="1">
      <c r="G938" s="359"/>
      <c r="H938" s="281"/>
      <c r="I938" s="358"/>
      <c r="K938" s="281"/>
      <c r="L938" s="359"/>
      <c r="M938" s="360"/>
      <c r="O938" s="372"/>
      <c r="P938" s="281"/>
      <c r="Q938" s="360"/>
    </row>
    <row r="939" ht="12.75" customHeight="1">
      <c r="G939" s="359"/>
      <c r="H939" s="281"/>
      <c r="I939" s="358"/>
      <c r="K939" s="281"/>
      <c r="L939" s="359"/>
      <c r="M939" s="360"/>
      <c r="O939" s="372"/>
      <c r="P939" s="281"/>
      <c r="Q939" s="360"/>
    </row>
    <row r="940" ht="12.75" customHeight="1">
      <c r="G940" s="359"/>
      <c r="H940" s="281"/>
      <c r="I940" s="358"/>
      <c r="K940" s="281"/>
      <c r="L940" s="359"/>
      <c r="M940" s="360"/>
      <c r="O940" s="372"/>
      <c r="P940" s="281"/>
      <c r="Q940" s="360"/>
    </row>
    <row r="941" ht="12.75" customHeight="1">
      <c r="G941" s="359"/>
      <c r="H941" s="281"/>
      <c r="I941" s="358"/>
      <c r="K941" s="281"/>
      <c r="L941" s="359"/>
      <c r="M941" s="360"/>
      <c r="O941" s="372"/>
      <c r="P941" s="281"/>
      <c r="Q941" s="360"/>
    </row>
    <row r="942" ht="12.75" customHeight="1">
      <c r="G942" s="359"/>
      <c r="H942" s="281"/>
      <c r="I942" s="358"/>
      <c r="K942" s="281"/>
      <c r="L942" s="359"/>
      <c r="M942" s="360"/>
      <c r="O942" s="372"/>
      <c r="P942" s="281"/>
      <c r="Q942" s="360"/>
    </row>
    <row r="943" ht="12.75" customHeight="1">
      <c r="G943" s="359"/>
      <c r="H943" s="281"/>
      <c r="I943" s="358"/>
      <c r="K943" s="281"/>
      <c r="L943" s="359"/>
      <c r="M943" s="360"/>
      <c r="O943" s="372"/>
      <c r="P943" s="281"/>
      <c r="Q943" s="360"/>
    </row>
    <row r="944" ht="12.75" customHeight="1">
      <c r="G944" s="359"/>
      <c r="H944" s="281"/>
      <c r="I944" s="358"/>
      <c r="K944" s="281"/>
      <c r="L944" s="359"/>
      <c r="M944" s="360"/>
      <c r="O944" s="372"/>
      <c r="P944" s="281"/>
      <c r="Q944" s="360"/>
    </row>
    <row r="945" ht="12.75" customHeight="1">
      <c r="G945" s="359"/>
      <c r="H945" s="281"/>
      <c r="I945" s="358"/>
      <c r="K945" s="281"/>
      <c r="L945" s="359"/>
      <c r="M945" s="360"/>
      <c r="O945" s="372"/>
      <c r="P945" s="281"/>
      <c r="Q945" s="360"/>
    </row>
    <row r="946" ht="12.75" customHeight="1">
      <c r="G946" s="359"/>
      <c r="H946" s="281"/>
      <c r="I946" s="358"/>
      <c r="K946" s="281"/>
      <c r="L946" s="359"/>
      <c r="M946" s="360"/>
      <c r="O946" s="372"/>
      <c r="P946" s="281"/>
      <c r="Q946" s="360"/>
    </row>
    <row r="947" ht="12.75" customHeight="1">
      <c r="G947" s="359"/>
      <c r="H947" s="281"/>
      <c r="I947" s="358"/>
      <c r="K947" s="281"/>
      <c r="L947" s="359"/>
      <c r="M947" s="360"/>
      <c r="O947" s="372"/>
      <c r="P947" s="281"/>
      <c r="Q947" s="360"/>
    </row>
    <row r="948" ht="12.75" customHeight="1">
      <c r="G948" s="359"/>
      <c r="H948" s="281"/>
      <c r="I948" s="358"/>
      <c r="K948" s="281"/>
      <c r="L948" s="359"/>
      <c r="M948" s="360"/>
      <c r="O948" s="372"/>
      <c r="P948" s="281"/>
      <c r="Q948" s="360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14" t="s">
        <v>1553</v>
      </c>
      <c r="B1" s="314"/>
      <c r="C1" s="314"/>
      <c r="D1" s="314"/>
      <c r="E1" s="314"/>
      <c r="F1" s="314"/>
      <c r="G1" s="314"/>
    </row>
    <row r="2" ht="12.75" customHeight="1">
      <c r="A2" s="317" t="s">
        <v>1554</v>
      </c>
      <c r="B2" s="318" t="s">
        <v>1555</v>
      </c>
      <c r="C2" s="319" t="s">
        <v>1556</v>
      </c>
      <c r="D2" s="319" t="s">
        <v>1557</v>
      </c>
      <c r="E2" s="318" t="s">
        <v>1558</v>
      </c>
      <c r="F2" s="319" t="s">
        <v>1559</v>
      </c>
      <c r="G2" s="319" t="s">
        <v>1560</v>
      </c>
    </row>
    <row r="3" ht="12.75" customHeight="1">
      <c r="A3" s="394" t="s">
        <v>433</v>
      </c>
      <c r="B3" s="346" t="s">
        <v>1561</v>
      </c>
      <c r="C3" s="346">
        <v>0.0</v>
      </c>
      <c r="D3" s="346" t="s">
        <v>1562</v>
      </c>
      <c r="E3" s="346">
        <v>15.0</v>
      </c>
      <c r="F3" s="321">
        <v>9.0</v>
      </c>
      <c r="G3" s="346" t="s">
        <v>1563</v>
      </c>
    </row>
    <row r="4" ht="12.75" customHeight="1">
      <c r="A4" s="394" t="s">
        <v>435</v>
      </c>
      <c r="B4" s="346" t="s">
        <v>1564</v>
      </c>
      <c r="C4" s="346">
        <v>0.0</v>
      </c>
      <c r="D4" s="346" t="s">
        <v>1562</v>
      </c>
      <c r="E4" s="346">
        <v>15.0</v>
      </c>
      <c r="F4" s="321">
        <v>9.0</v>
      </c>
      <c r="G4" s="346" t="s">
        <v>1563</v>
      </c>
    </row>
    <row r="5" ht="12.75" customHeight="1">
      <c r="A5" s="394" t="s">
        <v>436</v>
      </c>
      <c r="B5" s="346" t="s">
        <v>1561</v>
      </c>
      <c r="C5" s="346">
        <v>30.0</v>
      </c>
      <c r="D5" s="346" t="s">
        <v>1565</v>
      </c>
      <c r="E5" s="346">
        <v>150.0</v>
      </c>
      <c r="F5" s="321">
        <v>18.0</v>
      </c>
      <c r="G5" s="346" t="s">
        <v>1563</v>
      </c>
    </row>
    <row r="6" ht="12.75" customHeight="1">
      <c r="A6" s="394" t="s">
        <v>437</v>
      </c>
      <c r="B6" s="346" t="s">
        <v>1564</v>
      </c>
      <c r="C6" s="346">
        <v>30.0</v>
      </c>
      <c r="D6" s="346" t="s">
        <v>1565</v>
      </c>
      <c r="E6" s="346">
        <v>150.0</v>
      </c>
      <c r="F6" s="321">
        <v>18.0</v>
      </c>
      <c r="G6" s="346" t="s">
        <v>1563</v>
      </c>
    </row>
    <row r="7" ht="12.75" customHeight="1">
      <c r="A7" s="394" t="s">
        <v>438</v>
      </c>
      <c r="B7" s="346" t="s">
        <v>1561</v>
      </c>
      <c r="C7" s="346">
        <v>300.0</v>
      </c>
      <c r="D7" s="321">
        <v>600.0</v>
      </c>
      <c r="E7" s="346">
        <v>500.0</v>
      </c>
      <c r="F7" s="321">
        <v>27.0</v>
      </c>
      <c r="G7" s="346" t="s">
        <v>1563</v>
      </c>
    </row>
    <row r="8" ht="12.75" customHeight="1">
      <c r="A8" s="394" t="s">
        <v>439</v>
      </c>
      <c r="B8" s="346" t="s">
        <v>1564</v>
      </c>
      <c r="C8" s="346">
        <v>300.0</v>
      </c>
      <c r="D8" s="321">
        <v>600.0</v>
      </c>
      <c r="E8" s="346">
        <v>500.0</v>
      </c>
      <c r="F8" s="321">
        <v>27.0</v>
      </c>
      <c r="G8" s="346" t="s">
        <v>1563</v>
      </c>
    </row>
    <row r="9" ht="12.75" customHeight="1"/>
    <row r="10" ht="12.75" customHeight="1">
      <c r="A10" s="314" t="s">
        <v>1566</v>
      </c>
      <c r="B10" s="314"/>
      <c r="C10" s="314"/>
      <c r="D10" s="314"/>
      <c r="E10" s="314"/>
    </row>
    <row r="11" ht="12.75" customHeight="1">
      <c r="A11" s="317" t="s">
        <v>441</v>
      </c>
      <c r="B11" s="318" t="s">
        <v>442</v>
      </c>
      <c r="C11" s="317" t="s">
        <v>1567</v>
      </c>
      <c r="D11" s="395"/>
      <c r="E11" s="395"/>
    </row>
    <row r="12" ht="12.75" customHeight="1">
      <c r="A12" s="320" t="s">
        <v>1568</v>
      </c>
      <c r="B12" s="346">
        <v>250.0</v>
      </c>
      <c r="C12" s="322" t="s">
        <v>1569</v>
      </c>
    </row>
    <row r="13" ht="12.75" customHeight="1">
      <c r="A13" s="320" t="s">
        <v>1570</v>
      </c>
      <c r="B13" s="346">
        <v>14.0</v>
      </c>
      <c r="C13" s="322" t="s">
        <v>1571</v>
      </c>
    </row>
    <row r="14" ht="12.75" customHeight="1">
      <c r="A14" s="320" t="s">
        <v>1572</v>
      </c>
      <c r="B14" s="349">
        <v>0.95</v>
      </c>
      <c r="C14" s="322" t="s">
        <v>1573</v>
      </c>
    </row>
    <row r="15" ht="12.75" customHeight="1"/>
    <row r="16" ht="12.75" customHeight="1"/>
    <row r="17" ht="12.75" customHeight="1">
      <c r="A17" s="396" t="s">
        <v>1574</v>
      </c>
      <c r="B17" s="314"/>
      <c r="C17" s="314"/>
      <c r="D17" s="314"/>
      <c r="E17" s="314"/>
    </row>
    <row r="18" ht="12.75" customHeight="1">
      <c r="A18" s="317" t="s">
        <v>1554</v>
      </c>
      <c r="B18" s="397" t="s">
        <v>1575</v>
      </c>
    </row>
    <row r="19" ht="12.75" customHeight="1">
      <c r="A19" s="394" t="s">
        <v>433</v>
      </c>
      <c r="B19" s="398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)"),"0;0;0;8;0;5;29;7;0;0;0;0;8;11;0;0;0;0;0;0;3;0;0;0;7;0;25;0;0")</f>
        <v>0;0;0;8;0;5;29;7;0;0;0;0;8;11;0;0;0;0;0;0;3;0;0;0;7;0;25;0;0</v>
      </c>
    </row>
    <row r="20" ht="12.75" customHeight="1">
      <c r="A20" s="394" t="s">
        <v>435</v>
      </c>
      <c r="B20" s="398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)"),"0;0;0;0;20;7;19;0;0;0;0;0;9;18;0;0;0;13;0;28;24;0;0;0;0;0;0;11;0")</f>
        <v>0;0;0;0;20;7;19;0;0;0;0;0;9;18;0;0;0;13;0;28;24;0;0;0;0;0;0;11;0</v>
      </c>
    </row>
    <row r="21" ht="12.75" customHeight="1">
      <c r="A21" s="394" t="s">
        <v>436</v>
      </c>
      <c r="B21" s="398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)"),"0;37;0;0;255;44;217;0;152;0;0;245;69;74;32;0;0;167;137;152;159;0;55;0;0;174;78;109;66")</f>
        <v>0;37;0;0;255;44;217;0;152;0;0;245;69;74;32;0;0;167;137;152;159;0;55;0;0;174;78;109;66</v>
      </c>
    </row>
    <row r="22" ht="12.75" customHeight="1">
      <c r="A22" s="394" t="s">
        <v>437</v>
      </c>
      <c r="B22" s="398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)"),"0;285;0;0;93;260;230;0;201;0;256;45;131;174;0;0;0;181;75;135;94;0;0;0;204;205;265;179;280")</f>
        <v>0;285;0;0;93;260;230;0;201;0;256;45;131;174;0;0;0;181;75;135;94;0;0;0;204;205;265;179;280</v>
      </c>
    </row>
    <row r="23" ht="12.75" customHeight="1">
      <c r="A23" s="394" t="s">
        <v>438</v>
      </c>
      <c r="B23" s="398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)"),"596;538;0;331;568;454;398;303;409;437;519;422;493;440;448;0;441;598;432;351;325;378;423;305;552;414;409;404;511")</f>
        <v>596;538;0;331;568;454;398;303;409;437;519;422;493;440;448;0;441;598;432;351;325;378;423;305;552;414;409;404;511</v>
      </c>
    </row>
    <row r="24" ht="12.75" customHeight="1">
      <c r="A24" s="394" t="s">
        <v>439</v>
      </c>
      <c r="B24" s="398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)"),"0;0;590;456;599;544;542;415;569;517;486;489;495;588;369;507;510;434;428;357;414;519;505;370;357;508;560;537;467")</f>
        <v>0;0;590;456;599;544;542;415;569;517;486;489;495;588;369;507;510;434;428;357;414;519;505;370;357;508;560;537;467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14" t="s">
        <v>1576</v>
      </c>
      <c r="B1" s="315"/>
      <c r="C1" s="315"/>
      <c r="D1" s="315"/>
      <c r="E1" s="315"/>
      <c r="F1" s="315"/>
      <c r="G1" s="316"/>
    </row>
    <row r="2" ht="12.75" customHeight="1">
      <c r="A2" s="317" t="s">
        <v>1577</v>
      </c>
      <c r="B2" s="318" t="s">
        <v>433</v>
      </c>
      <c r="C2" s="318" t="s">
        <v>435</v>
      </c>
      <c r="D2" s="318" t="s">
        <v>436</v>
      </c>
      <c r="E2" s="318" t="s">
        <v>437</v>
      </c>
      <c r="F2" s="318" t="s">
        <v>438</v>
      </c>
      <c r="G2" s="318" t="s">
        <v>439</v>
      </c>
    </row>
    <row r="3" ht="12.75" customHeight="1">
      <c r="A3" s="320" t="s">
        <v>1578</v>
      </c>
      <c r="B3" s="326" t="s">
        <v>434</v>
      </c>
      <c r="C3" s="326" t="s">
        <v>434</v>
      </c>
      <c r="D3" s="326" t="s">
        <v>434</v>
      </c>
      <c r="E3" s="326" t="s">
        <v>434</v>
      </c>
      <c r="F3" s="326" t="s">
        <v>434</v>
      </c>
      <c r="G3" s="326" t="s">
        <v>434</v>
      </c>
    </row>
    <row r="4" ht="12.75" customHeight="1">
      <c r="A4" s="320" t="s">
        <v>1579</v>
      </c>
      <c r="B4" s="326" t="s">
        <v>434</v>
      </c>
      <c r="C4" s="326" t="s">
        <v>434</v>
      </c>
      <c r="D4" s="326" t="s">
        <v>434</v>
      </c>
      <c r="E4" s="326" t="s">
        <v>434</v>
      </c>
      <c r="F4" s="326" t="s">
        <v>434</v>
      </c>
      <c r="G4" s="326" t="s">
        <v>434</v>
      </c>
    </row>
    <row r="5" ht="12.75" customHeight="1">
      <c r="A5" s="320" t="s">
        <v>1580</v>
      </c>
      <c r="B5" s="326" t="s">
        <v>434</v>
      </c>
      <c r="C5" s="326" t="s">
        <v>434</v>
      </c>
      <c r="D5" s="326" t="s">
        <v>434</v>
      </c>
      <c r="E5" s="326" t="s">
        <v>434</v>
      </c>
      <c r="F5" s="326" t="s">
        <v>434</v>
      </c>
      <c r="G5" s="326" t="s">
        <v>434</v>
      </c>
    </row>
    <row r="6" ht="12.75" customHeight="1">
      <c r="A6" s="320" t="s">
        <v>1581</v>
      </c>
      <c r="B6" s="326" t="s">
        <v>434</v>
      </c>
      <c r="C6" s="326" t="s">
        <v>434</v>
      </c>
      <c r="D6" s="326" t="s">
        <v>434</v>
      </c>
      <c r="E6" s="326" t="s">
        <v>434</v>
      </c>
      <c r="F6" s="326" t="s">
        <v>434</v>
      </c>
      <c r="G6" s="326" t="s">
        <v>434</v>
      </c>
    </row>
    <row r="7" ht="12.75" customHeight="1"/>
    <row r="8" ht="12.75" customHeight="1">
      <c r="A8" s="320" t="s">
        <v>1582</v>
      </c>
      <c r="B8" s="326" t="s">
        <v>434</v>
      </c>
      <c r="C8" s="326" t="s">
        <v>434</v>
      </c>
      <c r="D8" s="326" t="s">
        <v>434</v>
      </c>
      <c r="E8" s="326" t="s">
        <v>434</v>
      </c>
      <c r="F8" s="326" t="s">
        <v>434</v>
      </c>
      <c r="G8" s="326" t="s">
        <v>434</v>
      </c>
    </row>
    <row r="9" ht="12.75" customHeight="1">
      <c r="A9" s="320" t="s">
        <v>1583</v>
      </c>
      <c r="B9" s="326" t="s">
        <v>434</v>
      </c>
      <c r="C9" s="326" t="s">
        <v>434</v>
      </c>
      <c r="D9" s="326" t="s">
        <v>434</v>
      </c>
      <c r="E9" s="326" t="s">
        <v>434</v>
      </c>
      <c r="F9" s="326" t="s">
        <v>434</v>
      </c>
      <c r="G9" s="326" t="s">
        <v>434</v>
      </c>
    </row>
    <row r="10" ht="12.75" customHeight="1">
      <c r="A10" s="320" t="s">
        <v>1584</v>
      </c>
      <c r="B10" s="326" t="s">
        <v>434</v>
      </c>
      <c r="C10" s="326" t="s">
        <v>434</v>
      </c>
      <c r="D10" s="326" t="s">
        <v>434</v>
      </c>
      <c r="E10" s="326" t="s">
        <v>434</v>
      </c>
      <c r="F10" s="326" t="s">
        <v>434</v>
      </c>
      <c r="G10" s="326" t="s">
        <v>434</v>
      </c>
    </row>
    <row r="11" ht="12.75" customHeight="1"/>
    <row r="12" ht="12.75" customHeight="1">
      <c r="A12" s="320" t="s">
        <v>1585</v>
      </c>
      <c r="B12" s="326" t="s">
        <v>434</v>
      </c>
      <c r="C12" s="326" t="s">
        <v>434</v>
      </c>
      <c r="D12" s="326" t="s">
        <v>434</v>
      </c>
      <c r="E12" s="326" t="s">
        <v>434</v>
      </c>
      <c r="F12" s="326" t="s">
        <v>434</v>
      </c>
      <c r="G12" s="326" t="s">
        <v>434</v>
      </c>
    </row>
    <row r="13" ht="12.75" customHeight="1">
      <c r="A13" s="320" t="s">
        <v>1586</v>
      </c>
      <c r="B13" s="326" t="s">
        <v>434</v>
      </c>
      <c r="C13" s="326" t="s">
        <v>434</v>
      </c>
      <c r="D13" s="326" t="s">
        <v>434</v>
      </c>
      <c r="E13" s="326" t="s">
        <v>434</v>
      </c>
      <c r="F13" s="326" t="s">
        <v>434</v>
      </c>
      <c r="G13" s="326" t="s">
        <v>434</v>
      </c>
    </row>
    <row r="14" ht="12.75" customHeight="1">
      <c r="A14" s="320" t="s">
        <v>1587</v>
      </c>
      <c r="B14" s="326" t="s">
        <v>434</v>
      </c>
      <c r="C14" s="326" t="s">
        <v>434</v>
      </c>
      <c r="D14" s="326" t="s">
        <v>434</v>
      </c>
      <c r="E14" s="326" t="s">
        <v>434</v>
      </c>
      <c r="F14" s="326" t="s">
        <v>434</v>
      </c>
      <c r="G14" s="326" t="s">
        <v>434</v>
      </c>
    </row>
    <row r="15" ht="12.75" customHeight="1"/>
    <row r="16" ht="12.75" customHeight="1">
      <c r="A16" s="320" t="s">
        <v>1588</v>
      </c>
      <c r="B16" s="326" t="s">
        <v>434</v>
      </c>
      <c r="C16" s="326" t="s">
        <v>434</v>
      </c>
      <c r="D16" s="326" t="s">
        <v>434</v>
      </c>
      <c r="E16" s="326" t="s">
        <v>434</v>
      </c>
      <c r="F16" s="326" t="s">
        <v>434</v>
      </c>
      <c r="G16" s="326" t="s">
        <v>434</v>
      </c>
    </row>
    <row r="17" ht="12.75" customHeight="1">
      <c r="A17" s="320" t="s">
        <v>1589</v>
      </c>
      <c r="B17" s="326" t="s">
        <v>434</v>
      </c>
      <c r="C17" s="326" t="s">
        <v>434</v>
      </c>
      <c r="D17" s="326" t="s">
        <v>434</v>
      </c>
      <c r="E17" s="326" t="s">
        <v>434</v>
      </c>
      <c r="F17" s="326" t="s">
        <v>434</v>
      </c>
      <c r="G17" s="326" t="s">
        <v>434</v>
      </c>
    </row>
    <row r="18" ht="12.75" customHeight="1">
      <c r="A18" s="320" t="s">
        <v>1590</v>
      </c>
      <c r="B18" s="326" t="s">
        <v>434</v>
      </c>
      <c r="C18" s="326" t="s">
        <v>434</v>
      </c>
      <c r="D18" s="326" t="s">
        <v>434</v>
      </c>
      <c r="E18" s="326" t="s">
        <v>434</v>
      </c>
      <c r="F18" s="326" t="s">
        <v>434</v>
      </c>
      <c r="G18" s="326" t="s">
        <v>434</v>
      </c>
    </row>
    <row r="19" ht="12.75" customHeight="1">
      <c r="A19" s="320" t="s">
        <v>1591</v>
      </c>
      <c r="B19" s="326" t="s">
        <v>434</v>
      </c>
      <c r="C19" s="326" t="s">
        <v>434</v>
      </c>
      <c r="D19" s="326" t="s">
        <v>434</v>
      </c>
      <c r="E19" s="326" t="s">
        <v>434</v>
      </c>
      <c r="F19" s="326" t="s">
        <v>434</v>
      </c>
      <c r="G19" s="326" t="s">
        <v>434</v>
      </c>
    </row>
    <row r="20" ht="12.75" customHeight="1">
      <c r="A20" s="320" t="s">
        <v>1592</v>
      </c>
      <c r="B20" s="326" t="s">
        <v>434</v>
      </c>
      <c r="C20" s="326" t="s">
        <v>434</v>
      </c>
      <c r="D20" s="326" t="s">
        <v>434</v>
      </c>
      <c r="E20" s="326" t="s">
        <v>434</v>
      </c>
      <c r="F20" s="326" t="s">
        <v>434</v>
      </c>
      <c r="G20" s="326" t="s">
        <v>434</v>
      </c>
    </row>
    <row r="21" ht="12.75" customHeight="1">
      <c r="A21" s="320" t="s">
        <v>1593</v>
      </c>
      <c r="B21" s="326" t="s">
        <v>434</v>
      </c>
      <c r="C21" s="326" t="s">
        <v>434</v>
      </c>
      <c r="D21" s="326" t="s">
        <v>434</v>
      </c>
      <c r="E21" s="326" t="s">
        <v>434</v>
      </c>
      <c r="F21" s="326" t="s">
        <v>434</v>
      </c>
      <c r="G21" s="326" t="s">
        <v>434</v>
      </c>
    </row>
    <row r="22" ht="12.75" customHeight="1"/>
    <row r="23" ht="12.75" customHeight="1">
      <c r="A23" s="320" t="s">
        <v>1594</v>
      </c>
      <c r="B23" s="326" t="s">
        <v>434</v>
      </c>
      <c r="C23" s="326" t="s">
        <v>434</v>
      </c>
      <c r="D23" s="326" t="s">
        <v>434</v>
      </c>
      <c r="E23" s="326" t="s">
        <v>434</v>
      </c>
      <c r="F23" s="326" t="s">
        <v>434</v>
      </c>
      <c r="G23" s="326" t="s">
        <v>434</v>
      </c>
    </row>
    <row r="24" ht="12.75" customHeight="1">
      <c r="A24" s="320" t="s">
        <v>1595</v>
      </c>
      <c r="B24" s="326" t="s">
        <v>434</v>
      </c>
      <c r="C24" s="326" t="s">
        <v>434</v>
      </c>
      <c r="D24" s="326" t="s">
        <v>434</v>
      </c>
      <c r="E24" s="326" t="s">
        <v>434</v>
      </c>
      <c r="F24" s="326" t="s">
        <v>434</v>
      </c>
      <c r="G24" s="326" t="s">
        <v>434</v>
      </c>
    </row>
    <row r="25" ht="12.75" customHeight="1"/>
    <row r="26" ht="12.75" customHeight="1">
      <c r="A26" s="314" t="s">
        <v>1596</v>
      </c>
      <c r="B26" s="315"/>
      <c r="C26" s="315"/>
      <c r="D26" s="315"/>
      <c r="E26" s="315"/>
      <c r="F26" s="315"/>
      <c r="G26" s="316"/>
    </row>
    <row r="27" ht="12.75" customHeight="1">
      <c r="A27" s="317" t="s">
        <v>729</v>
      </c>
      <c r="B27" s="318" t="s">
        <v>433</v>
      </c>
      <c r="C27" s="318" t="s">
        <v>435</v>
      </c>
      <c r="D27" s="318" t="s">
        <v>436</v>
      </c>
      <c r="E27" s="318" t="s">
        <v>437</v>
      </c>
      <c r="F27" s="318" t="s">
        <v>438</v>
      </c>
      <c r="G27" s="318" t="s">
        <v>439</v>
      </c>
    </row>
    <row r="28" ht="12.75" customHeight="1">
      <c r="A28" s="325" t="s">
        <v>1597</v>
      </c>
      <c r="B28" s="326" t="s">
        <v>434</v>
      </c>
      <c r="C28" s="326" t="s">
        <v>434</v>
      </c>
      <c r="D28" s="326" t="s">
        <v>434</v>
      </c>
      <c r="E28" s="326" t="s">
        <v>434</v>
      </c>
      <c r="F28" s="326" t="s">
        <v>434</v>
      </c>
      <c r="G28" s="326" t="s">
        <v>434</v>
      </c>
    </row>
    <row r="29" ht="12.75" customHeight="1">
      <c r="A29" s="325" t="s">
        <v>1598</v>
      </c>
      <c r="B29" s="326" t="s">
        <v>434</v>
      </c>
      <c r="C29" s="326" t="s">
        <v>434</v>
      </c>
      <c r="D29" s="326" t="s">
        <v>434</v>
      </c>
      <c r="E29" s="326" t="s">
        <v>434</v>
      </c>
      <c r="F29" s="326" t="s">
        <v>434</v>
      </c>
      <c r="G29" s="326" t="s">
        <v>434</v>
      </c>
    </row>
    <row r="30" ht="12.75" customHeight="1">
      <c r="A30" s="325" t="s">
        <v>1599</v>
      </c>
      <c r="B30" s="326" t="s">
        <v>434</v>
      </c>
      <c r="C30" s="326" t="s">
        <v>434</v>
      </c>
      <c r="D30" s="326" t="s">
        <v>434</v>
      </c>
      <c r="E30" s="326" t="s">
        <v>434</v>
      </c>
      <c r="F30" s="326" t="s">
        <v>434</v>
      </c>
      <c r="G30" s="326" t="s">
        <v>434</v>
      </c>
    </row>
    <row r="31" ht="12.75" customHeight="1">
      <c r="A31" s="325" t="s">
        <v>1600</v>
      </c>
      <c r="B31" s="326" t="s">
        <v>434</v>
      </c>
      <c r="C31" s="326" t="s">
        <v>434</v>
      </c>
      <c r="D31" s="326" t="s">
        <v>434</v>
      </c>
      <c r="E31" s="326" t="s">
        <v>434</v>
      </c>
      <c r="F31" s="326" t="s">
        <v>434</v>
      </c>
      <c r="G31" s="326" t="s">
        <v>434</v>
      </c>
    </row>
    <row r="32" ht="12.75" customHeight="1">
      <c r="A32" s="325" t="s">
        <v>1601</v>
      </c>
      <c r="B32" s="326" t="s">
        <v>434</v>
      </c>
      <c r="C32" s="326" t="s">
        <v>434</v>
      </c>
      <c r="D32" s="326" t="s">
        <v>434</v>
      </c>
      <c r="E32" s="326" t="s">
        <v>434</v>
      </c>
      <c r="F32" s="326" t="s">
        <v>434</v>
      </c>
      <c r="G32" s="326" t="s">
        <v>434</v>
      </c>
    </row>
    <row r="33" ht="12.75" customHeight="1">
      <c r="A33" s="325" t="s">
        <v>1602</v>
      </c>
      <c r="B33" s="326" t="s">
        <v>434</v>
      </c>
      <c r="C33" s="326" t="s">
        <v>434</v>
      </c>
      <c r="D33" s="326" t="s">
        <v>434</v>
      </c>
      <c r="E33" s="326" t="s">
        <v>434</v>
      </c>
      <c r="F33" s="326" t="s">
        <v>434</v>
      </c>
      <c r="G33" s="326" t="s">
        <v>434</v>
      </c>
    </row>
    <row r="34" ht="12.75" customHeight="1">
      <c r="A34" s="325" t="s">
        <v>1603</v>
      </c>
      <c r="B34" s="326" t="s">
        <v>434</v>
      </c>
      <c r="C34" s="326" t="s">
        <v>434</v>
      </c>
      <c r="D34" s="326" t="s">
        <v>434</v>
      </c>
      <c r="E34" s="326" t="s">
        <v>434</v>
      </c>
      <c r="F34" s="326" t="s">
        <v>434</v>
      </c>
      <c r="G34" s="326" t="s">
        <v>434</v>
      </c>
    </row>
    <row r="35" ht="12.75" customHeight="1">
      <c r="A35" s="325" t="s">
        <v>1604</v>
      </c>
      <c r="B35" s="326" t="s">
        <v>434</v>
      </c>
      <c r="C35" s="326" t="s">
        <v>434</v>
      </c>
      <c r="D35" s="326" t="s">
        <v>434</v>
      </c>
      <c r="E35" s="326" t="s">
        <v>434</v>
      </c>
      <c r="F35" s="326" t="s">
        <v>434</v>
      </c>
      <c r="G35" s="326" t="s">
        <v>434</v>
      </c>
    </row>
    <row r="36" ht="12.75" customHeight="1">
      <c r="A36" s="325" t="s">
        <v>1605</v>
      </c>
      <c r="B36" s="326" t="s">
        <v>434</v>
      </c>
      <c r="C36" s="326" t="s">
        <v>434</v>
      </c>
      <c r="D36" s="326" t="s">
        <v>434</v>
      </c>
      <c r="E36" s="326" t="s">
        <v>434</v>
      </c>
      <c r="F36" s="326" t="s">
        <v>434</v>
      </c>
      <c r="G36" s="326" t="s">
        <v>434</v>
      </c>
    </row>
    <row r="37" ht="12.75" customHeight="1">
      <c r="A37" s="325" t="s">
        <v>1606</v>
      </c>
      <c r="B37" s="326" t="s">
        <v>434</v>
      </c>
      <c r="C37" s="326" t="s">
        <v>434</v>
      </c>
      <c r="D37" s="326" t="s">
        <v>434</v>
      </c>
      <c r="E37" s="326" t="s">
        <v>434</v>
      </c>
      <c r="F37" s="326" t="s">
        <v>434</v>
      </c>
      <c r="G37" s="326" t="s">
        <v>434</v>
      </c>
    </row>
    <row r="38" ht="12.75" customHeight="1">
      <c r="A38" s="325" t="s">
        <v>1607</v>
      </c>
      <c r="B38" s="326" t="s">
        <v>434</v>
      </c>
      <c r="C38" s="326" t="s">
        <v>434</v>
      </c>
      <c r="D38" s="326" t="s">
        <v>434</v>
      </c>
      <c r="E38" s="326" t="s">
        <v>434</v>
      </c>
      <c r="F38" s="326" t="s">
        <v>434</v>
      </c>
      <c r="G38" s="326" t="s">
        <v>434</v>
      </c>
    </row>
    <row r="39" ht="12.75" customHeight="1">
      <c r="A39" s="325" t="s">
        <v>1608</v>
      </c>
      <c r="B39" s="326" t="s">
        <v>434</v>
      </c>
      <c r="C39" s="326" t="s">
        <v>434</v>
      </c>
      <c r="D39" s="326" t="s">
        <v>434</v>
      </c>
      <c r="E39" s="326" t="s">
        <v>434</v>
      </c>
      <c r="F39" s="326" t="s">
        <v>434</v>
      </c>
      <c r="G39" s="326" t="s">
        <v>434</v>
      </c>
    </row>
    <row r="40" ht="12.75" customHeight="1">
      <c r="A40" s="325" t="s">
        <v>1609</v>
      </c>
      <c r="B40" s="326" t="s">
        <v>434</v>
      </c>
      <c r="C40" s="326" t="s">
        <v>434</v>
      </c>
      <c r="D40" s="326" t="s">
        <v>434</v>
      </c>
      <c r="E40" s="326" t="s">
        <v>434</v>
      </c>
      <c r="F40" s="326" t="s">
        <v>434</v>
      </c>
      <c r="G40" s="326" t="s">
        <v>434</v>
      </c>
    </row>
    <row r="41" ht="12.75" customHeight="1">
      <c r="A41" s="325" t="s">
        <v>1610</v>
      </c>
      <c r="B41" s="326" t="s">
        <v>434</v>
      </c>
      <c r="C41" s="326" t="s">
        <v>434</v>
      </c>
      <c r="D41" s="326" t="s">
        <v>434</v>
      </c>
      <c r="E41" s="326" t="s">
        <v>434</v>
      </c>
      <c r="F41" s="326" t="s">
        <v>434</v>
      </c>
      <c r="G41" s="326" t="s">
        <v>434</v>
      </c>
    </row>
    <row r="42" ht="12.75" customHeight="1">
      <c r="A42" s="325" t="s">
        <v>1611</v>
      </c>
      <c r="B42" s="326" t="s">
        <v>434</v>
      </c>
      <c r="C42" s="326" t="s">
        <v>434</v>
      </c>
      <c r="D42" s="326" t="s">
        <v>434</v>
      </c>
      <c r="E42" s="326" t="s">
        <v>434</v>
      </c>
      <c r="F42" s="326" t="s">
        <v>434</v>
      </c>
      <c r="G42" s="326" t="s">
        <v>434</v>
      </c>
    </row>
    <row r="43" ht="12.75" customHeight="1">
      <c r="A43" s="325" t="s">
        <v>1612</v>
      </c>
      <c r="B43" s="326" t="s">
        <v>434</v>
      </c>
      <c r="C43" s="326" t="s">
        <v>434</v>
      </c>
      <c r="D43" s="326" t="s">
        <v>434</v>
      </c>
      <c r="E43" s="326" t="s">
        <v>434</v>
      </c>
      <c r="F43" s="326" t="s">
        <v>434</v>
      </c>
      <c r="G43" s="326" t="s">
        <v>434</v>
      </c>
    </row>
    <row r="44" ht="12.75" customHeight="1"/>
    <row r="45" ht="12.75" customHeight="1">
      <c r="A45" s="314" t="s">
        <v>1613</v>
      </c>
      <c r="B45" s="315"/>
      <c r="C45" s="315"/>
      <c r="D45" s="315"/>
      <c r="E45" s="315"/>
      <c r="F45" s="315"/>
      <c r="G45" s="316"/>
    </row>
    <row r="46" ht="12.75" customHeight="1">
      <c r="A46" s="317" t="s">
        <v>157</v>
      </c>
      <c r="B46" s="318" t="s">
        <v>433</v>
      </c>
      <c r="C46" s="318" t="s">
        <v>435</v>
      </c>
      <c r="D46" s="318" t="s">
        <v>436</v>
      </c>
      <c r="E46" s="318" t="s">
        <v>437</v>
      </c>
      <c r="F46" s="318" t="s">
        <v>438</v>
      </c>
      <c r="G46" s="318" t="s">
        <v>439</v>
      </c>
    </row>
    <row r="47" ht="12.75" customHeight="1">
      <c r="A47" s="325" t="s">
        <v>1614</v>
      </c>
      <c r="B47" s="326" t="s">
        <v>434</v>
      </c>
      <c r="C47" s="326" t="s">
        <v>434</v>
      </c>
      <c r="D47" s="326" t="s">
        <v>434</v>
      </c>
      <c r="E47" s="326" t="s">
        <v>434</v>
      </c>
      <c r="F47" s="326" t="s">
        <v>434</v>
      </c>
      <c r="G47" s="326" t="s">
        <v>434</v>
      </c>
    </row>
    <row r="48" ht="12.75" customHeight="1">
      <c r="A48" s="325" t="s">
        <v>1615</v>
      </c>
      <c r="B48" s="326" t="s">
        <v>434</v>
      </c>
      <c r="C48" s="326" t="s">
        <v>434</v>
      </c>
      <c r="D48" s="326" t="s">
        <v>434</v>
      </c>
      <c r="E48" s="326" t="s">
        <v>434</v>
      </c>
      <c r="F48" s="326" t="s">
        <v>434</v>
      </c>
      <c r="G48" s="326" t="s">
        <v>434</v>
      </c>
    </row>
    <row r="49" ht="12.75" customHeight="1">
      <c r="A49" s="325" t="s">
        <v>1616</v>
      </c>
      <c r="B49" s="326" t="s">
        <v>434</v>
      </c>
      <c r="C49" s="326" t="s">
        <v>434</v>
      </c>
      <c r="D49" s="326" t="s">
        <v>434</v>
      </c>
      <c r="E49" s="326" t="s">
        <v>434</v>
      </c>
      <c r="F49" s="326" t="s">
        <v>434</v>
      </c>
      <c r="G49" s="326" t="s">
        <v>434</v>
      </c>
    </row>
    <row r="50" ht="12.75" customHeight="1">
      <c r="A50" s="325" t="s">
        <v>1617</v>
      </c>
      <c r="B50" s="326" t="s">
        <v>434</v>
      </c>
      <c r="C50" s="326" t="s">
        <v>434</v>
      </c>
      <c r="D50" s="326" t="s">
        <v>434</v>
      </c>
      <c r="E50" s="326" t="s">
        <v>434</v>
      </c>
      <c r="F50" s="326" t="s">
        <v>434</v>
      </c>
      <c r="G50" s="326" t="s">
        <v>434</v>
      </c>
    </row>
    <row r="51" ht="12.75" customHeight="1">
      <c r="A51" s="325" t="s">
        <v>1618</v>
      </c>
      <c r="B51" s="326" t="s">
        <v>434</v>
      </c>
      <c r="C51" s="326" t="s">
        <v>434</v>
      </c>
      <c r="D51" s="326" t="s">
        <v>434</v>
      </c>
      <c r="E51" s="326" t="s">
        <v>434</v>
      </c>
      <c r="F51" s="326" t="s">
        <v>434</v>
      </c>
      <c r="G51" s="326" t="s">
        <v>434</v>
      </c>
    </row>
    <row r="52" ht="12.75" customHeight="1">
      <c r="A52" s="325" t="s">
        <v>1619</v>
      </c>
      <c r="B52" s="326" t="s">
        <v>434</v>
      </c>
      <c r="C52" s="326" t="s">
        <v>434</v>
      </c>
      <c r="D52" s="326" t="s">
        <v>434</v>
      </c>
      <c r="E52" s="326" t="s">
        <v>434</v>
      </c>
      <c r="F52" s="326" t="s">
        <v>434</v>
      </c>
      <c r="G52" s="326" t="s">
        <v>434</v>
      </c>
    </row>
    <row r="53" ht="12.75" customHeight="1"/>
    <row r="54" ht="12.75" customHeight="1">
      <c r="A54" s="322" t="s">
        <v>1620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14" t="s">
        <v>1621</v>
      </c>
      <c r="B1" s="376"/>
      <c r="C1" s="376"/>
      <c r="D1" s="376"/>
      <c r="E1" s="376"/>
      <c r="F1" s="376"/>
      <c r="G1" s="376"/>
      <c r="H1" s="376"/>
    </row>
    <row r="2" ht="12.75" customHeight="1">
      <c r="A2" s="320" t="s">
        <v>1622</v>
      </c>
      <c r="B2" s="378" t="s">
        <v>436</v>
      </c>
      <c r="C2" s="320"/>
      <c r="D2" s="320"/>
      <c r="E2" s="320"/>
      <c r="F2" s="320" t="s">
        <v>1623</v>
      </c>
      <c r="G2" s="346">
        <v>1.0</v>
      </c>
      <c r="I2" s="399"/>
    </row>
    <row r="3" ht="12.75" customHeight="1">
      <c r="I3" s="399"/>
    </row>
    <row r="4" ht="12.75" customHeight="1">
      <c r="A4" s="314" t="s">
        <v>1624</v>
      </c>
      <c r="B4" s="376"/>
      <c r="C4" s="376"/>
      <c r="D4" s="376"/>
      <c r="E4" s="376"/>
      <c r="F4" s="376"/>
      <c r="G4" s="376"/>
      <c r="H4" s="376"/>
    </row>
    <row r="5" ht="12.75" customHeight="1">
      <c r="A5" s="318" t="s">
        <v>87</v>
      </c>
      <c r="B5" s="318" t="s">
        <v>1625</v>
      </c>
      <c r="C5" s="318" t="s">
        <v>573</v>
      </c>
      <c r="D5" s="318" t="s">
        <v>1626</v>
      </c>
      <c r="E5" s="318" t="s">
        <v>1627</v>
      </c>
      <c r="F5" s="318" t="s">
        <v>739</v>
      </c>
      <c r="I5" s="399"/>
    </row>
    <row r="6" ht="12.75" customHeight="1">
      <c r="A6" s="364">
        <v>1.0</v>
      </c>
      <c r="B6" s="326" t="s">
        <v>434</v>
      </c>
      <c r="C6" s="326" t="s">
        <v>434</v>
      </c>
      <c r="D6" s="326" t="s">
        <v>434</v>
      </c>
      <c r="E6" s="326" t="s">
        <v>434</v>
      </c>
      <c r="F6" s="326" t="s">
        <v>434</v>
      </c>
      <c r="I6" s="399"/>
    </row>
    <row r="7" ht="12.75" customHeight="1">
      <c r="A7" s="364">
        <v>2.0</v>
      </c>
      <c r="B7" s="326" t="s">
        <v>434</v>
      </c>
      <c r="C7" s="326" t="s">
        <v>434</v>
      </c>
      <c r="D7" s="326" t="s">
        <v>434</v>
      </c>
      <c r="E7" s="326" t="s">
        <v>434</v>
      </c>
      <c r="F7" s="326" t="s">
        <v>434</v>
      </c>
      <c r="I7" s="399"/>
    </row>
    <row r="8" ht="12.75" customHeight="1">
      <c r="A8" s="364">
        <v>3.0</v>
      </c>
      <c r="B8" s="326" t="s">
        <v>434</v>
      </c>
      <c r="C8" s="326" t="s">
        <v>434</v>
      </c>
      <c r="D8" s="326" t="s">
        <v>434</v>
      </c>
      <c r="E8" s="326" t="s">
        <v>434</v>
      </c>
      <c r="F8" s="326" t="s">
        <v>434</v>
      </c>
      <c r="I8" s="399"/>
    </row>
    <row r="9" ht="12.75" customHeight="1">
      <c r="A9" s="364">
        <v>4.0</v>
      </c>
      <c r="B9" s="326" t="s">
        <v>434</v>
      </c>
      <c r="C9" s="326" t="s">
        <v>434</v>
      </c>
      <c r="D9" s="326" t="s">
        <v>434</v>
      </c>
      <c r="E9" s="326" t="s">
        <v>434</v>
      </c>
      <c r="F9" s="326" t="s">
        <v>434</v>
      </c>
      <c r="I9" s="399"/>
    </row>
    <row r="10" ht="12.75" customHeight="1">
      <c r="A10" s="364">
        <v>5.0</v>
      </c>
      <c r="B10" s="326" t="s">
        <v>434</v>
      </c>
      <c r="C10" s="326" t="s">
        <v>434</v>
      </c>
      <c r="D10" s="326" t="s">
        <v>434</v>
      </c>
      <c r="E10" s="326" t="s">
        <v>434</v>
      </c>
      <c r="F10" s="326" t="s">
        <v>434</v>
      </c>
      <c r="I10" s="399"/>
    </row>
    <row r="11" ht="12.75" customHeight="1">
      <c r="A11" s="364">
        <v>6.0</v>
      </c>
      <c r="B11" s="326" t="s">
        <v>434</v>
      </c>
      <c r="C11" s="326" t="s">
        <v>434</v>
      </c>
      <c r="D11" s="326" t="s">
        <v>434</v>
      </c>
      <c r="E11" s="326" t="s">
        <v>434</v>
      </c>
      <c r="F11" s="326" t="s">
        <v>434</v>
      </c>
      <c r="I11" s="399"/>
    </row>
    <row r="12" ht="12.75" customHeight="1">
      <c r="A12" s="364">
        <v>7.0</v>
      </c>
      <c r="B12" s="326" t="s">
        <v>434</v>
      </c>
      <c r="C12" s="326" t="s">
        <v>434</v>
      </c>
      <c r="D12" s="326" t="s">
        <v>434</v>
      </c>
      <c r="E12" s="326" t="s">
        <v>434</v>
      </c>
      <c r="F12" s="326" t="s">
        <v>434</v>
      </c>
      <c r="I12" s="399"/>
    </row>
    <row r="13" ht="12.75" customHeight="1">
      <c r="A13" s="364">
        <v>8.0</v>
      </c>
      <c r="B13" s="326" t="s">
        <v>434</v>
      </c>
      <c r="C13" s="326" t="s">
        <v>434</v>
      </c>
      <c r="D13" s="326" t="s">
        <v>434</v>
      </c>
      <c r="E13" s="326" t="s">
        <v>434</v>
      </c>
      <c r="F13" s="326" t="s">
        <v>434</v>
      </c>
      <c r="I13" s="399"/>
    </row>
    <row r="14" ht="12.75" customHeight="1">
      <c r="A14" s="364">
        <v>9.0</v>
      </c>
      <c r="B14" s="326" t="s">
        <v>434</v>
      </c>
      <c r="C14" s="326" t="s">
        <v>434</v>
      </c>
      <c r="D14" s="326" t="s">
        <v>434</v>
      </c>
      <c r="E14" s="326" t="s">
        <v>434</v>
      </c>
      <c r="F14" s="326" t="s">
        <v>434</v>
      </c>
      <c r="I14" s="399"/>
    </row>
    <row r="15" ht="12.75" customHeight="1">
      <c r="A15" s="364">
        <v>10.0</v>
      </c>
      <c r="B15" s="326" t="s">
        <v>434</v>
      </c>
      <c r="C15" s="326" t="s">
        <v>434</v>
      </c>
      <c r="D15" s="326" t="s">
        <v>434</v>
      </c>
      <c r="E15" s="326" t="s">
        <v>434</v>
      </c>
      <c r="F15" s="326" t="s">
        <v>434</v>
      </c>
      <c r="I15" s="399"/>
    </row>
    <row r="16" ht="12.75" customHeight="1">
      <c r="A16" s="364">
        <v>11.0</v>
      </c>
      <c r="B16" s="326" t="s">
        <v>434</v>
      </c>
      <c r="C16" s="326" t="s">
        <v>434</v>
      </c>
      <c r="D16" s="326" t="s">
        <v>434</v>
      </c>
      <c r="E16" s="326" t="s">
        <v>434</v>
      </c>
      <c r="F16" s="326" t="s">
        <v>434</v>
      </c>
      <c r="I16" s="399"/>
    </row>
    <row r="17" ht="12.75" customHeight="1">
      <c r="A17" s="364">
        <v>12.0</v>
      </c>
      <c r="B17" s="326" t="s">
        <v>434</v>
      </c>
      <c r="C17" s="326" t="s">
        <v>434</v>
      </c>
      <c r="D17" s="326" t="s">
        <v>434</v>
      </c>
      <c r="E17" s="326" t="s">
        <v>434</v>
      </c>
      <c r="F17" s="326" t="s">
        <v>434</v>
      </c>
      <c r="I17" s="399"/>
    </row>
    <row r="18" ht="12.75" customHeight="1">
      <c r="A18" s="364">
        <v>13.0</v>
      </c>
      <c r="B18" s="326" t="s">
        <v>434</v>
      </c>
      <c r="C18" s="326" t="s">
        <v>434</v>
      </c>
      <c r="D18" s="326" t="s">
        <v>434</v>
      </c>
      <c r="E18" s="326" t="s">
        <v>434</v>
      </c>
      <c r="F18" s="326" t="s">
        <v>434</v>
      </c>
      <c r="I18" s="399"/>
    </row>
    <row r="19" ht="12.75" customHeight="1">
      <c r="A19" s="364">
        <v>14.0</v>
      </c>
      <c r="B19" s="326" t="s">
        <v>434</v>
      </c>
      <c r="C19" s="326" t="s">
        <v>434</v>
      </c>
      <c r="D19" s="326" t="s">
        <v>434</v>
      </c>
      <c r="E19" s="326" t="s">
        <v>434</v>
      </c>
      <c r="F19" s="326" t="s">
        <v>434</v>
      </c>
      <c r="I19" s="399"/>
    </row>
    <row r="20" ht="12.75" customHeight="1">
      <c r="A20" s="364">
        <v>15.0</v>
      </c>
      <c r="B20" s="326" t="s">
        <v>434</v>
      </c>
      <c r="C20" s="326" t="s">
        <v>434</v>
      </c>
      <c r="D20" s="326" t="s">
        <v>434</v>
      </c>
      <c r="E20" s="326" t="s">
        <v>434</v>
      </c>
      <c r="F20" s="326" t="s">
        <v>434</v>
      </c>
      <c r="I20" s="399"/>
    </row>
    <row r="21" ht="12.75" customHeight="1">
      <c r="A21" s="364">
        <v>16.0</v>
      </c>
      <c r="B21" s="326" t="s">
        <v>434</v>
      </c>
      <c r="C21" s="326" t="s">
        <v>434</v>
      </c>
      <c r="D21" s="326" t="s">
        <v>434</v>
      </c>
      <c r="E21" s="326" t="s">
        <v>434</v>
      </c>
      <c r="F21" s="326" t="s">
        <v>434</v>
      </c>
      <c r="I21" s="399"/>
    </row>
    <row r="22" ht="12.75" customHeight="1">
      <c r="A22" s="364">
        <v>17.0</v>
      </c>
      <c r="B22" s="326" t="s">
        <v>434</v>
      </c>
      <c r="C22" s="326" t="s">
        <v>434</v>
      </c>
      <c r="D22" s="326" t="s">
        <v>434</v>
      </c>
      <c r="E22" s="326" t="s">
        <v>434</v>
      </c>
      <c r="F22" s="326" t="s">
        <v>434</v>
      </c>
      <c r="I22" s="399"/>
    </row>
    <row r="23" ht="12.75" customHeight="1">
      <c r="A23" s="364">
        <v>18.0</v>
      </c>
      <c r="B23" s="326" t="s">
        <v>434</v>
      </c>
      <c r="C23" s="326" t="s">
        <v>434</v>
      </c>
      <c r="D23" s="326" t="s">
        <v>434</v>
      </c>
      <c r="E23" s="326" t="s">
        <v>434</v>
      </c>
      <c r="F23" s="326" t="s">
        <v>434</v>
      </c>
      <c r="I23" s="399"/>
    </row>
    <row r="24" ht="12.75" customHeight="1">
      <c r="A24" s="364">
        <v>19.0</v>
      </c>
      <c r="B24" s="326" t="s">
        <v>434</v>
      </c>
      <c r="C24" s="326" t="s">
        <v>434</v>
      </c>
      <c r="D24" s="326" t="s">
        <v>434</v>
      </c>
      <c r="E24" s="326" t="s">
        <v>434</v>
      </c>
      <c r="F24" s="326" t="s">
        <v>434</v>
      </c>
      <c r="I24" s="399"/>
    </row>
    <row r="25" ht="12.75" customHeight="1">
      <c r="A25" s="364">
        <v>20.0</v>
      </c>
      <c r="B25" s="326" t="s">
        <v>434</v>
      </c>
      <c r="C25" s="326" t="s">
        <v>434</v>
      </c>
      <c r="D25" s="326" t="s">
        <v>434</v>
      </c>
      <c r="E25" s="326" t="s">
        <v>434</v>
      </c>
      <c r="F25" s="326" t="s">
        <v>434</v>
      </c>
      <c r="I25" s="399"/>
    </row>
    <row r="26" ht="12.75" customHeight="1">
      <c r="A26" s="364">
        <v>21.0</v>
      </c>
      <c r="B26" s="326" t="s">
        <v>434</v>
      </c>
      <c r="C26" s="326" t="s">
        <v>434</v>
      </c>
      <c r="D26" s="326" t="s">
        <v>434</v>
      </c>
      <c r="E26" s="326" t="s">
        <v>434</v>
      </c>
      <c r="F26" s="326" t="s">
        <v>434</v>
      </c>
      <c r="I26" s="399"/>
    </row>
    <row r="27" ht="12.75" customHeight="1">
      <c r="A27" s="364">
        <v>22.0</v>
      </c>
      <c r="B27" s="326" t="s">
        <v>434</v>
      </c>
      <c r="C27" s="326" t="s">
        <v>434</v>
      </c>
      <c r="D27" s="326" t="s">
        <v>434</v>
      </c>
      <c r="E27" s="326" t="s">
        <v>434</v>
      </c>
      <c r="F27" s="326" t="s">
        <v>434</v>
      </c>
      <c r="I27" s="399"/>
    </row>
    <row r="28" ht="12.75" customHeight="1">
      <c r="A28" s="364">
        <v>23.0</v>
      </c>
      <c r="B28" s="326" t="s">
        <v>434</v>
      </c>
      <c r="C28" s="326" t="s">
        <v>434</v>
      </c>
      <c r="D28" s="326" t="s">
        <v>434</v>
      </c>
      <c r="E28" s="326" t="s">
        <v>434</v>
      </c>
      <c r="F28" s="326" t="s">
        <v>434</v>
      </c>
      <c r="I28" s="399"/>
    </row>
    <row r="29" ht="12.75" customHeight="1">
      <c r="A29" s="364">
        <v>24.0</v>
      </c>
      <c r="B29" s="326" t="s">
        <v>434</v>
      </c>
      <c r="C29" s="326" t="s">
        <v>434</v>
      </c>
      <c r="D29" s="326" t="s">
        <v>434</v>
      </c>
      <c r="E29" s="326" t="s">
        <v>434</v>
      </c>
      <c r="F29" s="326" t="s">
        <v>434</v>
      </c>
      <c r="I29" s="399"/>
    </row>
    <row r="30" ht="12.75" customHeight="1">
      <c r="A30" s="364">
        <v>25.0</v>
      </c>
      <c r="B30" s="326" t="s">
        <v>434</v>
      </c>
      <c r="C30" s="326" t="s">
        <v>434</v>
      </c>
      <c r="D30" s="326" t="s">
        <v>434</v>
      </c>
      <c r="E30" s="326" t="s">
        <v>434</v>
      </c>
      <c r="F30" s="326" t="s">
        <v>434</v>
      </c>
      <c r="I30" s="399"/>
    </row>
    <row r="31" ht="12.75" customHeight="1">
      <c r="A31" s="364">
        <v>26.0</v>
      </c>
      <c r="B31" s="326" t="s">
        <v>434</v>
      </c>
      <c r="C31" s="326" t="s">
        <v>434</v>
      </c>
      <c r="D31" s="326" t="s">
        <v>434</v>
      </c>
      <c r="E31" s="326" t="s">
        <v>434</v>
      </c>
      <c r="F31" s="326" t="s">
        <v>434</v>
      </c>
      <c r="I31" s="399"/>
    </row>
    <row r="32" ht="12.75" customHeight="1">
      <c r="A32" s="364">
        <v>27.0</v>
      </c>
      <c r="B32" s="326" t="s">
        <v>434</v>
      </c>
      <c r="C32" s="326" t="s">
        <v>434</v>
      </c>
      <c r="D32" s="326" t="s">
        <v>434</v>
      </c>
      <c r="E32" s="326" t="s">
        <v>434</v>
      </c>
      <c r="F32" s="326" t="s">
        <v>434</v>
      </c>
      <c r="I32" s="399"/>
    </row>
    <row r="33" ht="12.75" customHeight="1">
      <c r="A33" s="364">
        <v>28.0</v>
      </c>
      <c r="B33" s="326" t="s">
        <v>434</v>
      </c>
      <c r="C33" s="326" t="s">
        <v>434</v>
      </c>
      <c r="D33" s="326" t="s">
        <v>434</v>
      </c>
      <c r="E33" s="326" t="s">
        <v>434</v>
      </c>
      <c r="F33" s="326" t="s">
        <v>434</v>
      </c>
      <c r="I33" s="399"/>
    </row>
    <row r="34" ht="12.75" customHeight="1">
      <c r="I34" s="399"/>
    </row>
    <row r="35" ht="12.75" customHeight="1">
      <c r="A35" s="314" t="s">
        <v>1628</v>
      </c>
      <c r="B35" s="376"/>
      <c r="C35" s="376"/>
      <c r="D35" s="376"/>
      <c r="E35" s="376"/>
      <c r="F35" s="376"/>
      <c r="G35" s="376"/>
      <c r="H35" s="376"/>
    </row>
    <row r="36" ht="12.75" customHeight="1">
      <c r="A36" s="317" t="s">
        <v>1629</v>
      </c>
      <c r="B36" s="318" t="s">
        <v>442</v>
      </c>
      <c r="I36" s="399"/>
    </row>
    <row r="37" ht="12.75" customHeight="1">
      <c r="A37" s="320" t="s">
        <v>1578</v>
      </c>
      <c r="B37" s="326" t="s">
        <v>434</v>
      </c>
      <c r="I37" s="399"/>
    </row>
    <row r="38" ht="12.75" customHeight="1">
      <c r="A38" s="320" t="s">
        <v>1579</v>
      </c>
      <c r="B38" s="326" t="s">
        <v>434</v>
      </c>
      <c r="I38" s="399"/>
    </row>
    <row r="39" ht="12.75" customHeight="1">
      <c r="A39" s="320" t="s">
        <v>573</v>
      </c>
      <c r="B39" s="326" t="s">
        <v>434</v>
      </c>
      <c r="I39" s="399"/>
    </row>
    <row r="40" ht="12.75" customHeight="1">
      <c r="A40" s="320" t="s">
        <v>1630</v>
      </c>
      <c r="B40" s="326" t="s">
        <v>434</v>
      </c>
      <c r="I40" s="399"/>
    </row>
    <row r="41" ht="12.75" customHeight="1">
      <c r="A41" s="320" t="s">
        <v>1631</v>
      </c>
      <c r="B41" s="326" t="s">
        <v>434</v>
      </c>
      <c r="I41" s="399"/>
    </row>
    <row r="42" ht="12.75" customHeight="1">
      <c r="A42" s="320" t="s">
        <v>1632</v>
      </c>
      <c r="B42" s="326" t="s">
        <v>434</v>
      </c>
      <c r="I42" s="399"/>
    </row>
    <row r="43" ht="12.75" customHeight="1">
      <c r="A43" s="320" t="s">
        <v>1633</v>
      </c>
      <c r="B43" s="326" t="s">
        <v>434</v>
      </c>
      <c r="I43" s="399"/>
    </row>
    <row r="44" ht="12.75" customHeight="1">
      <c r="A44" s="320" t="s">
        <v>1634</v>
      </c>
      <c r="B44" s="326" t="s">
        <v>434</v>
      </c>
      <c r="I44" s="399"/>
    </row>
    <row r="45" ht="12.75" customHeight="1">
      <c r="A45" s="320" t="s">
        <v>1635</v>
      </c>
      <c r="B45" s="326" t="s">
        <v>434</v>
      </c>
      <c r="I45" s="399"/>
    </row>
    <row r="46" ht="12.75" customHeight="1">
      <c r="A46" s="320" t="s">
        <v>1636</v>
      </c>
      <c r="B46" s="326" t="s">
        <v>434</v>
      </c>
      <c r="I46" s="399"/>
    </row>
    <row r="47" ht="12.75" customHeight="1">
      <c r="I47" s="399"/>
    </row>
    <row r="48" ht="12.75" customHeight="1">
      <c r="A48" s="322"/>
    </row>
    <row r="49" ht="12.75" customHeight="1">
      <c r="A49" s="352" t="s">
        <v>1637</v>
      </c>
      <c r="B49" s="376"/>
      <c r="C49" s="376"/>
      <c r="D49" s="376"/>
      <c r="E49" s="376"/>
      <c r="F49" s="376"/>
      <c r="G49" s="376"/>
      <c r="H49" s="316"/>
      <c r="I49" s="399"/>
      <c r="J49" s="352" t="s">
        <v>1638</v>
      </c>
      <c r="K49" s="400"/>
      <c r="L49" s="400"/>
      <c r="M49" s="400"/>
      <c r="N49" s="400"/>
      <c r="O49" s="400"/>
      <c r="P49" s="400"/>
      <c r="Q49" s="400"/>
      <c r="R49" s="400"/>
      <c r="S49" s="400"/>
      <c r="T49" s="400"/>
    </row>
    <row r="50" ht="12.75" customHeight="1">
      <c r="A50" s="318" t="s">
        <v>87</v>
      </c>
      <c r="B50" s="319" t="s">
        <v>1639</v>
      </c>
      <c r="C50" s="318" t="s">
        <v>400</v>
      </c>
      <c r="D50" s="318" t="s">
        <v>1640</v>
      </c>
      <c r="E50" s="318" t="s">
        <v>1641</v>
      </c>
      <c r="F50" s="318" t="s">
        <v>1642</v>
      </c>
      <c r="G50" s="318" t="s">
        <v>1643</v>
      </c>
      <c r="H50" s="318" t="s">
        <v>1631</v>
      </c>
      <c r="I50" s="399"/>
      <c r="J50" s="279" t="s">
        <v>1644</v>
      </c>
      <c r="M50" s="303" t="s">
        <v>434</v>
      </c>
      <c r="Q50" s="303" t="s">
        <v>434</v>
      </c>
      <c r="V50" s="401" t="s">
        <v>574</v>
      </c>
      <c r="W50" s="402" t="s">
        <v>1645</v>
      </c>
      <c r="X50" s="403" t="s">
        <v>1646</v>
      </c>
      <c r="Y50" s="401" t="s">
        <v>1647</v>
      </c>
    </row>
    <row r="51" ht="12.75" customHeight="1">
      <c r="A51" s="404">
        <v>1.0</v>
      </c>
      <c r="B51" s="326"/>
      <c r="C51" s="326" t="s">
        <v>1648</v>
      </c>
      <c r="D51" s="326" t="s">
        <v>1649</v>
      </c>
      <c r="E51" s="405"/>
      <c r="F51" s="405"/>
      <c r="G51" s="405"/>
      <c r="H51" s="406">
        <v>0.0</v>
      </c>
      <c r="I51" s="399"/>
      <c r="J51" s="5" t="s">
        <v>1650</v>
      </c>
      <c r="N51" s="5" t="s">
        <v>1651</v>
      </c>
      <c r="R51" s="5" t="s">
        <v>1652</v>
      </c>
      <c r="V51" s="407">
        <f>IFERROR(__xludf.DUMMYFUNCTION("counta(split(join("","", filter(F51:F350, F51:F350&lt;&gt;"""")), "",""))"),89.0)</f>
        <v>89</v>
      </c>
      <c r="W51" s="408">
        <f>V51/PackConfig!$B$3</f>
        <v>1.236111111</v>
      </c>
      <c r="X51" s="408">
        <f>max(($V$51-PackConfig!$B$3)/PackConfig!$B$3, 0)</f>
        <v>0.2361111111</v>
      </c>
      <c r="Y51" s="408">
        <f>max(($V$51-PackConfig!$B$3*2)/PackConfig!$B$3, 0)</f>
        <v>0</v>
      </c>
    </row>
    <row r="52" ht="12.75" customHeight="1">
      <c r="A52" s="404">
        <v>2.0</v>
      </c>
      <c r="B52" s="326"/>
      <c r="C52" s="326" t="s">
        <v>1648</v>
      </c>
      <c r="D52" s="326" t="s">
        <v>1649</v>
      </c>
      <c r="E52" s="405"/>
      <c r="F52" s="405"/>
      <c r="G52" s="405"/>
      <c r="H52" s="406">
        <v>0.0</v>
      </c>
      <c r="I52" s="399"/>
      <c r="J52" s="409" t="s">
        <v>452</v>
      </c>
      <c r="K52" s="409" t="s">
        <v>452</v>
      </c>
      <c r="L52" s="409" t="s">
        <v>452</v>
      </c>
      <c r="N52" s="409" t="s">
        <v>452</v>
      </c>
      <c r="O52" s="409" t="s">
        <v>452</v>
      </c>
      <c r="P52" s="409" t="s">
        <v>452</v>
      </c>
      <c r="R52" s="409" t="s">
        <v>452</v>
      </c>
      <c r="S52" s="409" t="s">
        <v>452</v>
      </c>
      <c r="T52" s="409" t="s">
        <v>452</v>
      </c>
      <c r="V52" s="340"/>
      <c r="W52" s="340"/>
      <c r="X52" s="340"/>
      <c r="Y52" s="340"/>
    </row>
    <row r="53" ht="12.75" customHeight="1">
      <c r="A53" s="404">
        <v>3.0</v>
      </c>
      <c r="B53" s="326"/>
      <c r="C53" s="326" t="s">
        <v>1648</v>
      </c>
      <c r="D53" s="326" t="s">
        <v>1649</v>
      </c>
      <c r="E53" s="405"/>
      <c r="F53" s="405"/>
      <c r="G53" s="405"/>
      <c r="H53" s="406">
        <v>0.0</v>
      </c>
      <c r="I53" s="399"/>
      <c r="J53" s="409" t="s">
        <v>452</v>
      </c>
      <c r="K53" s="409" t="s">
        <v>453</v>
      </c>
      <c r="L53" s="409" t="s">
        <v>453</v>
      </c>
      <c r="N53" s="409" t="s">
        <v>452</v>
      </c>
      <c r="O53" s="409" t="s">
        <v>453</v>
      </c>
      <c r="P53" s="409" t="s">
        <v>453</v>
      </c>
      <c r="R53" s="409" t="s">
        <v>453</v>
      </c>
      <c r="S53" s="409" t="s">
        <v>453</v>
      </c>
      <c r="T53" s="409" t="s">
        <v>454</v>
      </c>
      <c r="V53" s="410" t="s">
        <v>1653</v>
      </c>
      <c r="W53" s="340"/>
      <c r="X53" s="340"/>
      <c r="Y53" s="340"/>
    </row>
    <row r="54" ht="12.75" customHeight="1">
      <c r="A54" s="404">
        <v>4.0</v>
      </c>
      <c r="B54" s="326"/>
      <c r="C54" s="326" t="s">
        <v>1648</v>
      </c>
      <c r="D54" s="326" t="s">
        <v>1649</v>
      </c>
      <c r="E54" s="405"/>
      <c r="F54" s="405"/>
      <c r="G54" s="405"/>
      <c r="H54" s="406">
        <v>0.0</v>
      </c>
      <c r="I54" s="399"/>
      <c r="J54" s="409" t="s">
        <v>453</v>
      </c>
      <c r="K54" s="409" t="s">
        <v>454</v>
      </c>
      <c r="L54" s="409" t="s">
        <v>454</v>
      </c>
      <c r="N54" s="409" t="s">
        <v>454</v>
      </c>
      <c r="O54" s="409" t="s">
        <v>454</v>
      </c>
      <c r="P54" s="409" t="s">
        <v>455</v>
      </c>
      <c r="R54" s="409" t="s">
        <v>455</v>
      </c>
      <c r="S54" s="409" t="s">
        <v>455</v>
      </c>
      <c r="T54" s="409" t="s">
        <v>456</v>
      </c>
      <c r="V54" s="401" t="s">
        <v>1654</v>
      </c>
      <c r="W54" s="402" t="s">
        <v>1655</v>
      </c>
      <c r="X54" s="340"/>
      <c r="Y54" s="340"/>
    </row>
    <row r="55" ht="12.75" customHeight="1">
      <c r="A55" s="404">
        <v>5.0</v>
      </c>
      <c r="B55" s="326"/>
      <c r="C55" s="326" t="s">
        <v>1648</v>
      </c>
      <c r="D55" s="326" t="s">
        <v>1649</v>
      </c>
      <c r="E55" s="405"/>
      <c r="F55" s="405"/>
      <c r="G55" s="405"/>
      <c r="H55" s="406">
        <v>0.0</v>
      </c>
      <c r="I55" s="399"/>
      <c r="V55" s="411" t="s">
        <v>452</v>
      </c>
      <c r="W55" s="412">
        <f>IFERROR(__xludf.DUMMYFUNCTION("counta(filter($B$51:$B$250, $B$51:$B$250=""1-star Dly""))/28 * 1"),1.0)</f>
        <v>1</v>
      </c>
      <c r="X55" s="340"/>
      <c r="Y55" s="340"/>
    </row>
    <row r="56" ht="12.75" customHeight="1">
      <c r="A56" s="404">
        <v>6.0</v>
      </c>
      <c r="B56" s="326"/>
      <c r="C56" s="326" t="s">
        <v>1648</v>
      </c>
      <c r="D56" s="326" t="s">
        <v>1649</v>
      </c>
      <c r="E56" s="405"/>
      <c r="F56" s="405"/>
      <c r="G56" s="405"/>
      <c r="H56" s="406">
        <v>0.0</v>
      </c>
      <c r="I56" s="399"/>
      <c r="J56" s="5" t="s">
        <v>1656</v>
      </c>
      <c r="N56" s="5" t="s">
        <v>1657</v>
      </c>
      <c r="R56" s="5" t="s">
        <v>1658</v>
      </c>
      <c r="V56" s="411" t="s">
        <v>453</v>
      </c>
      <c r="W56" s="412">
        <f>IFERROR(__xludf.DUMMYFUNCTION("counta(filter($B$51:$B$250, $B$51:$B$250=""2-star Dly""))/28 * 1"),0.39285714285714285)</f>
        <v>0.3928571429</v>
      </c>
      <c r="X56" s="340"/>
      <c r="Y56" s="340"/>
    </row>
    <row r="57" ht="12.75" customHeight="1">
      <c r="A57" s="404">
        <v>7.0</v>
      </c>
      <c r="B57" s="326" t="s">
        <v>105</v>
      </c>
      <c r="C57" s="326" t="s">
        <v>380</v>
      </c>
      <c r="D57" s="326" t="s">
        <v>1649</v>
      </c>
      <c r="E57" s="405" t="s">
        <v>1659</v>
      </c>
      <c r="F57" s="405" t="s">
        <v>1659</v>
      </c>
      <c r="G57" s="405"/>
      <c r="H57" s="406">
        <v>0.0</v>
      </c>
      <c r="I57" s="399"/>
      <c r="J57" s="409" t="s">
        <v>452</v>
      </c>
      <c r="K57" s="409" t="s">
        <v>452</v>
      </c>
      <c r="L57" s="409" t="s">
        <v>453</v>
      </c>
      <c r="N57" s="409" t="s">
        <v>452</v>
      </c>
      <c r="O57" s="409" t="s">
        <v>452</v>
      </c>
      <c r="P57" s="409" t="s">
        <v>453</v>
      </c>
      <c r="R57" s="409" t="s">
        <v>452</v>
      </c>
      <c r="S57" s="409" t="s">
        <v>452</v>
      </c>
      <c r="T57" s="409" t="s">
        <v>453</v>
      </c>
      <c r="V57" s="411" t="s">
        <v>454</v>
      </c>
      <c r="W57" s="412">
        <f>IFERROR(__xludf.DUMMYFUNCTION("counta(filter($B$51:$B$250, $B$51:$B$250=""3-star Dly""))/28 * 1"),1.1785714285714286)</f>
        <v>1.178571429</v>
      </c>
      <c r="X57" s="340"/>
      <c r="Y57" s="340"/>
    </row>
    <row r="58" ht="12.75" customHeight="1">
      <c r="A58" s="404">
        <v>7.0</v>
      </c>
      <c r="B58" s="326" t="s">
        <v>107</v>
      </c>
      <c r="C58" s="326" t="s">
        <v>380</v>
      </c>
      <c r="D58" s="326" t="s">
        <v>1649</v>
      </c>
      <c r="E58" s="405" t="s">
        <v>1660</v>
      </c>
      <c r="F58" s="405" t="s">
        <v>1660</v>
      </c>
      <c r="G58" s="405"/>
      <c r="H58" s="406">
        <v>0.0</v>
      </c>
      <c r="I58" s="399"/>
      <c r="J58" s="409" t="s">
        <v>453</v>
      </c>
      <c r="K58" s="409" t="s">
        <v>454</v>
      </c>
      <c r="L58" s="409" t="s">
        <v>454</v>
      </c>
      <c r="N58" s="409" t="s">
        <v>453</v>
      </c>
      <c r="O58" s="409" t="s">
        <v>454</v>
      </c>
      <c r="P58" s="409" t="s">
        <v>455</v>
      </c>
      <c r="R58" s="409" t="s">
        <v>453</v>
      </c>
      <c r="S58" s="409" t="s">
        <v>454</v>
      </c>
      <c r="T58" s="409" t="s">
        <v>455</v>
      </c>
      <c r="V58" s="411" t="s">
        <v>455</v>
      </c>
      <c r="W58" s="412">
        <f>IFERROR(__xludf.DUMMYFUNCTION("counta(filter($B$51:$B$250, $B$51:$B$250=""4-star Dly""))/28 * 1"),0.5714285714285714)</f>
        <v>0.5714285714</v>
      </c>
      <c r="X58" s="340"/>
      <c r="Y58" s="340"/>
    </row>
    <row r="59" ht="12.75" customHeight="1">
      <c r="A59" s="404">
        <v>7.0</v>
      </c>
      <c r="B59" s="326" t="s">
        <v>108</v>
      </c>
      <c r="C59" s="326" t="s">
        <v>380</v>
      </c>
      <c r="D59" s="326" t="s">
        <v>1649</v>
      </c>
      <c r="E59" s="405" t="s">
        <v>1661</v>
      </c>
      <c r="F59" s="405" t="s">
        <v>1661</v>
      </c>
      <c r="G59" s="405"/>
      <c r="H59" s="406">
        <v>0.0</v>
      </c>
      <c r="I59" s="399"/>
      <c r="J59" s="409" t="s">
        <v>455</v>
      </c>
      <c r="K59" s="409" t="s">
        <v>455</v>
      </c>
      <c r="L59" s="409" t="s">
        <v>456</v>
      </c>
      <c r="N59" s="409" t="s">
        <v>455</v>
      </c>
      <c r="O59" s="409" t="s">
        <v>456</v>
      </c>
      <c r="P59" s="409" t="s">
        <v>456</v>
      </c>
      <c r="R59" s="409" t="s">
        <v>456</v>
      </c>
      <c r="S59" s="409" t="s">
        <v>456</v>
      </c>
      <c r="T59" s="409" t="s">
        <v>456</v>
      </c>
      <c r="V59" s="411" t="s">
        <v>456</v>
      </c>
      <c r="W59" s="412">
        <f>IFERROR(__xludf.DUMMYFUNCTION("counta(filter($B$51:$B$250, $B$51:$B$250=""5-star Dly""))/28 * 1"),0.2857142857142857)</f>
        <v>0.2857142857</v>
      </c>
      <c r="X59" s="340"/>
      <c r="Y59" s="340"/>
    </row>
    <row r="60" ht="12.75" customHeight="1">
      <c r="A60" s="404">
        <v>7.0</v>
      </c>
      <c r="B60" s="326" t="s">
        <v>108</v>
      </c>
      <c r="C60" s="326" t="s">
        <v>411</v>
      </c>
      <c r="D60" s="326" t="s">
        <v>1649</v>
      </c>
      <c r="E60" s="405" t="s">
        <v>1662</v>
      </c>
      <c r="F60" s="405" t="s">
        <v>1663</v>
      </c>
      <c r="G60" s="405" t="s">
        <v>1664</v>
      </c>
      <c r="H60" s="406">
        <v>1.0</v>
      </c>
      <c r="I60" s="399"/>
    </row>
    <row r="61" ht="12.75" customHeight="1">
      <c r="A61" s="404">
        <v>7.0</v>
      </c>
      <c r="B61" s="326" t="s">
        <v>109</v>
      </c>
      <c r="C61" s="326" t="s">
        <v>411</v>
      </c>
      <c r="D61" s="326" t="s">
        <v>1649</v>
      </c>
      <c r="E61" s="405" t="s">
        <v>1665</v>
      </c>
      <c r="F61" s="405" t="s">
        <v>1666</v>
      </c>
      <c r="G61" s="405" t="s">
        <v>1667</v>
      </c>
      <c r="H61" s="406">
        <v>3.0</v>
      </c>
      <c r="I61" s="399"/>
      <c r="J61" s="5" t="s">
        <v>1668</v>
      </c>
      <c r="N61" s="5" t="s">
        <v>1669</v>
      </c>
    </row>
    <row r="62" ht="12.75" customHeight="1">
      <c r="A62" s="404">
        <v>7.0</v>
      </c>
      <c r="B62" s="326" t="s">
        <v>105</v>
      </c>
      <c r="C62" s="326" t="s">
        <v>40</v>
      </c>
      <c r="D62" s="326" t="s">
        <v>1649</v>
      </c>
      <c r="E62" s="405" t="s">
        <v>1670</v>
      </c>
      <c r="F62" s="405"/>
      <c r="G62" s="405" t="s">
        <v>1670</v>
      </c>
      <c r="H62" s="406">
        <v>5.0</v>
      </c>
      <c r="I62" s="399"/>
      <c r="J62" s="409" t="s">
        <v>452</v>
      </c>
      <c r="K62" s="409" t="s">
        <v>452</v>
      </c>
      <c r="L62" s="409" t="s">
        <v>453</v>
      </c>
      <c r="N62" s="409" t="s">
        <v>452</v>
      </c>
      <c r="O62" s="409" t="s">
        <v>452</v>
      </c>
      <c r="P62" s="409" t="s">
        <v>453</v>
      </c>
    </row>
    <row r="63" ht="12.75" customHeight="1">
      <c r="A63" s="404">
        <v>7.0</v>
      </c>
      <c r="B63" s="326" t="s">
        <v>107</v>
      </c>
      <c r="C63" s="326" t="s">
        <v>40</v>
      </c>
      <c r="D63" s="326" t="s">
        <v>1649</v>
      </c>
      <c r="E63" s="405" t="s">
        <v>1671</v>
      </c>
      <c r="F63" s="405" t="s">
        <v>1672</v>
      </c>
      <c r="G63" s="405" t="s">
        <v>1673</v>
      </c>
      <c r="H63" s="406">
        <v>9.0</v>
      </c>
      <c r="I63" s="399"/>
      <c r="J63" s="409" t="s">
        <v>453</v>
      </c>
      <c r="K63" s="409" t="s">
        <v>454</v>
      </c>
      <c r="L63" s="409" t="s">
        <v>455</v>
      </c>
      <c r="N63" s="409" t="s">
        <v>453</v>
      </c>
      <c r="O63" s="409" t="s">
        <v>454</v>
      </c>
      <c r="P63" s="409" t="s">
        <v>455</v>
      </c>
    </row>
    <row r="64" ht="12.75" customHeight="1">
      <c r="A64" s="404">
        <v>7.0</v>
      </c>
      <c r="B64" s="326" t="s">
        <v>105</v>
      </c>
      <c r="C64" s="326" t="s">
        <v>42</v>
      </c>
      <c r="D64" s="326" t="s">
        <v>1649</v>
      </c>
      <c r="E64" s="405" t="s">
        <v>1674</v>
      </c>
      <c r="F64" s="405" t="s">
        <v>1674</v>
      </c>
      <c r="G64" s="405"/>
      <c r="H64" s="406">
        <v>9.0</v>
      </c>
      <c r="I64" s="399"/>
      <c r="J64" s="409" t="s">
        <v>456</v>
      </c>
      <c r="K64" s="409" t="s">
        <v>456</v>
      </c>
      <c r="L64" s="409" t="s">
        <v>456</v>
      </c>
      <c r="N64" s="409" t="s">
        <v>456</v>
      </c>
      <c r="O64" s="409" t="s">
        <v>456</v>
      </c>
      <c r="P64" s="409" t="s">
        <v>456</v>
      </c>
    </row>
    <row r="65" ht="12.75" customHeight="1">
      <c r="A65" s="404">
        <v>7.0</v>
      </c>
      <c r="B65" s="326" t="s">
        <v>107</v>
      </c>
      <c r="C65" s="326" t="s">
        <v>42</v>
      </c>
      <c r="D65" s="326" t="s">
        <v>1649</v>
      </c>
      <c r="E65" s="405" t="s">
        <v>1675</v>
      </c>
      <c r="F65" s="405" t="s">
        <v>1676</v>
      </c>
      <c r="G65" s="405" t="s">
        <v>1677</v>
      </c>
      <c r="H65" s="406">
        <v>13.0</v>
      </c>
      <c r="I65" s="399"/>
    </row>
    <row r="66" ht="12.75" customHeight="1">
      <c r="A66" s="404">
        <v>8.0</v>
      </c>
      <c r="B66" s="326"/>
      <c r="C66" s="326" t="s">
        <v>1648</v>
      </c>
      <c r="D66" s="326" t="s">
        <v>1649</v>
      </c>
      <c r="E66" s="405"/>
      <c r="F66" s="405"/>
      <c r="G66" s="405"/>
      <c r="H66" s="406">
        <v>13.0</v>
      </c>
      <c r="I66" s="399"/>
    </row>
    <row r="67" ht="12.75" customHeight="1">
      <c r="A67" s="404">
        <v>9.0</v>
      </c>
      <c r="B67" s="326"/>
      <c r="C67" s="326" t="s">
        <v>1648</v>
      </c>
      <c r="D67" s="326" t="s">
        <v>1649</v>
      </c>
      <c r="E67" s="405"/>
      <c r="F67" s="405"/>
      <c r="G67" s="405"/>
      <c r="H67" s="406">
        <v>13.0</v>
      </c>
      <c r="I67" s="399"/>
      <c r="J67" s="279" t="s">
        <v>1678</v>
      </c>
      <c r="M67" s="303" t="s">
        <v>434</v>
      </c>
      <c r="Q67" s="303" t="s">
        <v>434</v>
      </c>
    </row>
    <row r="68" ht="12.75" customHeight="1">
      <c r="A68" s="404">
        <v>10.0</v>
      </c>
      <c r="B68" s="326"/>
      <c r="C68" s="326" t="s">
        <v>1648</v>
      </c>
      <c r="D68" s="326" t="s">
        <v>1649</v>
      </c>
      <c r="E68" s="405"/>
      <c r="F68" s="405"/>
      <c r="G68" s="405"/>
      <c r="H68" s="406">
        <v>13.0</v>
      </c>
      <c r="I68" s="399"/>
      <c r="J68" s="5" t="s">
        <v>1650</v>
      </c>
      <c r="N68" s="5" t="s">
        <v>1651</v>
      </c>
      <c r="R68" s="5" t="s">
        <v>1652</v>
      </c>
    </row>
    <row r="69" ht="12.75" customHeight="1">
      <c r="A69" s="404">
        <v>11.0</v>
      </c>
      <c r="B69" s="326"/>
      <c r="C69" s="326" t="s">
        <v>1648</v>
      </c>
      <c r="D69" s="326" t="s">
        <v>1649</v>
      </c>
      <c r="E69" s="405"/>
      <c r="F69" s="405"/>
      <c r="G69" s="405"/>
      <c r="H69" s="406">
        <v>13.0</v>
      </c>
      <c r="I69" s="399"/>
      <c r="J69" s="409"/>
      <c r="K69" s="409" t="s">
        <v>452</v>
      </c>
      <c r="L69" s="409" t="s">
        <v>452</v>
      </c>
      <c r="N69" s="409"/>
      <c r="O69" s="409" t="s">
        <v>452</v>
      </c>
      <c r="P69" s="409" t="s">
        <v>452</v>
      </c>
      <c r="R69" s="409"/>
      <c r="S69" s="409"/>
      <c r="T69" s="409" t="s">
        <v>452</v>
      </c>
    </row>
    <row r="70" ht="12.75" customHeight="1">
      <c r="A70" s="404">
        <v>12.0</v>
      </c>
      <c r="B70" s="326" t="s">
        <v>105</v>
      </c>
      <c r="C70" s="326" t="s">
        <v>49</v>
      </c>
      <c r="D70" s="326" t="s">
        <v>1649</v>
      </c>
      <c r="E70" s="405" t="s">
        <v>1679</v>
      </c>
      <c r="F70" s="405" t="s">
        <v>1680</v>
      </c>
      <c r="G70" s="405" t="s">
        <v>1681</v>
      </c>
      <c r="H70" s="406">
        <v>15.0</v>
      </c>
      <c r="I70" s="399"/>
      <c r="J70" s="409"/>
      <c r="K70" s="409"/>
      <c r="L70" s="409"/>
      <c r="N70" s="409"/>
      <c r="O70" s="409" t="s">
        <v>453</v>
      </c>
      <c r="P70" s="409" t="s">
        <v>453</v>
      </c>
      <c r="R70" s="409" t="s">
        <v>453</v>
      </c>
      <c r="S70" s="409"/>
      <c r="T70" s="409"/>
    </row>
    <row r="71" ht="12.75" customHeight="1">
      <c r="A71" s="404">
        <v>13.0</v>
      </c>
      <c r="B71" s="326" t="s">
        <v>105</v>
      </c>
      <c r="C71" s="326" t="s">
        <v>380</v>
      </c>
      <c r="D71" s="326" t="s">
        <v>1649</v>
      </c>
      <c r="E71" s="405" t="s">
        <v>1682</v>
      </c>
      <c r="F71" s="405" t="s">
        <v>1683</v>
      </c>
      <c r="G71" s="405" t="s">
        <v>1684</v>
      </c>
      <c r="H71" s="406">
        <v>16.0</v>
      </c>
      <c r="I71" s="399"/>
      <c r="J71" s="409" t="s">
        <v>453</v>
      </c>
      <c r="K71" s="409" t="s">
        <v>454</v>
      </c>
      <c r="L71" s="409"/>
      <c r="N71" s="409"/>
      <c r="O71" s="409"/>
      <c r="P71" s="409" t="s">
        <v>455</v>
      </c>
      <c r="R71" s="409"/>
      <c r="S71" s="409"/>
      <c r="T71" s="409"/>
    </row>
    <row r="72" ht="12.75" customHeight="1">
      <c r="A72" s="404">
        <v>13.0</v>
      </c>
      <c r="B72" s="326" t="s">
        <v>107</v>
      </c>
      <c r="C72" s="326" t="s">
        <v>380</v>
      </c>
      <c r="D72" s="326" t="s">
        <v>1649</v>
      </c>
      <c r="E72" s="405" t="s">
        <v>1685</v>
      </c>
      <c r="F72" s="405" t="s">
        <v>1686</v>
      </c>
      <c r="G72" s="405" t="s">
        <v>1687</v>
      </c>
      <c r="H72" s="406">
        <v>19.0</v>
      </c>
      <c r="I72" s="399"/>
    </row>
    <row r="73" ht="12.75" customHeight="1">
      <c r="A73" s="404">
        <v>13.0</v>
      </c>
      <c r="B73" s="326" t="s">
        <v>108</v>
      </c>
      <c r="C73" s="326" t="s">
        <v>380</v>
      </c>
      <c r="D73" s="326" t="s">
        <v>1649</v>
      </c>
      <c r="E73" s="405" t="s">
        <v>1688</v>
      </c>
      <c r="F73" s="405" t="s">
        <v>1689</v>
      </c>
      <c r="G73" s="405" t="s">
        <v>1690</v>
      </c>
      <c r="H73" s="406">
        <v>24.0</v>
      </c>
      <c r="I73" s="399"/>
      <c r="J73" s="5" t="s">
        <v>1656</v>
      </c>
      <c r="N73" s="5" t="s">
        <v>1657</v>
      </c>
      <c r="R73" s="5" t="s">
        <v>1658</v>
      </c>
    </row>
    <row r="74" ht="12.75" customHeight="1">
      <c r="A74" s="404">
        <v>13.0</v>
      </c>
      <c r="B74" s="326" t="s">
        <v>108</v>
      </c>
      <c r="C74" s="326" t="s">
        <v>411</v>
      </c>
      <c r="D74" s="326" t="s">
        <v>1649</v>
      </c>
      <c r="E74" s="405" t="s">
        <v>1691</v>
      </c>
      <c r="F74" s="405" t="s">
        <v>1692</v>
      </c>
      <c r="G74" s="405" t="s">
        <v>1693</v>
      </c>
      <c r="H74" s="406">
        <v>26.0</v>
      </c>
      <c r="I74" s="399"/>
      <c r="J74" s="409"/>
      <c r="K74" s="409" t="s">
        <v>452</v>
      </c>
      <c r="L74" s="409"/>
      <c r="N74" s="409"/>
      <c r="O74" s="409"/>
      <c r="P74" s="409"/>
      <c r="R74" s="409" t="s">
        <v>452</v>
      </c>
      <c r="S74" s="409" t="s">
        <v>452</v>
      </c>
      <c r="T74" s="409"/>
    </row>
    <row r="75" ht="12.75" customHeight="1">
      <c r="A75" s="404">
        <v>13.0</v>
      </c>
      <c r="B75" s="326" t="s">
        <v>109</v>
      </c>
      <c r="C75" s="326" t="s">
        <v>411</v>
      </c>
      <c r="D75" s="326" t="s">
        <v>1649</v>
      </c>
      <c r="E75" s="405" t="s">
        <v>1694</v>
      </c>
      <c r="F75" s="405" t="s">
        <v>1695</v>
      </c>
      <c r="G75" s="405" t="s">
        <v>1696</v>
      </c>
      <c r="H75" s="406">
        <v>37.0</v>
      </c>
      <c r="I75" s="399"/>
      <c r="J75" s="409"/>
      <c r="K75" s="409" t="s">
        <v>454</v>
      </c>
      <c r="L75" s="409"/>
      <c r="N75" s="409"/>
      <c r="O75" s="409"/>
      <c r="P75" s="409"/>
      <c r="R75" s="409"/>
      <c r="S75" s="409"/>
      <c r="T75" s="409"/>
    </row>
    <row r="76" ht="12.75" customHeight="1">
      <c r="A76" s="404">
        <v>13.0</v>
      </c>
      <c r="B76" s="326" t="s">
        <v>105</v>
      </c>
      <c r="C76" s="326" t="s">
        <v>40</v>
      </c>
      <c r="D76" s="326" t="s">
        <v>1649</v>
      </c>
      <c r="E76" s="405" t="s">
        <v>1697</v>
      </c>
      <c r="F76" s="405" t="s">
        <v>1697</v>
      </c>
      <c r="G76" s="405"/>
      <c r="H76" s="406">
        <v>37.0</v>
      </c>
      <c r="I76" s="399"/>
      <c r="J76" s="409"/>
      <c r="K76" s="409"/>
      <c r="L76" s="409"/>
      <c r="N76" s="409"/>
      <c r="O76" s="409"/>
      <c r="P76" s="409"/>
      <c r="R76" s="409"/>
      <c r="S76" s="409" t="s">
        <v>456</v>
      </c>
      <c r="T76" s="409"/>
    </row>
    <row r="77" ht="12.75" customHeight="1">
      <c r="A77" s="404">
        <v>13.0</v>
      </c>
      <c r="B77" s="326" t="s">
        <v>107</v>
      </c>
      <c r="C77" s="326" t="s">
        <v>40</v>
      </c>
      <c r="D77" s="326" t="s">
        <v>1649</v>
      </c>
      <c r="E77" s="405" t="s">
        <v>1698</v>
      </c>
      <c r="F77" s="405" t="s">
        <v>1699</v>
      </c>
      <c r="G77" s="405" t="s">
        <v>1700</v>
      </c>
      <c r="H77" s="406">
        <v>38.0</v>
      </c>
      <c r="I77" s="399"/>
    </row>
    <row r="78" ht="12.75" customHeight="1">
      <c r="A78" s="404">
        <v>13.0</v>
      </c>
      <c r="B78" s="326" t="s">
        <v>105</v>
      </c>
      <c r="C78" s="326" t="s">
        <v>42</v>
      </c>
      <c r="D78" s="326" t="s">
        <v>1649</v>
      </c>
      <c r="E78" s="405" t="s">
        <v>1701</v>
      </c>
      <c r="F78" s="405" t="s">
        <v>1702</v>
      </c>
      <c r="G78" s="405" t="s">
        <v>1703</v>
      </c>
      <c r="H78" s="406">
        <v>39.0</v>
      </c>
      <c r="I78" s="399"/>
      <c r="J78" s="5" t="s">
        <v>1668</v>
      </c>
      <c r="N78" s="5" t="s">
        <v>1669</v>
      </c>
    </row>
    <row r="79" ht="12.75" customHeight="1">
      <c r="A79" s="404">
        <v>13.0</v>
      </c>
      <c r="B79" s="326" t="s">
        <v>107</v>
      </c>
      <c r="C79" s="326" t="s">
        <v>42</v>
      </c>
      <c r="D79" s="326" t="s">
        <v>1649</v>
      </c>
      <c r="E79" s="405" t="s">
        <v>1704</v>
      </c>
      <c r="F79" s="405" t="s">
        <v>1705</v>
      </c>
      <c r="G79" s="405" t="s">
        <v>1706</v>
      </c>
      <c r="H79" s="406">
        <v>41.0</v>
      </c>
      <c r="I79" s="399"/>
      <c r="J79" s="409"/>
      <c r="K79" s="409"/>
      <c r="L79" s="409"/>
      <c r="N79" s="409"/>
      <c r="O79" s="409"/>
      <c r="P79" s="409"/>
    </row>
    <row r="80" ht="12.75" customHeight="1">
      <c r="A80" s="404">
        <v>14.0</v>
      </c>
      <c r="B80" s="326"/>
      <c r="C80" s="326" t="s">
        <v>1648</v>
      </c>
      <c r="D80" s="326" t="s">
        <v>1649</v>
      </c>
      <c r="E80" s="405"/>
      <c r="F80" s="405"/>
      <c r="G80" s="405"/>
      <c r="H80" s="406">
        <v>41.0</v>
      </c>
      <c r="I80" s="399"/>
      <c r="J80" s="409"/>
      <c r="K80" s="409" t="s">
        <v>454</v>
      </c>
      <c r="L80" s="409"/>
      <c r="N80" s="409"/>
      <c r="O80" s="409"/>
      <c r="P80" s="409"/>
    </row>
    <row r="81" ht="12.75" customHeight="1">
      <c r="A81" s="404">
        <v>15.0</v>
      </c>
      <c r="B81" s="326"/>
      <c r="C81" s="326" t="s">
        <v>1648</v>
      </c>
      <c r="D81" s="326" t="s">
        <v>1649</v>
      </c>
      <c r="E81" s="405"/>
      <c r="F81" s="405"/>
      <c r="G81" s="405"/>
      <c r="H81" s="406">
        <v>41.0</v>
      </c>
      <c r="I81" s="399"/>
      <c r="J81" s="409"/>
      <c r="K81" s="409"/>
      <c r="L81" s="409"/>
      <c r="N81" s="409"/>
      <c r="O81" s="409"/>
      <c r="P81" s="409"/>
    </row>
    <row r="82" ht="12.75" customHeight="1">
      <c r="A82" s="404">
        <v>16.0</v>
      </c>
      <c r="B82" s="326"/>
      <c r="C82" s="326" t="s">
        <v>1648</v>
      </c>
      <c r="D82" s="326" t="s">
        <v>1649</v>
      </c>
      <c r="E82" s="405"/>
      <c r="F82" s="405"/>
      <c r="G82" s="405"/>
      <c r="H82" s="406">
        <v>41.0</v>
      </c>
      <c r="I82" s="399"/>
    </row>
    <row r="83" ht="12.75" customHeight="1">
      <c r="A83" s="404">
        <v>17.0</v>
      </c>
      <c r="B83" s="326" t="s">
        <v>106</v>
      </c>
      <c r="C83" s="326" t="s">
        <v>375</v>
      </c>
      <c r="D83" s="326" t="s">
        <v>1649</v>
      </c>
      <c r="E83" s="405" t="s">
        <v>1707</v>
      </c>
      <c r="F83" s="405" t="s">
        <v>1708</v>
      </c>
      <c r="G83" s="405" t="s">
        <v>1709</v>
      </c>
      <c r="H83" s="406">
        <v>47.0</v>
      </c>
      <c r="I83" s="399"/>
    </row>
    <row r="84" ht="12.75" customHeight="1">
      <c r="A84" s="404">
        <v>18.0</v>
      </c>
      <c r="B84" s="326" t="s">
        <v>107</v>
      </c>
      <c r="C84" s="326" t="s">
        <v>311</v>
      </c>
      <c r="D84" s="326" t="s">
        <v>1649</v>
      </c>
      <c r="E84" s="405" t="s">
        <v>1710</v>
      </c>
      <c r="F84" s="405" t="s">
        <v>1711</v>
      </c>
      <c r="G84" s="405" t="s">
        <v>1712</v>
      </c>
      <c r="H84" s="406">
        <v>50.0</v>
      </c>
      <c r="I84" s="399"/>
      <c r="J84" s="279" t="s">
        <v>1713</v>
      </c>
      <c r="M84" s="303" t="s">
        <v>434</v>
      </c>
      <c r="Q84" s="303" t="s">
        <v>434</v>
      </c>
    </row>
    <row r="85" ht="12.75" customHeight="1">
      <c r="A85" s="404">
        <v>19.0</v>
      </c>
      <c r="B85" s="326" t="s">
        <v>105</v>
      </c>
      <c r="C85" s="326" t="s">
        <v>380</v>
      </c>
      <c r="D85" s="326" t="s">
        <v>1649</v>
      </c>
      <c r="E85" s="405" t="s">
        <v>1714</v>
      </c>
      <c r="F85" s="405"/>
      <c r="G85" s="405" t="s">
        <v>1714</v>
      </c>
      <c r="H85" s="406">
        <v>52.0</v>
      </c>
      <c r="I85" s="399"/>
      <c r="J85" s="5" t="s">
        <v>1650</v>
      </c>
      <c r="N85" s="5" t="s">
        <v>1651</v>
      </c>
      <c r="R85" s="5" t="s">
        <v>1652</v>
      </c>
    </row>
    <row r="86" ht="12.75" customHeight="1">
      <c r="A86" s="404">
        <v>19.0</v>
      </c>
      <c r="B86" s="326" t="s">
        <v>107</v>
      </c>
      <c r="C86" s="326" t="s">
        <v>380</v>
      </c>
      <c r="D86" s="326" t="s">
        <v>1649</v>
      </c>
      <c r="E86" s="405" t="s">
        <v>1715</v>
      </c>
      <c r="F86" s="405" t="s">
        <v>1716</v>
      </c>
      <c r="G86" s="405" t="s">
        <v>1717</v>
      </c>
      <c r="H86" s="406">
        <v>56.0</v>
      </c>
      <c r="I86" s="413" t="s">
        <v>1718</v>
      </c>
      <c r="J86" s="409"/>
      <c r="K86" s="409"/>
      <c r="L86" s="409"/>
      <c r="N86" s="409"/>
      <c r="O86" s="409"/>
      <c r="P86" s="409"/>
      <c r="R86" s="409"/>
      <c r="S86" s="409"/>
      <c r="T86" s="409"/>
    </row>
    <row r="87" ht="12.75" customHeight="1">
      <c r="A87" s="404">
        <v>19.0</v>
      </c>
      <c r="B87" s="326" t="s">
        <v>108</v>
      </c>
      <c r="C87" s="326" t="s">
        <v>380</v>
      </c>
      <c r="D87" s="326" t="s">
        <v>1649</v>
      </c>
      <c r="E87" s="405" t="s">
        <v>1719</v>
      </c>
      <c r="F87" s="405" t="s">
        <v>1720</v>
      </c>
      <c r="G87" s="405" t="s">
        <v>1721</v>
      </c>
      <c r="H87" s="406">
        <v>58.0</v>
      </c>
      <c r="I87" s="413" t="s">
        <v>1722</v>
      </c>
      <c r="J87" s="409"/>
      <c r="K87" s="409"/>
      <c r="L87" s="409"/>
      <c r="N87" s="409"/>
      <c r="O87" s="409"/>
      <c r="P87" s="409"/>
      <c r="R87" s="409"/>
      <c r="S87" s="409"/>
      <c r="T87" s="409"/>
    </row>
    <row r="88" ht="12.75" customHeight="1">
      <c r="A88" s="404">
        <v>19.0</v>
      </c>
      <c r="B88" s="326" t="s">
        <v>108</v>
      </c>
      <c r="C88" s="326" t="s">
        <v>411</v>
      </c>
      <c r="D88" s="326" t="s">
        <v>1649</v>
      </c>
      <c r="E88" s="405" t="s">
        <v>1723</v>
      </c>
      <c r="F88" s="405"/>
      <c r="G88" s="405" t="s">
        <v>1723</v>
      </c>
      <c r="H88" s="406">
        <v>67.0</v>
      </c>
      <c r="I88" s="413"/>
      <c r="J88" s="409"/>
      <c r="K88" s="409"/>
      <c r="L88" s="409"/>
      <c r="N88" s="409"/>
      <c r="O88" s="409"/>
      <c r="P88" s="409"/>
      <c r="R88" s="409"/>
      <c r="S88" s="409"/>
      <c r="T88" s="409"/>
    </row>
    <row r="89" ht="12.75" customHeight="1">
      <c r="A89" s="404">
        <v>19.0</v>
      </c>
      <c r="B89" s="326" t="s">
        <v>109</v>
      </c>
      <c r="C89" s="326" t="s">
        <v>411</v>
      </c>
      <c r="D89" s="326" t="s">
        <v>1649</v>
      </c>
      <c r="E89" s="405" t="s">
        <v>1724</v>
      </c>
      <c r="F89" s="405"/>
      <c r="G89" s="405" t="s">
        <v>1724</v>
      </c>
      <c r="H89" s="406">
        <v>74.0</v>
      </c>
      <c r="I89" s="399"/>
    </row>
    <row r="90" ht="12.75" customHeight="1">
      <c r="A90" s="404">
        <v>19.0</v>
      </c>
      <c r="B90" s="326" t="s">
        <v>105</v>
      </c>
      <c r="C90" s="326" t="s">
        <v>40</v>
      </c>
      <c r="D90" s="326" t="s">
        <v>1649</v>
      </c>
      <c r="E90" s="405" t="s">
        <v>1725</v>
      </c>
      <c r="F90" s="405" t="s">
        <v>1725</v>
      </c>
      <c r="G90" s="405"/>
      <c r="H90" s="406">
        <v>74.0</v>
      </c>
      <c r="I90" s="399"/>
      <c r="J90" s="5" t="s">
        <v>1656</v>
      </c>
      <c r="N90" s="5" t="s">
        <v>1657</v>
      </c>
      <c r="R90" s="5" t="s">
        <v>1658</v>
      </c>
    </row>
    <row r="91" ht="12.75" customHeight="1">
      <c r="A91" s="404">
        <v>19.0</v>
      </c>
      <c r="B91" s="326" t="s">
        <v>107</v>
      </c>
      <c r="C91" s="326" t="s">
        <v>40</v>
      </c>
      <c r="D91" s="326" t="s">
        <v>1649</v>
      </c>
      <c r="E91" s="405" t="s">
        <v>1726</v>
      </c>
      <c r="F91" s="405"/>
      <c r="G91" s="405" t="s">
        <v>1726</v>
      </c>
      <c r="H91" s="406">
        <v>80.0</v>
      </c>
      <c r="I91" s="399"/>
      <c r="J91" s="409"/>
      <c r="K91" s="409"/>
      <c r="L91" s="409"/>
      <c r="N91" s="409"/>
      <c r="O91" s="409"/>
      <c r="P91" s="409"/>
      <c r="R91" s="409"/>
      <c r="S91" s="409"/>
      <c r="T91" s="409"/>
    </row>
    <row r="92" ht="12.75" customHeight="1">
      <c r="A92" s="404">
        <v>19.0</v>
      </c>
      <c r="B92" s="326" t="s">
        <v>105</v>
      </c>
      <c r="C92" s="326" t="s">
        <v>42</v>
      </c>
      <c r="D92" s="326" t="s">
        <v>1649</v>
      </c>
      <c r="E92" s="405" t="s">
        <v>1727</v>
      </c>
      <c r="F92" s="405"/>
      <c r="G92" s="405" t="s">
        <v>1727</v>
      </c>
      <c r="H92" s="406">
        <v>84.0</v>
      </c>
      <c r="I92" s="399"/>
      <c r="J92" s="409"/>
      <c r="K92" s="409"/>
      <c r="L92" s="409"/>
      <c r="N92" s="409"/>
      <c r="O92" s="409"/>
      <c r="P92" s="409"/>
      <c r="R92" s="409"/>
      <c r="S92" s="409"/>
      <c r="T92" s="409"/>
    </row>
    <row r="93" ht="12.75" customHeight="1">
      <c r="A93" s="404">
        <v>19.0</v>
      </c>
      <c r="B93" s="326" t="s">
        <v>107</v>
      </c>
      <c r="C93" s="326" t="s">
        <v>42</v>
      </c>
      <c r="D93" s="326" t="s">
        <v>1649</v>
      </c>
      <c r="E93" s="405" t="s">
        <v>1728</v>
      </c>
      <c r="F93" s="405" t="s">
        <v>1729</v>
      </c>
      <c r="G93" s="405" t="s">
        <v>1730</v>
      </c>
      <c r="H93" s="406">
        <v>94.0</v>
      </c>
      <c r="I93" s="413" t="s">
        <v>1731</v>
      </c>
      <c r="J93" s="409"/>
      <c r="K93" s="409"/>
      <c r="L93" s="409"/>
      <c r="N93" s="409"/>
      <c r="O93" s="409"/>
      <c r="P93" s="409"/>
      <c r="R93" s="409"/>
      <c r="S93" s="409"/>
      <c r="T93" s="409"/>
    </row>
    <row r="94" ht="12.75" customHeight="1">
      <c r="A94" s="404">
        <v>20.0</v>
      </c>
      <c r="B94" s="326"/>
      <c r="C94" s="326" t="s">
        <v>1648</v>
      </c>
      <c r="D94" s="326" t="s">
        <v>1649</v>
      </c>
      <c r="E94" s="405"/>
      <c r="F94" s="405"/>
      <c r="G94" s="405"/>
      <c r="H94" s="406">
        <v>94.0</v>
      </c>
      <c r="I94" s="399"/>
    </row>
    <row r="95" ht="12.75" customHeight="1">
      <c r="A95" s="404">
        <v>21.0</v>
      </c>
      <c r="B95" s="326" t="s">
        <v>107</v>
      </c>
      <c r="C95" s="326" t="s">
        <v>310</v>
      </c>
      <c r="D95" s="326" t="s">
        <v>1649</v>
      </c>
      <c r="E95" s="405" t="s">
        <v>1732</v>
      </c>
      <c r="F95" s="405" t="s">
        <v>1733</v>
      </c>
      <c r="G95" s="405" t="s">
        <v>1734</v>
      </c>
      <c r="H95" s="406">
        <v>101.0</v>
      </c>
      <c r="I95" s="399"/>
      <c r="J95" s="5" t="s">
        <v>1668</v>
      </c>
      <c r="N95" s="5" t="s">
        <v>1669</v>
      </c>
    </row>
    <row r="96" ht="12.75" customHeight="1">
      <c r="A96" s="404">
        <v>21.0</v>
      </c>
      <c r="B96" s="326" t="s">
        <v>106</v>
      </c>
      <c r="C96" s="326" t="s">
        <v>189</v>
      </c>
      <c r="D96" s="326" t="s">
        <v>1649</v>
      </c>
      <c r="E96" s="405" t="s">
        <v>1735</v>
      </c>
      <c r="F96" s="405" t="s">
        <v>1736</v>
      </c>
      <c r="G96" s="405" t="s">
        <v>1737</v>
      </c>
      <c r="H96" s="406">
        <v>105.0</v>
      </c>
      <c r="I96" s="399"/>
      <c r="J96" s="409"/>
      <c r="K96" s="409"/>
      <c r="L96" s="409"/>
      <c r="N96" s="409"/>
      <c r="O96" s="409"/>
      <c r="P96" s="409"/>
    </row>
    <row r="97" ht="12.75" customHeight="1">
      <c r="A97" s="404">
        <v>22.0</v>
      </c>
      <c r="B97" s="326"/>
      <c r="C97" s="326" t="s">
        <v>1648</v>
      </c>
      <c r="D97" s="326" t="s">
        <v>1649</v>
      </c>
      <c r="E97" s="405"/>
      <c r="F97" s="405"/>
      <c r="G97" s="405"/>
      <c r="H97" s="406">
        <v>105.0</v>
      </c>
      <c r="I97" s="399"/>
      <c r="J97" s="409"/>
      <c r="K97" s="409"/>
      <c r="L97" s="409"/>
      <c r="N97" s="409"/>
      <c r="O97" s="409"/>
      <c r="P97" s="409"/>
    </row>
    <row r="98" ht="12.75" customHeight="1">
      <c r="A98" s="404">
        <v>23.0</v>
      </c>
      <c r="B98" s="326" t="s">
        <v>107</v>
      </c>
      <c r="C98" s="326" t="s">
        <v>312</v>
      </c>
      <c r="D98" s="326" t="s">
        <v>1649</v>
      </c>
      <c r="E98" s="405" t="s">
        <v>1738</v>
      </c>
      <c r="F98" s="405" t="s">
        <v>1739</v>
      </c>
      <c r="G98" s="405" t="s">
        <v>1740</v>
      </c>
      <c r="H98" s="406">
        <v>113.0</v>
      </c>
      <c r="I98" s="399"/>
      <c r="J98" s="409"/>
      <c r="K98" s="409"/>
      <c r="L98" s="409"/>
      <c r="N98" s="409"/>
      <c r="O98" s="409"/>
      <c r="P98" s="409"/>
    </row>
    <row r="99" ht="12.75" customHeight="1">
      <c r="A99" s="404">
        <v>23.0</v>
      </c>
      <c r="B99" s="326" t="s">
        <v>106</v>
      </c>
      <c r="C99" s="326" t="s">
        <v>412</v>
      </c>
      <c r="D99" s="326" t="s">
        <v>1649</v>
      </c>
      <c r="E99" s="405" t="s">
        <v>1741</v>
      </c>
      <c r="F99" s="405"/>
      <c r="G99" s="405" t="s">
        <v>1741</v>
      </c>
      <c r="H99" s="406">
        <v>116.0</v>
      </c>
      <c r="I99" s="399"/>
    </row>
    <row r="100" ht="12.75" customHeight="1">
      <c r="A100" s="404">
        <v>24.0</v>
      </c>
      <c r="B100" s="326"/>
      <c r="C100" s="326" t="s">
        <v>1648</v>
      </c>
      <c r="D100" s="326" t="s">
        <v>1649</v>
      </c>
      <c r="E100" s="405"/>
      <c r="F100" s="405"/>
      <c r="G100" s="405"/>
      <c r="H100" s="406">
        <v>116.0</v>
      </c>
      <c r="I100" s="399"/>
    </row>
    <row r="101" ht="12.75" customHeight="1">
      <c r="A101" s="404">
        <v>25.0</v>
      </c>
      <c r="B101" s="326" t="s">
        <v>105</v>
      </c>
      <c r="C101" s="326" t="s">
        <v>380</v>
      </c>
      <c r="D101" s="326" t="s">
        <v>1649</v>
      </c>
      <c r="E101" s="405" t="s">
        <v>1742</v>
      </c>
      <c r="F101" s="405" t="s">
        <v>1743</v>
      </c>
      <c r="G101" s="405" t="s">
        <v>1744</v>
      </c>
      <c r="H101" s="406">
        <v>118.0</v>
      </c>
      <c r="I101" s="399"/>
    </row>
    <row r="102" ht="12.75" customHeight="1">
      <c r="A102" s="404">
        <v>25.0</v>
      </c>
      <c r="B102" s="326" t="s">
        <v>107</v>
      </c>
      <c r="C102" s="326" t="s">
        <v>380</v>
      </c>
      <c r="D102" s="326" t="s">
        <v>1649</v>
      </c>
      <c r="E102" s="405" t="s">
        <v>1745</v>
      </c>
      <c r="F102" s="405"/>
      <c r="G102" s="405" t="s">
        <v>1745</v>
      </c>
      <c r="H102" s="406">
        <v>128.0</v>
      </c>
      <c r="I102" s="399"/>
    </row>
    <row r="103" ht="12.75" customHeight="1">
      <c r="A103" s="404">
        <v>25.0</v>
      </c>
      <c r="B103" s="326" t="s">
        <v>108</v>
      </c>
      <c r="C103" s="326" t="s">
        <v>380</v>
      </c>
      <c r="D103" s="326" t="s">
        <v>1649</v>
      </c>
      <c r="E103" s="405" t="s">
        <v>1746</v>
      </c>
      <c r="F103" s="405" t="s">
        <v>1747</v>
      </c>
      <c r="G103" s="405" t="s">
        <v>1748</v>
      </c>
      <c r="H103" s="406">
        <v>136.0</v>
      </c>
      <c r="I103" s="399"/>
    </row>
    <row r="104" ht="12.75" customHeight="1">
      <c r="A104" s="404">
        <v>25.0</v>
      </c>
      <c r="B104" s="326" t="s">
        <v>108</v>
      </c>
      <c r="C104" s="326" t="s">
        <v>411</v>
      </c>
      <c r="D104" s="326" t="s">
        <v>1649</v>
      </c>
      <c r="E104" s="405" t="s">
        <v>1749</v>
      </c>
      <c r="F104" s="405"/>
      <c r="G104" s="405" t="s">
        <v>1749</v>
      </c>
      <c r="H104" s="406">
        <v>148.0</v>
      </c>
      <c r="I104" s="399"/>
    </row>
    <row r="105" ht="12.75" customHeight="1">
      <c r="A105" s="404">
        <v>25.0</v>
      </c>
      <c r="B105" s="326" t="s">
        <v>109</v>
      </c>
      <c r="C105" s="326" t="s">
        <v>411</v>
      </c>
      <c r="D105" s="326" t="s">
        <v>1649</v>
      </c>
      <c r="E105" s="405" t="s">
        <v>1750</v>
      </c>
      <c r="F105" s="405" t="s">
        <v>1751</v>
      </c>
      <c r="G105" s="405" t="s">
        <v>1752</v>
      </c>
      <c r="H105" s="406">
        <v>155.0</v>
      </c>
      <c r="I105" s="399"/>
    </row>
    <row r="106" ht="12.75" customHeight="1">
      <c r="A106" s="404">
        <v>25.0</v>
      </c>
      <c r="B106" s="326" t="s">
        <v>105</v>
      </c>
      <c r="C106" s="326" t="s">
        <v>40</v>
      </c>
      <c r="D106" s="326" t="s">
        <v>1649</v>
      </c>
      <c r="E106" s="405" t="s">
        <v>1753</v>
      </c>
      <c r="F106" s="405"/>
      <c r="G106" s="405" t="s">
        <v>1753</v>
      </c>
      <c r="H106" s="406">
        <v>157.0</v>
      </c>
      <c r="I106" s="413"/>
    </row>
    <row r="107" ht="12.75" customHeight="1">
      <c r="A107" s="404">
        <v>25.0</v>
      </c>
      <c r="B107" s="326" t="s">
        <v>107</v>
      </c>
      <c r="C107" s="326" t="s">
        <v>40</v>
      </c>
      <c r="D107" s="326" t="s">
        <v>1649</v>
      </c>
      <c r="E107" s="405" t="s">
        <v>1754</v>
      </c>
      <c r="F107" s="405"/>
      <c r="G107" s="405" t="s">
        <v>1754</v>
      </c>
      <c r="H107" s="406">
        <v>167.0</v>
      </c>
      <c r="I107" s="413"/>
    </row>
    <row r="108" ht="12.75" customHeight="1">
      <c r="A108" s="404">
        <v>25.0</v>
      </c>
      <c r="B108" s="326" t="s">
        <v>105</v>
      </c>
      <c r="C108" s="326" t="s">
        <v>42</v>
      </c>
      <c r="D108" s="326" t="s">
        <v>1649</v>
      </c>
      <c r="E108" s="405" t="s">
        <v>1755</v>
      </c>
      <c r="F108" s="405"/>
      <c r="G108" s="405" t="s">
        <v>1755</v>
      </c>
      <c r="H108" s="406">
        <v>170.0</v>
      </c>
      <c r="I108" s="399"/>
    </row>
    <row r="109" ht="12.75" customHeight="1">
      <c r="A109" s="404">
        <v>25.0</v>
      </c>
      <c r="B109" s="326" t="s">
        <v>107</v>
      </c>
      <c r="C109" s="326" t="s">
        <v>42</v>
      </c>
      <c r="D109" s="326" t="s">
        <v>1649</v>
      </c>
      <c r="E109" s="405" t="s">
        <v>1756</v>
      </c>
      <c r="F109" s="405" t="s">
        <v>1757</v>
      </c>
      <c r="G109" s="405" t="s">
        <v>1758</v>
      </c>
      <c r="H109" s="406">
        <v>176.0</v>
      </c>
      <c r="I109" s="399"/>
    </row>
    <row r="110" ht="12.75" customHeight="1">
      <c r="A110" s="404">
        <v>26.0</v>
      </c>
      <c r="B110" s="326" t="s">
        <v>106</v>
      </c>
      <c r="C110" s="326" t="s">
        <v>416</v>
      </c>
      <c r="D110" s="326" t="s">
        <v>1649</v>
      </c>
      <c r="E110" s="405" t="s">
        <v>1759</v>
      </c>
      <c r="F110" s="405"/>
      <c r="G110" s="405" t="s">
        <v>1759</v>
      </c>
      <c r="H110" s="406">
        <v>181.0</v>
      </c>
      <c r="I110" s="399"/>
    </row>
    <row r="111" ht="12.75" customHeight="1">
      <c r="A111" s="404">
        <v>26.0</v>
      </c>
      <c r="B111" s="326" t="s">
        <v>105</v>
      </c>
      <c r="C111" s="326" t="s">
        <v>49</v>
      </c>
      <c r="D111" s="326" t="s">
        <v>1649</v>
      </c>
      <c r="E111" s="405" t="s">
        <v>1760</v>
      </c>
      <c r="F111" s="405"/>
      <c r="G111" s="405" t="s">
        <v>1760</v>
      </c>
      <c r="H111" s="406">
        <v>185.0</v>
      </c>
      <c r="I111" s="399"/>
    </row>
    <row r="112" ht="12.75" customHeight="1">
      <c r="A112" s="404">
        <v>27.0</v>
      </c>
      <c r="B112" s="326"/>
      <c r="C112" s="326" t="s">
        <v>1648</v>
      </c>
      <c r="D112" s="326" t="s">
        <v>1649</v>
      </c>
      <c r="E112" s="405"/>
      <c r="F112" s="405"/>
      <c r="G112" s="405"/>
      <c r="H112" s="406">
        <v>185.0</v>
      </c>
      <c r="I112" s="399"/>
    </row>
    <row r="113" ht="12.75" customHeight="1">
      <c r="A113" s="404">
        <v>28.0</v>
      </c>
      <c r="B113" s="326" t="s">
        <v>107</v>
      </c>
      <c r="C113" s="326" t="s">
        <v>46</v>
      </c>
      <c r="D113" s="326" t="s">
        <v>1649</v>
      </c>
      <c r="E113" s="405" t="s">
        <v>1761</v>
      </c>
      <c r="F113" s="405"/>
      <c r="G113" s="405" t="s">
        <v>1761</v>
      </c>
      <c r="H113" s="406">
        <v>193.0</v>
      </c>
      <c r="I113" s="399"/>
    </row>
    <row r="114" ht="12.75" customHeight="1">
      <c r="A114" s="404">
        <v>29.0</v>
      </c>
      <c r="B114" s="326"/>
      <c r="C114" s="326" t="s">
        <v>1648</v>
      </c>
      <c r="D114" s="326" t="s">
        <v>1649</v>
      </c>
      <c r="E114" s="405"/>
      <c r="F114" s="405"/>
      <c r="G114" s="405"/>
      <c r="H114" s="406">
        <v>193.0</v>
      </c>
      <c r="I114" s="399"/>
    </row>
    <row r="115" ht="12.75" customHeight="1">
      <c r="A115" s="404">
        <v>30.0</v>
      </c>
      <c r="B115" s="326"/>
      <c r="C115" s="326" t="s">
        <v>1648</v>
      </c>
      <c r="D115" s="326" t="s">
        <v>1649</v>
      </c>
      <c r="E115" s="405"/>
      <c r="F115" s="405"/>
      <c r="G115" s="405"/>
      <c r="H115" s="406">
        <v>193.0</v>
      </c>
      <c r="I115" s="399"/>
    </row>
    <row r="116" ht="12.75" customHeight="1">
      <c r="A116" s="404">
        <v>31.0</v>
      </c>
      <c r="B116" s="326" t="s">
        <v>105</v>
      </c>
      <c r="C116" s="326" t="s">
        <v>380</v>
      </c>
      <c r="D116" s="326" t="s">
        <v>1649</v>
      </c>
      <c r="E116" s="405" t="s">
        <v>1762</v>
      </c>
      <c r="F116" s="405" t="s">
        <v>1763</v>
      </c>
      <c r="G116" s="405" t="s">
        <v>1764</v>
      </c>
      <c r="H116" s="406">
        <v>195.0</v>
      </c>
      <c r="I116" s="399"/>
    </row>
    <row r="117" ht="12.75" customHeight="1">
      <c r="A117" s="404">
        <v>31.0</v>
      </c>
      <c r="B117" s="326" t="s">
        <v>107</v>
      </c>
      <c r="C117" s="326" t="s">
        <v>380</v>
      </c>
      <c r="D117" s="326" t="s">
        <v>1649</v>
      </c>
      <c r="E117" s="405" t="s">
        <v>1765</v>
      </c>
      <c r="F117" s="405" t="s">
        <v>1766</v>
      </c>
      <c r="G117" s="405" t="s">
        <v>1767</v>
      </c>
      <c r="H117" s="406">
        <v>199.0</v>
      </c>
      <c r="I117" s="399"/>
    </row>
    <row r="118" ht="12.75" customHeight="1">
      <c r="A118" s="404">
        <v>31.0</v>
      </c>
      <c r="B118" s="326" t="s">
        <v>108</v>
      </c>
      <c r="C118" s="326" t="s">
        <v>380</v>
      </c>
      <c r="D118" s="326" t="s">
        <v>1649</v>
      </c>
      <c r="E118" s="405" t="s">
        <v>1768</v>
      </c>
      <c r="F118" s="405"/>
      <c r="G118" s="405" t="s">
        <v>1768</v>
      </c>
      <c r="H118" s="406">
        <v>207.0</v>
      </c>
      <c r="I118" s="399"/>
    </row>
    <row r="119" ht="12.75" customHeight="1">
      <c r="A119" s="404">
        <v>31.0</v>
      </c>
      <c r="B119" s="326" t="s">
        <v>108</v>
      </c>
      <c r="C119" s="326" t="s">
        <v>411</v>
      </c>
      <c r="D119" s="326" t="s">
        <v>1649</v>
      </c>
      <c r="E119" s="405" t="s">
        <v>1769</v>
      </c>
      <c r="F119" s="405"/>
      <c r="G119" s="405" t="s">
        <v>1769</v>
      </c>
      <c r="H119" s="406">
        <v>217.0</v>
      </c>
      <c r="I119" s="413"/>
    </row>
    <row r="120" ht="12.75" customHeight="1">
      <c r="A120" s="404">
        <v>31.0</v>
      </c>
      <c r="B120" s="326" t="s">
        <v>109</v>
      </c>
      <c r="C120" s="326" t="s">
        <v>411</v>
      </c>
      <c r="D120" s="326" t="s">
        <v>1649</v>
      </c>
      <c r="E120" s="405" t="s">
        <v>1770</v>
      </c>
      <c r="F120" s="405" t="s">
        <v>1771</v>
      </c>
      <c r="G120" s="405" t="s">
        <v>1772</v>
      </c>
      <c r="H120" s="406">
        <v>223.0</v>
      </c>
      <c r="I120" s="399"/>
    </row>
    <row r="121" ht="12.75" customHeight="1">
      <c r="A121" s="404">
        <v>31.0</v>
      </c>
      <c r="B121" s="326" t="s">
        <v>105</v>
      </c>
      <c r="C121" s="326" t="s">
        <v>40</v>
      </c>
      <c r="D121" s="326" t="s">
        <v>1649</v>
      </c>
      <c r="E121" s="405" t="s">
        <v>1773</v>
      </c>
      <c r="F121" s="405"/>
      <c r="G121" s="405" t="s">
        <v>1773</v>
      </c>
      <c r="H121" s="406">
        <v>226.0</v>
      </c>
      <c r="I121" s="399"/>
    </row>
    <row r="122" ht="12.75" customHeight="1">
      <c r="A122" s="404">
        <v>31.0</v>
      </c>
      <c r="B122" s="326" t="s">
        <v>107</v>
      </c>
      <c r="C122" s="326" t="s">
        <v>40</v>
      </c>
      <c r="D122" s="326" t="s">
        <v>1649</v>
      </c>
      <c r="E122" s="405" t="s">
        <v>1774</v>
      </c>
      <c r="F122" s="405"/>
      <c r="G122" s="405" t="s">
        <v>1774</v>
      </c>
      <c r="H122" s="406">
        <v>233.0</v>
      </c>
      <c r="I122" s="399"/>
    </row>
    <row r="123" ht="12.75" customHeight="1">
      <c r="A123" s="404">
        <v>31.0</v>
      </c>
      <c r="B123" s="326" t="s">
        <v>105</v>
      </c>
      <c r="C123" s="326" t="s">
        <v>42</v>
      </c>
      <c r="D123" s="326" t="s">
        <v>1649</v>
      </c>
      <c r="E123" s="405" t="s">
        <v>1775</v>
      </c>
      <c r="F123" s="405" t="s">
        <v>1776</v>
      </c>
      <c r="G123" s="405" t="s">
        <v>1708</v>
      </c>
      <c r="H123" s="406">
        <v>234.0</v>
      </c>
      <c r="I123" s="413"/>
    </row>
    <row r="124" ht="12.75" customHeight="1">
      <c r="A124" s="404">
        <v>31.0</v>
      </c>
      <c r="B124" s="326" t="s">
        <v>107</v>
      </c>
      <c r="C124" s="326" t="s">
        <v>42</v>
      </c>
      <c r="D124" s="326" t="s">
        <v>1649</v>
      </c>
      <c r="E124" s="405" t="s">
        <v>1777</v>
      </c>
      <c r="F124" s="405" t="s">
        <v>1778</v>
      </c>
      <c r="G124" s="405" t="s">
        <v>1779</v>
      </c>
      <c r="H124" s="406">
        <v>240.0</v>
      </c>
      <c r="I124" s="399"/>
    </row>
    <row r="125" ht="12.75" customHeight="1">
      <c r="A125" s="404">
        <v>32.0</v>
      </c>
      <c r="B125" s="326"/>
      <c r="C125" s="326" t="s">
        <v>1648</v>
      </c>
      <c r="D125" s="326" t="s">
        <v>1649</v>
      </c>
      <c r="E125" s="405"/>
      <c r="F125" s="405"/>
      <c r="G125" s="405"/>
      <c r="H125" s="406">
        <v>240.0</v>
      </c>
      <c r="I125" s="413"/>
    </row>
    <row r="126" ht="12.75" customHeight="1">
      <c r="A126" s="404">
        <v>33.0</v>
      </c>
      <c r="B126" s="326"/>
      <c r="C126" s="326" t="s">
        <v>1648</v>
      </c>
      <c r="D126" s="326" t="s">
        <v>1649</v>
      </c>
      <c r="E126" s="405"/>
      <c r="F126" s="405"/>
      <c r="G126" s="405"/>
      <c r="H126" s="406">
        <v>240.0</v>
      </c>
      <c r="I126" s="399"/>
    </row>
    <row r="127" ht="12.75" customHeight="1">
      <c r="A127" s="404">
        <v>34.0</v>
      </c>
      <c r="B127" s="326"/>
      <c r="C127" s="326" t="s">
        <v>1648</v>
      </c>
      <c r="D127" s="326" t="s">
        <v>1649</v>
      </c>
      <c r="E127" s="405"/>
      <c r="F127" s="405"/>
      <c r="G127" s="405"/>
      <c r="H127" s="406">
        <v>240.0</v>
      </c>
      <c r="I127" s="413"/>
    </row>
    <row r="128" ht="12.75" customHeight="1">
      <c r="A128" s="404">
        <v>35.0</v>
      </c>
      <c r="B128" s="326" t="s">
        <v>105</v>
      </c>
      <c r="C128" s="326" t="s">
        <v>380</v>
      </c>
      <c r="D128" s="326" t="s">
        <v>1649</v>
      </c>
      <c r="E128" s="405" t="s">
        <v>1780</v>
      </c>
      <c r="F128" s="405"/>
      <c r="G128" s="405" t="s">
        <v>1780</v>
      </c>
      <c r="H128" s="406">
        <v>243.0</v>
      </c>
      <c r="I128" s="399"/>
    </row>
    <row r="129" ht="12.75" customHeight="1">
      <c r="A129" s="404">
        <v>35.0</v>
      </c>
      <c r="B129" s="326" t="s">
        <v>107</v>
      </c>
      <c r="C129" s="326" t="s">
        <v>380</v>
      </c>
      <c r="D129" s="326" t="s">
        <v>1649</v>
      </c>
      <c r="E129" s="405" t="s">
        <v>1781</v>
      </c>
      <c r="F129" s="405"/>
      <c r="G129" s="405" t="s">
        <v>1781</v>
      </c>
      <c r="H129" s="406">
        <v>250.0</v>
      </c>
      <c r="I129" s="399"/>
    </row>
    <row r="130" ht="12.75" customHeight="1">
      <c r="A130" s="404">
        <v>35.0</v>
      </c>
      <c r="B130" s="326" t="s">
        <v>108</v>
      </c>
      <c r="C130" s="326" t="s">
        <v>380</v>
      </c>
      <c r="D130" s="326" t="s">
        <v>1649</v>
      </c>
      <c r="E130" s="405" t="s">
        <v>1782</v>
      </c>
      <c r="F130" s="405" t="s">
        <v>1783</v>
      </c>
      <c r="G130" s="405" t="s">
        <v>1784</v>
      </c>
      <c r="H130" s="406">
        <v>259.0</v>
      </c>
      <c r="I130" s="399"/>
    </row>
    <row r="131" ht="12.75" customHeight="1">
      <c r="A131" s="404">
        <v>35.0</v>
      </c>
      <c r="B131" s="326" t="s">
        <v>108</v>
      </c>
      <c r="C131" s="326" t="s">
        <v>411</v>
      </c>
      <c r="D131" s="326" t="s">
        <v>1649</v>
      </c>
      <c r="E131" s="405" t="s">
        <v>1785</v>
      </c>
      <c r="F131" s="405"/>
      <c r="G131" s="405" t="s">
        <v>1785</v>
      </c>
      <c r="H131" s="406">
        <v>266.0</v>
      </c>
      <c r="I131" s="399"/>
    </row>
    <row r="132" ht="12.75" customHeight="1">
      <c r="A132" s="404">
        <v>35.0</v>
      </c>
      <c r="B132" s="326" t="s">
        <v>109</v>
      </c>
      <c r="C132" s="326" t="s">
        <v>411</v>
      </c>
      <c r="D132" s="326" t="s">
        <v>1649</v>
      </c>
      <c r="E132" s="405" t="s">
        <v>1786</v>
      </c>
      <c r="F132" s="405"/>
      <c r="G132" s="405" t="s">
        <v>1786</v>
      </c>
      <c r="H132" s="406">
        <v>276.0</v>
      </c>
      <c r="I132" s="399"/>
    </row>
    <row r="133" ht="12.75" customHeight="1">
      <c r="A133" s="404">
        <v>35.0</v>
      </c>
      <c r="B133" s="326" t="s">
        <v>105</v>
      </c>
      <c r="C133" s="326" t="s">
        <v>40</v>
      </c>
      <c r="D133" s="326" t="s">
        <v>1649</v>
      </c>
      <c r="E133" s="405" t="s">
        <v>1787</v>
      </c>
      <c r="F133" s="405"/>
      <c r="G133" s="405" t="s">
        <v>1787</v>
      </c>
      <c r="H133" s="406">
        <v>281.0</v>
      </c>
      <c r="I133" s="399"/>
    </row>
    <row r="134" ht="12.75" customHeight="1">
      <c r="A134" s="404">
        <v>35.0</v>
      </c>
      <c r="B134" s="326" t="s">
        <v>107</v>
      </c>
      <c r="C134" s="326" t="s">
        <v>40</v>
      </c>
      <c r="D134" s="326" t="s">
        <v>1649</v>
      </c>
      <c r="E134" s="405" t="s">
        <v>1788</v>
      </c>
      <c r="F134" s="405" t="s">
        <v>1789</v>
      </c>
      <c r="G134" s="405" t="s">
        <v>1790</v>
      </c>
      <c r="H134" s="406">
        <v>289.0</v>
      </c>
      <c r="I134" s="413"/>
    </row>
    <row r="135" ht="12.75" customHeight="1">
      <c r="A135" s="404">
        <v>35.0</v>
      </c>
      <c r="B135" s="326" t="s">
        <v>105</v>
      </c>
      <c r="C135" s="326" t="s">
        <v>42</v>
      </c>
      <c r="D135" s="326" t="s">
        <v>1649</v>
      </c>
      <c r="E135" s="405" t="s">
        <v>1791</v>
      </c>
      <c r="F135" s="405"/>
      <c r="G135" s="405" t="s">
        <v>1791</v>
      </c>
      <c r="H135" s="406">
        <v>296.0</v>
      </c>
      <c r="I135" s="399"/>
    </row>
    <row r="136" ht="12.75" customHeight="1">
      <c r="A136" s="404">
        <v>35.0</v>
      </c>
      <c r="B136" s="326" t="s">
        <v>107</v>
      </c>
      <c r="C136" s="326" t="s">
        <v>42</v>
      </c>
      <c r="D136" s="326" t="s">
        <v>1649</v>
      </c>
      <c r="E136" s="405" t="s">
        <v>1792</v>
      </c>
      <c r="F136" s="405"/>
      <c r="G136" s="405" t="s">
        <v>1792</v>
      </c>
      <c r="H136" s="406">
        <v>304.0</v>
      </c>
      <c r="I136" s="399"/>
    </row>
    <row r="137" ht="12.75" customHeight="1">
      <c r="A137" s="404">
        <v>36.0</v>
      </c>
      <c r="B137" s="326"/>
      <c r="C137" s="326" t="s">
        <v>1648</v>
      </c>
      <c r="D137" s="326" t="s">
        <v>1649</v>
      </c>
      <c r="E137" s="405"/>
      <c r="F137" s="405"/>
      <c r="G137" s="405"/>
      <c r="H137" s="406">
        <v>304.0</v>
      </c>
      <c r="I137" s="399"/>
    </row>
    <row r="138" ht="12.75" customHeight="1">
      <c r="A138" s="404">
        <v>37.0</v>
      </c>
      <c r="B138" s="326"/>
      <c r="C138" s="326" t="s">
        <v>1648</v>
      </c>
      <c r="D138" s="326" t="s">
        <v>1649</v>
      </c>
      <c r="E138" s="405"/>
      <c r="F138" s="405"/>
      <c r="G138" s="405"/>
      <c r="H138" s="406">
        <v>304.0</v>
      </c>
      <c r="I138" s="413"/>
    </row>
    <row r="139" ht="12.75" customHeight="1">
      <c r="A139" s="404">
        <v>38.0</v>
      </c>
      <c r="B139" s="326"/>
      <c r="C139" s="326" t="s">
        <v>1648</v>
      </c>
      <c r="D139" s="326" t="s">
        <v>1649</v>
      </c>
      <c r="E139" s="405"/>
      <c r="F139" s="405"/>
      <c r="G139" s="405"/>
      <c r="H139" s="406">
        <v>304.0</v>
      </c>
      <c r="I139" s="399"/>
    </row>
    <row r="140" ht="12.75" customHeight="1">
      <c r="A140" s="404">
        <v>39.0</v>
      </c>
      <c r="B140" s="326" t="s">
        <v>107</v>
      </c>
      <c r="C140" s="326" t="s">
        <v>312</v>
      </c>
      <c r="D140" s="326" t="s">
        <v>1649</v>
      </c>
      <c r="E140" s="405" t="s">
        <v>1793</v>
      </c>
      <c r="F140" s="405"/>
      <c r="G140" s="405" t="s">
        <v>1793</v>
      </c>
      <c r="H140" s="406">
        <v>310.0</v>
      </c>
      <c r="I140" s="399"/>
    </row>
    <row r="141" ht="12.75" customHeight="1">
      <c r="A141" s="404">
        <v>40.0</v>
      </c>
      <c r="B141" s="326" t="s">
        <v>105</v>
      </c>
      <c r="C141" s="326" t="s">
        <v>49</v>
      </c>
      <c r="D141" s="326" t="s">
        <v>1649</v>
      </c>
      <c r="E141" s="405" t="s">
        <v>1794</v>
      </c>
      <c r="F141" s="405" t="s">
        <v>1795</v>
      </c>
      <c r="G141" s="405" t="s">
        <v>1743</v>
      </c>
      <c r="H141" s="406">
        <v>311.0</v>
      </c>
      <c r="I141" s="413" t="s">
        <v>1796</v>
      </c>
    </row>
    <row r="142" ht="12.75" customHeight="1">
      <c r="A142" s="404">
        <v>41.0</v>
      </c>
      <c r="B142" s="326" t="s">
        <v>106</v>
      </c>
      <c r="C142" s="326" t="s">
        <v>375</v>
      </c>
      <c r="D142" s="326" t="s">
        <v>1649</v>
      </c>
      <c r="E142" s="405" t="s">
        <v>1797</v>
      </c>
      <c r="F142" s="405"/>
      <c r="G142" s="405" t="s">
        <v>1797</v>
      </c>
      <c r="H142" s="406">
        <v>317.0</v>
      </c>
      <c r="I142" s="413"/>
    </row>
    <row r="143" ht="12.75" customHeight="1">
      <c r="A143" s="404">
        <v>42.0</v>
      </c>
      <c r="B143" s="326" t="s">
        <v>105</v>
      </c>
      <c r="C143" s="326" t="s">
        <v>380</v>
      </c>
      <c r="D143" s="326" t="s">
        <v>1649</v>
      </c>
      <c r="E143" s="405" t="s">
        <v>1798</v>
      </c>
      <c r="F143" s="405"/>
      <c r="G143" s="405" t="s">
        <v>1798</v>
      </c>
      <c r="H143" s="406">
        <v>322.0</v>
      </c>
      <c r="I143" s="399"/>
    </row>
    <row r="144" ht="12.75" customHeight="1">
      <c r="A144" s="404">
        <v>42.0</v>
      </c>
      <c r="B144" s="326" t="s">
        <v>462</v>
      </c>
      <c r="C144" s="326" t="s">
        <v>1799</v>
      </c>
      <c r="D144" s="326" t="s">
        <v>1649</v>
      </c>
      <c r="E144" s="405" t="s">
        <v>1800</v>
      </c>
      <c r="F144" s="405"/>
      <c r="G144" s="405" t="s">
        <v>1800</v>
      </c>
      <c r="H144" s="406">
        <v>76.0</v>
      </c>
      <c r="I144" s="399"/>
    </row>
    <row r="145" ht="12.75" customHeight="1">
      <c r="A145" s="404">
        <v>42.0</v>
      </c>
      <c r="B145" s="326" t="s">
        <v>107</v>
      </c>
      <c r="C145" s="326" t="s">
        <v>380</v>
      </c>
      <c r="D145" s="326" t="s">
        <v>1649</v>
      </c>
      <c r="E145" s="405" t="s">
        <v>1801</v>
      </c>
      <c r="F145" s="405" t="s">
        <v>1802</v>
      </c>
      <c r="G145" s="405" t="s">
        <v>1803</v>
      </c>
      <c r="H145" s="406">
        <v>81.0</v>
      </c>
      <c r="I145" s="399"/>
    </row>
    <row r="146" ht="12.75" customHeight="1">
      <c r="A146" s="404">
        <v>42.0</v>
      </c>
      <c r="B146" s="326" t="s">
        <v>108</v>
      </c>
      <c r="C146" s="326" t="s">
        <v>380</v>
      </c>
      <c r="D146" s="326" t="s">
        <v>1649</v>
      </c>
      <c r="E146" s="405" t="s">
        <v>1804</v>
      </c>
      <c r="F146" s="405"/>
      <c r="G146" s="405" t="s">
        <v>1804</v>
      </c>
      <c r="H146" s="406">
        <v>90.0</v>
      </c>
      <c r="I146" s="399"/>
    </row>
    <row r="147" ht="12.75" customHeight="1">
      <c r="A147" s="404">
        <v>42.0</v>
      </c>
      <c r="B147" s="326" t="s">
        <v>108</v>
      </c>
      <c r="C147" s="326" t="s">
        <v>411</v>
      </c>
      <c r="D147" s="326" t="s">
        <v>1649</v>
      </c>
      <c r="E147" s="405" t="s">
        <v>1805</v>
      </c>
      <c r="F147" s="405"/>
      <c r="G147" s="405" t="s">
        <v>1805</v>
      </c>
      <c r="H147" s="406">
        <v>107.0</v>
      </c>
      <c r="I147" s="413"/>
    </row>
    <row r="148" ht="12.75" customHeight="1">
      <c r="A148" s="404">
        <v>42.0</v>
      </c>
      <c r="B148" s="326" t="s">
        <v>109</v>
      </c>
      <c r="C148" s="326" t="s">
        <v>411</v>
      </c>
      <c r="D148" s="326" t="s">
        <v>1649</v>
      </c>
      <c r="E148" s="405" t="s">
        <v>1806</v>
      </c>
      <c r="F148" s="405"/>
      <c r="G148" s="405" t="s">
        <v>1806</v>
      </c>
      <c r="H148" s="406">
        <v>117.0</v>
      </c>
      <c r="I148" s="399"/>
    </row>
    <row r="149" ht="12.75" customHeight="1">
      <c r="A149" s="404">
        <v>42.0</v>
      </c>
      <c r="B149" s="326" t="s">
        <v>105</v>
      </c>
      <c r="C149" s="326" t="s">
        <v>40</v>
      </c>
      <c r="D149" s="326" t="s">
        <v>1649</v>
      </c>
      <c r="E149" s="405" t="s">
        <v>1807</v>
      </c>
      <c r="F149" s="405" t="s">
        <v>1808</v>
      </c>
      <c r="G149" s="405" t="s">
        <v>1809</v>
      </c>
      <c r="H149" s="406">
        <v>121.0</v>
      </c>
      <c r="I149" s="399"/>
    </row>
    <row r="150" ht="12.75" customHeight="1">
      <c r="A150" s="404">
        <v>42.0</v>
      </c>
      <c r="B150" s="326" t="s">
        <v>107</v>
      </c>
      <c r="C150" s="326" t="s">
        <v>40</v>
      </c>
      <c r="D150" s="326" t="s">
        <v>1649</v>
      </c>
      <c r="E150" s="405" t="s">
        <v>1810</v>
      </c>
      <c r="F150" s="405"/>
      <c r="G150" s="405" t="s">
        <v>1810</v>
      </c>
      <c r="H150" s="406">
        <v>127.0</v>
      </c>
      <c r="I150" s="399"/>
    </row>
    <row r="151" ht="12.75" customHeight="1">
      <c r="A151" s="404">
        <v>42.0</v>
      </c>
      <c r="B151" s="326" t="s">
        <v>105</v>
      </c>
      <c r="C151" s="326" t="s">
        <v>42</v>
      </c>
      <c r="D151" s="326" t="s">
        <v>1649</v>
      </c>
      <c r="E151" s="405" t="s">
        <v>1811</v>
      </c>
      <c r="F151" s="405"/>
      <c r="G151" s="405" t="s">
        <v>1811</v>
      </c>
      <c r="H151" s="406">
        <v>132.0</v>
      </c>
      <c r="I151" s="413"/>
    </row>
    <row r="152" ht="12.75" customHeight="1">
      <c r="A152" s="404">
        <v>42.0</v>
      </c>
      <c r="B152" s="326" t="s">
        <v>107</v>
      </c>
      <c r="C152" s="326" t="s">
        <v>42</v>
      </c>
      <c r="D152" s="326" t="s">
        <v>1649</v>
      </c>
      <c r="E152" s="405" t="s">
        <v>1812</v>
      </c>
      <c r="F152" s="405"/>
      <c r="G152" s="405" t="s">
        <v>1812</v>
      </c>
      <c r="H152" s="406">
        <v>137.0</v>
      </c>
      <c r="I152" s="413"/>
    </row>
    <row r="153" ht="12.75" customHeight="1">
      <c r="A153" s="404">
        <v>43.0</v>
      </c>
      <c r="B153" s="326"/>
      <c r="C153" s="326" t="s">
        <v>1648</v>
      </c>
      <c r="D153" s="326" t="s">
        <v>1649</v>
      </c>
      <c r="E153" s="405"/>
      <c r="F153" s="405"/>
      <c r="G153" s="405"/>
      <c r="H153" s="406">
        <v>137.0</v>
      </c>
      <c r="I153" s="399"/>
    </row>
    <row r="154" ht="12.75" customHeight="1">
      <c r="A154" s="404">
        <v>44.0</v>
      </c>
      <c r="B154" s="326"/>
      <c r="C154" s="326" t="s">
        <v>1648</v>
      </c>
      <c r="D154" s="326" t="s">
        <v>1649</v>
      </c>
      <c r="E154" s="405"/>
      <c r="F154" s="405"/>
      <c r="G154" s="405"/>
      <c r="H154" s="406">
        <v>137.0</v>
      </c>
      <c r="I154" s="413"/>
    </row>
    <row r="155" ht="12.75" customHeight="1">
      <c r="A155" s="404">
        <v>45.0</v>
      </c>
      <c r="B155" s="326"/>
      <c r="C155" s="326" t="s">
        <v>1648</v>
      </c>
      <c r="D155" s="326" t="s">
        <v>1649</v>
      </c>
      <c r="E155" s="405"/>
      <c r="F155" s="405"/>
      <c r="G155" s="405"/>
      <c r="H155" s="406">
        <v>137.0</v>
      </c>
      <c r="I155" s="413"/>
    </row>
    <row r="156" ht="12.75" customHeight="1">
      <c r="A156" s="404">
        <v>46.0</v>
      </c>
      <c r="B156" s="326" t="s">
        <v>107</v>
      </c>
      <c r="C156" s="326" t="s">
        <v>311</v>
      </c>
      <c r="D156" s="326" t="s">
        <v>1649</v>
      </c>
      <c r="E156" s="405" t="s">
        <v>1813</v>
      </c>
      <c r="F156" s="405" t="s">
        <v>1814</v>
      </c>
      <c r="G156" s="405" t="s">
        <v>1815</v>
      </c>
      <c r="H156" s="406">
        <v>146.0</v>
      </c>
      <c r="I156" s="413" t="s">
        <v>1816</v>
      </c>
    </row>
    <row r="157" ht="12.75" customHeight="1">
      <c r="A157" s="404">
        <v>47.0</v>
      </c>
      <c r="B157" s="326" t="s">
        <v>106</v>
      </c>
      <c r="C157" s="326" t="s">
        <v>412</v>
      </c>
      <c r="D157" s="326" t="s">
        <v>1649</v>
      </c>
      <c r="E157" s="405" t="s">
        <v>1817</v>
      </c>
      <c r="F157" s="405"/>
      <c r="G157" s="405" t="s">
        <v>1817</v>
      </c>
      <c r="H157" s="406">
        <v>152.0</v>
      </c>
      <c r="I157" s="413"/>
    </row>
    <row r="158" ht="12.75" customHeight="1">
      <c r="A158" s="404">
        <v>48.0</v>
      </c>
      <c r="B158" s="326" t="s">
        <v>106</v>
      </c>
      <c r="C158" s="326" t="s">
        <v>375</v>
      </c>
      <c r="D158" s="326" t="s">
        <v>1649</v>
      </c>
      <c r="E158" s="405" t="s">
        <v>1818</v>
      </c>
      <c r="F158" s="405"/>
      <c r="G158" s="405" t="s">
        <v>1818</v>
      </c>
      <c r="H158" s="406">
        <v>159.0</v>
      </c>
      <c r="I158" s="399"/>
    </row>
    <row r="159" ht="12.75" customHeight="1">
      <c r="A159" s="404">
        <v>49.0</v>
      </c>
      <c r="B159" s="326" t="s">
        <v>107</v>
      </c>
      <c r="C159" s="326" t="s">
        <v>310</v>
      </c>
      <c r="D159" s="326" t="s">
        <v>1649</v>
      </c>
      <c r="E159" s="405" t="s">
        <v>1819</v>
      </c>
      <c r="F159" s="405"/>
      <c r="G159" s="405" t="s">
        <v>1819</v>
      </c>
      <c r="H159" s="406">
        <v>169.0</v>
      </c>
      <c r="I159" s="399"/>
    </row>
    <row r="160" ht="12.75" customHeight="1">
      <c r="A160" s="404">
        <v>49.0</v>
      </c>
      <c r="B160" s="326" t="s">
        <v>107</v>
      </c>
      <c r="C160" s="326" t="s">
        <v>312</v>
      </c>
      <c r="D160" s="326" t="s">
        <v>1649</v>
      </c>
      <c r="E160" s="405" t="s">
        <v>1820</v>
      </c>
      <c r="F160" s="405" t="s">
        <v>1821</v>
      </c>
      <c r="G160" s="405" t="s">
        <v>1822</v>
      </c>
      <c r="H160" s="406">
        <v>176.0</v>
      </c>
      <c r="I160" s="413" t="s">
        <v>1823</v>
      </c>
    </row>
    <row r="161" ht="12.75" customHeight="1">
      <c r="A161" s="404">
        <v>49.0</v>
      </c>
      <c r="B161" s="326" t="s">
        <v>107</v>
      </c>
      <c r="C161" s="326" t="s">
        <v>46</v>
      </c>
      <c r="D161" s="326" t="s">
        <v>1649</v>
      </c>
      <c r="E161" s="405" t="s">
        <v>1824</v>
      </c>
      <c r="F161" s="405"/>
      <c r="G161" s="405" t="s">
        <v>1824</v>
      </c>
      <c r="H161" s="406">
        <v>184.0</v>
      </c>
      <c r="I161" s="413"/>
    </row>
    <row r="162" ht="12.75" customHeight="1">
      <c r="A162" s="404">
        <v>49.0</v>
      </c>
      <c r="B162" s="326" t="s">
        <v>105</v>
      </c>
      <c r="C162" s="326" t="s">
        <v>380</v>
      </c>
      <c r="D162" s="326" t="s">
        <v>1649</v>
      </c>
      <c r="E162" s="405" t="s">
        <v>1825</v>
      </c>
      <c r="F162" s="405"/>
      <c r="G162" s="405" t="s">
        <v>1825</v>
      </c>
      <c r="H162" s="406">
        <v>188.0</v>
      </c>
      <c r="I162" s="399"/>
    </row>
    <row r="163" ht="12.75" customHeight="1">
      <c r="A163" s="404">
        <v>49.0</v>
      </c>
      <c r="B163" s="326" t="s">
        <v>107</v>
      </c>
      <c r="C163" s="326" t="s">
        <v>380</v>
      </c>
      <c r="D163" s="326" t="s">
        <v>1649</v>
      </c>
      <c r="E163" s="405" t="s">
        <v>1826</v>
      </c>
      <c r="F163" s="405"/>
      <c r="G163" s="405" t="s">
        <v>1826</v>
      </c>
      <c r="H163" s="406">
        <v>197.0</v>
      </c>
      <c r="I163" s="399"/>
    </row>
    <row r="164" ht="12.75" customHeight="1">
      <c r="A164" s="404">
        <v>49.0</v>
      </c>
      <c r="B164" s="326" t="s">
        <v>108</v>
      </c>
      <c r="C164" s="326" t="s">
        <v>380</v>
      </c>
      <c r="D164" s="326" t="s">
        <v>1649</v>
      </c>
      <c r="E164" s="405" t="s">
        <v>1827</v>
      </c>
      <c r="F164" s="405" t="s">
        <v>1828</v>
      </c>
      <c r="G164" s="405" t="s">
        <v>1829</v>
      </c>
      <c r="H164" s="406">
        <v>205.0</v>
      </c>
      <c r="I164" s="413" t="s">
        <v>1830</v>
      </c>
    </row>
    <row r="165" ht="12.75" customHeight="1">
      <c r="A165" s="404">
        <v>49.0</v>
      </c>
      <c r="B165" s="326" t="s">
        <v>108</v>
      </c>
      <c r="C165" s="326" t="s">
        <v>411</v>
      </c>
      <c r="D165" s="326" t="s">
        <v>1649</v>
      </c>
      <c r="E165" s="405" t="s">
        <v>1831</v>
      </c>
      <c r="F165" s="405"/>
      <c r="G165" s="405" t="s">
        <v>1831</v>
      </c>
      <c r="H165" s="406">
        <v>214.0</v>
      </c>
      <c r="I165" s="399"/>
    </row>
    <row r="166" ht="12.75" customHeight="1">
      <c r="A166" s="404">
        <v>49.0</v>
      </c>
      <c r="B166" s="326" t="s">
        <v>109</v>
      </c>
      <c r="C166" s="326" t="s">
        <v>411</v>
      </c>
      <c r="D166" s="326" t="s">
        <v>1649</v>
      </c>
      <c r="E166" s="405" t="s">
        <v>1832</v>
      </c>
      <c r="F166" s="405"/>
      <c r="G166" s="405" t="s">
        <v>1832</v>
      </c>
      <c r="H166" s="406">
        <v>222.0</v>
      </c>
      <c r="I166" s="413"/>
    </row>
    <row r="167" ht="12.75" customHeight="1">
      <c r="A167" s="404">
        <v>49.0</v>
      </c>
      <c r="B167" s="326" t="s">
        <v>106</v>
      </c>
      <c r="C167" s="326" t="s">
        <v>412</v>
      </c>
      <c r="D167" s="326" t="s">
        <v>1649</v>
      </c>
      <c r="E167" s="405" t="s">
        <v>1833</v>
      </c>
      <c r="F167" s="405"/>
      <c r="G167" s="405" t="s">
        <v>1833</v>
      </c>
      <c r="H167" s="406">
        <v>229.0</v>
      </c>
      <c r="I167" s="399"/>
    </row>
    <row r="168" ht="12.75" customHeight="1">
      <c r="A168" s="404">
        <v>49.0</v>
      </c>
      <c r="B168" s="326" t="s">
        <v>106</v>
      </c>
      <c r="C168" s="326" t="s">
        <v>189</v>
      </c>
      <c r="D168" s="326" t="s">
        <v>1649</v>
      </c>
      <c r="E168" s="405" t="s">
        <v>1834</v>
      </c>
      <c r="F168" s="405" t="s">
        <v>1835</v>
      </c>
      <c r="G168" s="405" t="s">
        <v>1836</v>
      </c>
      <c r="H168" s="406">
        <v>232.0</v>
      </c>
      <c r="I168" s="413" t="s">
        <v>1837</v>
      </c>
    </row>
    <row r="169" ht="12.75" customHeight="1">
      <c r="A169" s="404">
        <v>49.0</v>
      </c>
      <c r="B169" s="326" t="s">
        <v>106</v>
      </c>
      <c r="C169" s="326" t="s">
        <v>416</v>
      </c>
      <c r="D169" s="326" t="s">
        <v>1838</v>
      </c>
      <c r="E169" s="405" t="s">
        <v>1839</v>
      </c>
      <c r="F169" s="405" t="s">
        <v>1839</v>
      </c>
      <c r="G169" s="405"/>
      <c r="H169" s="406">
        <v>232.0</v>
      </c>
      <c r="I169" s="399"/>
    </row>
    <row r="170" ht="12.75" customHeight="1">
      <c r="A170" s="404">
        <v>49.0</v>
      </c>
      <c r="B170" s="326" t="s">
        <v>106</v>
      </c>
      <c r="C170" s="326" t="s">
        <v>32</v>
      </c>
      <c r="D170" s="326" t="s">
        <v>1838</v>
      </c>
      <c r="E170" s="405" t="s">
        <v>1840</v>
      </c>
      <c r="F170" s="405" t="s">
        <v>1840</v>
      </c>
      <c r="G170" s="405"/>
      <c r="H170" s="406">
        <v>232.0</v>
      </c>
      <c r="I170" s="399"/>
    </row>
    <row r="171" ht="12.75" customHeight="1">
      <c r="A171" s="404">
        <v>49.0</v>
      </c>
      <c r="B171" s="326" t="s">
        <v>105</v>
      </c>
      <c r="C171" s="326" t="s">
        <v>49</v>
      </c>
      <c r="D171" s="326" t="s">
        <v>1838</v>
      </c>
      <c r="E171" s="405" t="s">
        <v>1841</v>
      </c>
      <c r="F171" s="405" t="s">
        <v>1841</v>
      </c>
      <c r="G171" s="405"/>
      <c r="H171" s="406">
        <v>232.0</v>
      </c>
      <c r="I171" s="399"/>
    </row>
    <row r="172" ht="12.75" customHeight="1">
      <c r="A172" s="404">
        <v>49.0</v>
      </c>
      <c r="B172" s="326" t="s">
        <v>105</v>
      </c>
      <c r="C172" s="326" t="s">
        <v>40</v>
      </c>
      <c r="D172" s="326" t="s">
        <v>1838</v>
      </c>
      <c r="E172" s="405" t="s">
        <v>1842</v>
      </c>
      <c r="F172" s="405" t="s">
        <v>1842</v>
      </c>
      <c r="G172" s="405"/>
      <c r="H172" s="406">
        <v>232.0</v>
      </c>
      <c r="I172" s="399"/>
    </row>
    <row r="173" ht="12.75" customHeight="1">
      <c r="A173" s="404">
        <v>49.0</v>
      </c>
      <c r="B173" s="326" t="s">
        <v>107</v>
      </c>
      <c r="C173" s="326" t="s">
        <v>40</v>
      </c>
      <c r="D173" s="326" t="s">
        <v>1838</v>
      </c>
      <c r="E173" s="405" t="s">
        <v>1843</v>
      </c>
      <c r="F173" s="405" t="s">
        <v>1844</v>
      </c>
      <c r="G173" s="405" t="s">
        <v>1845</v>
      </c>
      <c r="H173" s="406">
        <v>234.0</v>
      </c>
      <c r="I173" s="399"/>
    </row>
    <row r="174" ht="12.75" customHeight="1">
      <c r="A174" s="404">
        <v>49.0</v>
      </c>
      <c r="B174" s="326" t="s">
        <v>105</v>
      </c>
      <c r="C174" s="326" t="s">
        <v>42</v>
      </c>
      <c r="D174" s="326" t="s">
        <v>1838</v>
      </c>
      <c r="E174" s="405" t="s">
        <v>1846</v>
      </c>
      <c r="F174" s="405" t="s">
        <v>1847</v>
      </c>
      <c r="G174" s="405" t="s">
        <v>1739</v>
      </c>
      <c r="H174" s="406">
        <v>237.0</v>
      </c>
      <c r="I174" s="399"/>
    </row>
    <row r="175" ht="12.75" customHeight="1">
      <c r="A175" s="404">
        <v>49.0</v>
      </c>
      <c r="B175" s="326" t="s">
        <v>107</v>
      </c>
      <c r="C175" s="326" t="s">
        <v>42</v>
      </c>
      <c r="D175" s="326" t="s">
        <v>1838</v>
      </c>
      <c r="E175" s="405" t="s">
        <v>1848</v>
      </c>
      <c r="F175" s="405" t="s">
        <v>1849</v>
      </c>
      <c r="G175" s="405" t="s">
        <v>1733</v>
      </c>
      <c r="H175" s="406">
        <v>238.0</v>
      </c>
      <c r="I175" s="399"/>
    </row>
    <row r="176" ht="12.75" customHeight="1">
      <c r="A176" s="404"/>
      <c r="B176" s="326"/>
      <c r="C176" s="326"/>
      <c r="D176" s="326"/>
      <c r="E176" s="405"/>
      <c r="F176" s="405"/>
      <c r="G176" s="405"/>
      <c r="H176" s="406"/>
      <c r="I176" s="399"/>
    </row>
    <row r="177" ht="12.75" customHeight="1">
      <c r="A177" s="404"/>
      <c r="B177" s="326"/>
      <c r="C177" s="326"/>
      <c r="D177" s="326"/>
      <c r="E177" s="405"/>
      <c r="F177" s="405"/>
      <c r="G177" s="405"/>
      <c r="H177" s="406"/>
      <c r="I177" s="399"/>
    </row>
    <row r="178" ht="12.75" customHeight="1">
      <c r="A178" s="404"/>
      <c r="B178" s="326"/>
      <c r="C178" s="326"/>
      <c r="D178" s="326"/>
      <c r="E178" s="405"/>
      <c r="F178" s="405"/>
      <c r="G178" s="405"/>
      <c r="H178" s="406"/>
      <c r="I178" s="399"/>
    </row>
    <row r="179" ht="12.75" customHeight="1">
      <c r="A179" s="404"/>
      <c r="B179" s="326"/>
      <c r="C179" s="326"/>
      <c r="D179" s="326"/>
      <c r="E179" s="405"/>
      <c r="F179" s="405"/>
      <c r="G179" s="405"/>
      <c r="H179" s="406"/>
      <c r="I179" s="399"/>
    </row>
    <row r="180" ht="12.75" customHeight="1">
      <c r="A180" s="404"/>
      <c r="B180" s="326"/>
      <c r="C180" s="326"/>
      <c r="D180" s="326"/>
      <c r="E180" s="405"/>
      <c r="F180" s="405"/>
      <c r="G180" s="405"/>
      <c r="H180" s="406"/>
      <c r="I180" s="399"/>
    </row>
    <row r="181" ht="12.75" customHeight="1">
      <c r="A181" s="364"/>
      <c r="B181" s="364"/>
      <c r="C181" s="364"/>
      <c r="D181" s="364"/>
      <c r="E181" s="405"/>
      <c r="F181" s="405"/>
      <c r="G181" s="405"/>
      <c r="H181" s="406"/>
      <c r="I181" s="399"/>
    </row>
    <row r="182" ht="12.75" customHeight="1">
      <c r="A182" s="364"/>
      <c r="B182" s="364"/>
      <c r="C182" s="364"/>
      <c r="D182" s="364"/>
      <c r="E182" s="405"/>
      <c r="F182" s="405"/>
      <c r="G182" s="405"/>
      <c r="H182" s="406"/>
      <c r="I182" s="399"/>
    </row>
    <row r="183" ht="12.75" customHeight="1">
      <c r="A183" s="364"/>
      <c r="B183" s="364"/>
      <c r="C183" s="364"/>
      <c r="D183" s="364"/>
      <c r="E183" s="405"/>
      <c r="F183" s="405"/>
      <c r="G183" s="405"/>
      <c r="H183" s="406"/>
      <c r="I183" s="399"/>
    </row>
    <row r="184" ht="12.75" customHeight="1">
      <c r="A184" s="364"/>
      <c r="B184" s="364"/>
      <c r="C184" s="364"/>
      <c r="D184" s="364"/>
      <c r="E184" s="405"/>
      <c r="F184" s="405"/>
      <c r="G184" s="405"/>
      <c r="H184" s="406"/>
      <c r="I184" s="399"/>
    </row>
    <row r="185" ht="12.75" customHeight="1">
      <c r="A185" s="364"/>
      <c r="B185" s="364"/>
      <c r="C185" s="364"/>
      <c r="D185" s="364"/>
      <c r="E185" s="405"/>
      <c r="F185" s="405"/>
      <c r="G185" s="405"/>
      <c r="H185" s="406"/>
      <c r="I185" s="399"/>
    </row>
    <row r="186" ht="12.75" customHeight="1">
      <c r="A186" s="364"/>
      <c r="B186" s="364"/>
      <c r="C186" s="364"/>
      <c r="D186" s="364"/>
      <c r="E186" s="405"/>
      <c r="F186" s="405"/>
      <c r="G186" s="405"/>
      <c r="H186" s="406"/>
      <c r="I186" s="399"/>
    </row>
    <row r="187" ht="12.75" customHeight="1">
      <c r="A187" s="364"/>
      <c r="B187" s="364"/>
      <c r="C187" s="364"/>
      <c r="D187" s="364"/>
      <c r="E187" s="405"/>
      <c r="F187" s="405"/>
      <c r="G187" s="405"/>
      <c r="H187" s="406"/>
      <c r="I187" s="399"/>
    </row>
    <row r="188" ht="12.75" customHeight="1">
      <c r="A188" s="364"/>
      <c r="B188" s="364"/>
      <c r="C188" s="364"/>
      <c r="D188" s="364"/>
      <c r="E188" s="405"/>
      <c r="F188" s="405"/>
      <c r="G188" s="405"/>
      <c r="H188" s="406"/>
      <c r="I188" s="399"/>
    </row>
    <row r="189" ht="12.75" customHeight="1">
      <c r="A189" s="364"/>
      <c r="B189" s="364"/>
      <c r="C189" s="364"/>
      <c r="D189" s="364"/>
      <c r="E189" s="405"/>
      <c r="F189" s="405"/>
      <c r="G189" s="405"/>
      <c r="H189" s="406"/>
      <c r="I189" s="399"/>
    </row>
    <row r="190" ht="12.75" customHeight="1">
      <c r="A190" s="364"/>
      <c r="B190" s="364"/>
      <c r="C190" s="364"/>
      <c r="D190" s="364"/>
      <c r="E190" s="405"/>
      <c r="F190" s="405"/>
      <c r="G190" s="405"/>
      <c r="H190" s="406"/>
      <c r="I190" s="399"/>
    </row>
    <row r="191" ht="12.75" customHeight="1">
      <c r="I191" s="399"/>
    </row>
    <row r="192">
      <c r="I192" s="399"/>
    </row>
    <row r="193">
      <c r="I193" s="399"/>
    </row>
    <row r="194">
      <c r="I194" s="399"/>
    </row>
    <row r="195">
      <c r="I195" s="399"/>
    </row>
    <row r="196">
      <c r="I196" s="399"/>
    </row>
    <row r="197">
      <c r="I197" s="399"/>
    </row>
    <row r="198">
      <c r="I198" s="399"/>
    </row>
    <row r="199">
      <c r="I199" s="399"/>
    </row>
    <row r="200">
      <c r="I200" s="399"/>
    </row>
    <row r="201">
      <c r="I201" s="399"/>
    </row>
    <row r="202">
      <c r="I202" s="399"/>
    </row>
    <row r="203">
      <c r="I203" s="399"/>
    </row>
    <row r="204">
      <c r="I204" s="399"/>
    </row>
    <row r="205">
      <c r="I205" s="399"/>
    </row>
    <row r="206">
      <c r="I206" s="399"/>
    </row>
    <row r="207">
      <c r="I207" s="399"/>
    </row>
    <row r="208">
      <c r="I208" s="399"/>
    </row>
    <row r="209">
      <c r="I209" s="399"/>
    </row>
    <row r="210">
      <c r="I210" s="399"/>
    </row>
    <row r="211">
      <c r="I211" s="399"/>
    </row>
    <row r="212">
      <c r="I212" s="399"/>
    </row>
    <row r="213">
      <c r="I213" s="399"/>
    </row>
    <row r="214">
      <c r="I214" s="399"/>
    </row>
    <row r="215">
      <c r="I215" s="399"/>
    </row>
    <row r="216">
      <c r="I216" s="399"/>
    </row>
    <row r="217">
      <c r="I217" s="399"/>
    </row>
    <row r="218">
      <c r="I218" s="399"/>
    </row>
    <row r="219">
      <c r="I219" s="399"/>
    </row>
    <row r="220">
      <c r="I220" s="399"/>
    </row>
    <row r="221">
      <c r="I221" s="399"/>
    </row>
    <row r="222">
      <c r="I222" s="399"/>
    </row>
    <row r="223">
      <c r="I223" s="399"/>
    </row>
    <row r="224">
      <c r="I224" s="399"/>
    </row>
    <row r="225">
      <c r="I225" s="399"/>
    </row>
    <row r="226">
      <c r="I226" s="399"/>
    </row>
    <row r="227">
      <c r="I227" s="399"/>
    </row>
    <row r="228">
      <c r="I228" s="399"/>
    </row>
    <row r="229">
      <c r="I229" s="399"/>
    </row>
    <row r="230">
      <c r="I230" s="399"/>
    </row>
    <row r="231">
      <c r="I231" s="399"/>
    </row>
    <row r="232">
      <c r="I232" s="399"/>
    </row>
    <row r="233">
      <c r="I233" s="399"/>
    </row>
    <row r="234">
      <c r="I234" s="399"/>
    </row>
    <row r="235">
      <c r="I235" s="399"/>
    </row>
    <row r="236">
      <c r="I236" s="399"/>
    </row>
    <row r="237" ht="12.75" customHeight="1">
      <c r="I237" s="399"/>
    </row>
    <row r="238" ht="12.75" customHeight="1">
      <c r="I238" s="399"/>
    </row>
    <row r="239" ht="12.75" customHeight="1">
      <c r="I239" s="399"/>
    </row>
    <row r="240" ht="12.75" customHeight="1">
      <c r="I240" s="399"/>
    </row>
    <row r="241" ht="12.75" customHeight="1">
      <c r="I241" s="399"/>
    </row>
    <row r="242" ht="12.75" customHeight="1">
      <c r="I242" s="399"/>
    </row>
    <row r="243" ht="12.75" customHeight="1">
      <c r="I243" s="399"/>
    </row>
    <row r="244" ht="12.75" customHeight="1">
      <c r="I244" s="399"/>
    </row>
    <row r="245" ht="12.75" customHeight="1">
      <c r="I245" s="399"/>
    </row>
    <row r="246" ht="12.75" customHeight="1">
      <c r="I246" s="399"/>
    </row>
    <row r="247" ht="12.75" customHeight="1">
      <c r="I247" s="399"/>
    </row>
    <row r="248" ht="12.75" customHeight="1">
      <c r="I248" s="399"/>
    </row>
    <row r="249" ht="12.75" customHeight="1">
      <c r="I249" s="399"/>
    </row>
    <row r="250" ht="12.75" customHeight="1">
      <c r="I250" s="399"/>
    </row>
    <row r="251" ht="12.75" customHeight="1">
      <c r="I251" s="399"/>
    </row>
    <row r="252" ht="12.75" customHeight="1">
      <c r="I252" s="399"/>
    </row>
    <row r="253" ht="12.75" customHeight="1">
      <c r="I253" s="399"/>
    </row>
    <row r="254" ht="12.75" customHeight="1">
      <c r="I254" s="399"/>
    </row>
    <row r="255" ht="12.75" customHeight="1">
      <c r="I255" s="399"/>
    </row>
    <row r="256" ht="12.75" customHeight="1">
      <c r="I256" s="399"/>
    </row>
    <row r="257" ht="12.75" customHeight="1">
      <c r="I257" s="399"/>
    </row>
    <row r="258" ht="12.75" customHeight="1">
      <c r="I258" s="399"/>
    </row>
    <row r="259" ht="12.75" customHeight="1">
      <c r="I259" s="399"/>
    </row>
    <row r="260" ht="12.75" customHeight="1">
      <c r="I260" s="399"/>
    </row>
    <row r="261" ht="12.75" customHeight="1">
      <c r="I261" s="399"/>
    </row>
    <row r="262" ht="12.75" customHeight="1">
      <c r="I262" s="399"/>
    </row>
    <row r="263" ht="12.75" customHeight="1">
      <c r="I263" s="399"/>
    </row>
    <row r="264" ht="12.75" customHeight="1">
      <c r="I264" s="399"/>
    </row>
    <row r="265" ht="12.75" customHeight="1">
      <c r="I265" s="399"/>
    </row>
    <row r="266" ht="12.75" customHeight="1">
      <c r="I266" s="399"/>
    </row>
    <row r="267" ht="12.75" customHeight="1">
      <c r="I267" s="399"/>
    </row>
    <row r="268" ht="12.75" customHeight="1">
      <c r="I268" s="399"/>
    </row>
    <row r="269" ht="12.75" customHeight="1">
      <c r="I269" s="399"/>
    </row>
    <row r="270" ht="12.75" customHeight="1">
      <c r="I270" s="399"/>
    </row>
    <row r="271" ht="12.75" customHeight="1">
      <c r="I271" s="399"/>
    </row>
    <row r="272" ht="12.75" customHeight="1">
      <c r="I272" s="399"/>
    </row>
    <row r="273" ht="12.75" customHeight="1">
      <c r="I273" s="399"/>
    </row>
    <row r="274" ht="12.75" customHeight="1">
      <c r="I274" s="399"/>
    </row>
    <row r="275" ht="12.75" customHeight="1">
      <c r="I275" s="399"/>
    </row>
    <row r="276" ht="12.75" customHeight="1">
      <c r="I276" s="399"/>
    </row>
    <row r="277" ht="12.75" customHeight="1">
      <c r="I277" s="399"/>
    </row>
    <row r="278" ht="12.75" customHeight="1">
      <c r="I278" s="399"/>
    </row>
    <row r="279" ht="12.75" customHeight="1">
      <c r="I279" s="399"/>
    </row>
    <row r="280" ht="12.75" customHeight="1">
      <c r="I280" s="399"/>
    </row>
    <row r="281" ht="12.75" customHeight="1">
      <c r="I281" s="399"/>
    </row>
    <row r="282" ht="12.75" customHeight="1">
      <c r="I282" s="399"/>
    </row>
    <row r="283" ht="12.75" customHeight="1">
      <c r="I283" s="399"/>
    </row>
    <row r="284" ht="12.75" customHeight="1">
      <c r="I284" s="399"/>
    </row>
    <row r="285" ht="12.75" customHeight="1">
      <c r="I285" s="399"/>
    </row>
    <row r="286" ht="12.75" customHeight="1">
      <c r="I286" s="399"/>
    </row>
    <row r="287" ht="12.75" customHeight="1">
      <c r="I287" s="399"/>
    </row>
    <row r="288" ht="12.75" customHeight="1">
      <c r="I288" s="399"/>
    </row>
    <row r="289" ht="12.75" customHeight="1">
      <c r="I289" s="399"/>
    </row>
    <row r="290" ht="12.75" customHeight="1">
      <c r="I290" s="399"/>
    </row>
    <row r="291" ht="12.75" customHeight="1">
      <c r="I291" s="399"/>
    </row>
    <row r="292" ht="12.75" customHeight="1">
      <c r="I292" s="399"/>
    </row>
    <row r="293" ht="12.75" customHeight="1">
      <c r="I293" s="399"/>
    </row>
    <row r="294" ht="12.75" customHeight="1">
      <c r="I294" s="399"/>
    </row>
    <row r="295" ht="12.75" customHeight="1">
      <c r="I295" s="399"/>
    </row>
    <row r="296" ht="12.75" customHeight="1">
      <c r="I296" s="399"/>
    </row>
    <row r="297" ht="12.75" customHeight="1">
      <c r="I297" s="399"/>
    </row>
    <row r="298" ht="12.75" customHeight="1">
      <c r="I298" s="399"/>
    </row>
    <row r="299" ht="12.75" customHeight="1">
      <c r="I299" s="399"/>
    </row>
    <row r="300" ht="12.75" customHeight="1">
      <c r="I300" s="399"/>
    </row>
    <row r="301" ht="12.75" customHeight="1">
      <c r="I301" s="399"/>
    </row>
    <row r="302" ht="12.75" customHeight="1">
      <c r="I302" s="399"/>
    </row>
    <row r="303" ht="12.75" customHeight="1">
      <c r="I303" s="399"/>
    </row>
    <row r="304" ht="12.75" customHeight="1">
      <c r="I304" s="399"/>
    </row>
    <row r="305" ht="12.75" customHeight="1">
      <c r="I305" s="399"/>
    </row>
    <row r="306" ht="12.75" customHeight="1">
      <c r="I306" s="399"/>
    </row>
    <row r="307" ht="12.75" customHeight="1">
      <c r="I307" s="399"/>
    </row>
    <row r="308" ht="12.75" customHeight="1">
      <c r="I308" s="399"/>
    </row>
    <row r="309" ht="12.75" customHeight="1">
      <c r="I309" s="399"/>
    </row>
    <row r="310" ht="12.75" customHeight="1">
      <c r="I310" s="399"/>
    </row>
    <row r="311" ht="12.75" customHeight="1">
      <c r="I311" s="399"/>
    </row>
    <row r="312" ht="12.75" customHeight="1">
      <c r="I312" s="399"/>
    </row>
    <row r="313" ht="12.75" customHeight="1">
      <c r="I313" s="399"/>
    </row>
    <row r="314" ht="12.75" customHeight="1">
      <c r="I314" s="399"/>
    </row>
    <row r="315" ht="12.75" customHeight="1">
      <c r="I315" s="399"/>
    </row>
    <row r="316" ht="12.75" customHeight="1">
      <c r="I316" s="399"/>
    </row>
    <row r="317" ht="12.75" customHeight="1">
      <c r="I317" s="399"/>
    </row>
    <row r="318" ht="12.75" customHeight="1">
      <c r="I318" s="399"/>
    </row>
    <row r="319" ht="12.75" customHeight="1">
      <c r="I319" s="399"/>
    </row>
    <row r="320" ht="12.75" customHeight="1">
      <c r="I320" s="399"/>
    </row>
    <row r="321" ht="12.75" customHeight="1">
      <c r="I321" s="399"/>
    </row>
    <row r="322" ht="12.75" customHeight="1">
      <c r="I322" s="399"/>
    </row>
    <row r="323" ht="12.75" customHeight="1">
      <c r="I323" s="399"/>
    </row>
    <row r="324" ht="12.75" customHeight="1">
      <c r="I324" s="399"/>
    </row>
    <row r="325" ht="12.75" customHeight="1">
      <c r="I325" s="399"/>
    </row>
    <row r="326" ht="12.75" customHeight="1">
      <c r="I326" s="399"/>
    </row>
    <row r="327" ht="12.75" customHeight="1">
      <c r="I327" s="399"/>
    </row>
    <row r="328" ht="12.75" customHeight="1">
      <c r="I328" s="399"/>
    </row>
    <row r="329" ht="12.75" customHeight="1">
      <c r="I329" s="399"/>
    </row>
    <row r="330" ht="12.75" customHeight="1">
      <c r="I330" s="399"/>
    </row>
    <row r="331" ht="12.75" customHeight="1">
      <c r="I331" s="399"/>
    </row>
    <row r="332" ht="12.75" customHeight="1">
      <c r="I332" s="399"/>
    </row>
    <row r="333" ht="12.75" customHeight="1">
      <c r="I333" s="399"/>
    </row>
    <row r="334" ht="12.75" customHeight="1">
      <c r="I334" s="399"/>
    </row>
    <row r="335" ht="12.75" customHeight="1">
      <c r="I335" s="399"/>
    </row>
    <row r="336" ht="12.75" customHeight="1">
      <c r="I336" s="399"/>
    </row>
    <row r="337" ht="12.75" customHeight="1">
      <c r="I337" s="399"/>
    </row>
    <row r="338" ht="12.75" customHeight="1">
      <c r="I338" s="399"/>
    </row>
    <row r="339" ht="12.75" customHeight="1">
      <c r="I339" s="399"/>
    </row>
    <row r="340" ht="12.75" customHeight="1">
      <c r="I340" s="399"/>
    </row>
    <row r="341" ht="12.75" customHeight="1">
      <c r="I341" s="399"/>
    </row>
    <row r="342" ht="12.75" customHeight="1">
      <c r="I342" s="399"/>
    </row>
    <row r="343" ht="12.75" customHeight="1">
      <c r="I343" s="399"/>
    </row>
    <row r="344" ht="12.75" customHeight="1">
      <c r="I344" s="399"/>
    </row>
    <row r="345" ht="12.75" customHeight="1">
      <c r="I345" s="399"/>
    </row>
    <row r="346" ht="12.75" customHeight="1">
      <c r="I346" s="399"/>
    </row>
    <row r="347" ht="12.75" customHeight="1">
      <c r="I347" s="399"/>
    </row>
    <row r="348" ht="12.75" customHeight="1">
      <c r="I348" s="399"/>
    </row>
    <row r="349" ht="12.75" customHeight="1">
      <c r="I349" s="399"/>
    </row>
    <row r="350" ht="12.75" customHeight="1">
      <c r="I350" s="399"/>
    </row>
    <row r="351" ht="12.75" customHeight="1">
      <c r="I351" s="399"/>
    </row>
    <row r="352" ht="12.75" customHeight="1">
      <c r="I352" s="399"/>
    </row>
    <row r="353" ht="12.75" customHeight="1">
      <c r="I353" s="399"/>
    </row>
    <row r="354" ht="12.75" customHeight="1">
      <c r="I354" s="399"/>
    </row>
    <row r="355" ht="12.75" customHeight="1">
      <c r="I355" s="399"/>
    </row>
    <row r="356" ht="12.75" customHeight="1">
      <c r="I356" s="399"/>
    </row>
    <row r="357" ht="12.75" customHeight="1">
      <c r="I357" s="399"/>
    </row>
    <row r="358" ht="12.75" customHeight="1">
      <c r="I358" s="399"/>
    </row>
    <row r="359" ht="12.75" customHeight="1">
      <c r="I359" s="399"/>
    </row>
    <row r="360" ht="12.75" customHeight="1">
      <c r="I360" s="399"/>
    </row>
    <row r="361" ht="12.75" customHeight="1">
      <c r="I361" s="399"/>
    </row>
    <row r="362" ht="12.75" customHeight="1">
      <c r="I362" s="399"/>
    </row>
    <row r="363" ht="12.75" customHeight="1">
      <c r="I363" s="399"/>
    </row>
    <row r="364" ht="12.75" customHeight="1">
      <c r="I364" s="399"/>
    </row>
    <row r="365" ht="12.75" customHeight="1">
      <c r="I365" s="399"/>
    </row>
    <row r="366" ht="12.75" customHeight="1">
      <c r="I366" s="399"/>
    </row>
    <row r="367" ht="12.75" customHeight="1">
      <c r="I367" s="399"/>
    </row>
    <row r="368" ht="12.75" customHeight="1">
      <c r="I368" s="399"/>
    </row>
    <row r="369" ht="12.75" customHeight="1">
      <c r="I369" s="399"/>
    </row>
    <row r="370" ht="12.75" customHeight="1">
      <c r="I370" s="399"/>
    </row>
    <row r="371" ht="12.75" customHeight="1">
      <c r="I371" s="399"/>
    </row>
    <row r="372" ht="12.75" customHeight="1">
      <c r="I372" s="399"/>
    </row>
    <row r="373" ht="12.75" customHeight="1">
      <c r="I373" s="399"/>
    </row>
    <row r="374" ht="12.75" customHeight="1">
      <c r="I374" s="399"/>
    </row>
    <row r="375" ht="12.75" customHeight="1">
      <c r="I375" s="399"/>
    </row>
    <row r="376" ht="12.75" customHeight="1">
      <c r="I376" s="399"/>
    </row>
    <row r="377" ht="12.75" customHeight="1">
      <c r="I377" s="399"/>
    </row>
    <row r="378" ht="12.75" customHeight="1">
      <c r="I378" s="399"/>
    </row>
    <row r="379" ht="12.75" customHeight="1">
      <c r="I379" s="399"/>
    </row>
    <row r="380" ht="12.75" customHeight="1">
      <c r="I380" s="399"/>
    </row>
    <row r="381" ht="12.75" customHeight="1">
      <c r="I381" s="399"/>
    </row>
    <row r="382" ht="12.75" customHeight="1">
      <c r="I382" s="399"/>
    </row>
    <row r="383" ht="12.75" customHeight="1">
      <c r="I383" s="399"/>
    </row>
    <row r="384" ht="12.75" customHeight="1">
      <c r="I384" s="399"/>
    </row>
    <row r="385" ht="12.75" customHeight="1">
      <c r="I385" s="399"/>
    </row>
    <row r="386" ht="12.75" customHeight="1">
      <c r="I386" s="399"/>
    </row>
    <row r="387" ht="12.75" customHeight="1">
      <c r="I387" s="399"/>
    </row>
    <row r="388" ht="12.75" customHeight="1">
      <c r="I388" s="399"/>
    </row>
    <row r="389" ht="12.75" customHeight="1">
      <c r="I389" s="399"/>
    </row>
    <row r="390" ht="12.75" customHeight="1">
      <c r="I390" s="399"/>
    </row>
    <row r="391" ht="12.75" customHeight="1">
      <c r="I391" s="399"/>
    </row>
    <row r="392" ht="12.75" customHeight="1">
      <c r="I392" s="399"/>
    </row>
    <row r="393" ht="12.75" customHeight="1">
      <c r="I393" s="399"/>
    </row>
    <row r="394" ht="12.75" customHeight="1">
      <c r="I394" s="399"/>
    </row>
    <row r="395" ht="12.75" customHeight="1">
      <c r="I395" s="399"/>
    </row>
    <row r="396" ht="12.75" customHeight="1">
      <c r="I396" s="399"/>
    </row>
    <row r="397" ht="12.75" customHeight="1">
      <c r="I397" s="399"/>
    </row>
    <row r="398" ht="12.75" customHeight="1">
      <c r="I398" s="399"/>
    </row>
    <row r="399" ht="12.75" customHeight="1">
      <c r="I399" s="399"/>
    </row>
    <row r="400" ht="12.75" customHeight="1">
      <c r="I400" s="399"/>
    </row>
    <row r="401" ht="12.75" customHeight="1">
      <c r="I401" s="399"/>
    </row>
    <row r="402" ht="12.75" customHeight="1">
      <c r="I402" s="399"/>
    </row>
    <row r="403" ht="12.75" customHeight="1">
      <c r="I403" s="399"/>
    </row>
    <row r="404" ht="12.75" customHeight="1">
      <c r="I404" s="399"/>
    </row>
    <row r="405" ht="12.75" customHeight="1">
      <c r="I405" s="399"/>
    </row>
    <row r="406" ht="12.75" customHeight="1">
      <c r="I406" s="399"/>
    </row>
    <row r="407" ht="12.75" customHeight="1">
      <c r="I407" s="399"/>
    </row>
    <row r="408" ht="12.75" customHeight="1">
      <c r="I408" s="399"/>
    </row>
    <row r="409" ht="12.75" customHeight="1">
      <c r="I409" s="399"/>
    </row>
    <row r="410" ht="12.75" customHeight="1">
      <c r="I410" s="399"/>
    </row>
    <row r="411" ht="12.75" customHeight="1">
      <c r="I411" s="399"/>
    </row>
    <row r="412" ht="12.75" customHeight="1">
      <c r="I412" s="399"/>
    </row>
    <row r="413" ht="12.75" customHeight="1">
      <c r="I413" s="399"/>
    </row>
    <row r="414" ht="12.75" customHeight="1">
      <c r="I414" s="399"/>
    </row>
    <row r="415" ht="12.75" customHeight="1">
      <c r="I415" s="399"/>
    </row>
    <row r="416" ht="12.75" customHeight="1">
      <c r="I416" s="399"/>
    </row>
    <row r="417" ht="12.75" customHeight="1">
      <c r="I417" s="399"/>
    </row>
    <row r="418" ht="12.75" customHeight="1">
      <c r="I418" s="399"/>
    </row>
    <row r="419" ht="12.75" customHeight="1">
      <c r="I419" s="399"/>
    </row>
    <row r="420" ht="12.75" customHeight="1">
      <c r="I420" s="399"/>
    </row>
    <row r="421" ht="12.75" customHeight="1">
      <c r="I421" s="399"/>
    </row>
    <row r="422" ht="12.75" customHeight="1">
      <c r="I422" s="399"/>
    </row>
    <row r="423" ht="12.75" customHeight="1">
      <c r="I423" s="399"/>
    </row>
    <row r="424" ht="12.75" customHeight="1">
      <c r="I424" s="399"/>
    </row>
    <row r="425" ht="12.75" customHeight="1">
      <c r="I425" s="399"/>
    </row>
    <row r="426" ht="12.75" customHeight="1">
      <c r="I426" s="399"/>
    </row>
    <row r="427" ht="12.75" customHeight="1">
      <c r="I427" s="399"/>
    </row>
    <row r="428" ht="12.75" customHeight="1">
      <c r="I428" s="399"/>
    </row>
    <row r="429" ht="12.75" customHeight="1">
      <c r="I429" s="399"/>
    </row>
    <row r="430" ht="12.75" customHeight="1">
      <c r="I430" s="399"/>
    </row>
    <row r="431" ht="12.75" customHeight="1">
      <c r="I431" s="399"/>
    </row>
    <row r="432" ht="12.75" customHeight="1">
      <c r="I432" s="399"/>
    </row>
    <row r="433" ht="12.75" customHeight="1">
      <c r="I433" s="399"/>
    </row>
    <row r="434" ht="12.75" customHeight="1">
      <c r="I434" s="399"/>
    </row>
    <row r="435" ht="12.75" customHeight="1">
      <c r="I435" s="399"/>
    </row>
    <row r="436" ht="12.75" customHeight="1">
      <c r="I436" s="399"/>
    </row>
    <row r="437" ht="12.75" customHeight="1">
      <c r="I437" s="399"/>
    </row>
    <row r="438" ht="12.75" customHeight="1">
      <c r="I438" s="399"/>
    </row>
    <row r="439" ht="12.75" customHeight="1">
      <c r="I439" s="399"/>
    </row>
    <row r="440" ht="12.75" customHeight="1">
      <c r="I440" s="399"/>
    </row>
    <row r="441" ht="12.75" customHeight="1">
      <c r="I441" s="399"/>
    </row>
    <row r="442" ht="12.75" customHeight="1">
      <c r="I442" s="399"/>
    </row>
    <row r="443" ht="12.75" customHeight="1">
      <c r="I443" s="399"/>
    </row>
    <row r="444" ht="12.75" customHeight="1">
      <c r="I444" s="399"/>
    </row>
    <row r="445" ht="12.75" customHeight="1">
      <c r="I445" s="399"/>
    </row>
    <row r="446" ht="12.75" customHeight="1">
      <c r="I446" s="399"/>
    </row>
    <row r="447" ht="12.75" customHeight="1">
      <c r="I447" s="399"/>
    </row>
    <row r="448" ht="12.75" customHeight="1">
      <c r="I448" s="399"/>
    </row>
    <row r="449" ht="12.75" customHeight="1">
      <c r="I449" s="399"/>
    </row>
    <row r="450" ht="12.75" customHeight="1">
      <c r="I450" s="399"/>
    </row>
    <row r="451" ht="12.75" customHeight="1">
      <c r="I451" s="399"/>
    </row>
    <row r="452" ht="12.75" customHeight="1">
      <c r="I452" s="399"/>
    </row>
    <row r="453" ht="12.75" customHeight="1">
      <c r="I453" s="399"/>
    </row>
    <row r="454" ht="12.75" customHeight="1">
      <c r="I454" s="399"/>
    </row>
    <row r="455" ht="12.75" customHeight="1">
      <c r="I455" s="399"/>
    </row>
    <row r="456" ht="12.75" customHeight="1">
      <c r="I456" s="399"/>
    </row>
    <row r="457" ht="12.75" customHeight="1">
      <c r="I457" s="399"/>
    </row>
    <row r="458" ht="12.75" customHeight="1">
      <c r="I458" s="399"/>
    </row>
    <row r="459" ht="12.75" customHeight="1">
      <c r="I459" s="399"/>
    </row>
    <row r="460" ht="12.75" customHeight="1">
      <c r="I460" s="399"/>
    </row>
    <row r="461" ht="12.75" customHeight="1">
      <c r="I461" s="399"/>
    </row>
    <row r="462" ht="12.75" customHeight="1">
      <c r="I462" s="399"/>
    </row>
    <row r="463" ht="12.75" customHeight="1">
      <c r="I463" s="399"/>
    </row>
    <row r="464" ht="12.75" customHeight="1">
      <c r="I464" s="399"/>
    </row>
    <row r="465" ht="12.75" customHeight="1">
      <c r="I465" s="399"/>
    </row>
    <row r="466" ht="12.75" customHeight="1">
      <c r="I466" s="399"/>
    </row>
    <row r="467" ht="12.75" customHeight="1">
      <c r="I467" s="399"/>
    </row>
    <row r="468" ht="12.75" customHeight="1">
      <c r="I468" s="399"/>
    </row>
    <row r="469" ht="12.75" customHeight="1">
      <c r="I469" s="399"/>
    </row>
    <row r="470" ht="12.75" customHeight="1">
      <c r="I470" s="399"/>
    </row>
    <row r="471" ht="12.75" customHeight="1">
      <c r="I471" s="399"/>
    </row>
    <row r="472" ht="12.75" customHeight="1">
      <c r="I472" s="399"/>
    </row>
    <row r="473" ht="12.75" customHeight="1">
      <c r="I473" s="399"/>
    </row>
    <row r="474" ht="12.75" customHeight="1">
      <c r="I474" s="399"/>
    </row>
    <row r="475" ht="12.75" customHeight="1">
      <c r="I475" s="399"/>
    </row>
    <row r="476" ht="12.75" customHeight="1">
      <c r="I476" s="399"/>
    </row>
    <row r="477" ht="12.75" customHeight="1">
      <c r="I477" s="399"/>
    </row>
    <row r="478" ht="12.75" customHeight="1">
      <c r="I478" s="399"/>
    </row>
    <row r="479" ht="12.75" customHeight="1">
      <c r="I479" s="399"/>
    </row>
    <row r="480" ht="12.75" customHeight="1">
      <c r="I480" s="399"/>
    </row>
    <row r="481" ht="12.75" customHeight="1">
      <c r="I481" s="399"/>
    </row>
    <row r="482" ht="12.75" customHeight="1">
      <c r="I482" s="399"/>
    </row>
    <row r="483" ht="12.75" customHeight="1">
      <c r="I483" s="399"/>
    </row>
    <row r="484" ht="12.75" customHeight="1">
      <c r="I484" s="399"/>
    </row>
    <row r="485" ht="12.75" customHeight="1">
      <c r="I485" s="399"/>
    </row>
    <row r="486" ht="12.75" customHeight="1">
      <c r="I486" s="399"/>
    </row>
    <row r="487" ht="12.75" customHeight="1">
      <c r="I487" s="399"/>
    </row>
    <row r="488" ht="12.75" customHeight="1">
      <c r="I488" s="399"/>
    </row>
    <row r="489" ht="12.75" customHeight="1">
      <c r="I489" s="399"/>
    </row>
    <row r="490" ht="12.75" customHeight="1">
      <c r="I490" s="399"/>
    </row>
    <row r="491" ht="12.75" customHeight="1">
      <c r="I491" s="399"/>
    </row>
    <row r="492" ht="12.75" customHeight="1">
      <c r="I492" s="399"/>
    </row>
    <row r="493" ht="12.75" customHeight="1">
      <c r="I493" s="399"/>
    </row>
    <row r="494" ht="12.75" customHeight="1">
      <c r="I494" s="399"/>
    </row>
    <row r="495" ht="12.75" customHeight="1">
      <c r="I495" s="399"/>
    </row>
    <row r="496" ht="12.75" customHeight="1">
      <c r="I496" s="399"/>
    </row>
    <row r="497" ht="12.75" customHeight="1">
      <c r="I497" s="399"/>
    </row>
    <row r="498" ht="12.75" customHeight="1">
      <c r="I498" s="399"/>
    </row>
    <row r="499" ht="12.75" customHeight="1">
      <c r="I499" s="399"/>
    </row>
    <row r="500" ht="12.75" customHeight="1">
      <c r="I500" s="399"/>
    </row>
    <row r="501" ht="12.75" customHeight="1">
      <c r="I501" s="399"/>
    </row>
    <row r="502" ht="12.75" customHeight="1">
      <c r="I502" s="399"/>
    </row>
    <row r="503" ht="12.75" customHeight="1">
      <c r="I503" s="399"/>
    </row>
    <row r="504" ht="12.75" customHeight="1">
      <c r="I504" s="399"/>
    </row>
    <row r="505" ht="12.75" customHeight="1">
      <c r="I505" s="399"/>
    </row>
    <row r="506" ht="12.75" customHeight="1">
      <c r="I506" s="399"/>
    </row>
    <row r="507" ht="12.75" customHeight="1">
      <c r="I507" s="399"/>
    </row>
    <row r="508" ht="12.75" customHeight="1">
      <c r="I508" s="399"/>
    </row>
    <row r="509" ht="12.75" customHeight="1">
      <c r="I509" s="399"/>
    </row>
    <row r="510" ht="12.75" customHeight="1">
      <c r="I510" s="399"/>
    </row>
    <row r="511" ht="12.75" customHeight="1">
      <c r="I511" s="399"/>
    </row>
    <row r="512" ht="12.75" customHeight="1">
      <c r="I512" s="399"/>
    </row>
    <row r="513" ht="12.75" customHeight="1">
      <c r="I513" s="399"/>
    </row>
    <row r="514" ht="12.75" customHeight="1">
      <c r="I514" s="399"/>
    </row>
    <row r="515" ht="12.75" customHeight="1">
      <c r="I515" s="399"/>
    </row>
    <row r="516" ht="12.75" customHeight="1">
      <c r="I516" s="399"/>
    </row>
    <row r="517" ht="12.75" customHeight="1">
      <c r="I517" s="399"/>
    </row>
    <row r="518" ht="12.75" customHeight="1">
      <c r="I518" s="399"/>
    </row>
    <row r="519" ht="12.75" customHeight="1">
      <c r="I519" s="399"/>
    </row>
    <row r="520" ht="12.75" customHeight="1">
      <c r="I520" s="399"/>
    </row>
    <row r="521" ht="12.75" customHeight="1">
      <c r="I521" s="399"/>
    </row>
    <row r="522" ht="12.75" customHeight="1">
      <c r="I522" s="399"/>
    </row>
    <row r="523" ht="12.75" customHeight="1">
      <c r="I523" s="399"/>
    </row>
    <row r="524" ht="12.75" customHeight="1">
      <c r="I524" s="399"/>
    </row>
    <row r="525" ht="12.75" customHeight="1">
      <c r="I525" s="399"/>
    </row>
    <row r="526" ht="12.75" customHeight="1">
      <c r="I526" s="399"/>
    </row>
    <row r="527" ht="12.75" customHeight="1">
      <c r="I527" s="399"/>
    </row>
    <row r="528" ht="12.75" customHeight="1">
      <c r="I528" s="399"/>
    </row>
    <row r="529" ht="12.75" customHeight="1">
      <c r="I529" s="399"/>
    </row>
    <row r="530" ht="12.75" customHeight="1">
      <c r="I530" s="399"/>
    </row>
    <row r="531" ht="12.75" customHeight="1">
      <c r="I531" s="399"/>
    </row>
    <row r="532" ht="12.75" customHeight="1">
      <c r="I532" s="399"/>
    </row>
    <row r="533" ht="12.75" customHeight="1">
      <c r="I533" s="399"/>
    </row>
    <row r="534" ht="12.75" customHeight="1">
      <c r="I534" s="399"/>
    </row>
    <row r="535" ht="12.75" customHeight="1">
      <c r="I535" s="399"/>
    </row>
    <row r="536" ht="12.75" customHeight="1">
      <c r="I536" s="399"/>
    </row>
    <row r="537" ht="12.75" customHeight="1">
      <c r="I537" s="399"/>
    </row>
    <row r="538" ht="12.75" customHeight="1">
      <c r="I538" s="399"/>
    </row>
    <row r="539" ht="12.75" customHeight="1">
      <c r="I539" s="399"/>
    </row>
    <row r="540" ht="12.75" customHeight="1">
      <c r="I540" s="399"/>
    </row>
    <row r="541" ht="12.75" customHeight="1">
      <c r="I541" s="399"/>
    </row>
    <row r="542" ht="12.75" customHeight="1">
      <c r="I542" s="399"/>
    </row>
    <row r="543" ht="12.75" customHeight="1">
      <c r="I543" s="399"/>
    </row>
    <row r="544" ht="12.75" customHeight="1">
      <c r="I544" s="399"/>
    </row>
    <row r="545" ht="12.75" customHeight="1">
      <c r="I545" s="399"/>
    </row>
    <row r="546" ht="12.75" customHeight="1">
      <c r="I546" s="399"/>
    </row>
    <row r="547" ht="12.75" customHeight="1">
      <c r="I547" s="399"/>
    </row>
    <row r="548" ht="12.75" customHeight="1">
      <c r="I548" s="399"/>
    </row>
    <row r="549" ht="12.75" customHeight="1">
      <c r="I549" s="399"/>
    </row>
    <row r="550" ht="12.75" customHeight="1">
      <c r="I550" s="399"/>
    </row>
    <row r="551" ht="12.75" customHeight="1">
      <c r="I551" s="399"/>
    </row>
    <row r="552" ht="12.75" customHeight="1">
      <c r="I552" s="399"/>
    </row>
    <row r="553" ht="12.75" customHeight="1">
      <c r="I553" s="399"/>
    </row>
    <row r="554" ht="12.75" customHeight="1">
      <c r="I554" s="399"/>
    </row>
    <row r="555" ht="12.75" customHeight="1">
      <c r="I555" s="399"/>
    </row>
    <row r="556" ht="12.75" customHeight="1">
      <c r="I556" s="399"/>
    </row>
    <row r="557" ht="12.75" customHeight="1">
      <c r="I557" s="399"/>
    </row>
    <row r="558" ht="12.75" customHeight="1">
      <c r="I558" s="399"/>
    </row>
    <row r="559" ht="12.75" customHeight="1">
      <c r="I559" s="399"/>
    </row>
    <row r="560" ht="12.75" customHeight="1">
      <c r="I560" s="399"/>
    </row>
    <row r="561" ht="12.75" customHeight="1">
      <c r="I561" s="399"/>
    </row>
    <row r="562" ht="12.75" customHeight="1">
      <c r="I562" s="399"/>
    </row>
    <row r="563" ht="12.75" customHeight="1">
      <c r="I563" s="399"/>
    </row>
    <row r="564" ht="12.75" customHeight="1">
      <c r="I564" s="399"/>
    </row>
    <row r="565" ht="12.75" customHeight="1">
      <c r="I565" s="399"/>
    </row>
    <row r="566" ht="12.75" customHeight="1">
      <c r="I566" s="399"/>
    </row>
    <row r="567" ht="12.75" customHeight="1">
      <c r="I567" s="399"/>
    </row>
    <row r="568" ht="12.75" customHeight="1">
      <c r="I568" s="399"/>
    </row>
    <row r="569" ht="12.75" customHeight="1">
      <c r="I569" s="399"/>
    </row>
    <row r="570" ht="12.75" customHeight="1">
      <c r="I570" s="399"/>
    </row>
    <row r="571" ht="12.75" customHeight="1">
      <c r="I571" s="399"/>
    </row>
    <row r="572" ht="12.75" customHeight="1">
      <c r="I572" s="399"/>
    </row>
    <row r="573" ht="12.75" customHeight="1">
      <c r="I573" s="399"/>
    </row>
    <row r="574" ht="12.75" customHeight="1">
      <c r="I574" s="399"/>
    </row>
    <row r="575" ht="12.75" customHeight="1">
      <c r="I575" s="399"/>
    </row>
    <row r="576" ht="12.75" customHeight="1">
      <c r="I576" s="399"/>
    </row>
    <row r="577" ht="12.75" customHeight="1">
      <c r="I577" s="399"/>
    </row>
    <row r="578" ht="12.75" customHeight="1">
      <c r="I578" s="399"/>
    </row>
    <row r="579" ht="12.75" customHeight="1">
      <c r="I579" s="399"/>
    </row>
    <row r="580" ht="12.75" customHeight="1">
      <c r="I580" s="399"/>
    </row>
    <row r="581" ht="12.75" customHeight="1">
      <c r="I581" s="399"/>
    </row>
    <row r="582" ht="12.75" customHeight="1">
      <c r="I582" s="399"/>
    </row>
    <row r="583" ht="12.75" customHeight="1">
      <c r="I583" s="399"/>
    </row>
    <row r="584" ht="12.75" customHeight="1">
      <c r="I584" s="399"/>
    </row>
    <row r="585" ht="12.75" customHeight="1">
      <c r="I585" s="399"/>
    </row>
    <row r="586" ht="12.75" customHeight="1">
      <c r="I586" s="399"/>
    </row>
    <row r="587" ht="12.75" customHeight="1">
      <c r="I587" s="399"/>
    </row>
    <row r="588" ht="12.75" customHeight="1">
      <c r="I588" s="399"/>
    </row>
    <row r="589" ht="12.75" customHeight="1">
      <c r="I589" s="399"/>
    </row>
    <row r="590" ht="12.75" customHeight="1">
      <c r="I590" s="399"/>
    </row>
    <row r="591" ht="12.75" customHeight="1">
      <c r="I591" s="399"/>
    </row>
    <row r="592" ht="12.75" customHeight="1">
      <c r="I592" s="399"/>
    </row>
    <row r="593" ht="12.75" customHeight="1">
      <c r="I593" s="399"/>
    </row>
    <row r="594" ht="12.75" customHeight="1">
      <c r="I594" s="399"/>
    </row>
    <row r="595" ht="12.75" customHeight="1">
      <c r="I595" s="399"/>
    </row>
    <row r="596" ht="12.75" customHeight="1">
      <c r="I596" s="399"/>
    </row>
    <row r="597" ht="12.75" customHeight="1">
      <c r="I597" s="399"/>
    </row>
    <row r="598" ht="12.75" customHeight="1">
      <c r="I598" s="399"/>
    </row>
    <row r="599" ht="12.75" customHeight="1">
      <c r="I599" s="399"/>
    </row>
    <row r="600" ht="12.75" customHeight="1">
      <c r="I600" s="399"/>
    </row>
    <row r="601" ht="12.75" customHeight="1">
      <c r="I601" s="399"/>
    </row>
    <row r="602" ht="12.75" customHeight="1">
      <c r="I602" s="399"/>
    </row>
    <row r="603" ht="12.75" customHeight="1">
      <c r="I603" s="399"/>
    </row>
    <row r="604" ht="12.75" customHeight="1">
      <c r="I604" s="399"/>
    </row>
    <row r="605" ht="12.75" customHeight="1">
      <c r="I605" s="399"/>
    </row>
    <row r="606" ht="12.75" customHeight="1">
      <c r="I606" s="399"/>
    </row>
    <row r="607" ht="12.75" customHeight="1">
      <c r="I607" s="399"/>
    </row>
    <row r="608" ht="12.75" customHeight="1">
      <c r="I608" s="399"/>
    </row>
    <row r="609" ht="12.75" customHeight="1">
      <c r="I609" s="399"/>
    </row>
    <row r="610" ht="12.75" customHeight="1">
      <c r="I610" s="399"/>
    </row>
    <row r="611" ht="12.75" customHeight="1">
      <c r="I611" s="399"/>
    </row>
    <row r="612" ht="12.75" customHeight="1">
      <c r="I612" s="399"/>
    </row>
    <row r="613" ht="12.75" customHeight="1">
      <c r="I613" s="399"/>
    </row>
    <row r="614" ht="12.75" customHeight="1">
      <c r="I614" s="399"/>
    </row>
    <row r="615" ht="12.75" customHeight="1">
      <c r="I615" s="399"/>
    </row>
    <row r="616" ht="12.75" customHeight="1">
      <c r="I616" s="399"/>
    </row>
    <row r="617" ht="12.75" customHeight="1">
      <c r="I617" s="399"/>
    </row>
    <row r="618" ht="12.75" customHeight="1">
      <c r="I618" s="399"/>
    </row>
    <row r="619" ht="12.75" customHeight="1">
      <c r="I619" s="399"/>
    </row>
    <row r="620" ht="12.75" customHeight="1">
      <c r="I620" s="399"/>
    </row>
    <row r="621" ht="12.75" customHeight="1">
      <c r="I621" s="399"/>
    </row>
    <row r="622" ht="12.75" customHeight="1">
      <c r="I622" s="399"/>
    </row>
    <row r="623" ht="12.75" customHeight="1">
      <c r="I623" s="399"/>
    </row>
    <row r="624" ht="12.75" customHeight="1">
      <c r="I624" s="399"/>
    </row>
    <row r="625" ht="12.75" customHeight="1">
      <c r="I625" s="399"/>
    </row>
    <row r="626" ht="12.75" customHeight="1">
      <c r="I626" s="399"/>
    </row>
    <row r="627" ht="12.75" customHeight="1">
      <c r="I627" s="399"/>
    </row>
    <row r="628" ht="12.75" customHeight="1">
      <c r="I628" s="399"/>
    </row>
    <row r="629" ht="12.75" customHeight="1">
      <c r="I629" s="399"/>
    </row>
    <row r="630" ht="12.75" customHeight="1">
      <c r="I630" s="399"/>
    </row>
    <row r="631" ht="12.75" customHeight="1">
      <c r="I631" s="399"/>
    </row>
    <row r="632" ht="12.75" customHeight="1">
      <c r="I632" s="399"/>
    </row>
    <row r="633" ht="12.75" customHeight="1">
      <c r="I633" s="399"/>
    </row>
    <row r="634" ht="12.75" customHeight="1">
      <c r="I634" s="399"/>
    </row>
    <row r="635" ht="12.75" customHeight="1">
      <c r="I635" s="399"/>
    </row>
    <row r="636" ht="12.75" customHeight="1">
      <c r="I636" s="399"/>
    </row>
    <row r="637" ht="12.75" customHeight="1">
      <c r="I637" s="399"/>
    </row>
    <row r="638" ht="12.75" customHeight="1">
      <c r="I638" s="399"/>
    </row>
    <row r="639" ht="12.75" customHeight="1">
      <c r="I639" s="399"/>
    </row>
    <row r="640" ht="12.75" customHeight="1">
      <c r="I640" s="399"/>
    </row>
    <row r="641" ht="12.75" customHeight="1">
      <c r="I641" s="399"/>
    </row>
    <row r="642" ht="12.75" customHeight="1">
      <c r="I642" s="399"/>
    </row>
    <row r="643" ht="12.75" customHeight="1">
      <c r="I643" s="399"/>
    </row>
    <row r="644" ht="12.75" customHeight="1">
      <c r="I644" s="399"/>
    </row>
    <row r="645" ht="12.75" customHeight="1">
      <c r="I645" s="399"/>
    </row>
    <row r="646" ht="12.75" customHeight="1">
      <c r="I646" s="399"/>
    </row>
    <row r="647" ht="12.75" customHeight="1">
      <c r="I647" s="399"/>
    </row>
    <row r="648" ht="12.75" customHeight="1">
      <c r="I648" s="399"/>
    </row>
    <row r="649" ht="12.75" customHeight="1">
      <c r="I649" s="399"/>
    </row>
    <row r="650" ht="12.75" customHeight="1">
      <c r="I650" s="399"/>
    </row>
    <row r="651" ht="12.75" customHeight="1">
      <c r="I651" s="399"/>
    </row>
    <row r="652" ht="12.75" customHeight="1">
      <c r="I652" s="399"/>
    </row>
    <row r="653" ht="12.75" customHeight="1">
      <c r="I653" s="399"/>
    </row>
    <row r="654" ht="12.75" customHeight="1">
      <c r="I654" s="399"/>
    </row>
    <row r="655" ht="12.75" customHeight="1">
      <c r="I655" s="399"/>
    </row>
    <row r="656" ht="12.75" customHeight="1">
      <c r="I656" s="399"/>
    </row>
    <row r="657" ht="12.75" customHeight="1">
      <c r="I657" s="399"/>
    </row>
    <row r="658" ht="12.75" customHeight="1">
      <c r="I658" s="399"/>
    </row>
    <row r="659" ht="12.75" customHeight="1">
      <c r="I659" s="399"/>
    </row>
    <row r="660" ht="12.75" customHeight="1">
      <c r="I660" s="399"/>
    </row>
    <row r="661" ht="12.75" customHeight="1">
      <c r="I661" s="399"/>
    </row>
    <row r="662" ht="12.75" customHeight="1">
      <c r="I662" s="399"/>
    </row>
    <row r="663" ht="12.75" customHeight="1">
      <c r="I663" s="399"/>
    </row>
    <row r="664" ht="12.75" customHeight="1">
      <c r="I664" s="399"/>
    </row>
    <row r="665" ht="12.75" customHeight="1">
      <c r="I665" s="399"/>
    </row>
    <row r="666" ht="12.75" customHeight="1">
      <c r="I666" s="399"/>
    </row>
    <row r="667" ht="12.75" customHeight="1">
      <c r="I667" s="399"/>
    </row>
    <row r="668" ht="12.75" customHeight="1">
      <c r="I668" s="399"/>
    </row>
    <row r="669" ht="12.75" customHeight="1">
      <c r="I669" s="399"/>
    </row>
    <row r="670" ht="12.75" customHeight="1">
      <c r="I670" s="399"/>
    </row>
    <row r="671" ht="12.75" customHeight="1">
      <c r="I671" s="399"/>
    </row>
    <row r="672" ht="12.75" customHeight="1">
      <c r="I672" s="399"/>
    </row>
    <row r="673" ht="12.75" customHeight="1">
      <c r="I673" s="399"/>
    </row>
    <row r="674" ht="12.75" customHeight="1">
      <c r="I674" s="399"/>
    </row>
    <row r="675" ht="12.75" customHeight="1">
      <c r="I675" s="399"/>
    </row>
    <row r="676" ht="12.75" customHeight="1">
      <c r="I676" s="399"/>
    </row>
    <row r="677" ht="12.75" customHeight="1">
      <c r="I677" s="399"/>
    </row>
    <row r="678" ht="12.75" customHeight="1">
      <c r="I678" s="399"/>
    </row>
    <row r="679" ht="12.75" customHeight="1">
      <c r="I679" s="399"/>
    </row>
    <row r="680" ht="12.75" customHeight="1">
      <c r="I680" s="399"/>
    </row>
    <row r="681" ht="12.75" customHeight="1">
      <c r="I681" s="399"/>
    </row>
    <row r="682" ht="12.75" customHeight="1">
      <c r="I682" s="399"/>
    </row>
    <row r="683" ht="12.75" customHeight="1">
      <c r="I683" s="399"/>
    </row>
    <row r="684" ht="12.75" customHeight="1">
      <c r="I684" s="399"/>
    </row>
    <row r="685" ht="12.75" customHeight="1">
      <c r="I685" s="399"/>
    </row>
    <row r="686" ht="12.75" customHeight="1">
      <c r="I686" s="399"/>
    </row>
    <row r="687" ht="12.75" customHeight="1">
      <c r="I687" s="399"/>
    </row>
    <row r="688" ht="12.75" customHeight="1">
      <c r="I688" s="399"/>
    </row>
    <row r="689" ht="12.75" customHeight="1">
      <c r="I689" s="399"/>
    </row>
    <row r="690" ht="12.75" customHeight="1">
      <c r="I690" s="399"/>
    </row>
    <row r="691" ht="12.75" customHeight="1">
      <c r="I691" s="399"/>
    </row>
    <row r="692" ht="12.75" customHeight="1">
      <c r="I692" s="399"/>
    </row>
    <row r="693" ht="12.75" customHeight="1">
      <c r="I693" s="399"/>
    </row>
    <row r="694" ht="12.75" customHeight="1">
      <c r="I694" s="399"/>
    </row>
    <row r="695" ht="12.75" customHeight="1">
      <c r="I695" s="399"/>
    </row>
    <row r="696" ht="12.75" customHeight="1">
      <c r="I696" s="399"/>
    </row>
    <row r="697" ht="12.75" customHeight="1">
      <c r="I697" s="399"/>
    </row>
    <row r="698" ht="12.75" customHeight="1">
      <c r="I698" s="399"/>
    </row>
    <row r="699" ht="12.75" customHeight="1">
      <c r="I699" s="399"/>
    </row>
    <row r="700" ht="12.75" customHeight="1">
      <c r="I700" s="399"/>
    </row>
    <row r="701" ht="12.75" customHeight="1">
      <c r="I701" s="399"/>
    </row>
    <row r="702" ht="12.75" customHeight="1">
      <c r="I702" s="399"/>
    </row>
    <row r="703" ht="12.75" customHeight="1">
      <c r="I703" s="399"/>
    </row>
    <row r="704" ht="12.75" customHeight="1">
      <c r="I704" s="399"/>
    </row>
    <row r="705" ht="12.75" customHeight="1">
      <c r="I705" s="399"/>
    </row>
    <row r="706" ht="12.75" customHeight="1">
      <c r="I706" s="399"/>
    </row>
    <row r="707" ht="12.75" customHeight="1">
      <c r="I707" s="399"/>
    </row>
    <row r="708" ht="12.75" customHeight="1">
      <c r="I708" s="399"/>
    </row>
    <row r="709" ht="12.75" customHeight="1">
      <c r="I709" s="399"/>
    </row>
    <row r="710" ht="12.75" customHeight="1">
      <c r="I710" s="399"/>
    </row>
    <row r="711" ht="12.75" customHeight="1">
      <c r="I711" s="399"/>
    </row>
    <row r="712" ht="12.75" customHeight="1">
      <c r="I712" s="399"/>
    </row>
    <row r="713" ht="12.75" customHeight="1">
      <c r="I713" s="399"/>
    </row>
    <row r="714" ht="12.75" customHeight="1">
      <c r="I714" s="399"/>
    </row>
    <row r="715" ht="12.75" customHeight="1">
      <c r="I715" s="399"/>
    </row>
    <row r="716" ht="12.75" customHeight="1">
      <c r="I716" s="399"/>
    </row>
    <row r="717" ht="12.75" customHeight="1">
      <c r="I717" s="399"/>
    </row>
    <row r="718" ht="12.75" customHeight="1">
      <c r="I718" s="399"/>
    </row>
    <row r="719" ht="12.75" customHeight="1">
      <c r="I719" s="399"/>
    </row>
    <row r="720" ht="12.75" customHeight="1">
      <c r="I720" s="399"/>
    </row>
    <row r="721" ht="12.75" customHeight="1">
      <c r="I721" s="399"/>
    </row>
    <row r="722" ht="12.75" customHeight="1">
      <c r="I722" s="399"/>
    </row>
    <row r="723" ht="12.75" customHeight="1">
      <c r="I723" s="399"/>
    </row>
    <row r="724" ht="12.75" customHeight="1">
      <c r="I724" s="399"/>
    </row>
    <row r="725" ht="12.75" customHeight="1">
      <c r="I725" s="399"/>
    </row>
    <row r="726" ht="12.75" customHeight="1">
      <c r="I726" s="399"/>
    </row>
    <row r="727" ht="12.75" customHeight="1">
      <c r="I727" s="399"/>
    </row>
    <row r="728" ht="12.75" customHeight="1">
      <c r="I728" s="399"/>
    </row>
    <row r="729" ht="12.75" customHeight="1">
      <c r="I729" s="399"/>
    </row>
    <row r="730" ht="12.75" customHeight="1">
      <c r="I730" s="399"/>
    </row>
    <row r="731" ht="12.75" customHeight="1">
      <c r="I731" s="399"/>
    </row>
    <row r="732" ht="12.75" customHeight="1">
      <c r="I732" s="399"/>
    </row>
    <row r="733" ht="12.75" customHeight="1">
      <c r="I733" s="399"/>
    </row>
    <row r="734" ht="12.75" customHeight="1">
      <c r="I734" s="399"/>
    </row>
    <row r="735" ht="12.75" customHeight="1">
      <c r="I735" s="399"/>
    </row>
    <row r="736" ht="12.75" customHeight="1">
      <c r="I736" s="399"/>
    </row>
    <row r="737" ht="12.75" customHeight="1">
      <c r="I737" s="399"/>
    </row>
    <row r="738" ht="12.75" customHeight="1">
      <c r="I738" s="399"/>
    </row>
    <row r="739" ht="12.75" customHeight="1">
      <c r="I739" s="399"/>
    </row>
    <row r="740" ht="12.75" customHeight="1">
      <c r="I740" s="399"/>
    </row>
    <row r="741" ht="12.75" customHeight="1">
      <c r="I741" s="399"/>
    </row>
    <row r="742" ht="12.75" customHeight="1">
      <c r="I742" s="399"/>
    </row>
    <row r="743" ht="12.75" customHeight="1">
      <c r="I743" s="399"/>
    </row>
    <row r="744" ht="12.75" customHeight="1">
      <c r="I744" s="399"/>
    </row>
    <row r="745" ht="12.75" customHeight="1">
      <c r="I745" s="399"/>
    </row>
    <row r="746" ht="12.75" customHeight="1">
      <c r="I746" s="399"/>
    </row>
    <row r="747" ht="12.75" customHeight="1">
      <c r="I747" s="399"/>
    </row>
    <row r="748" ht="12.75" customHeight="1">
      <c r="I748" s="399"/>
    </row>
    <row r="749" ht="12.75" customHeight="1">
      <c r="I749" s="399"/>
    </row>
    <row r="750" ht="12.75" customHeight="1">
      <c r="I750" s="399"/>
    </row>
    <row r="751" ht="12.75" customHeight="1">
      <c r="I751" s="399"/>
    </row>
    <row r="752" ht="12.75" customHeight="1">
      <c r="I752" s="399"/>
    </row>
    <row r="753" ht="12.75" customHeight="1">
      <c r="I753" s="399"/>
    </row>
    <row r="754" ht="12.75" customHeight="1">
      <c r="I754" s="399"/>
    </row>
    <row r="755" ht="12.75" customHeight="1">
      <c r="I755" s="399"/>
    </row>
    <row r="756" ht="12.75" customHeight="1">
      <c r="I756" s="399"/>
    </row>
    <row r="757" ht="12.75" customHeight="1">
      <c r="I757" s="399"/>
    </row>
    <row r="758" ht="12.75" customHeight="1">
      <c r="I758" s="399"/>
    </row>
    <row r="759" ht="12.75" customHeight="1">
      <c r="I759" s="399"/>
    </row>
    <row r="760" ht="12.75" customHeight="1">
      <c r="I760" s="399"/>
    </row>
    <row r="761" ht="12.75" customHeight="1">
      <c r="I761" s="399"/>
    </row>
    <row r="762" ht="12.75" customHeight="1">
      <c r="I762" s="399"/>
    </row>
    <row r="763" ht="12.75" customHeight="1">
      <c r="I763" s="399"/>
    </row>
    <row r="764" ht="12.75" customHeight="1">
      <c r="I764" s="399"/>
    </row>
    <row r="765" ht="12.75" customHeight="1">
      <c r="I765" s="399"/>
    </row>
    <row r="766" ht="12.75" customHeight="1">
      <c r="I766" s="399"/>
    </row>
    <row r="767" ht="12.75" customHeight="1">
      <c r="I767" s="399"/>
    </row>
    <row r="768" ht="12.75" customHeight="1">
      <c r="I768" s="399"/>
    </row>
    <row r="769" ht="12.75" customHeight="1">
      <c r="I769" s="399"/>
    </row>
    <row r="770" ht="12.75" customHeight="1">
      <c r="I770" s="399"/>
    </row>
    <row r="771" ht="12.75" customHeight="1">
      <c r="I771" s="399"/>
    </row>
    <row r="772" ht="12.75" customHeight="1">
      <c r="I772" s="399"/>
    </row>
    <row r="773" ht="12.75" customHeight="1">
      <c r="I773" s="399"/>
    </row>
    <row r="774" ht="12.75" customHeight="1">
      <c r="I774" s="399"/>
    </row>
    <row r="775" ht="12.75" customHeight="1">
      <c r="I775" s="399"/>
    </row>
    <row r="776" ht="12.75" customHeight="1">
      <c r="I776" s="399"/>
    </row>
    <row r="777" ht="12.75" customHeight="1">
      <c r="I777" s="399"/>
    </row>
    <row r="778" ht="12.75" customHeight="1">
      <c r="I778" s="399"/>
    </row>
    <row r="779" ht="12.75" customHeight="1">
      <c r="I779" s="399"/>
    </row>
    <row r="780" ht="12.75" customHeight="1">
      <c r="I780" s="399"/>
    </row>
    <row r="781" ht="12.75" customHeight="1">
      <c r="I781" s="399"/>
    </row>
    <row r="782" ht="12.75" customHeight="1">
      <c r="I782" s="399"/>
    </row>
    <row r="783" ht="12.75" customHeight="1">
      <c r="I783" s="399"/>
    </row>
    <row r="784" ht="12.75" customHeight="1">
      <c r="I784" s="399"/>
    </row>
    <row r="785" ht="12.75" customHeight="1">
      <c r="I785" s="399"/>
    </row>
    <row r="786" ht="12.75" customHeight="1">
      <c r="I786" s="399"/>
    </row>
    <row r="787" ht="12.75" customHeight="1">
      <c r="I787" s="399"/>
    </row>
    <row r="788" ht="12.75" customHeight="1">
      <c r="I788" s="399"/>
    </row>
    <row r="789" ht="12.75" customHeight="1">
      <c r="I789" s="399"/>
    </row>
    <row r="790" ht="12.75" customHeight="1">
      <c r="I790" s="399"/>
    </row>
    <row r="791" ht="12.75" customHeight="1">
      <c r="I791" s="399"/>
    </row>
    <row r="792" ht="12.75" customHeight="1">
      <c r="I792" s="399"/>
    </row>
    <row r="793" ht="12.75" customHeight="1">
      <c r="I793" s="399"/>
    </row>
    <row r="794" ht="12.75" customHeight="1">
      <c r="I794" s="399"/>
    </row>
    <row r="795" ht="12.75" customHeight="1">
      <c r="I795" s="399"/>
    </row>
    <row r="796" ht="12.75" customHeight="1">
      <c r="I796" s="399"/>
    </row>
    <row r="797" ht="12.75" customHeight="1">
      <c r="I797" s="399"/>
    </row>
    <row r="798" ht="12.75" customHeight="1">
      <c r="I798" s="399"/>
    </row>
    <row r="799" ht="12.75" customHeight="1">
      <c r="I799" s="399"/>
    </row>
    <row r="800" ht="12.75" customHeight="1">
      <c r="I800" s="399"/>
    </row>
    <row r="801" ht="12.75" customHeight="1">
      <c r="I801" s="399"/>
    </row>
    <row r="802" ht="12.75" customHeight="1">
      <c r="I802" s="399"/>
    </row>
    <row r="803" ht="12.75" customHeight="1">
      <c r="I803" s="399"/>
    </row>
    <row r="804" ht="12.75" customHeight="1">
      <c r="I804" s="399"/>
    </row>
    <row r="805" ht="12.75" customHeight="1">
      <c r="I805" s="399"/>
    </row>
    <row r="806" ht="12.75" customHeight="1">
      <c r="I806" s="399"/>
    </row>
    <row r="807" ht="12.75" customHeight="1">
      <c r="I807" s="399"/>
    </row>
    <row r="808" ht="12.75" customHeight="1">
      <c r="I808" s="399"/>
    </row>
    <row r="809" ht="12.75" customHeight="1">
      <c r="I809" s="399"/>
    </row>
    <row r="810" ht="12.75" customHeight="1">
      <c r="I810" s="399"/>
    </row>
    <row r="811" ht="12.75" customHeight="1">
      <c r="I811" s="399"/>
    </row>
    <row r="812" ht="12.75" customHeight="1">
      <c r="I812" s="399"/>
    </row>
    <row r="813" ht="12.75" customHeight="1">
      <c r="I813" s="399"/>
    </row>
    <row r="814" ht="12.75" customHeight="1">
      <c r="I814" s="399"/>
    </row>
    <row r="815" ht="12.75" customHeight="1">
      <c r="I815" s="399"/>
    </row>
    <row r="816" ht="12.75" customHeight="1">
      <c r="I816" s="399"/>
    </row>
    <row r="817" ht="12.75" customHeight="1">
      <c r="I817" s="399"/>
    </row>
    <row r="818" ht="12.75" customHeight="1">
      <c r="I818" s="399"/>
    </row>
    <row r="819" ht="12.75" customHeight="1">
      <c r="I819" s="399"/>
    </row>
    <row r="820" ht="12.75" customHeight="1">
      <c r="I820" s="399"/>
    </row>
    <row r="821" ht="12.75" customHeight="1">
      <c r="I821" s="399"/>
    </row>
    <row r="822" ht="12.75" customHeight="1">
      <c r="I822" s="399"/>
    </row>
    <row r="823" ht="12.75" customHeight="1">
      <c r="I823" s="399"/>
    </row>
    <row r="824" ht="12.75" customHeight="1">
      <c r="I824" s="399"/>
    </row>
    <row r="825" ht="12.75" customHeight="1">
      <c r="I825" s="399"/>
    </row>
    <row r="826" ht="12.75" customHeight="1">
      <c r="I826" s="399"/>
    </row>
    <row r="827" ht="12.75" customHeight="1">
      <c r="I827" s="399"/>
    </row>
    <row r="828" ht="12.75" customHeight="1">
      <c r="I828" s="399"/>
    </row>
    <row r="829" ht="12.75" customHeight="1">
      <c r="I829" s="399"/>
    </row>
    <row r="830" ht="12.75" customHeight="1">
      <c r="I830" s="399"/>
    </row>
    <row r="831" ht="12.75" customHeight="1">
      <c r="I831" s="399"/>
    </row>
    <row r="832" ht="12.75" customHeight="1">
      <c r="I832" s="399"/>
    </row>
    <row r="833" ht="12.75" customHeight="1">
      <c r="I833" s="399"/>
    </row>
    <row r="834" ht="12.75" customHeight="1">
      <c r="I834" s="399"/>
    </row>
    <row r="835" ht="12.75" customHeight="1">
      <c r="I835" s="399"/>
    </row>
    <row r="836" ht="12.75" customHeight="1">
      <c r="I836" s="399"/>
    </row>
    <row r="837" ht="12.75" customHeight="1">
      <c r="I837" s="399"/>
    </row>
    <row r="838" ht="12.75" customHeight="1">
      <c r="I838" s="399"/>
    </row>
    <row r="839" ht="12.75" customHeight="1">
      <c r="I839" s="399"/>
    </row>
    <row r="840" ht="12.75" customHeight="1">
      <c r="I840" s="399"/>
    </row>
    <row r="841" ht="12.75" customHeight="1">
      <c r="I841" s="399"/>
    </row>
    <row r="842" ht="12.75" customHeight="1">
      <c r="I842" s="399"/>
    </row>
    <row r="843" ht="12.75" customHeight="1">
      <c r="I843" s="399"/>
    </row>
    <row r="844" ht="12.75" customHeight="1">
      <c r="I844" s="399"/>
    </row>
    <row r="845" ht="12.75" customHeight="1">
      <c r="I845" s="399"/>
    </row>
    <row r="846" ht="12.75" customHeight="1">
      <c r="I846" s="399"/>
    </row>
    <row r="847" ht="12.75" customHeight="1">
      <c r="I847" s="399"/>
    </row>
    <row r="848" ht="12.75" customHeight="1">
      <c r="I848" s="399"/>
    </row>
    <row r="849" ht="12.75" customHeight="1">
      <c r="I849" s="399"/>
    </row>
    <row r="850" ht="12.75" customHeight="1">
      <c r="I850" s="399"/>
    </row>
    <row r="851" ht="12.75" customHeight="1">
      <c r="I851" s="399"/>
    </row>
    <row r="852" ht="12.75" customHeight="1">
      <c r="I852" s="399"/>
    </row>
    <row r="853" ht="12.75" customHeight="1">
      <c r="I853" s="399"/>
    </row>
    <row r="854" ht="12.75" customHeight="1">
      <c r="I854" s="399"/>
    </row>
    <row r="855" ht="12.75" customHeight="1">
      <c r="I855" s="399"/>
    </row>
    <row r="856" ht="12.75" customHeight="1">
      <c r="I856" s="399"/>
    </row>
    <row r="857" ht="12.75" customHeight="1">
      <c r="I857" s="399"/>
    </row>
    <row r="858" ht="12.75" customHeight="1">
      <c r="I858" s="399"/>
    </row>
    <row r="859" ht="12.75" customHeight="1">
      <c r="I859" s="399"/>
    </row>
    <row r="860" ht="12.75" customHeight="1">
      <c r="I860" s="399"/>
    </row>
    <row r="861" ht="12.75" customHeight="1">
      <c r="I861" s="399"/>
    </row>
    <row r="862" ht="12.75" customHeight="1">
      <c r="I862" s="399"/>
    </row>
    <row r="863" ht="12.75" customHeight="1">
      <c r="I863" s="399"/>
    </row>
    <row r="864" ht="12.75" customHeight="1">
      <c r="I864" s="399"/>
    </row>
    <row r="865" ht="12.75" customHeight="1">
      <c r="I865" s="399"/>
    </row>
    <row r="866" ht="12.75" customHeight="1">
      <c r="I866" s="399"/>
    </row>
    <row r="867" ht="12.75" customHeight="1">
      <c r="I867" s="399"/>
    </row>
    <row r="868" ht="12.75" customHeight="1">
      <c r="I868" s="399"/>
    </row>
    <row r="869" ht="12.75" customHeight="1">
      <c r="I869" s="399"/>
    </row>
    <row r="870" ht="12.75" customHeight="1">
      <c r="I870" s="399"/>
    </row>
    <row r="871" ht="12.75" customHeight="1">
      <c r="I871" s="399"/>
    </row>
    <row r="872" ht="12.75" customHeight="1">
      <c r="I872" s="399"/>
    </row>
    <row r="873" ht="12.75" customHeight="1">
      <c r="I873" s="399"/>
    </row>
    <row r="874" ht="12.75" customHeight="1">
      <c r="I874" s="399"/>
    </row>
    <row r="875" ht="12.75" customHeight="1">
      <c r="I875" s="399"/>
    </row>
    <row r="876" ht="12.75" customHeight="1">
      <c r="I876" s="399"/>
    </row>
    <row r="877" ht="12.75" customHeight="1">
      <c r="I877" s="399"/>
    </row>
    <row r="878" ht="12.75" customHeight="1">
      <c r="I878" s="399"/>
    </row>
    <row r="879" ht="12.75" customHeight="1">
      <c r="I879" s="399"/>
    </row>
    <row r="880" ht="12.75" customHeight="1">
      <c r="I880" s="399"/>
    </row>
    <row r="881" ht="12.75" customHeight="1">
      <c r="I881" s="399"/>
    </row>
    <row r="882" ht="12.75" customHeight="1">
      <c r="I882" s="399"/>
    </row>
    <row r="883" ht="12.75" customHeight="1">
      <c r="I883" s="399"/>
    </row>
    <row r="884" ht="12.75" customHeight="1">
      <c r="I884" s="399"/>
    </row>
    <row r="885" ht="12.75" customHeight="1">
      <c r="I885" s="399"/>
    </row>
    <row r="886" ht="12.75" customHeight="1">
      <c r="I886" s="399"/>
    </row>
    <row r="887" ht="12.75" customHeight="1">
      <c r="I887" s="399"/>
    </row>
    <row r="888" ht="12.75" customHeight="1">
      <c r="I888" s="399"/>
    </row>
    <row r="889" ht="12.75" customHeight="1">
      <c r="I889" s="399"/>
    </row>
    <row r="890" ht="12.75" customHeight="1">
      <c r="I890" s="399"/>
    </row>
    <row r="891" ht="12.75" customHeight="1">
      <c r="I891" s="399"/>
    </row>
    <row r="892" ht="12.75" customHeight="1">
      <c r="I892" s="399"/>
    </row>
    <row r="893" ht="12.75" customHeight="1">
      <c r="I893" s="399"/>
    </row>
    <row r="894" ht="12.75" customHeight="1">
      <c r="I894" s="399"/>
    </row>
    <row r="895" ht="12.75" customHeight="1">
      <c r="I895" s="399"/>
    </row>
    <row r="896" ht="12.75" customHeight="1">
      <c r="I896" s="399"/>
    </row>
    <row r="897" ht="12.75" customHeight="1">
      <c r="I897" s="399"/>
    </row>
    <row r="898" ht="12.75" customHeight="1">
      <c r="I898" s="399"/>
    </row>
    <row r="899" ht="12.75" customHeight="1">
      <c r="I899" s="399"/>
    </row>
    <row r="900" ht="12.75" customHeight="1">
      <c r="I900" s="399"/>
    </row>
    <row r="901" ht="12.75" customHeight="1">
      <c r="I901" s="399"/>
    </row>
    <row r="902" ht="12.75" customHeight="1">
      <c r="I902" s="399"/>
    </row>
    <row r="903" ht="12.75" customHeight="1">
      <c r="I903" s="399"/>
    </row>
    <row r="904" ht="12.75" customHeight="1">
      <c r="I904" s="399"/>
    </row>
    <row r="905" ht="12.75" customHeight="1">
      <c r="I905" s="399"/>
    </row>
    <row r="906" ht="12.75" customHeight="1">
      <c r="I906" s="399"/>
    </row>
    <row r="907" ht="12.75" customHeight="1">
      <c r="I907" s="399"/>
    </row>
    <row r="908" ht="12.75" customHeight="1">
      <c r="I908" s="399"/>
    </row>
    <row r="909" ht="12.75" customHeight="1">
      <c r="I909" s="399"/>
    </row>
    <row r="910" ht="12.75" customHeight="1">
      <c r="I910" s="399"/>
    </row>
    <row r="911" ht="12.75" customHeight="1">
      <c r="I911" s="399"/>
    </row>
    <row r="912" ht="12.75" customHeight="1">
      <c r="I912" s="399"/>
    </row>
    <row r="913" ht="12.75" customHeight="1">
      <c r="I913" s="399"/>
    </row>
    <row r="914" ht="12.75" customHeight="1">
      <c r="I914" s="399"/>
    </row>
    <row r="915" ht="12.75" customHeight="1">
      <c r="I915" s="399"/>
    </row>
    <row r="916" ht="12.75" customHeight="1">
      <c r="I916" s="399"/>
    </row>
    <row r="917" ht="12.75" customHeight="1">
      <c r="I917" s="399"/>
    </row>
    <row r="918" ht="12.75" customHeight="1">
      <c r="I918" s="399"/>
    </row>
    <row r="919" ht="12.75" customHeight="1">
      <c r="I919" s="399"/>
    </row>
    <row r="920" ht="12.75" customHeight="1">
      <c r="I920" s="399"/>
    </row>
    <row r="921" ht="12.75" customHeight="1">
      <c r="I921" s="399"/>
    </row>
    <row r="922" ht="12.75" customHeight="1">
      <c r="I922" s="399"/>
    </row>
    <row r="923" ht="12.75" customHeight="1">
      <c r="I923" s="399"/>
    </row>
    <row r="924" ht="12.75" customHeight="1">
      <c r="I924" s="399"/>
    </row>
    <row r="925" ht="12.75" customHeight="1">
      <c r="I925" s="399"/>
    </row>
    <row r="926" ht="12.75" customHeight="1">
      <c r="I926" s="399"/>
    </row>
    <row r="927" ht="12.75" customHeight="1">
      <c r="I927" s="399"/>
    </row>
    <row r="928" ht="12.75" customHeight="1">
      <c r="I928" s="399"/>
    </row>
    <row r="929" ht="12.75" customHeight="1">
      <c r="I929" s="399"/>
    </row>
    <row r="930" ht="12.75" customHeight="1">
      <c r="I930" s="399"/>
    </row>
    <row r="931" ht="12.75" customHeight="1">
      <c r="I931" s="399"/>
    </row>
    <row r="932" ht="12.75" customHeight="1">
      <c r="I932" s="399"/>
    </row>
    <row r="933" ht="12.75" customHeight="1">
      <c r="I933" s="399"/>
    </row>
    <row r="934" ht="12.75" customHeight="1">
      <c r="I934" s="399"/>
    </row>
    <row r="935" ht="12.75" customHeight="1">
      <c r="I935" s="399"/>
    </row>
    <row r="936" ht="12.75" customHeight="1">
      <c r="I936" s="399"/>
    </row>
    <row r="937" ht="12.75" customHeight="1">
      <c r="I937" s="399"/>
    </row>
    <row r="938" ht="12.75" customHeight="1">
      <c r="I938" s="399"/>
    </row>
    <row r="939" ht="12.75" customHeight="1">
      <c r="I939" s="399"/>
    </row>
    <row r="940" ht="12.75" customHeight="1">
      <c r="I940" s="399"/>
    </row>
    <row r="941" ht="12.75" customHeight="1">
      <c r="I941" s="399"/>
    </row>
    <row r="942" ht="12.75" customHeight="1">
      <c r="I942" s="399"/>
    </row>
    <row r="943" ht="12.75" customHeight="1">
      <c r="I943" s="399"/>
    </row>
    <row r="944" ht="12.75" customHeight="1">
      <c r="I944" s="399"/>
    </row>
    <row r="945" ht="12.75" customHeight="1">
      <c r="I945" s="399"/>
    </row>
    <row r="946" ht="12.75" customHeight="1">
      <c r="I946" s="399"/>
    </row>
    <row r="947" ht="12.75" customHeight="1">
      <c r="I947" s="399"/>
    </row>
    <row r="948" ht="12.75" customHeight="1">
      <c r="I948" s="399"/>
    </row>
    <row r="949" ht="12.75" customHeight="1">
      <c r="I949" s="399"/>
    </row>
    <row r="950" ht="12.75" customHeight="1">
      <c r="I950" s="399"/>
    </row>
    <row r="951" ht="12.75" customHeight="1">
      <c r="I951" s="399"/>
    </row>
    <row r="952" ht="12.75" customHeight="1">
      <c r="I952" s="399"/>
    </row>
    <row r="953" ht="12.75" customHeight="1">
      <c r="I953" s="399"/>
    </row>
    <row r="954" ht="12.75" customHeight="1">
      <c r="I954" s="399"/>
    </row>
    <row r="955" ht="12.75" customHeight="1">
      <c r="I955" s="399"/>
    </row>
    <row r="956" ht="12.75" customHeight="1">
      <c r="I956" s="399"/>
    </row>
    <row r="957" ht="12.75" customHeight="1">
      <c r="I957" s="399"/>
    </row>
    <row r="958" ht="12.75" customHeight="1">
      <c r="I958" s="399"/>
    </row>
    <row r="959" ht="12.75" customHeight="1">
      <c r="I959" s="399"/>
    </row>
    <row r="960" ht="12.75" customHeight="1">
      <c r="I960" s="399"/>
    </row>
    <row r="961" ht="12.75" customHeight="1">
      <c r="I961" s="399"/>
    </row>
    <row r="962" ht="12.75" customHeight="1">
      <c r="I962" s="399"/>
    </row>
    <row r="963" ht="12.75" customHeight="1">
      <c r="I963" s="399"/>
    </row>
    <row r="964" ht="12.75" customHeight="1">
      <c r="I964" s="399"/>
    </row>
    <row r="965" ht="12.75" customHeight="1">
      <c r="I965" s="399"/>
    </row>
    <row r="966" ht="12.75" customHeight="1">
      <c r="I966" s="399"/>
    </row>
    <row r="967" ht="12.75" customHeight="1">
      <c r="I967" s="399"/>
    </row>
    <row r="968" ht="12.75" customHeight="1">
      <c r="I968" s="399"/>
    </row>
    <row r="969" ht="12.75" customHeight="1">
      <c r="I969" s="399"/>
    </row>
    <row r="970" ht="12.75" customHeight="1">
      <c r="I970" s="399"/>
    </row>
    <row r="971" ht="12.75" customHeight="1">
      <c r="I971" s="399"/>
    </row>
    <row r="972" ht="12.75" customHeight="1">
      <c r="I972" s="399"/>
    </row>
    <row r="973" ht="12.75" customHeight="1">
      <c r="I973" s="399"/>
    </row>
    <row r="974" ht="12.75" customHeight="1">
      <c r="I974" s="399"/>
    </row>
    <row r="975" ht="12.75" customHeight="1">
      <c r="I975" s="399"/>
    </row>
    <row r="976" ht="12.75" customHeight="1">
      <c r="I976" s="399"/>
    </row>
    <row r="977" ht="12.75" customHeight="1">
      <c r="I977" s="399"/>
    </row>
    <row r="978" ht="12.75" customHeight="1">
      <c r="I978" s="399"/>
    </row>
    <row r="979" ht="12.75" customHeight="1">
      <c r="I979" s="399"/>
    </row>
    <row r="980" ht="12.75" customHeight="1">
      <c r="I980" s="399"/>
    </row>
    <row r="981" ht="12.75" customHeight="1">
      <c r="I981" s="399"/>
    </row>
    <row r="982" ht="12.75" customHeight="1">
      <c r="I982" s="399"/>
    </row>
    <row r="983" ht="12.75" customHeight="1">
      <c r="I983" s="399"/>
    </row>
    <row r="984" ht="12.75" customHeight="1">
      <c r="I984" s="399"/>
    </row>
    <row r="985" ht="12.75" customHeight="1">
      <c r="I985" s="399"/>
    </row>
    <row r="986" ht="12.75" customHeight="1">
      <c r="I986" s="399"/>
    </row>
    <row r="987" ht="12.75" customHeight="1">
      <c r="I987" s="399"/>
    </row>
    <row r="988" ht="12.75" customHeight="1">
      <c r="I988" s="399"/>
    </row>
    <row r="989" ht="12.75" customHeight="1">
      <c r="I989" s="399"/>
    </row>
    <row r="990" ht="12.75" customHeight="1">
      <c r="I990" s="399"/>
    </row>
    <row r="991" ht="12.75" customHeight="1">
      <c r="I991" s="399"/>
    </row>
    <row r="992" ht="12.75" customHeight="1">
      <c r="I992" s="399"/>
    </row>
    <row r="993" ht="12.75" customHeight="1">
      <c r="I993" s="399"/>
    </row>
    <row r="994" ht="12.75" customHeight="1">
      <c r="I994" s="399"/>
    </row>
    <row r="995" ht="12.75" customHeight="1">
      <c r="I995" s="399"/>
    </row>
    <row r="996" ht="12.75" customHeight="1">
      <c r="I996" s="399"/>
    </row>
    <row r="997" ht="12.75" customHeight="1">
      <c r="I997" s="399"/>
    </row>
    <row r="998" ht="12.75" customHeight="1">
      <c r="I998" s="399"/>
    </row>
    <row r="999" ht="12.75" customHeight="1">
      <c r="I999" s="399"/>
    </row>
    <row r="1000" ht="12.75" customHeight="1">
      <c r="I1000" s="399"/>
    </row>
    <row r="1001" ht="12.75" customHeight="1">
      <c r="I1001" s="399"/>
    </row>
    <row r="1002" ht="12.75" customHeight="1">
      <c r="I1002" s="399"/>
    </row>
    <row r="1003" ht="12.75" customHeight="1">
      <c r="I1003" s="399"/>
    </row>
    <row r="1004" ht="12.75" customHeight="1">
      <c r="I1004" s="399"/>
    </row>
    <row r="1005" ht="12.75" customHeight="1">
      <c r="I1005" s="399"/>
    </row>
    <row r="1006" ht="12.75" customHeight="1">
      <c r="I1006" s="399"/>
    </row>
    <row r="1007" ht="12.75" customHeight="1">
      <c r="I1007" s="399"/>
    </row>
    <row r="1008" ht="12.75" customHeight="1">
      <c r="I1008" s="399"/>
    </row>
    <row r="1009" ht="12.75" customHeight="1">
      <c r="I1009" s="399"/>
    </row>
    <row r="1010" ht="12.75" customHeight="1">
      <c r="I1010" s="399"/>
    </row>
    <row r="1011" ht="12.75" customHeight="1">
      <c r="I1011" s="399"/>
    </row>
    <row r="1012" ht="12.75" customHeight="1">
      <c r="I1012" s="399"/>
    </row>
    <row r="1013" ht="12.75" customHeight="1">
      <c r="I1013" s="399"/>
    </row>
    <row r="1014" ht="12.75" customHeight="1">
      <c r="I1014" s="399"/>
    </row>
    <row r="1015" ht="12.75" customHeight="1">
      <c r="I1015" s="399"/>
    </row>
    <row r="1016" ht="12.75" customHeight="1">
      <c r="I1016" s="399"/>
    </row>
    <row r="1017" ht="12.75" customHeight="1">
      <c r="I1017" s="399"/>
    </row>
    <row r="1018" ht="12.75" customHeight="1">
      <c r="I1018" s="399"/>
    </row>
    <row r="1019" ht="12.75" customHeight="1">
      <c r="I1019" s="399"/>
    </row>
    <row r="1020" ht="12.75" customHeight="1">
      <c r="I1020" s="399"/>
    </row>
    <row r="1021" ht="12.75" customHeight="1">
      <c r="I1021" s="399"/>
    </row>
    <row r="1022" ht="12.75" customHeight="1">
      <c r="I1022" s="399"/>
    </row>
    <row r="1023" ht="12.75" customHeight="1">
      <c r="I1023" s="399"/>
    </row>
    <row r="1024" ht="12.75" customHeight="1">
      <c r="I1024" s="399"/>
    </row>
    <row r="1025" ht="12.75" customHeight="1">
      <c r="I1025" s="399"/>
    </row>
    <row r="1026" ht="12.75" customHeight="1">
      <c r="I1026" s="399"/>
    </row>
    <row r="1027" ht="12.75" customHeight="1">
      <c r="I1027" s="399"/>
    </row>
    <row r="1028" ht="12.75" customHeight="1">
      <c r="I1028" s="399"/>
    </row>
    <row r="1029" ht="12.75" customHeight="1">
      <c r="I1029" s="399"/>
    </row>
    <row r="1030" ht="12.75" customHeight="1">
      <c r="I1030" s="399"/>
    </row>
    <row r="1031" ht="12.75" customHeight="1">
      <c r="I1031" s="399"/>
    </row>
    <row r="1032" ht="12.75" customHeight="1">
      <c r="I1032" s="399"/>
    </row>
    <row r="1033" ht="12.75" customHeight="1">
      <c r="I1033" s="399"/>
    </row>
    <row r="1034" ht="12.75" customHeight="1">
      <c r="I1034" s="399"/>
    </row>
    <row r="1035" ht="12.75" customHeight="1">
      <c r="I1035" s="399"/>
    </row>
    <row r="1036" ht="12.75" customHeight="1">
      <c r="I1036" s="399"/>
    </row>
    <row r="1037" ht="12.75" customHeight="1">
      <c r="I1037" s="399"/>
    </row>
    <row r="1038" ht="12.75" customHeight="1">
      <c r="I1038" s="399"/>
    </row>
    <row r="1039" ht="12.75" customHeight="1">
      <c r="I1039" s="399"/>
    </row>
    <row r="1040" ht="12.75" customHeight="1">
      <c r="I1040" s="399"/>
    </row>
    <row r="1041" ht="12.75" customHeight="1">
      <c r="I1041" s="399"/>
    </row>
    <row r="1042" ht="12.75" customHeight="1">
      <c r="I1042" s="399"/>
    </row>
    <row r="1043" ht="12.75" customHeight="1">
      <c r="I1043" s="399"/>
    </row>
    <row r="1044" ht="12.75" customHeight="1">
      <c r="I1044" s="399"/>
    </row>
    <row r="1045" ht="12.75" customHeight="1">
      <c r="I1045" s="399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min="21" max="23" width="11.25"/>
    <col customWidth="1" min="24" max="24" width="10.75"/>
    <col customWidth="1" min="25" max="25" width="9.75"/>
    <col customWidth="1" min="26" max="26" width="7.63"/>
  </cols>
  <sheetData>
    <row r="1">
      <c r="A1" s="414" t="s">
        <v>1850</v>
      </c>
    </row>
    <row r="3">
      <c r="B3" s="415" t="s">
        <v>1851</v>
      </c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</row>
    <row r="4">
      <c r="C4" s="416" t="s">
        <v>1852</v>
      </c>
      <c r="D4" s="417"/>
      <c r="E4" s="417"/>
      <c r="F4" s="417"/>
      <c r="G4" s="417"/>
      <c r="I4" s="418" t="s">
        <v>1853</v>
      </c>
      <c r="J4" s="419"/>
      <c r="K4" s="419"/>
      <c r="L4" s="419"/>
      <c r="M4" s="419"/>
      <c r="O4" s="420" t="s">
        <v>1854</v>
      </c>
      <c r="P4" s="421"/>
      <c r="Q4" s="421"/>
      <c r="R4" s="421"/>
      <c r="S4" s="421"/>
      <c r="U4" s="422" t="s">
        <v>1855</v>
      </c>
      <c r="V4" s="423"/>
      <c r="W4" s="423"/>
      <c r="X4" s="421"/>
      <c r="Y4" s="421"/>
    </row>
    <row r="5">
      <c r="B5" s="161" t="s">
        <v>1856</v>
      </c>
      <c r="C5" s="424" t="s">
        <v>1857</v>
      </c>
      <c r="D5" s="424" t="s">
        <v>1858</v>
      </c>
      <c r="E5" s="424" t="s">
        <v>1859</v>
      </c>
      <c r="F5" s="424" t="s">
        <v>1860</v>
      </c>
      <c r="G5" s="424" t="s">
        <v>111</v>
      </c>
      <c r="I5" s="425" t="s">
        <v>1857</v>
      </c>
      <c r="J5" s="425" t="s">
        <v>1858</v>
      </c>
      <c r="K5" s="425" t="s">
        <v>1859</v>
      </c>
      <c r="L5" s="425" t="s">
        <v>1860</v>
      </c>
      <c r="M5" s="425" t="s">
        <v>111</v>
      </c>
      <c r="O5" s="426" t="s">
        <v>1857</v>
      </c>
      <c r="P5" s="426" t="s">
        <v>1858</v>
      </c>
      <c r="Q5" s="426" t="s">
        <v>1859</v>
      </c>
      <c r="R5" s="426" t="s">
        <v>1860</v>
      </c>
      <c r="S5" s="426" t="s">
        <v>111</v>
      </c>
      <c r="U5" s="427" t="s">
        <v>1861</v>
      </c>
      <c r="V5" s="427" t="s">
        <v>1862</v>
      </c>
      <c r="W5" s="427" t="s">
        <v>1863</v>
      </c>
      <c r="X5" s="426" t="s">
        <v>1864</v>
      </c>
      <c r="Y5" s="426" t="s">
        <v>1865</v>
      </c>
    </row>
    <row r="6">
      <c r="B6" s="428" t="s">
        <v>163</v>
      </c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</row>
    <row r="7">
      <c r="B7" s="429" t="s">
        <v>56</v>
      </c>
      <c r="C7" s="430">
        <v>0.0</v>
      </c>
      <c r="D7" s="430">
        <v>19.17</v>
      </c>
      <c r="E7" s="430">
        <v>210.0</v>
      </c>
      <c r="F7" s="430">
        <v>123.91</v>
      </c>
      <c r="G7" s="431">
        <f t="shared" ref="G7:G12" si="2">SUM(C7:F7)</f>
        <v>353.08</v>
      </c>
      <c r="I7" s="430">
        <v>0.0</v>
      </c>
      <c r="J7" s="430">
        <v>19.17</v>
      </c>
      <c r="K7" s="430">
        <v>151.8</v>
      </c>
      <c r="L7" s="430">
        <v>171.02</v>
      </c>
      <c r="M7" s="431">
        <f t="shared" ref="M7:M12" si="3">SUM(I7:L7)</f>
        <v>341.99</v>
      </c>
      <c r="O7" s="432" t="str">
        <f t="shared" ref="O7:S7" si="1">IFERROR(I7/C7-1,"")</f>
        <v/>
      </c>
      <c r="P7" s="432">
        <f t="shared" si="1"/>
        <v>0</v>
      </c>
      <c r="Q7" s="432">
        <f t="shared" si="1"/>
        <v>-0.2771428571</v>
      </c>
      <c r="R7" s="432">
        <f t="shared" si="1"/>
        <v>0.380195303</v>
      </c>
      <c r="S7" s="432">
        <f t="shared" si="1"/>
        <v>-0.03140931234</v>
      </c>
      <c r="U7" s="433">
        <v>564.91</v>
      </c>
      <c r="V7" s="433">
        <v>-17.04</v>
      </c>
      <c r="W7" s="433">
        <v>-28.13</v>
      </c>
      <c r="X7" s="434">
        <f t="shared" ref="X7:X12" si="5">IFERROR(W7-V7,"")</f>
        <v>-11.09</v>
      </c>
      <c r="Y7" s="432">
        <f t="shared" ref="Y7:Y21" si="6">IF(X7="","",IFERROR(X7/ABS(V7),0))</f>
        <v>-0.6508215962</v>
      </c>
    </row>
    <row r="8">
      <c r="B8" s="429" t="s">
        <v>57</v>
      </c>
      <c r="C8" s="430">
        <v>0.0</v>
      </c>
      <c r="D8" s="430">
        <v>24.35</v>
      </c>
      <c r="E8" s="430">
        <v>307.22</v>
      </c>
      <c r="F8" s="430">
        <v>234.25</v>
      </c>
      <c r="G8" s="431">
        <f t="shared" si="2"/>
        <v>565.82</v>
      </c>
      <c r="I8" s="430">
        <v>0.0</v>
      </c>
      <c r="J8" s="430">
        <v>24.35</v>
      </c>
      <c r="K8" s="430">
        <v>246.46</v>
      </c>
      <c r="L8" s="430">
        <v>309.41</v>
      </c>
      <c r="M8" s="431">
        <f t="shared" si="3"/>
        <v>580.22</v>
      </c>
      <c r="O8" s="432" t="str">
        <f t="shared" ref="O8:S8" si="4">IFERROR(I8/C8-1,"")</f>
        <v/>
      </c>
      <c r="P8" s="432">
        <f t="shared" si="4"/>
        <v>0</v>
      </c>
      <c r="Q8" s="432">
        <f t="shared" si="4"/>
        <v>-0.1977735824</v>
      </c>
      <c r="R8" s="432">
        <f t="shared" si="4"/>
        <v>0.3208537887</v>
      </c>
      <c r="S8" s="432">
        <f t="shared" si="4"/>
        <v>0.02544978969</v>
      </c>
      <c r="U8" s="433">
        <v>1157.35</v>
      </c>
      <c r="V8" s="433">
        <v>13.06</v>
      </c>
      <c r="W8" s="433">
        <v>27.46</v>
      </c>
      <c r="X8" s="434">
        <f t="shared" si="5"/>
        <v>14.4</v>
      </c>
      <c r="Y8" s="432">
        <f t="shared" si="6"/>
        <v>1.102603369</v>
      </c>
    </row>
    <row r="9">
      <c r="B9" s="429" t="s">
        <v>58</v>
      </c>
      <c r="C9" s="430">
        <v>0.0</v>
      </c>
      <c r="D9" s="430">
        <v>23.22</v>
      </c>
      <c r="E9" s="430">
        <v>463.47</v>
      </c>
      <c r="F9" s="430">
        <v>387.22</v>
      </c>
      <c r="G9" s="431">
        <f t="shared" si="2"/>
        <v>873.91</v>
      </c>
      <c r="I9" s="430">
        <v>0.0</v>
      </c>
      <c r="J9" s="430">
        <v>23.22</v>
      </c>
      <c r="K9" s="430">
        <v>389.47</v>
      </c>
      <c r="L9" s="430">
        <v>472.95</v>
      </c>
      <c r="M9" s="431">
        <f t="shared" si="3"/>
        <v>885.64</v>
      </c>
      <c r="O9" s="432" t="str">
        <f t="shared" ref="O9:S9" si="7">IFERROR(I9/C9-1,"")</f>
        <v/>
      </c>
      <c r="P9" s="432">
        <f t="shared" si="7"/>
        <v>0</v>
      </c>
      <c r="Q9" s="432">
        <f t="shared" si="7"/>
        <v>-0.1596651347</v>
      </c>
      <c r="R9" s="432">
        <f t="shared" si="7"/>
        <v>0.2213986881</v>
      </c>
      <c r="S9" s="432">
        <f t="shared" si="7"/>
        <v>0.0134224348</v>
      </c>
      <c r="U9" s="433">
        <v>1751.86</v>
      </c>
      <c r="V9" s="433">
        <v>14.74</v>
      </c>
      <c r="W9" s="433">
        <v>26.47</v>
      </c>
      <c r="X9" s="434">
        <f t="shared" si="5"/>
        <v>11.73</v>
      </c>
      <c r="Y9" s="432">
        <f t="shared" si="6"/>
        <v>0.7957937585</v>
      </c>
    </row>
    <row r="10">
      <c r="B10" s="429" t="s">
        <v>59</v>
      </c>
      <c r="C10" s="430">
        <v>0.0</v>
      </c>
      <c r="D10" s="430">
        <v>29.4</v>
      </c>
      <c r="E10" s="430">
        <v>878.04</v>
      </c>
      <c r="F10" s="430">
        <v>692.51</v>
      </c>
      <c r="G10" s="431">
        <f t="shared" si="2"/>
        <v>1599.95</v>
      </c>
      <c r="I10" s="430">
        <v>0.0</v>
      </c>
      <c r="J10" s="430">
        <v>29.4</v>
      </c>
      <c r="K10" s="430">
        <v>761.14</v>
      </c>
      <c r="L10" s="430">
        <v>823.18</v>
      </c>
      <c r="M10" s="431">
        <f t="shared" si="3"/>
        <v>1613.72</v>
      </c>
      <c r="O10" s="432" t="str">
        <f t="shared" ref="O10:S10" si="8">IFERROR(I10/C10-1,"")</f>
        <v/>
      </c>
      <c r="P10" s="432">
        <f t="shared" si="8"/>
        <v>0</v>
      </c>
      <c r="Q10" s="432">
        <f t="shared" si="8"/>
        <v>-0.1331374425</v>
      </c>
      <c r="R10" s="432">
        <f t="shared" si="8"/>
        <v>0.188690416</v>
      </c>
      <c r="S10" s="432">
        <f t="shared" si="8"/>
        <v>0.008606518954</v>
      </c>
      <c r="U10" s="433">
        <v>2845.8</v>
      </c>
      <c r="V10" s="433">
        <v>-5.73</v>
      </c>
      <c r="W10" s="433">
        <v>8.04</v>
      </c>
      <c r="X10" s="434">
        <f t="shared" si="5"/>
        <v>13.77</v>
      </c>
      <c r="Y10" s="432">
        <f t="shared" si="6"/>
        <v>2.403141361</v>
      </c>
    </row>
    <row r="11">
      <c r="B11" s="429" t="s">
        <v>60</v>
      </c>
      <c r="C11" s="430">
        <v>0.0</v>
      </c>
      <c r="D11" s="430">
        <v>28.84</v>
      </c>
      <c r="E11" s="430">
        <v>1333.37</v>
      </c>
      <c r="F11" s="430">
        <v>770.81</v>
      </c>
      <c r="G11" s="431">
        <f t="shared" si="2"/>
        <v>2133.02</v>
      </c>
      <c r="I11" s="430">
        <v>0.0</v>
      </c>
      <c r="J11" s="430">
        <v>28.84</v>
      </c>
      <c r="K11" s="430">
        <v>1179.08</v>
      </c>
      <c r="L11" s="430">
        <v>990.07</v>
      </c>
      <c r="M11" s="431">
        <f t="shared" si="3"/>
        <v>2197.99</v>
      </c>
      <c r="O11" s="432" t="str">
        <f t="shared" ref="O11:S11" si="9">IFERROR(I11/C11-1,"")</f>
        <v/>
      </c>
      <c r="P11" s="432">
        <f t="shared" si="9"/>
        <v>0</v>
      </c>
      <c r="Q11" s="432">
        <f t="shared" si="9"/>
        <v>-0.1157143179</v>
      </c>
      <c r="R11" s="432">
        <f t="shared" si="9"/>
        <v>0.2844540159</v>
      </c>
      <c r="S11" s="432">
        <f t="shared" si="9"/>
        <v>0.03045916119</v>
      </c>
      <c r="U11" s="433">
        <v>3916.67</v>
      </c>
      <c r="V11" s="433">
        <v>-460.06</v>
      </c>
      <c r="W11" s="433">
        <v>-395.09</v>
      </c>
      <c r="X11" s="434">
        <f t="shared" si="5"/>
        <v>64.97</v>
      </c>
      <c r="Y11" s="432">
        <f t="shared" si="6"/>
        <v>0.1412207103</v>
      </c>
    </row>
    <row r="12">
      <c r="B12" s="435" t="s">
        <v>1866</v>
      </c>
      <c r="C12" s="436">
        <v>0.0</v>
      </c>
      <c r="D12" s="436">
        <v>22.2</v>
      </c>
      <c r="E12" s="436">
        <v>351.76</v>
      </c>
      <c r="F12" s="436">
        <v>254.86</v>
      </c>
      <c r="G12" s="437">
        <f t="shared" si="2"/>
        <v>628.82</v>
      </c>
      <c r="I12" s="436">
        <v>0.0</v>
      </c>
      <c r="J12" s="436">
        <v>22.2</v>
      </c>
      <c r="K12" s="436">
        <v>283.73</v>
      </c>
      <c r="L12" s="436">
        <v>325.36</v>
      </c>
      <c r="M12" s="437">
        <f t="shared" si="3"/>
        <v>631.29</v>
      </c>
      <c r="O12" s="438" t="str">
        <f t="shared" ref="O12:S12" si="10">IFERROR(I12/C12-1,"")</f>
        <v/>
      </c>
      <c r="P12" s="438">
        <f t="shared" si="10"/>
        <v>0</v>
      </c>
      <c r="Q12" s="438">
        <f t="shared" si="10"/>
        <v>-0.1933989083</v>
      </c>
      <c r="R12" s="438">
        <f t="shared" si="10"/>
        <v>0.2766224594</v>
      </c>
      <c r="S12" s="438">
        <f t="shared" si="10"/>
        <v>0.003927992112</v>
      </c>
      <c r="U12" s="439">
        <v>1174.58</v>
      </c>
      <c r="V12" s="439">
        <v>-9.37</v>
      </c>
      <c r="W12" s="439">
        <v>-6.57</v>
      </c>
      <c r="X12" s="440">
        <f t="shared" si="5"/>
        <v>2.8</v>
      </c>
      <c r="Y12" s="438">
        <f t="shared" si="6"/>
        <v>0.2988260406</v>
      </c>
    </row>
    <row r="13">
      <c r="B13" s="428" t="s">
        <v>1867</v>
      </c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 t="str">
        <f t="shared" si="6"/>
        <v/>
      </c>
    </row>
    <row r="14">
      <c r="B14" s="429" t="s">
        <v>56</v>
      </c>
      <c r="C14" s="430">
        <v>0.0</v>
      </c>
      <c r="D14" s="430">
        <v>36.47</v>
      </c>
      <c r="E14" s="430">
        <v>266.14</v>
      </c>
      <c r="F14" s="430">
        <v>207.62</v>
      </c>
      <c r="G14" s="431">
        <f t="shared" ref="G14:G19" si="12">SUM(C14:F14)</f>
        <v>510.23</v>
      </c>
      <c r="I14" s="430">
        <v>0.0</v>
      </c>
      <c r="J14" s="430">
        <v>36.47</v>
      </c>
      <c r="K14" s="430">
        <v>188.69</v>
      </c>
      <c r="L14" s="430">
        <v>265.51</v>
      </c>
      <c r="M14" s="431">
        <f t="shared" ref="M14:M19" si="13">SUM(I14:L14)</f>
        <v>490.67</v>
      </c>
      <c r="O14" s="432" t="str">
        <f t="shared" ref="O14:S14" si="11">IFERROR(I14/C14-1,"")</f>
        <v/>
      </c>
      <c r="P14" s="432">
        <f t="shared" si="11"/>
        <v>0</v>
      </c>
      <c r="Q14" s="432">
        <f t="shared" si="11"/>
        <v>-0.2910122492</v>
      </c>
      <c r="R14" s="432">
        <f t="shared" si="11"/>
        <v>0.2788267026</v>
      </c>
      <c r="S14" s="432">
        <f t="shared" si="11"/>
        <v>-0.03833565255</v>
      </c>
      <c r="U14" s="433">
        <v>1086.49</v>
      </c>
      <c r="V14" s="433">
        <v>-37.62</v>
      </c>
      <c r="W14" s="433">
        <v>-57.18</v>
      </c>
      <c r="X14" s="434">
        <f t="shared" ref="X14:X19" si="15">IFERROR(W14-V14,"")</f>
        <v>-19.56</v>
      </c>
      <c r="Y14" s="432">
        <f t="shared" si="6"/>
        <v>-0.5199362041</v>
      </c>
    </row>
    <row r="15">
      <c r="B15" s="429" t="s">
        <v>57</v>
      </c>
      <c r="C15" s="430">
        <v>0.0</v>
      </c>
      <c r="D15" s="430">
        <v>28.86</v>
      </c>
      <c r="E15" s="430">
        <v>294.27</v>
      </c>
      <c r="F15" s="430">
        <v>293.15</v>
      </c>
      <c r="G15" s="431">
        <f t="shared" si="12"/>
        <v>616.28</v>
      </c>
      <c r="I15" s="430">
        <v>0.0</v>
      </c>
      <c r="J15" s="430">
        <v>28.86</v>
      </c>
      <c r="K15" s="430">
        <v>234.38</v>
      </c>
      <c r="L15" s="430">
        <v>370.53</v>
      </c>
      <c r="M15" s="431">
        <f t="shared" si="13"/>
        <v>633.77</v>
      </c>
      <c r="O15" s="432" t="str">
        <f t="shared" ref="O15:S15" si="14">IFERROR(I15/C15-1,"")</f>
        <v/>
      </c>
      <c r="P15" s="432">
        <f t="shared" si="14"/>
        <v>0</v>
      </c>
      <c r="Q15" s="432">
        <f t="shared" si="14"/>
        <v>-0.2035205763</v>
      </c>
      <c r="R15" s="432">
        <f t="shared" si="14"/>
        <v>0.2639604298</v>
      </c>
      <c r="S15" s="432">
        <f t="shared" si="14"/>
        <v>0.02837995716</v>
      </c>
      <c r="U15" s="433">
        <v>2226.74</v>
      </c>
      <c r="V15" s="433">
        <v>-23.55</v>
      </c>
      <c r="W15" s="433">
        <v>-6.06</v>
      </c>
      <c r="X15" s="434">
        <f t="shared" si="15"/>
        <v>17.49</v>
      </c>
      <c r="Y15" s="432">
        <f t="shared" si="6"/>
        <v>0.7426751592</v>
      </c>
    </row>
    <row r="16">
      <c r="B16" s="429" t="s">
        <v>58</v>
      </c>
      <c r="C16" s="430">
        <v>0.0</v>
      </c>
      <c r="D16" s="430">
        <v>24.66</v>
      </c>
      <c r="E16" s="430">
        <v>415.64</v>
      </c>
      <c r="F16" s="430">
        <v>437.52</v>
      </c>
      <c r="G16" s="431">
        <f t="shared" si="12"/>
        <v>877.82</v>
      </c>
      <c r="I16" s="430">
        <v>0.0</v>
      </c>
      <c r="J16" s="430">
        <v>24.66</v>
      </c>
      <c r="K16" s="430">
        <v>346.38</v>
      </c>
      <c r="L16" s="430">
        <v>519.75</v>
      </c>
      <c r="M16" s="431">
        <f t="shared" si="13"/>
        <v>890.79</v>
      </c>
      <c r="O16" s="432" t="str">
        <f t="shared" ref="O16:S16" si="16">IFERROR(I16/C16-1,"")</f>
        <v/>
      </c>
      <c r="P16" s="432">
        <f t="shared" si="16"/>
        <v>0</v>
      </c>
      <c r="Q16" s="432">
        <f t="shared" si="16"/>
        <v>-0.1666345876</v>
      </c>
      <c r="R16" s="432">
        <f t="shared" si="16"/>
        <v>0.1879456939</v>
      </c>
      <c r="S16" s="432">
        <f t="shared" si="16"/>
        <v>0.01477523866</v>
      </c>
      <c r="U16" s="433">
        <v>3410.39</v>
      </c>
      <c r="V16" s="433">
        <v>-26.68</v>
      </c>
      <c r="W16" s="433">
        <v>-13.71</v>
      </c>
      <c r="X16" s="434">
        <f t="shared" si="15"/>
        <v>12.97</v>
      </c>
      <c r="Y16" s="432">
        <f t="shared" si="6"/>
        <v>0.486131934</v>
      </c>
    </row>
    <row r="17">
      <c r="B17" s="429" t="s">
        <v>59</v>
      </c>
      <c r="C17" s="430">
        <v>0.0</v>
      </c>
      <c r="D17" s="430">
        <v>25.06</v>
      </c>
      <c r="E17" s="430">
        <v>752.83</v>
      </c>
      <c r="F17" s="430">
        <v>734.67</v>
      </c>
      <c r="G17" s="431">
        <f t="shared" si="12"/>
        <v>1512.56</v>
      </c>
      <c r="I17" s="430">
        <v>0.0</v>
      </c>
      <c r="J17" s="430">
        <v>25.06</v>
      </c>
      <c r="K17" s="430">
        <v>649.92</v>
      </c>
      <c r="L17" s="430">
        <v>853.95</v>
      </c>
      <c r="M17" s="431">
        <f t="shared" si="13"/>
        <v>1528.93</v>
      </c>
      <c r="O17" s="432" t="str">
        <f t="shared" ref="O17:S17" si="17">IFERROR(I17/C17-1,"")</f>
        <v/>
      </c>
      <c r="P17" s="432">
        <f t="shared" si="17"/>
        <v>0</v>
      </c>
      <c r="Q17" s="432">
        <f t="shared" si="17"/>
        <v>-0.136697528</v>
      </c>
      <c r="R17" s="432">
        <f t="shared" si="17"/>
        <v>0.16235861</v>
      </c>
      <c r="S17" s="432">
        <f t="shared" si="17"/>
        <v>0.01082271117</v>
      </c>
      <c r="U17" s="433">
        <v>5604.5</v>
      </c>
      <c r="V17" s="433">
        <v>-76.99</v>
      </c>
      <c r="W17" s="433">
        <v>-60.62</v>
      </c>
      <c r="X17" s="434">
        <f t="shared" si="15"/>
        <v>16.37</v>
      </c>
      <c r="Y17" s="432">
        <f t="shared" si="6"/>
        <v>0.2126250162</v>
      </c>
    </row>
    <row r="18">
      <c r="B18" s="429" t="s">
        <v>60</v>
      </c>
      <c r="C18" s="430">
        <v>0.0</v>
      </c>
      <c r="D18" s="430">
        <v>24.43</v>
      </c>
      <c r="E18" s="430">
        <v>1206.09</v>
      </c>
      <c r="F18" s="430">
        <v>885.5</v>
      </c>
      <c r="G18" s="431">
        <f t="shared" si="12"/>
        <v>2116.02</v>
      </c>
      <c r="I18" s="430">
        <v>0.0</v>
      </c>
      <c r="J18" s="430">
        <v>24.43</v>
      </c>
      <c r="K18" s="430">
        <v>1056.32</v>
      </c>
      <c r="L18" s="430">
        <v>1135.3</v>
      </c>
      <c r="M18" s="431">
        <f t="shared" si="13"/>
        <v>2216.05</v>
      </c>
      <c r="O18" s="432" t="str">
        <f t="shared" ref="O18:S18" si="18">IFERROR(I18/C18-1,"")</f>
        <v/>
      </c>
      <c r="P18" s="432">
        <f t="shared" si="18"/>
        <v>0</v>
      </c>
      <c r="Q18" s="432">
        <f t="shared" si="18"/>
        <v>-0.1241781293</v>
      </c>
      <c r="R18" s="432">
        <f t="shared" si="18"/>
        <v>0.2821005082</v>
      </c>
      <c r="S18" s="432">
        <f t="shared" si="18"/>
        <v>0.04727271009</v>
      </c>
      <c r="U18" s="433">
        <v>7464.97</v>
      </c>
      <c r="V18" s="433">
        <v>-244.94</v>
      </c>
      <c r="W18" s="433">
        <v>-144.91</v>
      </c>
      <c r="X18" s="434">
        <f t="shared" si="15"/>
        <v>100.03</v>
      </c>
      <c r="Y18" s="432">
        <f t="shared" si="6"/>
        <v>0.4083857271</v>
      </c>
    </row>
    <row r="19">
      <c r="B19" s="435" t="s">
        <v>1866</v>
      </c>
      <c r="C19" s="436">
        <v>0.0</v>
      </c>
      <c r="D19" s="436">
        <v>31.84</v>
      </c>
      <c r="E19" s="436">
        <v>344.2</v>
      </c>
      <c r="F19" s="436">
        <v>311.77</v>
      </c>
      <c r="G19" s="437">
        <f t="shared" si="12"/>
        <v>687.81</v>
      </c>
      <c r="I19" s="436">
        <v>0.0</v>
      </c>
      <c r="J19" s="436">
        <v>31.84</v>
      </c>
      <c r="K19" s="436">
        <v>269.37</v>
      </c>
      <c r="L19" s="436">
        <v>384.96</v>
      </c>
      <c r="M19" s="437">
        <f t="shared" si="13"/>
        <v>686.17</v>
      </c>
      <c r="O19" s="438" t="str">
        <f t="shared" ref="O19:S19" si="19">IFERROR(I19/C19-1,"")</f>
        <v/>
      </c>
      <c r="P19" s="438">
        <f t="shared" si="19"/>
        <v>0</v>
      </c>
      <c r="Q19" s="438">
        <f t="shared" si="19"/>
        <v>-0.2174026729</v>
      </c>
      <c r="R19" s="438">
        <f t="shared" si="19"/>
        <v>0.2347563909</v>
      </c>
      <c r="S19" s="438">
        <f t="shared" si="19"/>
        <v>-0.002384379407</v>
      </c>
      <c r="U19" s="439">
        <v>2153.87</v>
      </c>
      <c r="V19" s="439">
        <v>-38.0</v>
      </c>
      <c r="W19" s="439">
        <v>-39.31</v>
      </c>
      <c r="X19" s="440">
        <f t="shared" si="15"/>
        <v>-1.31</v>
      </c>
      <c r="Y19" s="438">
        <f t="shared" si="6"/>
        <v>-0.03447368421</v>
      </c>
    </row>
    <row r="20">
      <c r="Y20" s="194" t="str">
        <f t="shared" si="6"/>
        <v/>
      </c>
    </row>
    <row r="21" ht="15.75" customHeight="1">
      <c r="Y21" s="194" t="str">
        <f t="shared" si="6"/>
        <v/>
      </c>
    </row>
    <row r="22" ht="15.75" customHeight="1">
      <c r="B22" s="415" t="s">
        <v>1868</v>
      </c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</row>
    <row r="23" ht="15.75" customHeight="1">
      <c r="C23" s="416" t="s">
        <v>1852</v>
      </c>
      <c r="D23" s="417"/>
      <c r="E23" s="417"/>
      <c r="F23" s="417"/>
      <c r="G23" s="417"/>
      <c r="I23" s="418" t="s">
        <v>1853</v>
      </c>
      <c r="J23" s="419"/>
      <c r="K23" s="419"/>
      <c r="L23" s="419"/>
      <c r="M23" s="419"/>
      <c r="O23" s="420" t="s">
        <v>1854</v>
      </c>
      <c r="P23" s="421"/>
      <c r="Q23" s="421"/>
      <c r="R23" s="421"/>
      <c r="S23" s="421"/>
      <c r="U23" s="422" t="s">
        <v>1855</v>
      </c>
      <c r="V23" s="423"/>
      <c r="W23" s="423"/>
      <c r="X23" s="421"/>
      <c r="Y23" s="421"/>
    </row>
    <row r="24" ht="15.75" customHeight="1">
      <c r="B24" s="161" t="s">
        <v>1856</v>
      </c>
      <c r="C24" s="424" t="s">
        <v>1857</v>
      </c>
      <c r="D24" s="424" t="s">
        <v>1858</v>
      </c>
      <c r="E24" s="424" t="s">
        <v>1859</v>
      </c>
      <c r="F24" s="424" t="s">
        <v>1860</v>
      </c>
      <c r="G24" s="424" t="s">
        <v>111</v>
      </c>
      <c r="I24" s="425" t="s">
        <v>1857</v>
      </c>
      <c r="J24" s="425" t="s">
        <v>1858</v>
      </c>
      <c r="K24" s="425" t="s">
        <v>1859</v>
      </c>
      <c r="L24" s="425" t="s">
        <v>1860</v>
      </c>
      <c r="M24" s="425" t="s">
        <v>111</v>
      </c>
      <c r="O24" s="426" t="s">
        <v>1857</v>
      </c>
      <c r="P24" s="426" t="s">
        <v>1858</v>
      </c>
      <c r="Q24" s="426" t="s">
        <v>1859</v>
      </c>
      <c r="R24" s="426" t="s">
        <v>1860</v>
      </c>
      <c r="S24" s="426" t="s">
        <v>111</v>
      </c>
      <c r="U24" s="427" t="s">
        <v>1861</v>
      </c>
      <c r="V24" s="427" t="s">
        <v>1862</v>
      </c>
      <c r="W24" s="427" t="s">
        <v>1863</v>
      </c>
      <c r="X24" s="426" t="s">
        <v>1864</v>
      </c>
      <c r="Y24" s="426" t="s">
        <v>1865</v>
      </c>
    </row>
    <row r="25" ht="15.75" customHeight="1">
      <c r="B25" s="428" t="s">
        <v>163</v>
      </c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8"/>
      <c r="Y25" s="428"/>
    </row>
    <row r="26" ht="15.75" customHeight="1">
      <c r="B26" s="429" t="s">
        <v>56</v>
      </c>
      <c r="C26" s="430">
        <v>0.0</v>
      </c>
      <c r="D26" s="430">
        <v>0.59</v>
      </c>
      <c r="E26" s="430">
        <v>2.87</v>
      </c>
      <c r="F26" s="430">
        <v>2.38</v>
      </c>
      <c r="G26" s="431">
        <f t="shared" ref="G26:G31" si="21">SUM(C26:F26)</f>
        <v>5.84</v>
      </c>
      <c r="I26" s="430">
        <v>0.0</v>
      </c>
      <c r="J26" s="430">
        <v>0.59</v>
      </c>
      <c r="K26" s="430">
        <v>2.07</v>
      </c>
      <c r="L26" s="430">
        <v>2.91</v>
      </c>
      <c r="M26" s="431">
        <f t="shared" ref="M26:M31" si="22">SUM(I26:L26)</f>
        <v>5.57</v>
      </c>
      <c r="O26" s="432" t="str">
        <f t="shared" ref="O26:S26" si="20">IFERROR(I26/C26-1,"")</f>
        <v/>
      </c>
      <c r="P26" s="432">
        <f t="shared" si="20"/>
        <v>0</v>
      </c>
      <c r="Q26" s="432">
        <f t="shared" si="20"/>
        <v>-0.2787456446</v>
      </c>
      <c r="R26" s="432">
        <f t="shared" si="20"/>
        <v>0.2226890756</v>
      </c>
      <c r="S26" s="432">
        <f t="shared" si="20"/>
        <v>-0.04623287671</v>
      </c>
      <c r="U26" s="433">
        <v>9.41</v>
      </c>
      <c r="V26" s="433">
        <v>-0.57</v>
      </c>
      <c r="W26" s="433">
        <v>-0.84</v>
      </c>
      <c r="X26" s="434">
        <f t="shared" ref="X26:X31" si="24">IFERROR(W26-V26,"")</f>
        <v>-0.27</v>
      </c>
      <c r="Y26" s="432">
        <f t="shared" ref="Y26:Y40" si="25">IF(X26="","",IFERROR(X26/ABS(V26),0))</f>
        <v>-0.4736842105</v>
      </c>
    </row>
    <row r="27" ht="15.75" customHeight="1">
      <c r="B27" s="429" t="s">
        <v>57</v>
      </c>
      <c r="C27" s="430">
        <v>0.0</v>
      </c>
      <c r="D27" s="430">
        <v>0.65</v>
      </c>
      <c r="E27" s="430">
        <v>3.66</v>
      </c>
      <c r="F27" s="430">
        <v>3.47</v>
      </c>
      <c r="G27" s="431">
        <f t="shared" si="21"/>
        <v>7.78</v>
      </c>
      <c r="I27" s="430">
        <v>0.0</v>
      </c>
      <c r="J27" s="430">
        <v>0.65</v>
      </c>
      <c r="K27" s="430">
        <v>2.23</v>
      </c>
      <c r="L27" s="430">
        <v>6.32</v>
      </c>
      <c r="M27" s="431">
        <f t="shared" si="22"/>
        <v>9.2</v>
      </c>
      <c r="O27" s="432" t="str">
        <f t="shared" ref="O27:S27" si="23">IFERROR(I27/C27-1,"")</f>
        <v/>
      </c>
      <c r="P27" s="432">
        <f t="shared" si="23"/>
        <v>0</v>
      </c>
      <c r="Q27" s="432">
        <f t="shared" si="23"/>
        <v>-0.3907103825</v>
      </c>
      <c r="R27" s="432">
        <f t="shared" si="23"/>
        <v>0.8213256484</v>
      </c>
      <c r="S27" s="432">
        <f t="shared" si="23"/>
        <v>0.1825192802</v>
      </c>
      <c r="U27" s="433">
        <v>15.8</v>
      </c>
      <c r="V27" s="433">
        <v>-0.51</v>
      </c>
      <c r="W27" s="433">
        <v>0.91</v>
      </c>
      <c r="X27" s="434">
        <f t="shared" si="24"/>
        <v>1.42</v>
      </c>
      <c r="Y27" s="432">
        <f t="shared" si="25"/>
        <v>2.784313725</v>
      </c>
    </row>
    <row r="28" ht="15.75" customHeight="1">
      <c r="B28" s="429" t="s">
        <v>58</v>
      </c>
      <c r="C28" s="430">
        <v>0.0</v>
      </c>
      <c r="D28" s="430">
        <v>0.58</v>
      </c>
      <c r="E28" s="430">
        <v>4.65</v>
      </c>
      <c r="F28" s="430">
        <v>4.15</v>
      </c>
      <c r="G28" s="431">
        <f t="shared" si="21"/>
        <v>9.38</v>
      </c>
      <c r="I28" s="430">
        <v>0.0</v>
      </c>
      <c r="J28" s="430">
        <v>0.58</v>
      </c>
      <c r="K28" s="430">
        <v>2.39</v>
      </c>
      <c r="L28" s="430">
        <v>8.48</v>
      </c>
      <c r="M28" s="431">
        <f t="shared" si="22"/>
        <v>11.45</v>
      </c>
      <c r="O28" s="432" t="str">
        <f t="shared" ref="O28:S28" si="26">IFERROR(I28/C28-1,"")</f>
        <v/>
      </c>
      <c r="P28" s="432">
        <f t="shared" si="26"/>
        <v>0</v>
      </c>
      <c r="Q28" s="432">
        <f t="shared" si="26"/>
        <v>-0.4860215054</v>
      </c>
      <c r="R28" s="432">
        <f t="shared" si="26"/>
        <v>1.043373494</v>
      </c>
      <c r="S28" s="432">
        <f t="shared" si="26"/>
        <v>0.2206823028</v>
      </c>
      <c r="U28" s="433">
        <v>18.98</v>
      </c>
      <c r="V28" s="433">
        <v>-0.7</v>
      </c>
      <c r="W28" s="433">
        <v>1.37</v>
      </c>
      <c r="X28" s="434">
        <f t="shared" si="24"/>
        <v>2.07</v>
      </c>
      <c r="Y28" s="432">
        <f t="shared" si="25"/>
        <v>2.957142857</v>
      </c>
    </row>
    <row r="29" ht="15.75" customHeight="1">
      <c r="B29" s="429" t="s">
        <v>59</v>
      </c>
      <c r="C29" s="430">
        <v>0.0</v>
      </c>
      <c r="D29" s="430">
        <v>0.68</v>
      </c>
      <c r="E29" s="430">
        <v>7.71</v>
      </c>
      <c r="F29" s="430">
        <v>5.13</v>
      </c>
      <c r="G29" s="431">
        <f t="shared" si="21"/>
        <v>13.52</v>
      </c>
      <c r="I29" s="430">
        <v>0.0</v>
      </c>
      <c r="J29" s="430">
        <v>0.68</v>
      </c>
      <c r="K29" s="430">
        <v>3.4</v>
      </c>
      <c r="L29" s="430">
        <v>11.59</v>
      </c>
      <c r="M29" s="431">
        <f t="shared" si="22"/>
        <v>15.67</v>
      </c>
      <c r="O29" s="432" t="str">
        <f t="shared" ref="O29:S29" si="27">IFERROR(I29/C29-1,"")</f>
        <v/>
      </c>
      <c r="P29" s="432">
        <f t="shared" si="27"/>
        <v>0</v>
      </c>
      <c r="Q29" s="432">
        <f t="shared" si="27"/>
        <v>-0.5590142672</v>
      </c>
      <c r="R29" s="432">
        <f t="shared" si="27"/>
        <v>1.259259259</v>
      </c>
      <c r="S29" s="432">
        <f t="shared" si="27"/>
        <v>0.1590236686</v>
      </c>
      <c r="U29" s="433">
        <v>25.36</v>
      </c>
      <c r="V29" s="433">
        <v>-1.64</v>
      </c>
      <c r="W29" s="433">
        <v>0.51</v>
      </c>
      <c r="X29" s="434">
        <f t="shared" si="24"/>
        <v>2.15</v>
      </c>
      <c r="Y29" s="432">
        <f t="shared" si="25"/>
        <v>1.31097561</v>
      </c>
    </row>
    <row r="30" ht="15.75" customHeight="1">
      <c r="B30" s="429" t="s">
        <v>60</v>
      </c>
      <c r="C30" s="430">
        <v>0.0</v>
      </c>
      <c r="D30" s="430">
        <v>0.63</v>
      </c>
      <c r="E30" s="430">
        <v>11.81</v>
      </c>
      <c r="F30" s="430">
        <v>4.42</v>
      </c>
      <c r="G30" s="431">
        <f t="shared" si="21"/>
        <v>16.86</v>
      </c>
      <c r="I30" s="430">
        <v>0.0</v>
      </c>
      <c r="J30" s="430">
        <v>0.63</v>
      </c>
      <c r="K30" s="430">
        <v>5.04</v>
      </c>
      <c r="L30" s="430">
        <v>11.15</v>
      </c>
      <c r="M30" s="431">
        <f t="shared" si="22"/>
        <v>16.82</v>
      </c>
      <c r="O30" s="432" t="str">
        <f t="shared" ref="O30:S30" si="28">IFERROR(I30/C30-1,"")</f>
        <v/>
      </c>
      <c r="P30" s="432">
        <f t="shared" si="28"/>
        <v>0</v>
      </c>
      <c r="Q30" s="432">
        <f t="shared" si="28"/>
        <v>-0.5732430144</v>
      </c>
      <c r="R30" s="432">
        <f t="shared" si="28"/>
        <v>1.522624434</v>
      </c>
      <c r="S30" s="432">
        <f t="shared" si="28"/>
        <v>-0.002372479241</v>
      </c>
      <c r="U30" s="433">
        <v>30.48</v>
      </c>
      <c r="V30" s="433">
        <v>-3.31</v>
      </c>
      <c r="W30" s="433">
        <v>-3.35</v>
      </c>
      <c r="X30" s="434">
        <f t="shared" si="24"/>
        <v>-0.04</v>
      </c>
      <c r="Y30" s="432">
        <f t="shared" si="25"/>
        <v>-0.01208459215</v>
      </c>
    </row>
    <row r="31" ht="15.75" customHeight="1">
      <c r="B31" s="435" t="s">
        <v>1866</v>
      </c>
      <c r="C31" s="436">
        <v>0.0</v>
      </c>
      <c r="D31" s="436">
        <v>0.61</v>
      </c>
      <c r="E31" s="436">
        <v>3.92</v>
      </c>
      <c r="F31" s="436">
        <v>3.22</v>
      </c>
      <c r="G31" s="437">
        <f t="shared" si="21"/>
        <v>7.75</v>
      </c>
      <c r="I31" s="436">
        <v>0.0</v>
      </c>
      <c r="J31" s="436">
        <v>0.61</v>
      </c>
      <c r="K31" s="436">
        <v>2.32</v>
      </c>
      <c r="L31" s="436">
        <v>5.58</v>
      </c>
      <c r="M31" s="437">
        <f t="shared" si="22"/>
        <v>8.51</v>
      </c>
      <c r="O31" s="438" t="str">
        <f t="shared" ref="O31:S31" si="29">IFERROR(I31/C31-1,"")</f>
        <v/>
      </c>
      <c r="P31" s="438">
        <f t="shared" si="29"/>
        <v>0</v>
      </c>
      <c r="Q31" s="438">
        <f t="shared" si="29"/>
        <v>-0.4081632653</v>
      </c>
      <c r="R31" s="438">
        <f t="shared" si="29"/>
        <v>0.7329192547</v>
      </c>
      <c r="S31" s="438">
        <f t="shared" si="29"/>
        <v>0.09806451613</v>
      </c>
      <c r="U31" s="439">
        <v>15.08</v>
      </c>
      <c r="V31" s="439">
        <v>-0.74</v>
      </c>
      <c r="W31" s="439">
        <v>0.16</v>
      </c>
      <c r="X31" s="440">
        <f t="shared" si="24"/>
        <v>0.9</v>
      </c>
      <c r="Y31" s="438">
        <f t="shared" si="25"/>
        <v>1.216216216</v>
      </c>
    </row>
    <row r="32" ht="15.75" customHeight="1">
      <c r="B32" s="428" t="s">
        <v>1867</v>
      </c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 t="str">
        <f t="shared" si="25"/>
        <v/>
      </c>
    </row>
    <row r="33" ht="15.75" customHeight="1">
      <c r="B33" s="429" t="s">
        <v>56</v>
      </c>
      <c r="C33" s="430">
        <v>0.0</v>
      </c>
      <c r="D33" s="430">
        <v>1.02</v>
      </c>
      <c r="E33" s="430">
        <v>3.36</v>
      </c>
      <c r="F33" s="430">
        <v>3.39</v>
      </c>
      <c r="G33" s="431">
        <f t="shared" ref="G33:G38" si="31">SUM(C33:F33)</f>
        <v>7.77</v>
      </c>
      <c r="I33" s="430">
        <v>0.0</v>
      </c>
      <c r="J33" s="430">
        <v>1.02</v>
      </c>
      <c r="K33" s="430">
        <v>2.47</v>
      </c>
      <c r="L33" s="430">
        <v>4.18</v>
      </c>
      <c r="M33" s="431">
        <f t="shared" ref="M33:M38" si="32">SUM(I33:L33)</f>
        <v>7.67</v>
      </c>
      <c r="O33" s="432" t="str">
        <f t="shared" ref="O33:S33" si="30">IFERROR(I33/C33-1,"")</f>
        <v/>
      </c>
      <c r="P33" s="432">
        <f t="shared" si="30"/>
        <v>0</v>
      </c>
      <c r="Q33" s="432">
        <f t="shared" si="30"/>
        <v>-0.2648809524</v>
      </c>
      <c r="R33" s="432">
        <f t="shared" si="30"/>
        <v>0.2330383481</v>
      </c>
      <c r="S33" s="432">
        <f t="shared" si="30"/>
        <v>-0.01287001287</v>
      </c>
      <c r="U33" s="433">
        <v>13.34</v>
      </c>
      <c r="V33" s="433">
        <v>-1.71</v>
      </c>
      <c r="W33" s="433">
        <v>-1.81</v>
      </c>
      <c r="X33" s="434">
        <f t="shared" ref="X33:X38" si="34">IFERROR(W33-V33,"")</f>
        <v>-0.1</v>
      </c>
      <c r="Y33" s="432">
        <f t="shared" si="25"/>
        <v>-0.05847953216</v>
      </c>
    </row>
    <row r="34" ht="15.75" customHeight="1">
      <c r="B34" s="429" t="s">
        <v>57</v>
      </c>
      <c r="C34" s="430">
        <v>0.0</v>
      </c>
      <c r="D34" s="430">
        <v>0.75</v>
      </c>
      <c r="E34" s="430">
        <v>3.44</v>
      </c>
      <c r="F34" s="430">
        <v>4.23</v>
      </c>
      <c r="G34" s="431">
        <f t="shared" si="31"/>
        <v>8.42</v>
      </c>
      <c r="I34" s="430">
        <v>0.0</v>
      </c>
      <c r="J34" s="430">
        <v>0.75</v>
      </c>
      <c r="K34" s="430">
        <v>2.12</v>
      </c>
      <c r="L34" s="430">
        <v>7.29</v>
      </c>
      <c r="M34" s="431">
        <f t="shared" si="32"/>
        <v>10.16</v>
      </c>
      <c r="O34" s="432" t="str">
        <f t="shared" ref="O34:S34" si="33">IFERROR(I34/C34-1,"")</f>
        <v/>
      </c>
      <c r="P34" s="432">
        <f t="shared" si="33"/>
        <v>0</v>
      </c>
      <c r="Q34" s="432">
        <f t="shared" si="33"/>
        <v>-0.3837209302</v>
      </c>
      <c r="R34" s="432">
        <f t="shared" si="33"/>
        <v>0.7234042553</v>
      </c>
      <c r="S34" s="432">
        <f t="shared" si="33"/>
        <v>0.2066508314</v>
      </c>
      <c r="U34" s="433">
        <v>20.93</v>
      </c>
      <c r="V34" s="433">
        <v>-2.96</v>
      </c>
      <c r="W34" s="433">
        <v>-1.22</v>
      </c>
      <c r="X34" s="434">
        <f t="shared" si="34"/>
        <v>1.74</v>
      </c>
      <c r="Y34" s="432">
        <f t="shared" si="25"/>
        <v>0.5878378378</v>
      </c>
    </row>
    <row r="35" ht="15.75" customHeight="1">
      <c r="B35" s="429" t="s">
        <v>58</v>
      </c>
      <c r="C35" s="430">
        <v>0.0</v>
      </c>
      <c r="D35" s="430">
        <v>0.6</v>
      </c>
      <c r="E35" s="430">
        <v>4.25</v>
      </c>
      <c r="F35" s="430">
        <v>5.0</v>
      </c>
      <c r="G35" s="431">
        <f t="shared" si="31"/>
        <v>9.85</v>
      </c>
      <c r="I35" s="430">
        <v>0.0</v>
      </c>
      <c r="J35" s="430">
        <v>0.6</v>
      </c>
      <c r="K35" s="430">
        <v>2.18</v>
      </c>
      <c r="L35" s="430">
        <v>9.28</v>
      </c>
      <c r="M35" s="431">
        <f t="shared" si="32"/>
        <v>12.06</v>
      </c>
      <c r="O35" s="432" t="str">
        <f t="shared" ref="O35:S35" si="35">IFERROR(I35/C35-1,"")</f>
        <v/>
      </c>
      <c r="P35" s="432">
        <f t="shared" si="35"/>
        <v>0</v>
      </c>
      <c r="Q35" s="432">
        <f t="shared" si="35"/>
        <v>-0.4870588235</v>
      </c>
      <c r="R35" s="432">
        <f t="shared" si="35"/>
        <v>0.856</v>
      </c>
      <c r="S35" s="432">
        <f t="shared" si="35"/>
        <v>0.2243654822</v>
      </c>
      <c r="U35" s="433">
        <v>24.75</v>
      </c>
      <c r="V35" s="433">
        <v>-4.68</v>
      </c>
      <c r="W35" s="433">
        <v>-2.47</v>
      </c>
      <c r="X35" s="434">
        <f t="shared" si="34"/>
        <v>2.21</v>
      </c>
      <c r="Y35" s="432">
        <f t="shared" si="25"/>
        <v>0.4722222222</v>
      </c>
    </row>
    <row r="36" ht="15.75" customHeight="1">
      <c r="B36" s="429" t="s">
        <v>59</v>
      </c>
      <c r="C36" s="430">
        <v>0.0</v>
      </c>
      <c r="D36" s="430">
        <v>0.58</v>
      </c>
      <c r="E36" s="430">
        <v>6.82</v>
      </c>
      <c r="F36" s="430">
        <v>6.37</v>
      </c>
      <c r="G36" s="431">
        <f t="shared" si="31"/>
        <v>13.77</v>
      </c>
      <c r="I36" s="430">
        <v>0.0</v>
      </c>
      <c r="J36" s="430">
        <v>0.58</v>
      </c>
      <c r="K36" s="430">
        <v>2.98</v>
      </c>
      <c r="L36" s="430">
        <v>12.78</v>
      </c>
      <c r="M36" s="431">
        <f t="shared" si="32"/>
        <v>16.34</v>
      </c>
      <c r="O36" s="432" t="str">
        <f t="shared" ref="O36:S36" si="36">IFERROR(I36/C36-1,"")</f>
        <v/>
      </c>
      <c r="P36" s="432">
        <f t="shared" si="36"/>
        <v>0</v>
      </c>
      <c r="Q36" s="432">
        <f t="shared" si="36"/>
        <v>-0.5630498534</v>
      </c>
      <c r="R36" s="432">
        <f t="shared" si="36"/>
        <v>1.006279435</v>
      </c>
      <c r="S36" s="432">
        <f t="shared" si="36"/>
        <v>0.186637618</v>
      </c>
      <c r="U36" s="433">
        <v>33.25</v>
      </c>
      <c r="V36" s="433">
        <v>-7.82</v>
      </c>
      <c r="W36" s="433">
        <v>-5.25</v>
      </c>
      <c r="X36" s="434">
        <f t="shared" si="34"/>
        <v>2.57</v>
      </c>
      <c r="Y36" s="432">
        <f t="shared" si="25"/>
        <v>0.3286445013</v>
      </c>
    </row>
    <row r="37" ht="15.75" customHeight="1">
      <c r="B37" s="429" t="s">
        <v>60</v>
      </c>
      <c r="C37" s="430">
        <v>0.0</v>
      </c>
      <c r="D37" s="430">
        <v>0.54</v>
      </c>
      <c r="E37" s="430">
        <v>11.02</v>
      </c>
      <c r="F37" s="430">
        <v>6.61</v>
      </c>
      <c r="G37" s="431">
        <f t="shared" si="31"/>
        <v>18.17</v>
      </c>
      <c r="I37" s="430">
        <v>0.0</v>
      </c>
      <c r="J37" s="430">
        <v>0.54</v>
      </c>
      <c r="K37" s="430">
        <v>4.43</v>
      </c>
      <c r="L37" s="430">
        <v>14.34</v>
      </c>
      <c r="M37" s="431">
        <f t="shared" si="32"/>
        <v>19.31</v>
      </c>
      <c r="O37" s="432" t="str">
        <f t="shared" ref="O37:S37" si="37">IFERROR(I37/C37-1,"")</f>
        <v/>
      </c>
      <c r="P37" s="432">
        <f t="shared" si="37"/>
        <v>0</v>
      </c>
      <c r="Q37" s="432">
        <f t="shared" si="37"/>
        <v>-0.5980036298</v>
      </c>
      <c r="R37" s="432">
        <f t="shared" si="37"/>
        <v>1.169440242</v>
      </c>
      <c r="S37" s="432">
        <f t="shared" si="37"/>
        <v>0.06274078151</v>
      </c>
      <c r="U37" s="433">
        <v>42.26</v>
      </c>
      <c r="V37" s="433">
        <v>-11.09</v>
      </c>
      <c r="W37" s="433">
        <v>-9.95</v>
      </c>
      <c r="X37" s="434">
        <f t="shared" si="34"/>
        <v>1.14</v>
      </c>
      <c r="Y37" s="432">
        <f t="shared" si="25"/>
        <v>0.1027953111</v>
      </c>
    </row>
    <row r="38" ht="15.75" customHeight="1">
      <c r="B38" s="435" t="s">
        <v>1866</v>
      </c>
      <c r="C38" s="436">
        <v>0.0</v>
      </c>
      <c r="D38" s="436">
        <v>0.85</v>
      </c>
      <c r="E38" s="436">
        <v>3.87</v>
      </c>
      <c r="F38" s="436">
        <v>4.1</v>
      </c>
      <c r="G38" s="437">
        <f t="shared" si="31"/>
        <v>8.82</v>
      </c>
      <c r="I38" s="436">
        <v>0.0</v>
      </c>
      <c r="J38" s="436">
        <v>0.85</v>
      </c>
      <c r="K38" s="436">
        <v>2.4</v>
      </c>
      <c r="L38" s="436">
        <v>6.48</v>
      </c>
      <c r="M38" s="437">
        <f t="shared" si="32"/>
        <v>9.73</v>
      </c>
      <c r="O38" s="438" t="str">
        <f t="shared" ref="O38:S38" si="38">IFERROR(I38/C38-1,"")</f>
        <v/>
      </c>
      <c r="P38" s="438">
        <f t="shared" si="38"/>
        <v>0</v>
      </c>
      <c r="Q38" s="438">
        <f t="shared" si="38"/>
        <v>-0.3798449612</v>
      </c>
      <c r="R38" s="438">
        <f t="shared" si="38"/>
        <v>0.5804878049</v>
      </c>
      <c r="S38" s="438">
        <f t="shared" si="38"/>
        <v>0.1031746032</v>
      </c>
      <c r="U38" s="439">
        <v>19.3</v>
      </c>
      <c r="V38" s="439">
        <v>-3.19</v>
      </c>
      <c r="W38" s="439">
        <v>-2.19</v>
      </c>
      <c r="X38" s="440">
        <f t="shared" si="34"/>
        <v>1</v>
      </c>
      <c r="Y38" s="438">
        <f t="shared" si="25"/>
        <v>0.3134796238</v>
      </c>
    </row>
    <row r="39" ht="15.75" customHeight="1">
      <c r="Y39" s="194" t="str">
        <f t="shared" si="25"/>
        <v/>
      </c>
    </row>
    <row r="40" ht="15.75" customHeight="1">
      <c r="Y40" s="194" t="str">
        <f t="shared" si="25"/>
        <v/>
      </c>
    </row>
    <row r="41" ht="15.75" customHeight="1">
      <c r="B41" s="415" t="s">
        <v>1869</v>
      </c>
      <c r="C41" s="415"/>
      <c r="D41" s="415"/>
      <c r="E41" s="415"/>
      <c r="F41" s="415"/>
      <c r="G41" s="415"/>
      <c r="H41" s="415"/>
      <c r="I41" s="415"/>
      <c r="J41" s="415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5"/>
      <c r="Y41" s="415"/>
    </row>
    <row r="42" ht="15.75" customHeight="1">
      <c r="C42" s="416" t="s">
        <v>1852</v>
      </c>
      <c r="D42" s="417"/>
      <c r="E42" s="417"/>
      <c r="F42" s="417"/>
      <c r="G42" s="417"/>
      <c r="I42" s="418" t="s">
        <v>1853</v>
      </c>
      <c r="J42" s="419"/>
      <c r="K42" s="419"/>
      <c r="L42" s="419"/>
      <c r="M42" s="419"/>
      <c r="O42" s="420" t="s">
        <v>1854</v>
      </c>
      <c r="P42" s="421"/>
      <c r="Q42" s="421"/>
      <c r="R42" s="421"/>
      <c r="S42" s="421"/>
      <c r="U42" s="422" t="s">
        <v>1855</v>
      </c>
      <c r="V42" s="423"/>
      <c r="W42" s="423"/>
      <c r="X42" s="421"/>
      <c r="Y42" s="421"/>
    </row>
    <row r="43" ht="15.75" customHeight="1">
      <c r="B43" s="161" t="s">
        <v>1856</v>
      </c>
      <c r="C43" s="424" t="s">
        <v>1857</v>
      </c>
      <c r="D43" s="424" t="s">
        <v>1858</v>
      </c>
      <c r="E43" s="424" t="s">
        <v>1859</v>
      </c>
      <c r="F43" s="424" t="s">
        <v>1860</v>
      </c>
      <c r="G43" s="424" t="s">
        <v>111</v>
      </c>
      <c r="I43" s="425" t="s">
        <v>1857</v>
      </c>
      <c r="J43" s="425" t="s">
        <v>1858</v>
      </c>
      <c r="K43" s="425" t="s">
        <v>1859</v>
      </c>
      <c r="L43" s="425" t="s">
        <v>1860</v>
      </c>
      <c r="M43" s="425" t="s">
        <v>111</v>
      </c>
      <c r="O43" s="426" t="s">
        <v>1857</v>
      </c>
      <c r="P43" s="426" t="s">
        <v>1858</v>
      </c>
      <c r="Q43" s="426" t="s">
        <v>1859</v>
      </c>
      <c r="R43" s="426" t="s">
        <v>1860</v>
      </c>
      <c r="S43" s="426" t="s">
        <v>111</v>
      </c>
      <c r="U43" s="427" t="s">
        <v>1861</v>
      </c>
      <c r="V43" s="427" t="s">
        <v>1862</v>
      </c>
      <c r="W43" s="427" t="s">
        <v>1863</v>
      </c>
      <c r="X43" s="426" t="s">
        <v>1864</v>
      </c>
      <c r="Y43" s="426" t="s">
        <v>1865</v>
      </c>
    </row>
    <row r="44" ht="15.75" customHeight="1">
      <c r="B44" s="428" t="s">
        <v>163</v>
      </c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</row>
    <row r="45" ht="15.75" customHeight="1">
      <c r="B45" s="429" t="s">
        <v>56</v>
      </c>
      <c r="C45" s="430">
        <v>0.0</v>
      </c>
      <c r="D45" s="430">
        <v>0.62</v>
      </c>
      <c r="E45" s="430">
        <v>2.46</v>
      </c>
      <c r="F45" s="430">
        <v>1.91</v>
      </c>
      <c r="G45" s="431">
        <f t="shared" ref="G45:G50" si="40">SUM(C45:F45)</f>
        <v>4.99</v>
      </c>
      <c r="I45" s="430">
        <v>0.0</v>
      </c>
      <c r="J45" s="430">
        <v>0.62</v>
      </c>
      <c r="K45" s="430">
        <v>1.38</v>
      </c>
      <c r="L45" s="430">
        <v>2.31</v>
      </c>
      <c r="M45" s="431">
        <f t="shared" ref="M45:M50" si="41">SUM(I45:L45)</f>
        <v>4.31</v>
      </c>
      <c r="O45" s="432" t="str">
        <f t="shared" ref="O45:S45" si="39">IFERROR(I45/C45-1,"")</f>
        <v/>
      </c>
      <c r="P45" s="432">
        <f t="shared" si="39"/>
        <v>0</v>
      </c>
      <c r="Q45" s="432">
        <f t="shared" si="39"/>
        <v>-0.4390243902</v>
      </c>
      <c r="R45" s="432">
        <f t="shared" si="39"/>
        <v>0.2094240838</v>
      </c>
      <c r="S45" s="432">
        <f t="shared" si="39"/>
        <v>-0.1362725451</v>
      </c>
      <c r="U45" s="433">
        <v>7.99</v>
      </c>
      <c r="V45" s="433">
        <v>-0.42</v>
      </c>
      <c r="W45" s="433">
        <v>-1.1</v>
      </c>
      <c r="X45" s="434">
        <f t="shared" ref="X45:X50" si="43">IFERROR(W45-V45,"")</f>
        <v>-0.68</v>
      </c>
      <c r="Y45" s="432">
        <f t="shared" ref="Y45:Y59" si="44">IF(X45="","",IFERROR(X45/ABS(V45),0))</f>
        <v>-1.619047619</v>
      </c>
    </row>
    <row r="46" ht="15.75" customHeight="1">
      <c r="B46" s="429" t="s">
        <v>57</v>
      </c>
      <c r="C46" s="430">
        <v>0.0</v>
      </c>
      <c r="D46" s="430">
        <v>0.65</v>
      </c>
      <c r="E46" s="430">
        <v>3.26</v>
      </c>
      <c r="F46" s="430">
        <v>3.29</v>
      </c>
      <c r="G46" s="431">
        <f t="shared" si="40"/>
        <v>7.2</v>
      </c>
      <c r="I46" s="430">
        <v>0.0</v>
      </c>
      <c r="J46" s="430">
        <v>0.65</v>
      </c>
      <c r="K46" s="430">
        <v>1.37</v>
      </c>
      <c r="L46" s="430">
        <v>5.77</v>
      </c>
      <c r="M46" s="431">
        <f t="shared" si="41"/>
        <v>7.79</v>
      </c>
      <c r="O46" s="432" t="str">
        <f t="shared" ref="O46:S46" si="42">IFERROR(I46/C46-1,"")</f>
        <v/>
      </c>
      <c r="P46" s="432">
        <f t="shared" si="42"/>
        <v>0</v>
      </c>
      <c r="Q46" s="432">
        <f t="shared" si="42"/>
        <v>-0.5797546012</v>
      </c>
      <c r="R46" s="432">
        <f t="shared" si="42"/>
        <v>0.7537993921</v>
      </c>
      <c r="S46" s="432">
        <f t="shared" si="42"/>
        <v>0.08194444444</v>
      </c>
      <c r="U46" s="433">
        <v>14.3</v>
      </c>
      <c r="V46" s="433">
        <v>-0.26</v>
      </c>
      <c r="W46" s="433">
        <v>0.33</v>
      </c>
      <c r="X46" s="434">
        <f t="shared" si="43"/>
        <v>0.59</v>
      </c>
      <c r="Y46" s="432">
        <f t="shared" si="44"/>
        <v>2.269230769</v>
      </c>
    </row>
    <row r="47" ht="15.75" customHeight="1">
      <c r="B47" s="429" t="s">
        <v>58</v>
      </c>
      <c r="C47" s="430">
        <v>0.0</v>
      </c>
      <c r="D47" s="430">
        <v>0.56</v>
      </c>
      <c r="E47" s="430">
        <v>4.62</v>
      </c>
      <c r="F47" s="430">
        <v>4.48</v>
      </c>
      <c r="G47" s="431">
        <f t="shared" si="40"/>
        <v>9.66</v>
      </c>
      <c r="I47" s="430">
        <v>0.0</v>
      </c>
      <c r="J47" s="430">
        <v>0.56</v>
      </c>
      <c r="K47" s="430">
        <v>1.65</v>
      </c>
      <c r="L47" s="430">
        <v>8.21</v>
      </c>
      <c r="M47" s="431">
        <f t="shared" si="41"/>
        <v>10.42</v>
      </c>
      <c r="O47" s="432" t="str">
        <f t="shared" ref="O47:S47" si="45">IFERROR(I47/C47-1,"")</f>
        <v/>
      </c>
      <c r="P47" s="432">
        <f t="shared" si="45"/>
        <v>0</v>
      </c>
      <c r="Q47" s="432">
        <f t="shared" si="45"/>
        <v>-0.6428571429</v>
      </c>
      <c r="R47" s="432">
        <f t="shared" si="45"/>
        <v>0.8325892857</v>
      </c>
      <c r="S47" s="432">
        <f t="shared" si="45"/>
        <v>0.07867494824</v>
      </c>
      <c r="U47" s="433">
        <v>19.14</v>
      </c>
      <c r="V47" s="433">
        <v>-0.38</v>
      </c>
      <c r="W47" s="433">
        <v>0.38</v>
      </c>
      <c r="X47" s="434">
        <f t="shared" si="43"/>
        <v>0.76</v>
      </c>
      <c r="Y47" s="432">
        <f t="shared" si="44"/>
        <v>2</v>
      </c>
    </row>
    <row r="48" ht="15.75" customHeight="1">
      <c r="B48" s="429" t="s">
        <v>59</v>
      </c>
      <c r="C48" s="430">
        <v>0.0</v>
      </c>
      <c r="D48" s="430">
        <v>0.67</v>
      </c>
      <c r="E48" s="430">
        <v>8.58</v>
      </c>
      <c r="F48" s="430">
        <v>5.72</v>
      </c>
      <c r="G48" s="431">
        <f t="shared" si="40"/>
        <v>14.97</v>
      </c>
      <c r="I48" s="430">
        <v>0.0</v>
      </c>
      <c r="J48" s="430">
        <v>0.67</v>
      </c>
      <c r="K48" s="430">
        <v>2.91</v>
      </c>
      <c r="L48" s="430">
        <v>13.9</v>
      </c>
      <c r="M48" s="431">
        <f t="shared" si="41"/>
        <v>17.48</v>
      </c>
      <c r="O48" s="432" t="str">
        <f t="shared" ref="O48:S48" si="46">IFERROR(I48/C48-1,"")</f>
        <v/>
      </c>
      <c r="P48" s="432">
        <f t="shared" si="46"/>
        <v>0</v>
      </c>
      <c r="Q48" s="432">
        <f t="shared" si="46"/>
        <v>-0.6608391608</v>
      </c>
      <c r="R48" s="432">
        <f t="shared" si="46"/>
        <v>1.43006993</v>
      </c>
      <c r="S48" s="432">
        <f t="shared" si="46"/>
        <v>0.1676686707</v>
      </c>
      <c r="U48" s="433">
        <v>27.36</v>
      </c>
      <c r="V48" s="433">
        <v>-1.05</v>
      </c>
      <c r="W48" s="433">
        <v>1.46</v>
      </c>
      <c r="X48" s="434">
        <f t="shared" si="43"/>
        <v>2.51</v>
      </c>
      <c r="Y48" s="432">
        <f t="shared" si="44"/>
        <v>2.39047619</v>
      </c>
    </row>
    <row r="49" ht="15.75" customHeight="1">
      <c r="B49" s="429" t="s">
        <v>60</v>
      </c>
      <c r="C49" s="430">
        <v>0.0</v>
      </c>
      <c r="D49" s="430">
        <v>0.64</v>
      </c>
      <c r="E49" s="430">
        <v>13.59</v>
      </c>
      <c r="F49" s="430">
        <v>4.83</v>
      </c>
      <c r="G49" s="431">
        <f t="shared" si="40"/>
        <v>19.06</v>
      </c>
      <c r="I49" s="430">
        <v>0.0</v>
      </c>
      <c r="J49" s="430">
        <v>0.64</v>
      </c>
      <c r="K49" s="430">
        <v>4.83</v>
      </c>
      <c r="L49" s="430">
        <v>14.75</v>
      </c>
      <c r="M49" s="431">
        <f t="shared" si="41"/>
        <v>20.22</v>
      </c>
      <c r="O49" s="432" t="str">
        <f t="shared" ref="O49:S49" si="47">IFERROR(I49/C49-1,"")</f>
        <v/>
      </c>
      <c r="P49" s="432">
        <f t="shared" si="47"/>
        <v>0</v>
      </c>
      <c r="Q49" s="432">
        <f t="shared" si="47"/>
        <v>-0.6445916115</v>
      </c>
      <c r="R49" s="432">
        <f t="shared" si="47"/>
        <v>2.053830228</v>
      </c>
      <c r="S49" s="432">
        <f t="shared" si="47"/>
        <v>0.06086044071</v>
      </c>
      <c r="U49" s="433">
        <v>43.57</v>
      </c>
      <c r="V49" s="433">
        <v>-12.8</v>
      </c>
      <c r="W49" s="433">
        <v>-11.64</v>
      </c>
      <c r="X49" s="434">
        <f t="shared" si="43"/>
        <v>1.16</v>
      </c>
      <c r="Y49" s="432">
        <f t="shared" si="44"/>
        <v>0.090625</v>
      </c>
    </row>
    <row r="50" ht="15.75" customHeight="1">
      <c r="B50" s="435" t="s">
        <v>1866</v>
      </c>
      <c r="C50" s="436">
        <v>0.0</v>
      </c>
      <c r="D50" s="436">
        <v>0.62</v>
      </c>
      <c r="E50" s="436">
        <v>3.72</v>
      </c>
      <c r="F50" s="436">
        <v>3.06</v>
      </c>
      <c r="G50" s="437">
        <f t="shared" si="40"/>
        <v>7.4</v>
      </c>
      <c r="I50" s="436">
        <v>0.0</v>
      </c>
      <c r="J50" s="436">
        <v>0.62</v>
      </c>
      <c r="K50" s="436">
        <v>1.61</v>
      </c>
      <c r="L50" s="436">
        <v>5.36</v>
      </c>
      <c r="M50" s="437">
        <f t="shared" si="41"/>
        <v>7.59</v>
      </c>
      <c r="O50" s="438" t="str">
        <f t="shared" ref="O50:S50" si="48">IFERROR(I50/C50-1,"")</f>
        <v/>
      </c>
      <c r="P50" s="438">
        <f t="shared" si="48"/>
        <v>0</v>
      </c>
      <c r="Q50" s="438">
        <f t="shared" si="48"/>
        <v>-0.5672043011</v>
      </c>
      <c r="R50" s="438">
        <f t="shared" si="48"/>
        <v>0.7516339869</v>
      </c>
      <c r="S50" s="438">
        <f t="shared" si="48"/>
        <v>0.02567567568</v>
      </c>
      <c r="U50" s="439">
        <v>14.67</v>
      </c>
      <c r="V50" s="439">
        <v>-0.66</v>
      </c>
      <c r="W50" s="439">
        <v>-0.33</v>
      </c>
      <c r="X50" s="440">
        <f t="shared" si="43"/>
        <v>0.33</v>
      </c>
      <c r="Y50" s="438">
        <f t="shared" si="44"/>
        <v>0.5</v>
      </c>
    </row>
    <row r="51" ht="15.75" customHeight="1">
      <c r="B51" s="428" t="s">
        <v>1867</v>
      </c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8"/>
      <c r="V51" s="428"/>
      <c r="W51" s="428"/>
      <c r="X51" s="428"/>
      <c r="Y51" s="428" t="str">
        <f t="shared" si="44"/>
        <v/>
      </c>
    </row>
    <row r="52" ht="15.75" customHeight="1">
      <c r="B52" s="429" t="s">
        <v>56</v>
      </c>
      <c r="C52" s="430">
        <v>0.0</v>
      </c>
      <c r="D52" s="430">
        <v>1.06</v>
      </c>
      <c r="E52" s="430">
        <v>2.84</v>
      </c>
      <c r="F52" s="430">
        <v>2.8</v>
      </c>
      <c r="G52" s="431">
        <f t="shared" ref="G52:G57" si="50">SUM(C52:F52)</f>
        <v>6.7</v>
      </c>
      <c r="I52" s="430">
        <v>0.0</v>
      </c>
      <c r="J52" s="430">
        <v>1.06</v>
      </c>
      <c r="K52" s="430">
        <v>1.62</v>
      </c>
      <c r="L52" s="430">
        <v>3.55</v>
      </c>
      <c r="M52" s="431">
        <f t="shared" ref="M52:M57" si="51">SUM(I52:L52)</f>
        <v>6.23</v>
      </c>
      <c r="O52" s="432" t="str">
        <f t="shared" ref="O52:S52" si="49">IFERROR(I52/C52-1,"")</f>
        <v/>
      </c>
      <c r="P52" s="432">
        <f t="shared" si="49"/>
        <v>0</v>
      </c>
      <c r="Q52" s="432">
        <f t="shared" si="49"/>
        <v>-0.4295774648</v>
      </c>
      <c r="R52" s="432">
        <f t="shared" si="49"/>
        <v>0.2678571429</v>
      </c>
      <c r="S52" s="432">
        <f t="shared" si="49"/>
        <v>-0.07014925373</v>
      </c>
      <c r="U52" s="433">
        <v>11.47</v>
      </c>
      <c r="V52" s="433">
        <v>-1.46</v>
      </c>
      <c r="W52" s="433">
        <v>-1.93</v>
      </c>
      <c r="X52" s="434">
        <f t="shared" ref="X52:X57" si="53">IFERROR(W52-V52,"")</f>
        <v>-0.47</v>
      </c>
      <c r="Y52" s="432">
        <f t="shared" si="44"/>
        <v>-0.3219178082</v>
      </c>
    </row>
    <row r="53" ht="15.75" customHeight="1">
      <c r="B53" s="429" t="s">
        <v>57</v>
      </c>
      <c r="C53" s="430">
        <v>0.0</v>
      </c>
      <c r="D53" s="430">
        <v>0.75</v>
      </c>
      <c r="E53" s="430">
        <v>3.05</v>
      </c>
      <c r="F53" s="430">
        <v>3.94</v>
      </c>
      <c r="G53" s="431">
        <f t="shared" si="50"/>
        <v>7.74</v>
      </c>
      <c r="I53" s="430">
        <v>0.0</v>
      </c>
      <c r="J53" s="430">
        <v>0.75</v>
      </c>
      <c r="K53" s="430">
        <v>1.26</v>
      </c>
      <c r="L53" s="430">
        <v>6.62</v>
      </c>
      <c r="M53" s="431">
        <f t="shared" si="51"/>
        <v>8.63</v>
      </c>
      <c r="O53" s="432" t="str">
        <f t="shared" ref="O53:S53" si="52">IFERROR(I53/C53-1,"")</f>
        <v/>
      </c>
      <c r="P53" s="432">
        <f t="shared" si="52"/>
        <v>0</v>
      </c>
      <c r="Q53" s="432">
        <f t="shared" si="52"/>
        <v>-0.5868852459</v>
      </c>
      <c r="R53" s="432">
        <f t="shared" si="52"/>
        <v>0.6802030457</v>
      </c>
      <c r="S53" s="432">
        <f t="shared" si="52"/>
        <v>0.1149870801</v>
      </c>
      <c r="U53" s="433">
        <v>19.12</v>
      </c>
      <c r="V53" s="433">
        <v>-2.72</v>
      </c>
      <c r="W53" s="433">
        <v>-1.83</v>
      </c>
      <c r="X53" s="434">
        <f t="shared" si="53"/>
        <v>0.89</v>
      </c>
      <c r="Y53" s="432">
        <f t="shared" si="44"/>
        <v>0.3272058824</v>
      </c>
    </row>
    <row r="54" ht="15.75" customHeight="1">
      <c r="B54" s="429" t="s">
        <v>58</v>
      </c>
      <c r="C54" s="430">
        <v>0.0</v>
      </c>
      <c r="D54" s="430">
        <v>0.59</v>
      </c>
      <c r="E54" s="430">
        <v>4.15</v>
      </c>
      <c r="F54" s="430">
        <v>5.08</v>
      </c>
      <c r="G54" s="431">
        <f t="shared" si="50"/>
        <v>9.82</v>
      </c>
      <c r="I54" s="430">
        <v>0.0</v>
      </c>
      <c r="J54" s="430">
        <v>0.59</v>
      </c>
      <c r="K54" s="430">
        <v>1.4</v>
      </c>
      <c r="L54" s="430">
        <v>8.81</v>
      </c>
      <c r="M54" s="431">
        <f t="shared" si="51"/>
        <v>10.8</v>
      </c>
      <c r="O54" s="432" t="str">
        <f t="shared" ref="O54:S54" si="54">IFERROR(I54/C54-1,"")</f>
        <v/>
      </c>
      <c r="P54" s="432">
        <f t="shared" si="54"/>
        <v>0</v>
      </c>
      <c r="Q54" s="432">
        <f t="shared" si="54"/>
        <v>-0.6626506024</v>
      </c>
      <c r="R54" s="432">
        <f t="shared" si="54"/>
        <v>0.7342519685</v>
      </c>
      <c r="S54" s="432">
        <f t="shared" si="54"/>
        <v>0.09979633401</v>
      </c>
      <c r="U54" s="433">
        <v>24.31</v>
      </c>
      <c r="V54" s="433">
        <v>-4.36</v>
      </c>
      <c r="W54" s="433">
        <v>-3.38</v>
      </c>
      <c r="X54" s="434">
        <f t="shared" si="53"/>
        <v>0.98</v>
      </c>
      <c r="Y54" s="432">
        <f t="shared" si="44"/>
        <v>0.2247706422</v>
      </c>
    </row>
    <row r="55" ht="15.75" customHeight="1">
      <c r="B55" s="429" t="s">
        <v>59</v>
      </c>
      <c r="C55" s="430">
        <v>0.0</v>
      </c>
      <c r="D55" s="430">
        <v>0.57</v>
      </c>
      <c r="E55" s="430">
        <v>7.38</v>
      </c>
      <c r="F55" s="430">
        <v>6.57</v>
      </c>
      <c r="G55" s="431">
        <f t="shared" si="50"/>
        <v>14.52</v>
      </c>
      <c r="I55" s="430">
        <v>0.0</v>
      </c>
      <c r="J55" s="430">
        <v>0.57</v>
      </c>
      <c r="K55" s="430">
        <v>2.27</v>
      </c>
      <c r="L55" s="430">
        <v>14.66</v>
      </c>
      <c r="M55" s="431">
        <f t="shared" si="51"/>
        <v>17.5</v>
      </c>
      <c r="O55" s="432" t="str">
        <f t="shared" ref="O55:S55" si="55">IFERROR(I55/C55-1,"")</f>
        <v/>
      </c>
      <c r="P55" s="432">
        <f t="shared" si="55"/>
        <v>0</v>
      </c>
      <c r="Q55" s="432">
        <f t="shared" si="55"/>
        <v>-0.6924119241</v>
      </c>
      <c r="R55" s="432">
        <f t="shared" si="55"/>
        <v>1.231354642</v>
      </c>
      <c r="S55" s="432">
        <f t="shared" si="55"/>
        <v>0.2052341598</v>
      </c>
      <c r="U55" s="433">
        <v>34.29</v>
      </c>
      <c r="V55" s="433">
        <v>-7.41</v>
      </c>
      <c r="W55" s="433">
        <v>-4.43</v>
      </c>
      <c r="X55" s="434">
        <f t="shared" si="53"/>
        <v>2.98</v>
      </c>
      <c r="Y55" s="432">
        <f t="shared" si="44"/>
        <v>0.4021592443</v>
      </c>
    </row>
    <row r="56" ht="15.75" customHeight="1">
      <c r="B56" s="429" t="s">
        <v>60</v>
      </c>
      <c r="C56" s="430">
        <v>0.0</v>
      </c>
      <c r="D56" s="430">
        <v>0.54</v>
      </c>
      <c r="E56" s="430">
        <v>12.71</v>
      </c>
      <c r="F56" s="430">
        <v>6.58</v>
      </c>
      <c r="G56" s="431">
        <f t="shared" si="50"/>
        <v>19.83</v>
      </c>
      <c r="I56" s="430">
        <v>0.0</v>
      </c>
      <c r="J56" s="430">
        <v>0.54</v>
      </c>
      <c r="K56" s="430">
        <v>4.11</v>
      </c>
      <c r="L56" s="430">
        <v>18.05</v>
      </c>
      <c r="M56" s="431">
        <f t="shared" si="51"/>
        <v>22.7</v>
      </c>
      <c r="O56" s="432" t="str">
        <f t="shared" ref="O56:S56" si="56">IFERROR(I56/C56-1,"")</f>
        <v/>
      </c>
      <c r="P56" s="432">
        <f t="shared" si="56"/>
        <v>0</v>
      </c>
      <c r="Q56" s="432">
        <f t="shared" si="56"/>
        <v>-0.6766325728</v>
      </c>
      <c r="R56" s="432">
        <f t="shared" si="56"/>
        <v>1.743161094</v>
      </c>
      <c r="S56" s="432">
        <f t="shared" si="56"/>
        <v>0.1447302068</v>
      </c>
      <c r="U56" s="433">
        <v>44.59</v>
      </c>
      <c r="V56" s="433">
        <v>-10.55</v>
      </c>
      <c r="W56" s="433">
        <v>-7.68</v>
      </c>
      <c r="X56" s="434">
        <f t="shared" si="53"/>
        <v>2.87</v>
      </c>
      <c r="Y56" s="432">
        <f t="shared" si="44"/>
        <v>0.2720379147</v>
      </c>
    </row>
    <row r="57" ht="15.75" customHeight="1">
      <c r="B57" s="435" t="s">
        <v>1866</v>
      </c>
      <c r="C57" s="436">
        <v>0.0</v>
      </c>
      <c r="D57" s="436">
        <v>0.87</v>
      </c>
      <c r="E57" s="436">
        <v>3.56</v>
      </c>
      <c r="F57" s="436">
        <v>3.76</v>
      </c>
      <c r="G57" s="437">
        <f t="shared" si="50"/>
        <v>8.19</v>
      </c>
      <c r="I57" s="436">
        <v>0.0</v>
      </c>
      <c r="J57" s="436">
        <v>0.87</v>
      </c>
      <c r="K57" s="436">
        <v>1.58</v>
      </c>
      <c r="L57" s="436">
        <v>6.11</v>
      </c>
      <c r="M57" s="437">
        <f t="shared" si="51"/>
        <v>8.56</v>
      </c>
      <c r="O57" s="438" t="str">
        <f t="shared" ref="O57:S57" si="57">IFERROR(I57/C57-1,"")</f>
        <v/>
      </c>
      <c r="P57" s="438">
        <f t="shared" si="57"/>
        <v>0</v>
      </c>
      <c r="Q57" s="438">
        <f t="shared" si="57"/>
        <v>-0.5561797753</v>
      </c>
      <c r="R57" s="438">
        <f t="shared" si="57"/>
        <v>0.625</v>
      </c>
      <c r="S57" s="438">
        <f t="shared" si="57"/>
        <v>0.04517704518</v>
      </c>
      <c r="U57" s="439">
        <v>18.09</v>
      </c>
      <c r="V57" s="439">
        <v>-2.93</v>
      </c>
      <c r="W57" s="439">
        <v>-2.46</v>
      </c>
      <c r="X57" s="440">
        <f t="shared" si="53"/>
        <v>0.47</v>
      </c>
      <c r="Y57" s="438">
        <f t="shared" si="44"/>
        <v>0.1604095563</v>
      </c>
    </row>
    <row r="58" ht="15.75" customHeight="1">
      <c r="Y58" s="194" t="str">
        <f t="shared" si="44"/>
        <v/>
      </c>
    </row>
    <row r="59" ht="15.75" customHeight="1">
      <c r="Y59" s="194" t="str">
        <f t="shared" si="44"/>
        <v/>
      </c>
    </row>
    <row r="60" ht="15.75" customHeight="1">
      <c r="B60" s="415" t="s">
        <v>1870</v>
      </c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  <c r="W60" s="415"/>
      <c r="X60" s="415"/>
      <c r="Y60" s="415"/>
    </row>
    <row r="61" ht="15.75" customHeight="1">
      <c r="C61" s="416" t="s">
        <v>1852</v>
      </c>
      <c r="D61" s="417"/>
      <c r="E61" s="417"/>
      <c r="F61" s="417"/>
      <c r="G61" s="417"/>
      <c r="I61" s="418" t="s">
        <v>1853</v>
      </c>
      <c r="J61" s="419"/>
      <c r="K61" s="419"/>
      <c r="L61" s="419"/>
      <c r="M61" s="419"/>
      <c r="O61" s="420" t="s">
        <v>1854</v>
      </c>
      <c r="P61" s="421"/>
      <c r="Q61" s="421"/>
      <c r="R61" s="421"/>
      <c r="S61" s="421"/>
      <c r="U61" s="422" t="s">
        <v>1855</v>
      </c>
      <c r="V61" s="423"/>
      <c r="W61" s="423"/>
      <c r="X61" s="421"/>
      <c r="Y61" s="421"/>
    </row>
    <row r="62" ht="15.75" customHeight="1">
      <c r="B62" s="161" t="s">
        <v>1856</v>
      </c>
      <c r="C62" s="424" t="s">
        <v>1857</v>
      </c>
      <c r="D62" s="424" t="s">
        <v>1858</v>
      </c>
      <c r="E62" s="424" t="s">
        <v>1859</v>
      </c>
      <c r="F62" s="424" t="s">
        <v>1860</v>
      </c>
      <c r="G62" s="424" t="s">
        <v>111</v>
      </c>
      <c r="I62" s="425" t="s">
        <v>1857</v>
      </c>
      <c r="J62" s="425" t="s">
        <v>1858</v>
      </c>
      <c r="K62" s="425" t="s">
        <v>1859</v>
      </c>
      <c r="L62" s="425" t="s">
        <v>1860</v>
      </c>
      <c r="M62" s="425" t="s">
        <v>111</v>
      </c>
      <c r="O62" s="426" t="s">
        <v>1857</v>
      </c>
      <c r="P62" s="426" t="s">
        <v>1858</v>
      </c>
      <c r="Q62" s="426" t="s">
        <v>1859</v>
      </c>
      <c r="R62" s="426" t="s">
        <v>1860</v>
      </c>
      <c r="S62" s="426" t="s">
        <v>111</v>
      </c>
      <c r="U62" s="427" t="s">
        <v>1861</v>
      </c>
      <c r="V62" s="427" t="s">
        <v>1862</v>
      </c>
      <c r="W62" s="427" t="s">
        <v>1863</v>
      </c>
      <c r="X62" s="426" t="s">
        <v>1864</v>
      </c>
      <c r="Y62" s="426" t="s">
        <v>1865</v>
      </c>
    </row>
    <row r="63" ht="15.75" customHeight="1">
      <c r="B63" s="428" t="s">
        <v>163</v>
      </c>
      <c r="C63" s="428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  <c r="V63" s="428"/>
      <c r="W63" s="428"/>
      <c r="X63" s="428"/>
      <c r="Y63" s="428"/>
    </row>
    <row r="64" ht="15.75" customHeight="1">
      <c r="B64" s="429" t="s">
        <v>56</v>
      </c>
      <c r="C64" s="430">
        <v>0.0</v>
      </c>
      <c r="D64" s="430">
        <v>0.35</v>
      </c>
      <c r="E64" s="430">
        <v>1.32</v>
      </c>
      <c r="F64" s="430">
        <v>1.43</v>
      </c>
      <c r="G64" s="431">
        <f t="shared" ref="G64:G69" si="59">SUM(C64:F64)</f>
        <v>3.1</v>
      </c>
      <c r="I64" s="430">
        <v>0.0</v>
      </c>
      <c r="J64" s="430">
        <v>0.35</v>
      </c>
      <c r="K64" s="430">
        <v>0.37</v>
      </c>
      <c r="L64" s="430">
        <v>1.53</v>
      </c>
      <c r="M64" s="431">
        <f t="shared" ref="M64:M69" si="60">SUM(I64:L64)</f>
        <v>2.25</v>
      </c>
      <c r="O64" s="432" t="str">
        <f t="shared" ref="O64:S64" si="58">IFERROR(I64/C64-1,"")</f>
        <v/>
      </c>
      <c r="P64" s="432">
        <f t="shared" si="58"/>
        <v>0</v>
      </c>
      <c r="Q64" s="432">
        <f t="shared" si="58"/>
        <v>-0.7196969697</v>
      </c>
      <c r="R64" s="432">
        <f t="shared" si="58"/>
        <v>0.06993006993</v>
      </c>
      <c r="S64" s="432">
        <f t="shared" si="58"/>
        <v>-0.2741935484</v>
      </c>
      <c r="U64" s="433">
        <v>4.43</v>
      </c>
      <c r="V64" s="433">
        <v>-0.08</v>
      </c>
      <c r="W64" s="433">
        <v>-0.93</v>
      </c>
      <c r="X64" s="434">
        <f t="shared" ref="X64:X69" si="62">IFERROR(W64-V64,"")</f>
        <v>-0.85</v>
      </c>
      <c r="Y64" s="432">
        <f t="shared" ref="Y64:Y78" si="63">IF(X64="","",IFERROR(X64/ABS(V64),0))</f>
        <v>-10.625</v>
      </c>
    </row>
    <row r="65" ht="15.75" customHeight="1">
      <c r="B65" s="429" t="s">
        <v>57</v>
      </c>
      <c r="C65" s="430">
        <v>0.0</v>
      </c>
      <c r="D65" s="430">
        <v>0.35</v>
      </c>
      <c r="E65" s="430">
        <v>2.03</v>
      </c>
      <c r="F65" s="430">
        <v>1.8</v>
      </c>
      <c r="G65" s="431">
        <f t="shared" si="59"/>
        <v>4.18</v>
      </c>
      <c r="I65" s="430">
        <v>0.0</v>
      </c>
      <c r="J65" s="430">
        <v>0.35</v>
      </c>
      <c r="K65" s="430">
        <v>0.4</v>
      </c>
      <c r="L65" s="430">
        <v>3.35</v>
      </c>
      <c r="M65" s="431">
        <f t="shared" si="60"/>
        <v>4.1</v>
      </c>
      <c r="O65" s="432" t="str">
        <f t="shared" ref="O65:S65" si="61">IFERROR(I65/C65-1,"")</f>
        <v/>
      </c>
      <c r="P65" s="432">
        <f t="shared" si="61"/>
        <v>0</v>
      </c>
      <c r="Q65" s="432">
        <f t="shared" si="61"/>
        <v>-0.802955665</v>
      </c>
      <c r="R65" s="432">
        <f t="shared" si="61"/>
        <v>0.8611111111</v>
      </c>
      <c r="S65" s="432">
        <f t="shared" si="61"/>
        <v>-0.01913875598</v>
      </c>
      <c r="U65" s="433">
        <v>7.71</v>
      </c>
      <c r="V65" s="433">
        <v>-0.05</v>
      </c>
      <c r="W65" s="433">
        <v>-0.13</v>
      </c>
      <c r="X65" s="434">
        <f t="shared" si="62"/>
        <v>-0.08</v>
      </c>
      <c r="Y65" s="432">
        <f t="shared" si="63"/>
        <v>-1.6</v>
      </c>
    </row>
    <row r="66" ht="15.75" customHeight="1">
      <c r="B66" s="429" t="s">
        <v>58</v>
      </c>
      <c r="C66" s="430">
        <v>0.0</v>
      </c>
      <c r="D66" s="430">
        <v>0.29</v>
      </c>
      <c r="E66" s="430">
        <v>3.02</v>
      </c>
      <c r="F66" s="430">
        <v>2.44</v>
      </c>
      <c r="G66" s="431">
        <f t="shared" si="59"/>
        <v>5.75</v>
      </c>
      <c r="I66" s="430">
        <v>0.0</v>
      </c>
      <c r="J66" s="430">
        <v>0.29</v>
      </c>
      <c r="K66" s="430">
        <v>0.55</v>
      </c>
      <c r="L66" s="430">
        <v>4.78</v>
      </c>
      <c r="M66" s="431">
        <f t="shared" si="60"/>
        <v>5.62</v>
      </c>
      <c r="O66" s="432" t="str">
        <f t="shared" ref="O66:S66" si="64">IFERROR(I66/C66-1,"")</f>
        <v/>
      </c>
      <c r="P66" s="432">
        <f t="shared" si="64"/>
        <v>0</v>
      </c>
      <c r="Q66" s="432">
        <f t="shared" si="64"/>
        <v>-0.8178807947</v>
      </c>
      <c r="R66" s="432">
        <f t="shared" si="64"/>
        <v>0.9590163934</v>
      </c>
      <c r="S66" s="432">
        <f t="shared" si="64"/>
        <v>-0.02260869565</v>
      </c>
      <c r="U66" s="433">
        <v>10.76</v>
      </c>
      <c r="V66" s="433">
        <v>0.0</v>
      </c>
      <c r="W66" s="433">
        <v>-0.13</v>
      </c>
      <c r="X66" s="434">
        <f t="shared" si="62"/>
        <v>-0.13</v>
      </c>
      <c r="Y66" s="432">
        <f t="shared" si="63"/>
        <v>0</v>
      </c>
    </row>
    <row r="67" ht="15.75" customHeight="1">
      <c r="B67" s="429" t="s">
        <v>59</v>
      </c>
      <c r="C67" s="430">
        <v>0.0</v>
      </c>
      <c r="D67" s="430">
        <v>0.33</v>
      </c>
      <c r="E67" s="430">
        <v>5.54</v>
      </c>
      <c r="F67" s="430">
        <v>4.09</v>
      </c>
      <c r="G67" s="431">
        <f t="shared" si="59"/>
        <v>9.96</v>
      </c>
      <c r="I67" s="430">
        <v>0.0</v>
      </c>
      <c r="J67" s="430">
        <v>0.33</v>
      </c>
      <c r="K67" s="430">
        <v>1.11</v>
      </c>
      <c r="L67" s="430">
        <v>7.9</v>
      </c>
      <c r="M67" s="431">
        <f t="shared" si="60"/>
        <v>9.34</v>
      </c>
      <c r="O67" s="432" t="str">
        <f t="shared" ref="O67:S67" si="65">IFERROR(I67/C67-1,"")</f>
        <v/>
      </c>
      <c r="P67" s="432">
        <f t="shared" si="65"/>
        <v>0</v>
      </c>
      <c r="Q67" s="432">
        <f t="shared" si="65"/>
        <v>-0.7996389892</v>
      </c>
      <c r="R67" s="432">
        <f t="shared" si="65"/>
        <v>0.9315403423</v>
      </c>
      <c r="S67" s="432">
        <f t="shared" si="65"/>
        <v>-0.06224899598</v>
      </c>
      <c r="U67" s="433">
        <v>17.7</v>
      </c>
      <c r="V67" s="433">
        <v>-0.8</v>
      </c>
      <c r="W67" s="433">
        <v>-1.42</v>
      </c>
      <c r="X67" s="434">
        <f t="shared" si="62"/>
        <v>-0.62</v>
      </c>
      <c r="Y67" s="432">
        <f t="shared" si="63"/>
        <v>-0.775</v>
      </c>
    </row>
    <row r="68" ht="15.75" customHeight="1">
      <c r="B68" s="429" t="s">
        <v>60</v>
      </c>
      <c r="C68" s="430">
        <v>0.0</v>
      </c>
      <c r="D68" s="430">
        <v>0.3</v>
      </c>
      <c r="E68" s="430">
        <v>8.29</v>
      </c>
      <c r="F68" s="430">
        <v>4.49</v>
      </c>
      <c r="G68" s="431">
        <f t="shared" si="59"/>
        <v>13.08</v>
      </c>
      <c r="I68" s="430">
        <v>0.0</v>
      </c>
      <c r="J68" s="430">
        <v>0.3</v>
      </c>
      <c r="K68" s="430">
        <v>1.83</v>
      </c>
      <c r="L68" s="430">
        <v>9.23</v>
      </c>
      <c r="M68" s="431">
        <f t="shared" si="60"/>
        <v>11.36</v>
      </c>
      <c r="O68" s="432" t="str">
        <f t="shared" ref="O68:S68" si="66">IFERROR(I68/C68-1,"")</f>
        <v/>
      </c>
      <c r="P68" s="432">
        <f t="shared" si="66"/>
        <v>0</v>
      </c>
      <c r="Q68" s="432">
        <f t="shared" si="66"/>
        <v>-0.779252111</v>
      </c>
      <c r="R68" s="432">
        <f t="shared" si="66"/>
        <v>1.055679287</v>
      </c>
      <c r="S68" s="432">
        <f t="shared" si="66"/>
        <v>-0.1314984709</v>
      </c>
      <c r="U68" s="433">
        <v>25.13</v>
      </c>
      <c r="V68" s="433">
        <v>-4.0</v>
      </c>
      <c r="W68" s="433">
        <v>-5.72</v>
      </c>
      <c r="X68" s="434">
        <f t="shared" si="62"/>
        <v>-1.72</v>
      </c>
      <c r="Y68" s="432">
        <f t="shared" si="63"/>
        <v>-0.43</v>
      </c>
    </row>
    <row r="69" ht="15.75" customHeight="1">
      <c r="B69" s="435" t="s">
        <v>1866</v>
      </c>
      <c r="C69" s="436">
        <v>0.0</v>
      </c>
      <c r="D69" s="436">
        <v>0.34</v>
      </c>
      <c r="E69" s="436">
        <v>2.25</v>
      </c>
      <c r="F69" s="436">
        <v>1.97</v>
      </c>
      <c r="G69" s="437">
        <f t="shared" si="59"/>
        <v>4.56</v>
      </c>
      <c r="I69" s="436">
        <v>0.0</v>
      </c>
      <c r="J69" s="436">
        <v>0.34</v>
      </c>
      <c r="K69" s="436">
        <v>0.49</v>
      </c>
      <c r="L69" s="436">
        <v>3.2</v>
      </c>
      <c r="M69" s="437">
        <f t="shared" si="60"/>
        <v>4.03</v>
      </c>
      <c r="O69" s="438" t="str">
        <f t="shared" ref="O69:S69" si="67">IFERROR(I69/C69-1,"")</f>
        <v/>
      </c>
      <c r="P69" s="438">
        <f t="shared" si="67"/>
        <v>0</v>
      </c>
      <c r="Q69" s="438">
        <f t="shared" si="67"/>
        <v>-0.7822222222</v>
      </c>
      <c r="R69" s="438">
        <f t="shared" si="67"/>
        <v>0.6243654822</v>
      </c>
      <c r="S69" s="438">
        <f t="shared" si="67"/>
        <v>-0.1162280702</v>
      </c>
      <c r="U69" s="439">
        <v>8.58</v>
      </c>
      <c r="V69" s="439">
        <v>-0.22</v>
      </c>
      <c r="W69" s="439">
        <v>-0.7</v>
      </c>
      <c r="X69" s="440">
        <f t="shared" si="62"/>
        <v>-0.48</v>
      </c>
      <c r="Y69" s="438">
        <f t="shared" si="63"/>
        <v>-2.181818182</v>
      </c>
    </row>
    <row r="70" ht="15.75" customHeight="1">
      <c r="B70" s="428" t="s">
        <v>1867</v>
      </c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  <c r="V70" s="428"/>
      <c r="W70" s="428"/>
      <c r="X70" s="428"/>
      <c r="Y70" s="428" t="str">
        <f t="shared" si="63"/>
        <v/>
      </c>
    </row>
    <row r="71" ht="15.75" customHeight="1">
      <c r="B71" s="429" t="s">
        <v>56</v>
      </c>
      <c r="C71" s="430">
        <v>0.0</v>
      </c>
      <c r="D71" s="430">
        <v>0.56</v>
      </c>
      <c r="E71" s="430">
        <v>1.38</v>
      </c>
      <c r="F71" s="430">
        <v>2.21</v>
      </c>
      <c r="G71" s="431">
        <f t="shared" ref="G71:G76" si="69">SUM(C71:F71)</f>
        <v>4.15</v>
      </c>
      <c r="I71" s="430">
        <v>0.0</v>
      </c>
      <c r="J71" s="430">
        <v>0.56</v>
      </c>
      <c r="K71" s="430">
        <v>0.38</v>
      </c>
      <c r="L71" s="430">
        <v>2.38</v>
      </c>
      <c r="M71" s="431">
        <f t="shared" ref="M71:M76" si="70">SUM(I71:L71)</f>
        <v>3.32</v>
      </c>
      <c r="O71" s="432" t="str">
        <f t="shared" ref="O71:S71" si="68">IFERROR(I71/C71-1,"")</f>
        <v/>
      </c>
      <c r="P71" s="432">
        <f t="shared" si="68"/>
        <v>0</v>
      </c>
      <c r="Q71" s="432">
        <f t="shared" si="68"/>
        <v>-0.7246376812</v>
      </c>
      <c r="R71" s="432">
        <f t="shared" si="68"/>
        <v>0.07692307692</v>
      </c>
      <c r="S71" s="432">
        <f t="shared" si="68"/>
        <v>-0.2</v>
      </c>
      <c r="U71" s="433">
        <v>6.91</v>
      </c>
      <c r="V71" s="433">
        <v>-1.01</v>
      </c>
      <c r="W71" s="433">
        <v>-1.84</v>
      </c>
      <c r="X71" s="434">
        <f t="shared" ref="X71:X76" si="72">IFERROR(W71-V71,"")</f>
        <v>-0.83</v>
      </c>
      <c r="Y71" s="432">
        <f t="shared" si="63"/>
        <v>-0.8217821782</v>
      </c>
    </row>
    <row r="72" ht="15.75" customHeight="1">
      <c r="B72" s="429" t="s">
        <v>57</v>
      </c>
      <c r="C72" s="430">
        <v>0.0</v>
      </c>
      <c r="D72" s="430">
        <v>0.4</v>
      </c>
      <c r="E72" s="430">
        <v>1.86</v>
      </c>
      <c r="F72" s="430">
        <v>2.59</v>
      </c>
      <c r="G72" s="431">
        <f t="shared" si="69"/>
        <v>4.85</v>
      </c>
      <c r="I72" s="430">
        <v>0.0</v>
      </c>
      <c r="J72" s="430">
        <v>0.4</v>
      </c>
      <c r="K72" s="430">
        <v>0.35</v>
      </c>
      <c r="L72" s="430">
        <v>4.28</v>
      </c>
      <c r="M72" s="431">
        <f t="shared" si="70"/>
        <v>5.03</v>
      </c>
      <c r="O72" s="432" t="str">
        <f t="shared" ref="O72:S72" si="71">IFERROR(I72/C72-1,"")</f>
        <v/>
      </c>
      <c r="P72" s="432">
        <f t="shared" si="71"/>
        <v>0</v>
      </c>
      <c r="Q72" s="432">
        <f t="shared" si="71"/>
        <v>-0.811827957</v>
      </c>
      <c r="R72" s="432">
        <f t="shared" si="71"/>
        <v>0.6525096525</v>
      </c>
      <c r="S72" s="432">
        <f t="shared" si="71"/>
        <v>0.03711340206</v>
      </c>
      <c r="U72" s="433">
        <v>12.06</v>
      </c>
      <c r="V72" s="433">
        <v>-2.25</v>
      </c>
      <c r="W72" s="433">
        <v>-2.07</v>
      </c>
      <c r="X72" s="434">
        <f t="shared" si="72"/>
        <v>0.18</v>
      </c>
      <c r="Y72" s="432">
        <f t="shared" si="63"/>
        <v>0.08</v>
      </c>
    </row>
    <row r="73" ht="15.75" customHeight="1">
      <c r="B73" s="429" t="s">
        <v>58</v>
      </c>
      <c r="C73" s="430">
        <v>0.0</v>
      </c>
      <c r="D73" s="430">
        <v>0.3</v>
      </c>
      <c r="E73" s="430">
        <v>2.69</v>
      </c>
      <c r="F73" s="430">
        <v>3.36</v>
      </c>
      <c r="G73" s="431">
        <f t="shared" si="69"/>
        <v>6.35</v>
      </c>
      <c r="I73" s="430">
        <v>0.0</v>
      </c>
      <c r="J73" s="430">
        <v>0.3</v>
      </c>
      <c r="K73" s="430">
        <v>0.45</v>
      </c>
      <c r="L73" s="430">
        <v>5.7</v>
      </c>
      <c r="M73" s="431">
        <f t="shared" si="70"/>
        <v>6.45</v>
      </c>
      <c r="O73" s="432" t="str">
        <f t="shared" ref="O73:S73" si="73">IFERROR(I73/C73-1,"")</f>
        <v/>
      </c>
      <c r="P73" s="432">
        <f t="shared" si="73"/>
        <v>0</v>
      </c>
      <c r="Q73" s="432">
        <f t="shared" si="73"/>
        <v>-0.8327137546</v>
      </c>
      <c r="R73" s="432">
        <f t="shared" si="73"/>
        <v>0.6964285714</v>
      </c>
      <c r="S73" s="432">
        <f t="shared" si="73"/>
        <v>0.0157480315</v>
      </c>
      <c r="U73" s="433">
        <v>16.27</v>
      </c>
      <c r="V73" s="433">
        <v>-3.84</v>
      </c>
      <c r="W73" s="433">
        <v>-3.74</v>
      </c>
      <c r="X73" s="434">
        <f t="shared" si="72"/>
        <v>0.1</v>
      </c>
      <c r="Y73" s="432">
        <f t="shared" si="63"/>
        <v>0.02604166667</v>
      </c>
    </row>
    <row r="74" ht="15.75" customHeight="1">
      <c r="B74" s="429" t="s">
        <v>59</v>
      </c>
      <c r="C74" s="430">
        <v>0.0</v>
      </c>
      <c r="D74" s="430">
        <v>0.28</v>
      </c>
      <c r="E74" s="430">
        <v>4.82</v>
      </c>
      <c r="F74" s="430">
        <v>5.11</v>
      </c>
      <c r="G74" s="431">
        <f t="shared" si="69"/>
        <v>10.21</v>
      </c>
      <c r="I74" s="430">
        <v>0.0</v>
      </c>
      <c r="J74" s="430">
        <v>0.28</v>
      </c>
      <c r="K74" s="430">
        <v>0.86</v>
      </c>
      <c r="L74" s="430">
        <v>8.73</v>
      </c>
      <c r="M74" s="431">
        <f t="shared" si="70"/>
        <v>9.87</v>
      </c>
      <c r="O74" s="432" t="str">
        <f t="shared" ref="O74:S74" si="74">IFERROR(I74/C74-1,"")</f>
        <v/>
      </c>
      <c r="P74" s="432">
        <f t="shared" si="74"/>
        <v>0</v>
      </c>
      <c r="Q74" s="432">
        <f t="shared" si="74"/>
        <v>-0.8215767635</v>
      </c>
      <c r="R74" s="432">
        <f t="shared" si="74"/>
        <v>0.7084148728</v>
      </c>
      <c r="S74" s="432">
        <f t="shared" si="74"/>
        <v>-0.0333006856</v>
      </c>
      <c r="U74" s="433">
        <v>24.76</v>
      </c>
      <c r="V74" s="433">
        <v>-6.42</v>
      </c>
      <c r="W74" s="433">
        <v>-6.76</v>
      </c>
      <c r="X74" s="434">
        <f t="shared" si="72"/>
        <v>-0.34</v>
      </c>
      <c r="Y74" s="432">
        <f t="shared" si="63"/>
        <v>-0.05295950156</v>
      </c>
    </row>
    <row r="75" ht="15.75" customHeight="1">
      <c r="B75" s="429" t="s">
        <v>60</v>
      </c>
      <c r="C75" s="430">
        <v>0.0</v>
      </c>
      <c r="D75" s="430">
        <v>0.26</v>
      </c>
      <c r="E75" s="430">
        <v>7.95</v>
      </c>
      <c r="F75" s="430">
        <v>6.08</v>
      </c>
      <c r="G75" s="431">
        <f t="shared" si="69"/>
        <v>14.29</v>
      </c>
      <c r="I75" s="430">
        <v>0.0</v>
      </c>
      <c r="J75" s="430">
        <v>0.26</v>
      </c>
      <c r="K75" s="430">
        <v>1.59</v>
      </c>
      <c r="L75" s="430">
        <v>11.3</v>
      </c>
      <c r="M75" s="431">
        <f t="shared" si="70"/>
        <v>13.15</v>
      </c>
      <c r="O75" s="432" t="str">
        <f t="shared" ref="O75:S75" si="75">IFERROR(I75/C75-1,"")</f>
        <v/>
      </c>
      <c r="P75" s="432">
        <f t="shared" si="75"/>
        <v>0</v>
      </c>
      <c r="Q75" s="432">
        <f t="shared" si="75"/>
        <v>-0.8</v>
      </c>
      <c r="R75" s="432">
        <f t="shared" si="75"/>
        <v>0.8585526316</v>
      </c>
      <c r="S75" s="432">
        <f t="shared" si="75"/>
        <v>-0.07977606718</v>
      </c>
      <c r="U75" s="433">
        <v>33.65</v>
      </c>
      <c r="V75" s="433">
        <v>-9.28</v>
      </c>
      <c r="W75" s="433">
        <v>-10.42</v>
      </c>
      <c r="X75" s="434">
        <f t="shared" si="72"/>
        <v>-1.14</v>
      </c>
      <c r="Y75" s="432">
        <f t="shared" si="63"/>
        <v>-0.1228448276</v>
      </c>
    </row>
    <row r="76" ht="15.75" customHeight="1">
      <c r="B76" s="435" t="s">
        <v>1866</v>
      </c>
      <c r="C76" s="436">
        <v>0.0</v>
      </c>
      <c r="D76" s="436">
        <v>0.46</v>
      </c>
      <c r="E76" s="436">
        <v>2.04</v>
      </c>
      <c r="F76" s="436">
        <v>2.75</v>
      </c>
      <c r="G76" s="437">
        <f t="shared" si="69"/>
        <v>5.25</v>
      </c>
      <c r="I76" s="436">
        <v>0.0</v>
      </c>
      <c r="J76" s="436">
        <v>0.46</v>
      </c>
      <c r="K76" s="436">
        <v>0.43</v>
      </c>
      <c r="L76" s="436">
        <v>3.93</v>
      </c>
      <c r="M76" s="437">
        <f t="shared" si="70"/>
        <v>4.82</v>
      </c>
      <c r="O76" s="438" t="str">
        <f t="shared" ref="O76:S76" si="76">IFERROR(I76/C76-1,"")</f>
        <v/>
      </c>
      <c r="P76" s="438">
        <f t="shared" si="76"/>
        <v>0</v>
      </c>
      <c r="Q76" s="438">
        <f t="shared" si="76"/>
        <v>-0.7892156863</v>
      </c>
      <c r="R76" s="438">
        <f t="shared" si="76"/>
        <v>0.4290909091</v>
      </c>
      <c r="S76" s="438">
        <f t="shared" si="76"/>
        <v>-0.0819047619</v>
      </c>
      <c r="U76" s="439">
        <v>11.91</v>
      </c>
      <c r="V76" s="439">
        <v>-2.45</v>
      </c>
      <c r="W76" s="439">
        <v>-2.82</v>
      </c>
      <c r="X76" s="440">
        <f t="shared" si="72"/>
        <v>-0.37</v>
      </c>
      <c r="Y76" s="438">
        <f t="shared" si="63"/>
        <v>-0.1510204082</v>
      </c>
    </row>
    <row r="77" ht="15.75" customHeight="1">
      <c r="Y77" s="194" t="str">
        <f t="shared" si="63"/>
        <v/>
      </c>
    </row>
    <row r="78" ht="15.75" customHeight="1">
      <c r="Y78" s="194" t="str">
        <f t="shared" si="63"/>
        <v/>
      </c>
    </row>
    <row r="79" ht="15.75" customHeight="1">
      <c r="B79" s="415" t="s">
        <v>1871</v>
      </c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  <c r="O79" s="415"/>
      <c r="P79" s="415"/>
      <c r="Q79" s="415"/>
      <c r="R79" s="415"/>
      <c r="S79" s="415"/>
      <c r="T79" s="415"/>
      <c r="U79" s="415"/>
      <c r="V79" s="415"/>
      <c r="W79" s="415"/>
      <c r="X79" s="415"/>
      <c r="Y79" s="415"/>
    </row>
    <row r="80" ht="15.75" customHeight="1">
      <c r="C80" s="416" t="s">
        <v>1852</v>
      </c>
      <c r="D80" s="417"/>
      <c r="E80" s="417"/>
      <c r="F80" s="417"/>
      <c r="G80" s="417"/>
      <c r="I80" s="418" t="s">
        <v>1853</v>
      </c>
      <c r="J80" s="419"/>
      <c r="K80" s="419"/>
      <c r="L80" s="419"/>
      <c r="M80" s="419"/>
      <c r="O80" s="420" t="s">
        <v>1854</v>
      </c>
      <c r="P80" s="421"/>
      <c r="Q80" s="421"/>
      <c r="R80" s="421"/>
      <c r="S80" s="421"/>
      <c r="U80" s="422" t="s">
        <v>1855</v>
      </c>
      <c r="V80" s="423"/>
      <c r="W80" s="423"/>
      <c r="X80" s="421"/>
      <c r="Y80" s="421"/>
    </row>
    <row r="81" ht="15.75" customHeight="1">
      <c r="B81" s="161" t="s">
        <v>1856</v>
      </c>
      <c r="C81" s="424" t="s">
        <v>1857</v>
      </c>
      <c r="D81" s="424" t="s">
        <v>1858</v>
      </c>
      <c r="E81" s="424" t="s">
        <v>1859</v>
      </c>
      <c r="F81" s="424" t="s">
        <v>1860</v>
      </c>
      <c r="G81" s="424" t="s">
        <v>111</v>
      </c>
      <c r="I81" s="425" t="s">
        <v>1857</v>
      </c>
      <c r="J81" s="425" t="s">
        <v>1858</v>
      </c>
      <c r="K81" s="425" t="s">
        <v>1859</v>
      </c>
      <c r="L81" s="425" t="s">
        <v>1860</v>
      </c>
      <c r="M81" s="425" t="s">
        <v>111</v>
      </c>
      <c r="O81" s="426" t="s">
        <v>1857</v>
      </c>
      <c r="P81" s="426" t="s">
        <v>1858</v>
      </c>
      <c r="Q81" s="426" t="s">
        <v>1859</v>
      </c>
      <c r="R81" s="426" t="s">
        <v>1860</v>
      </c>
      <c r="S81" s="426" t="s">
        <v>111</v>
      </c>
      <c r="U81" s="427" t="s">
        <v>1861</v>
      </c>
      <c r="V81" s="427" t="s">
        <v>1862</v>
      </c>
      <c r="W81" s="427" t="s">
        <v>1863</v>
      </c>
      <c r="X81" s="426" t="s">
        <v>1864</v>
      </c>
      <c r="Y81" s="426" t="s">
        <v>1865</v>
      </c>
    </row>
    <row r="82" ht="15.75" customHeight="1">
      <c r="B82" s="428" t="s">
        <v>163</v>
      </c>
      <c r="C82" s="428"/>
      <c r="D82" s="428"/>
      <c r="E82" s="428"/>
      <c r="F82" s="428"/>
      <c r="G82" s="428"/>
      <c r="H82" s="428"/>
      <c r="I82" s="428"/>
      <c r="J82" s="428"/>
      <c r="K82" s="428"/>
      <c r="L82" s="428"/>
      <c r="M82" s="428"/>
      <c r="N82" s="428"/>
      <c r="O82" s="428"/>
      <c r="P82" s="428"/>
      <c r="Q82" s="428"/>
      <c r="R82" s="428"/>
      <c r="S82" s="428"/>
      <c r="T82" s="428"/>
      <c r="U82" s="428"/>
      <c r="V82" s="428"/>
      <c r="W82" s="428"/>
      <c r="X82" s="428"/>
      <c r="Y82" s="428"/>
    </row>
    <row r="83" ht="15.75" customHeight="1">
      <c r="B83" s="429" t="s">
        <v>56</v>
      </c>
      <c r="C83" s="430">
        <v>0.0</v>
      </c>
      <c r="D83" s="430">
        <v>0.0</v>
      </c>
      <c r="E83" s="430">
        <v>2.47</v>
      </c>
      <c r="F83" s="430">
        <v>3.96</v>
      </c>
      <c r="G83" s="431">
        <f t="shared" ref="G83:G88" si="78">SUM(C83:F83)</f>
        <v>6.43</v>
      </c>
      <c r="I83" s="430">
        <v>0.0</v>
      </c>
      <c r="J83" s="430">
        <v>0.0</v>
      </c>
      <c r="K83" s="430">
        <v>1.96</v>
      </c>
      <c r="L83" s="430">
        <v>9.22</v>
      </c>
      <c r="M83" s="431">
        <f t="shared" ref="M83:M88" si="79">SUM(I83:L83)</f>
        <v>11.18</v>
      </c>
      <c r="O83" s="432" t="str">
        <f t="shared" ref="O83:S83" si="77">IFERROR(I83/C83-1,"")</f>
        <v/>
      </c>
      <c r="P83" s="432" t="str">
        <f t="shared" si="77"/>
        <v/>
      </c>
      <c r="Q83" s="432">
        <f t="shared" si="77"/>
        <v>-0.2064777328</v>
      </c>
      <c r="R83" s="432">
        <f t="shared" si="77"/>
        <v>1.328282828</v>
      </c>
      <c r="S83" s="432">
        <f t="shared" si="77"/>
        <v>0.7387247278</v>
      </c>
      <c r="U83" s="433">
        <v>10.14</v>
      </c>
      <c r="V83" s="433">
        <v>-0.11</v>
      </c>
      <c r="W83" s="433">
        <v>4.64</v>
      </c>
      <c r="X83" s="434">
        <f t="shared" ref="X83:X88" si="81">IFERROR(W83-V83,"")</f>
        <v>4.75</v>
      </c>
      <c r="Y83" s="432">
        <f t="shared" ref="Y83:Y97" si="82">IF(X83="","",IFERROR(X83/ABS(V83),0))</f>
        <v>43.18181818</v>
      </c>
    </row>
    <row r="84" ht="15.75" customHeight="1">
      <c r="B84" s="429" t="s">
        <v>57</v>
      </c>
      <c r="C84" s="430">
        <v>0.0</v>
      </c>
      <c r="D84" s="430">
        <v>0.0</v>
      </c>
      <c r="E84" s="430">
        <v>4.37</v>
      </c>
      <c r="F84" s="430">
        <v>4.58</v>
      </c>
      <c r="G84" s="431">
        <f t="shared" si="78"/>
        <v>8.95</v>
      </c>
      <c r="I84" s="430">
        <v>0.0</v>
      </c>
      <c r="J84" s="430">
        <v>0.0</v>
      </c>
      <c r="K84" s="430">
        <v>3.36</v>
      </c>
      <c r="L84" s="430">
        <v>14.64</v>
      </c>
      <c r="M84" s="431">
        <f t="shared" si="79"/>
        <v>18</v>
      </c>
      <c r="O84" s="432" t="str">
        <f t="shared" ref="O84:S84" si="80">IFERROR(I84/C84-1,"")</f>
        <v/>
      </c>
      <c r="P84" s="432" t="str">
        <f t="shared" si="80"/>
        <v/>
      </c>
      <c r="Q84" s="432">
        <f t="shared" si="80"/>
        <v>-0.2311212815</v>
      </c>
      <c r="R84" s="432">
        <f t="shared" si="80"/>
        <v>2.19650655</v>
      </c>
      <c r="S84" s="432">
        <f t="shared" si="80"/>
        <v>1.011173184</v>
      </c>
      <c r="U84" s="433">
        <v>18.11</v>
      </c>
      <c r="V84" s="433">
        <v>-0.68</v>
      </c>
      <c r="W84" s="433">
        <v>8.37</v>
      </c>
      <c r="X84" s="434">
        <f t="shared" si="81"/>
        <v>9.05</v>
      </c>
      <c r="Y84" s="432">
        <f t="shared" si="82"/>
        <v>13.30882353</v>
      </c>
    </row>
    <row r="85" ht="15.75" customHeight="1">
      <c r="B85" s="429" t="s">
        <v>58</v>
      </c>
      <c r="C85" s="430">
        <v>0.0</v>
      </c>
      <c r="D85" s="430">
        <v>0.0</v>
      </c>
      <c r="E85" s="430">
        <v>6.53</v>
      </c>
      <c r="F85" s="430">
        <v>5.28</v>
      </c>
      <c r="G85" s="431">
        <f t="shared" si="78"/>
        <v>11.81</v>
      </c>
      <c r="I85" s="430">
        <v>0.0</v>
      </c>
      <c r="J85" s="430">
        <v>0.0</v>
      </c>
      <c r="K85" s="430">
        <v>4.86</v>
      </c>
      <c r="L85" s="430">
        <v>18.05</v>
      </c>
      <c r="M85" s="431">
        <f t="shared" si="79"/>
        <v>22.91</v>
      </c>
      <c r="O85" s="432" t="str">
        <f t="shared" ref="O85:S85" si="83">IFERROR(I85/C85-1,"")</f>
        <v/>
      </c>
      <c r="P85" s="432" t="str">
        <f t="shared" si="83"/>
        <v/>
      </c>
      <c r="Q85" s="432">
        <f t="shared" si="83"/>
        <v>-0.2557427259</v>
      </c>
      <c r="R85" s="432">
        <f t="shared" si="83"/>
        <v>2.418560606</v>
      </c>
      <c r="S85" s="432">
        <f t="shared" si="83"/>
        <v>0.9398814564</v>
      </c>
      <c r="U85" s="433">
        <v>23.99</v>
      </c>
      <c r="V85" s="433">
        <v>-0.77</v>
      </c>
      <c r="W85" s="433">
        <v>10.33</v>
      </c>
      <c r="X85" s="434">
        <f t="shared" si="81"/>
        <v>11.1</v>
      </c>
      <c r="Y85" s="432">
        <f t="shared" si="82"/>
        <v>14.41558442</v>
      </c>
    </row>
    <row r="86" ht="15.75" customHeight="1">
      <c r="B86" s="429" t="s">
        <v>59</v>
      </c>
      <c r="C86" s="430">
        <v>0.0</v>
      </c>
      <c r="D86" s="430">
        <v>0.0</v>
      </c>
      <c r="E86" s="430">
        <v>12.07</v>
      </c>
      <c r="F86" s="430">
        <v>6.33</v>
      </c>
      <c r="G86" s="431">
        <f t="shared" si="78"/>
        <v>18.4</v>
      </c>
      <c r="I86" s="430">
        <v>0.0</v>
      </c>
      <c r="J86" s="430">
        <v>0.0</v>
      </c>
      <c r="K86" s="430">
        <v>8.76</v>
      </c>
      <c r="L86" s="430">
        <v>22.29</v>
      </c>
      <c r="M86" s="431">
        <f t="shared" si="79"/>
        <v>31.05</v>
      </c>
      <c r="O86" s="432" t="str">
        <f t="shared" ref="O86:S86" si="84">IFERROR(I86/C86-1,"")</f>
        <v/>
      </c>
      <c r="P86" s="432" t="str">
        <f t="shared" si="84"/>
        <v/>
      </c>
      <c r="Q86" s="432">
        <f t="shared" si="84"/>
        <v>-0.2742336371</v>
      </c>
      <c r="R86" s="432">
        <f t="shared" si="84"/>
        <v>2.521327014</v>
      </c>
      <c r="S86" s="432">
        <f t="shared" si="84"/>
        <v>0.6875</v>
      </c>
      <c r="U86" s="433">
        <v>33.18</v>
      </c>
      <c r="V86" s="433">
        <v>-0.7</v>
      </c>
      <c r="W86" s="433">
        <v>11.95</v>
      </c>
      <c r="X86" s="434">
        <f t="shared" si="81"/>
        <v>12.65</v>
      </c>
      <c r="Y86" s="432">
        <f t="shared" si="82"/>
        <v>18.07142857</v>
      </c>
    </row>
    <row r="87" ht="15.75" customHeight="1">
      <c r="B87" s="429" t="s">
        <v>60</v>
      </c>
      <c r="C87" s="430">
        <v>0.0</v>
      </c>
      <c r="D87" s="430">
        <v>0.0</v>
      </c>
      <c r="E87" s="430">
        <v>18.32</v>
      </c>
      <c r="F87" s="430">
        <v>6.09</v>
      </c>
      <c r="G87" s="431">
        <f t="shared" si="78"/>
        <v>24.41</v>
      </c>
      <c r="I87" s="430">
        <v>0.0</v>
      </c>
      <c r="J87" s="430">
        <v>0.0</v>
      </c>
      <c r="K87" s="430">
        <v>13.07</v>
      </c>
      <c r="L87" s="430">
        <v>19.22</v>
      </c>
      <c r="M87" s="431">
        <f t="shared" si="79"/>
        <v>32.29</v>
      </c>
      <c r="O87" s="432" t="str">
        <f t="shared" ref="O87:S87" si="85">IFERROR(I87/C87-1,"")</f>
        <v/>
      </c>
      <c r="P87" s="432" t="str">
        <f t="shared" si="85"/>
        <v/>
      </c>
      <c r="Q87" s="432">
        <f t="shared" si="85"/>
        <v>-0.2865720524</v>
      </c>
      <c r="R87" s="432">
        <f t="shared" si="85"/>
        <v>2.155993432</v>
      </c>
      <c r="S87" s="432">
        <f t="shared" si="85"/>
        <v>0.322818517</v>
      </c>
      <c r="U87" s="433">
        <v>40.44</v>
      </c>
      <c r="V87" s="433">
        <v>-1.42</v>
      </c>
      <c r="W87" s="433">
        <v>6.46</v>
      </c>
      <c r="X87" s="434">
        <f t="shared" si="81"/>
        <v>7.88</v>
      </c>
      <c r="Y87" s="432">
        <f t="shared" si="82"/>
        <v>5.549295775</v>
      </c>
    </row>
    <row r="88" ht="15.75" customHeight="1">
      <c r="B88" s="435" t="s">
        <v>1866</v>
      </c>
      <c r="C88" s="436">
        <v>0.0</v>
      </c>
      <c r="D88" s="436">
        <v>0.0</v>
      </c>
      <c r="E88" s="436">
        <v>4.7</v>
      </c>
      <c r="F88" s="436">
        <v>4.57</v>
      </c>
      <c r="G88" s="437">
        <f t="shared" si="78"/>
        <v>9.27</v>
      </c>
      <c r="I88" s="436">
        <v>0.0</v>
      </c>
      <c r="J88" s="436">
        <v>0.0</v>
      </c>
      <c r="K88" s="436">
        <v>3.56</v>
      </c>
      <c r="L88" s="436">
        <v>13.35</v>
      </c>
      <c r="M88" s="437">
        <f t="shared" si="79"/>
        <v>16.91</v>
      </c>
      <c r="O88" s="438" t="str">
        <f t="shared" ref="O88:S88" si="86">IFERROR(I88/C88-1,"")</f>
        <v/>
      </c>
      <c r="P88" s="438" t="str">
        <f t="shared" si="86"/>
        <v/>
      </c>
      <c r="Q88" s="438">
        <f t="shared" si="86"/>
        <v>-0.2425531915</v>
      </c>
      <c r="R88" s="438">
        <f t="shared" si="86"/>
        <v>1.921225383</v>
      </c>
      <c r="S88" s="438">
        <f t="shared" si="86"/>
        <v>0.8241639698</v>
      </c>
      <c r="U88" s="439">
        <v>17.48</v>
      </c>
      <c r="V88" s="439">
        <v>-0.46</v>
      </c>
      <c r="W88" s="439">
        <v>7.4</v>
      </c>
      <c r="X88" s="440">
        <f t="shared" si="81"/>
        <v>7.86</v>
      </c>
      <c r="Y88" s="438">
        <f t="shared" si="82"/>
        <v>17.08695652</v>
      </c>
    </row>
    <row r="89" ht="15.75" customHeight="1">
      <c r="B89" s="428" t="s">
        <v>1867</v>
      </c>
      <c r="C89" s="428"/>
      <c r="D89" s="428"/>
      <c r="E89" s="428"/>
      <c r="F89" s="428"/>
      <c r="G89" s="428"/>
      <c r="H89" s="428"/>
      <c r="I89" s="428"/>
      <c r="J89" s="428"/>
      <c r="K89" s="428"/>
      <c r="L89" s="428"/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428"/>
      <c r="Y89" s="428" t="str">
        <f t="shared" si="82"/>
        <v/>
      </c>
    </row>
    <row r="90" ht="15.75" customHeight="1">
      <c r="B90" s="429" t="s">
        <v>56</v>
      </c>
      <c r="C90" s="430">
        <v>0.0</v>
      </c>
      <c r="D90" s="430">
        <v>0.0</v>
      </c>
      <c r="E90" s="430">
        <v>2.86</v>
      </c>
      <c r="F90" s="430">
        <v>5.27</v>
      </c>
      <c r="G90" s="431">
        <f t="shared" ref="G90:G95" si="88">SUM(C90:F90)</f>
        <v>8.13</v>
      </c>
      <c r="I90" s="430">
        <v>0.0</v>
      </c>
      <c r="J90" s="430">
        <v>0.0</v>
      </c>
      <c r="K90" s="430">
        <v>2.26</v>
      </c>
      <c r="L90" s="430">
        <v>11.64</v>
      </c>
      <c r="M90" s="431">
        <f t="shared" ref="M90:M95" si="89">SUM(I90:L90)</f>
        <v>13.9</v>
      </c>
      <c r="O90" s="432" t="str">
        <f t="shared" ref="O90:S90" si="87">IFERROR(I90/C90-1,"")</f>
        <v/>
      </c>
      <c r="P90" s="432" t="str">
        <f t="shared" si="87"/>
        <v/>
      </c>
      <c r="Q90" s="432">
        <f t="shared" si="87"/>
        <v>-0.2097902098</v>
      </c>
      <c r="R90" s="432">
        <f t="shared" si="87"/>
        <v>1.208728653</v>
      </c>
      <c r="S90" s="432">
        <f t="shared" si="87"/>
        <v>0.7097170972</v>
      </c>
      <c r="U90" s="433">
        <v>14.84</v>
      </c>
      <c r="V90" s="433">
        <v>-2.14</v>
      </c>
      <c r="W90" s="433">
        <v>3.63</v>
      </c>
      <c r="X90" s="434">
        <f t="shared" ref="X90:X95" si="91">IFERROR(W90-V90,"")</f>
        <v>5.77</v>
      </c>
      <c r="Y90" s="432">
        <f t="shared" si="82"/>
        <v>2.696261682</v>
      </c>
    </row>
    <row r="91" ht="15.75" customHeight="1">
      <c r="B91" s="429" t="s">
        <v>57</v>
      </c>
      <c r="C91" s="430">
        <v>0.0</v>
      </c>
      <c r="D91" s="430">
        <v>0.0</v>
      </c>
      <c r="E91" s="430">
        <v>4.13</v>
      </c>
      <c r="F91" s="430">
        <v>5.22</v>
      </c>
      <c r="G91" s="431">
        <f t="shared" si="88"/>
        <v>9.35</v>
      </c>
      <c r="I91" s="430">
        <v>0.0</v>
      </c>
      <c r="J91" s="430">
        <v>0.0</v>
      </c>
      <c r="K91" s="430">
        <v>3.18</v>
      </c>
      <c r="L91" s="430">
        <v>15.73</v>
      </c>
      <c r="M91" s="431">
        <f t="shared" si="89"/>
        <v>18.91</v>
      </c>
      <c r="O91" s="432" t="str">
        <f t="shared" ref="O91:S91" si="90">IFERROR(I91/C91-1,"")</f>
        <v/>
      </c>
      <c r="P91" s="432" t="str">
        <f t="shared" si="90"/>
        <v/>
      </c>
      <c r="Q91" s="432">
        <f t="shared" si="90"/>
        <v>-0.2300242131</v>
      </c>
      <c r="R91" s="432">
        <f t="shared" si="90"/>
        <v>2.013409962</v>
      </c>
      <c r="S91" s="432">
        <f t="shared" si="90"/>
        <v>1.022459893</v>
      </c>
      <c r="U91" s="433">
        <v>24.27</v>
      </c>
      <c r="V91" s="433">
        <v>-4.68</v>
      </c>
      <c r="W91" s="433">
        <v>4.88</v>
      </c>
      <c r="X91" s="434">
        <f t="shared" si="91"/>
        <v>9.56</v>
      </c>
      <c r="Y91" s="432">
        <f t="shared" si="82"/>
        <v>2.042735043</v>
      </c>
    </row>
    <row r="92" ht="15.75" customHeight="1">
      <c r="B92" s="429" t="s">
        <v>58</v>
      </c>
      <c r="C92" s="430">
        <v>0.0</v>
      </c>
      <c r="D92" s="430">
        <v>0.0</v>
      </c>
      <c r="E92" s="430">
        <v>5.97</v>
      </c>
      <c r="F92" s="430">
        <v>6.07</v>
      </c>
      <c r="G92" s="431">
        <f t="shared" si="88"/>
        <v>12.04</v>
      </c>
      <c r="I92" s="430">
        <v>0.0</v>
      </c>
      <c r="J92" s="430">
        <v>0.0</v>
      </c>
      <c r="K92" s="430">
        <v>4.43</v>
      </c>
      <c r="L92" s="430">
        <v>18.79</v>
      </c>
      <c r="M92" s="431">
        <f t="shared" si="89"/>
        <v>23.22</v>
      </c>
      <c r="O92" s="432" t="str">
        <f t="shared" ref="O92:S92" si="92">IFERROR(I92/C92-1,"")</f>
        <v/>
      </c>
      <c r="P92" s="432" t="str">
        <f t="shared" si="92"/>
        <v/>
      </c>
      <c r="Q92" s="432">
        <f t="shared" si="92"/>
        <v>-0.2579564489</v>
      </c>
      <c r="R92" s="432">
        <f t="shared" si="92"/>
        <v>2.095551895</v>
      </c>
      <c r="S92" s="432">
        <f t="shared" si="92"/>
        <v>0.9285714286</v>
      </c>
      <c r="U92" s="433">
        <v>31.32</v>
      </c>
      <c r="V92" s="433">
        <v>-6.63</v>
      </c>
      <c r="W92" s="433">
        <v>4.55</v>
      </c>
      <c r="X92" s="434">
        <f t="shared" si="91"/>
        <v>11.18</v>
      </c>
      <c r="Y92" s="432">
        <f t="shared" si="82"/>
        <v>1.68627451</v>
      </c>
    </row>
    <row r="93" ht="15.75" customHeight="1">
      <c r="B93" s="429" t="s">
        <v>59</v>
      </c>
      <c r="C93" s="430">
        <v>0.0</v>
      </c>
      <c r="D93" s="430">
        <v>0.0</v>
      </c>
      <c r="E93" s="430">
        <v>10.79</v>
      </c>
      <c r="F93" s="430">
        <v>7.66</v>
      </c>
      <c r="G93" s="431">
        <f t="shared" si="88"/>
        <v>18.45</v>
      </c>
      <c r="I93" s="430">
        <v>0.0</v>
      </c>
      <c r="J93" s="430">
        <v>0.0</v>
      </c>
      <c r="K93" s="430">
        <v>7.82</v>
      </c>
      <c r="L93" s="430">
        <v>23.32</v>
      </c>
      <c r="M93" s="431">
        <f t="shared" si="89"/>
        <v>31.14</v>
      </c>
      <c r="O93" s="432" t="str">
        <f t="shared" ref="O93:S93" si="93">IFERROR(I93/C93-1,"")</f>
        <v/>
      </c>
      <c r="P93" s="432" t="str">
        <f t="shared" si="93"/>
        <v/>
      </c>
      <c r="Q93" s="432">
        <f t="shared" si="93"/>
        <v>-0.2752548656</v>
      </c>
      <c r="R93" s="432">
        <f t="shared" si="93"/>
        <v>2.044386423</v>
      </c>
      <c r="S93" s="432">
        <f t="shared" si="93"/>
        <v>0.687804878</v>
      </c>
      <c r="U93" s="433">
        <v>44.66</v>
      </c>
      <c r="V93" s="433">
        <v>-10.36</v>
      </c>
      <c r="W93" s="433">
        <v>2.33</v>
      </c>
      <c r="X93" s="434">
        <f t="shared" si="91"/>
        <v>12.69</v>
      </c>
      <c r="Y93" s="432">
        <f t="shared" si="82"/>
        <v>1.224903475</v>
      </c>
    </row>
    <row r="94" ht="15.75" customHeight="1">
      <c r="B94" s="429" t="s">
        <v>60</v>
      </c>
      <c r="C94" s="430">
        <v>0.0</v>
      </c>
      <c r="D94" s="430">
        <v>0.0</v>
      </c>
      <c r="E94" s="430">
        <v>17.8</v>
      </c>
      <c r="F94" s="430">
        <v>8.18</v>
      </c>
      <c r="G94" s="431">
        <f t="shared" si="88"/>
        <v>25.98</v>
      </c>
      <c r="I94" s="430">
        <v>0.0</v>
      </c>
      <c r="J94" s="430">
        <v>0.0</v>
      </c>
      <c r="K94" s="430">
        <v>12.67</v>
      </c>
      <c r="L94" s="430">
        <v>22.46</v>
      </c>
      <c r="M94" s="431">
        <f t="shared" si="89"/>
        <v>35.13</v>
      </c>
      <c r="O94" s="432" t="str">
        <f t="shared" ref="O94:S94" si="94">IFERROR(I94/C94-1,"")</f>
        <v/>
      </c>
      <c r="P94" s="432" t="str">
        <f t="shared" si="94"/>
        <v/>
      </c>
      <c r="Q94" s="432">
        <f t="shared" si="94"/>
        <v>-0.2882022472</v>
      </c>
      <c r="R94" s="432">
        <f t="shared" si="94"/>
        <v>1.745721271</v>
      </c>
      <c r="S94" s="432">
        <f t="shared" si="94"/>
        <v>0.3521939954</v>
      </c>
      <c r="U94" s="433">
        <v>56.01</v>
      </c>
      <c r="V94" s="433">
        <v>-11.95</v>
      </c>
      <c r="W94" s="433">
        <v>-2.8</v>
      </c>
      <c r="X94" s="434">
        <f t="shared" si="91"/>
        <v>9.15</v>
      </c>
      <c r="Y94" s="432">
        <f t="shared" si="82"/>
        <v>0.7656903766</v>
      </c>
    </row>
    <row r="95" ht="15.75" customHeight="1">
      <c r="B95" s="435" t="s">
        <v>1866</v>
      </c>
      <c r="C95" s="436">
        <v>0.0</v>
      </c>
      <c r="D95" s="436">
        <v>0.0</v>
      </c>
      <c r="E95" s="436">
        <v>4.42</v>
      </c>
      <c r="F95" s="436">
        <v>5.6</v>
      </c>
      <c r="G95" s="437">
        <f t="shared" si="88"/>
        <v>10.02</v>
      </c>
      <c r="I95" s="436">
        <v>0.0</v>
      </c>
      <c r="J95" s="436">
        <v>0.0</v>
      </c>
      <c r="K95" s="436">
        <v>3.36</v>
      </c>
      <c r="L95" s="436">
        <v>14.74</v>
      </c>
      <c r="M95" s="437">
        <f t="shared" si="89"/>
        <v>18.1</v>
      </c>
      <c r="O95" s="438" t="str">
        <f t="shared" ref="O95:S95" si="95">IFERROR(I95/C95-1,"")</f>
        <v/>
      </c>
      <c r="P95" s="438" t="str">
        <f t="shared" si="95"/>
        <v/>
      </c>
      <c r="Q95" s="438">
        <f t="shared" si="95"/>
        <v>-0.2398190045</v>
      </c>
      <c r="R95" s="438">
        <f t="shared" si="95"/>
        <v>1.632142857</v>
      </c>
      <c r="S95" s="438">
        <f t="shared" si="95"/>
        <v>0.8063872255</v>
      </c>
      <c r="U95" s="439">
        <v>22.79</v>
      </c>
      <c r="V95" s="439">
        <v>-4.29</v>
      </c>
      <c r="W95" s="439">
        <v>3.91</v>
      </c>
      <c r="X95" s="440">
        <f t="shared" si="91"/>
        <v>8.2</v>
      </c>
      <c r="Y95" s="438">
        <f t="shared" si="82"/>
        <v>1.911421911</v>
      </c>
    </row>
    <row r="96" ht="15.75" customHeight="1">
      <c r="Y96" s="194" t="str">
        <f t="shared" si="82"/>
        <v/>
      </c>
    </row>
    <row r="97" ht="15.75" customHeight="1">
      <c r="Y97" s="194" t="str">
        <f t="shared" si="82"/>
        <v/>
      </c>
    </row>
    <row r="98" ht="15.75" customHeight="1">
      <c r="B98" s="415" t="s">
        <v>1872</v>
      </c>
      <c r="C98" s="415"/>
      <c r="D98" s="415"/>
      <c r="E98" s="415"/>
      <c r="F98" s="415"/>
      <c r="G98" s="415"/>
      <c r="H98" s="415"/>
      <c r="I98" s="415"/>
      <c r="J98" s="415"/>
      <c r="K98" s="415"/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5"/>
      <c r="X98" s="415"/>
      <c r="Y98" s="415"/>
    </row>
    <row r="99" ht="15.75" customHeight="1">
      <c r="C99" s="416" t="s">
        <v>1852</v>
      </c>
      <c r="D99" s="417"/>
      <c r="E99" s="417"/>
      <c r="F99" s="417"/>
      <c r="G99" s="417"/>
      <c r="I99" s="418" t="s">
        <v>1853</v>
      </c>
      <c r="J99" s="419"/>
      <c r="K99" s="419"/>
      <c r="L99" s="419"/>
      <c r="M99" s="419"/>
      <c r="O99" s="420" t="s">
        <v>1854</v>
      </c>
      <c r="P99" s="421"/>
      <c r="Q99" s="421"/>
      <c r="R99" s="421"/>
      <c r="S99" s="421"/>
      <c r="U99" s="422" t="s">
        <v>1855</v>
      </c>
      <c r="V99" s="423"/>
      <c r="W99" s="423"/>
      <c r="X99" s="421"/>
      <c r="Y99" s="421"/>
    </row>
    <row r="100" ht="15.75" customHeight="1">
      <c r="B100" s="161" t="s">
        <v>1856</v>
      </c>
      <c r="C100" s="424" t="s">
        <v>1857</v>
      </c>
      <c r="D100" s="424" t="s">
        <v>1858</v>
      </c>
      <c r="E100" s="424" t="s">
        <v>1859</v>
      </c>
      <c r="F100" s="424" t="s">
        <v>1860</v>
      </c>
      <c r="G100" s="424" t="s">
        <v>111</v>
      </c>
      <c r="I100" s="425" t="s">
        <v>1857</v>
      </c>
      <c r="J100" s="425" t="s">
        <v>1858</v>
      </c>
      <c r="K100" s="425" t="s">
        <v>1859</v>
      </c>
      <c r="L100" s="425" t="s">
        <v>1860</v>
      </c>
      <c r="M100" s="425" t="s">
        <v>111</v>
      </c>
      <c r="O100" s="426" t="s">
        <v>1857</v>
      </c>
      <c r="P100" s="426" t="s">
        <v>1858</v>
      </c>
      <c r="Q100" s="426" t="s">
        <v>1859</v>
      </c>
      <c r="R100" s="426" t="s">
        <v>1860</v>
      </c>
      <c r="S100" s="426" t="s">
        <v>111</v>
      </c>
      <c r="U100" s="427" t="s">
        <v>1861</v>
      </c>
      <c r="V100" s="427" t="s">
        <v>1862</v>
      </c>
      <c r="W100" s="427" t="s">
        <v>1863</v>
      </c>
      <c r="X100" s="426" t="s">
        <v>1864</v>
      </c>
      <c r="Y100" s="426" t="s">
        <v>1865</v>
      </c>
    </row>
    <row r="101" ht="15.75" customHeight="1">
      <c r="B101" s="428" t="s">
        <v>163</v>
      </c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428"/>
      <c r="Y101" s="428"/>
    </row>
    <row r="102" ht="15.75" customHeight="1">
      <c r="B102" s="429" t="s">
        <v>56</v>
      </c>
      <c r="C102" s="430">
        <v>0.0</v>
      </c>
      <c r="D102" s="430">
        <v>0.0</v>
      </c>
      <c r="E102" s="430">
        <v>1.81</v>
      </c>
      <c r="F102" s="430">
        <v>4.43</v>
      </c>
      <c r="G102" s="431">
        <f t="shared" ref="G102:G107" si="97">SUM(C102:F102)</f>
        <v>6.24</v>
      </c>
      <c r="I102" s="430">
        <v>0.0</v>
      </c>
      <c r="J102" s="430">
        <v>0.0</v>
      </c>
      <c r="K102" s="430">
        <v>1.32</v>
      </c>
      <c r="L102" s="430">
        <v>8.41</v>
      </c>
      <c r="M102" s="431">
        <f t="shared" ref="M102:M107" si="98">SUM(I102:L102)</f>
        <v>9.73</v>
      </c>
      <c r="O102" s="432" t="str">
        <f t="shared" ref="O102:S102" si="96">IFERROR(I102/C102-1,"")</f>
        <v/>
      </c>
      <c r="P102" s="432" t="str">
        <f t="shared" si="96"/>
        <v/>
      </c>
      <c r="Q102" s="432">
        <f t="shared" si="96"/>
        <v>-0.270718232</v>
      </c>
      <c r="R102" s="432">
        <f t="shared" si="96"/>
        <v>0.8984198646</v>
      </c>
      <c r="S102" s="432">
        <f t="shared" si="96"/>
        <v>0.5592948718</v>
      </c>
      <c r="U102" s="433">
        <v>9.49</v>
      </c>
      <c r="V102" s="433">
        <v>0.16</v>
      </c>
      <c r="W102" s="433">
        <v>3.65</v>
      </c>
      <c r="X102" s="434">
        <f t="shared" ref="X102:X107" si="100">IFERROR(W102-V102,"")</f>
        <v>3.49</v>
      </c>
      <c r="Y102" s="432">
        <f t="shared" ref="Y102:Y116" si="101">IF(X102="","",IFERROR(X102/ABS(V102),0))</f>
        <v>21.8125</v>
      </c>
    </row>
    <row r="103" ht="15.75" customHeight="1">
      <c r="B103" s="429" t="s">
        <v>57</v>
      </c>
      <c r="C103" s="430">
        <v>0.0</v>
      </c>
      <c r="D103" s="430">
        <v>0.0</v>
      </c>
      <c r="E103" s="430">
        <v>3.72</v>
      </c>
      <c r="F103" s="430">
        <v>5.51</v>
      </c>
      <c r="G103" s="431">
        <f t="shared" si="97"/>
        <v>9.23</v>
      </c>
      <c r="I103" s="430">
        <v>0.0</v>
      </c>
      <c r="J103" s="430">
        <v>0.0</v>
      </c>
      <c r="K103" s="430">
        <v>2.73</v>
      </c>
      <c r="L103" s="430">
        <v>13.1</v>
      </c>
      <c r="M103" s="431">
        <f t="shared" si="98"/>
        <v>15.83</v>
      </c>
      <c r="O103" s="432" t="str">
        <f t="shared" ref="O103:S103" si="99">IFERROR(I103/C103-1,"")</f>
        <v/>
      </c>
      <c r="P103" s="432" t="str">
        <f t="shared" si="99"/>
        <v/>
      </c>
      <c r="Q103" s="432">
        <f t="shared" si="99"/>
        <v>-0.2661290323</v>
      </c>
      <c r="R103" s="432">
        <f t="shared" si="99"/>
        <v>1.377495463</v>
      </c>
      <c r="S103" s="432">
        <f t="shared" si="99"/>
        <v>0.7150595883</v>
      </c>
      <c r="U103" s="433">
        <v>17.98</v>
      </c>
      <c r="V103" s="433">
        <v>-0.04</v>
      </c>
      <c r="W103" s="433">
        <v>6.56</v>
      </c>
      <c r="X103" s="434">
        <f t="shared" si="100"/>
        <v>6.6</v>
      </c>
      <c r="Y103" s="432">
        <f t="shared" si="101"/>
        <v>165</v>
      </c>
    </row>
    <row r="104" ht="15.75" customHeight="1">
      <c r="B104" s="429" t="s">
        <v>58</v>
      </c>
      <c r="C104" s="430">
        <v>0.0</v>
      </c>
      <c r="D104" s="430">
        <v>0.0</v>
      </c>
      <c r="E104" s="430">
        <v>6.0</v>
      </c>
      <c r="F104" s="430">
        <v>6.01</v>
      </c>
      <c r="G104" s="431">
        <f t="shared" si="97"/>
        <v>12.01</v>
      </c>
      <c r="I104" s="430">
        <v>0.0</v>
      </c>
      <c r="J104" s="430">
        <v>0.0</v>
      </c>
      <c r="K104" s="430">
        <v>4.33</v>
      </c>
      <c r="L104" s="430">
        <v>14.66</v>
      </c>
      <c r="M104" s="431">
        <f t="shared" si="98"/>
        <v>18.99</v>
      </c>
      <c r="O104" s="432" t="str">
        <f t="shared" ref="O104:S104" si="102">IFERROR(I104/C104-1,"")</f>
        <v/>
      </c>
      <c r="P104" s="432" t="str">
        <f t="shared" si="102"/>
        <v/>
      </c>
      <c r="Q104" s="432">
        <f t="shared" si="102"/>
        <v>-0.2783333333</v>
      </c>
      <c r="R104" s="432">
        <f t="shared" si="102"/>
        <v>1.439267887</v>
      </c>
      <c r="S104" s="432">
        <f t="shared" si="102"/>
        <v>0.581182348</v>
      </c>
      <c r="U104" s="433">
        <v>23.72</v>
      </c>
      <c r="V104" s="433">
        <v>-0.12</v>
      </c>
      <c r="W104" s="433">
        <v>6.86</v>
      </c>
      <c r="X104" s="434">
        <f t="shared" si="100"/>
        <v>6.98</v>
      </c>
      <c r="Y104" s="432">
        <f t="shared" si="101"/>
        <v>58.16666667</v>
      </c>
    </row>
    <row r="105" ht="15.75" customHeight="1">
      <c r="B105" s="429" t="s">
        <v>59</v>
      </c>
      <c r="C105" s="430">
        <v>0.0</v>
      </c>
      <c r="D105" s="430">
        <v>0.0</v>
      </c>
      <c r="E105" s="430">
        <v>11.54</v>
      </c>
      <c r="F105" s="430">
        <v>6.9</v>
      </c>
      <c r="G105" s="431">
        <f t="shared" si="97"/>
        <v>18.44</v>
      </c>
      <c r="I105" s="430">
        <v>0.0</v>
      </c>
      <c r="J105" s="430">
        <v>0.0</v>
      </c>
      <c r="K105" s="430">
        <v>8.24</v>
      </c>
      <c r="L105" s="430">
        <v>17.97</v>
      </c>
      <c r="M105" s="431">
        <f t="shared" si="98"/>
        <v>26.21</v>
      </c>
      <c r="O105" s="432" t="str">
        <f t="shared" ref="O105:S105" si="103">IFERROR(I105/C105-1,"")</f>
        <v/>
      </c>
      <c r="P105" s="432" t="str">
        <f t="shared" si="103"/>
        <v/>
      </c>
      <c r="Q105" s="432">
        <f t="shared" si="103"/>
        <v>-0.2859618718</v>
      </c>
      <c r="R105" s="432">
        <f t="shared" si="103"/>
        <v>1.604347826</v>
      </c>
      <c r="S105" s="432">
        <f t="shared" si="103"/>
        <v>0.4213665944</v>
      </c>
      <c r="U105" s="433">
        <v>33.35</v>
      </c>
      <c r="V105" s="433">
        <v>-0.71</v>
      </c>
      <c r="W105" s="433">
        <v>7.06</v>
      </c>
      <c r="X105" s="434">
        <f t="shared" si="100"/>
        <v>7.77</v>
      </c>
      <c r="Y105" s="432">
        <f t="shared" si="101"/>
        <v>10.94366197</v>
      </c>
    </row>
    <row r="106" ht="15.75" customHeight="1">
      <c r="B106" s="429" t="s">
        <v>60</v>
      </c>
      <c r="C106" s="430">
        <v>0.0</v>
      </c>
      <c r="D106" s="430">
        <v>0.0</v>
      </c>
      <c r="E106" s="430">
        <v>18.79</v>
      </c>
      <c r="F106" s="430">
        <v>6.56</v>
      </c>
      <c r="G106" s="431">
        <f t="shared" si="97"/>
        <v>25.35</v>
      </c>
      <c r="I106" s="430">
        <v>0.0</v>
      </c>
      <c r="J106" s="430">
        <v>0.0</v>
      </c>
      <c r="K106" s="430">
        <v>13.54</v>
      </c>
      <c r="L106" s="430">
        <v>16.41</v>
      </c>
      <c r="M106" s="431">
        <f t="shared" si="98"/>
        <v>29.95</v>
      </c>
      <c r="O106" s="432" t="str">
        <f t="shared" ref="O106:S106" si="104">IFERROR(I106/C106-1,"")</f>
        <v/>
      </c>
      <c r="P106" s="432" t="str">
        <f t="shared" si="104"/>
        <v/>
      </c>
      <c r="Q106" s="432">
        <f t="shared" si="104"/>
        <v>-0.2794039383</v>
      </c>
      <c r="R106" s="432">
        <f t="shared" si="104"/>
        <v>1.50152439</v>
      </c>
      <c r="S106" s="432">
        <f t="shared" si="104"/>
        <v>0.1814595661</v>
      </c>
      <c r="U106" s="433">
        <v>41.8</v>
      </c>
      <c r="V106" s="433">
        <v>-1.54</v>
      </c>
      <c r="W106" s="433">
        <v>3.06</v>
      </c>
      <c r="X106" s="434">
        <f t="shared" si="100"/>
        <v>4.6</v>
      </c>
      <c r="Y106" s="432">
        <f t="shared" si="101"/>
        <v>2.987012987</v>
      </c>
    </row>
    <row r="107" ht="15.75" customHeight="1">
      <c r="B107" s="435" t="s">
        <v>1866</v>
      </c>
      <c r="C107" s="436">
        <v>0.0</v>
      </c>
      <c r="D107" s="436">
        <v>0.0</v>
      </c>
      <c r="E107" s="436">
        <v>4.09</v>
      </c>
      <c r="F107" s="436">
        <v>5.21</v>
      </c>
      <c r="G107" s="437">
        <f t="shared" si="97"/>
        <v>9.3</v>
      </c>
      <c r="I107" s="436">
        <v>0.0</v>
      </c>
      <c r="J107" s="436">
        <v>0.0</v>
      </c>
      <c r="K107" s="436">
        <v>2.96</v>
      </c>
      <c r="L107" s="436">
        <v>11.59</v>
      </c>
      <c r="M107" s="437">
        <f t="shared" si="98"/>
        <v>14.55</v>
      </c>
      <c r="O107" s="438" t="str">
        <f t="shared" ref="O107:S107" si="105">IFERROR(I107/C107-1,"")</f>
        <v/>
      </c>
      <c r="P107" s="438" t="str">
        <f t="shared" si="105"/>
        <v/>
      </c>
      <c r="Q107" s="438">
        <f t="shared" si="105"/>
        <v>-0.2762836186</v>
      </c>
      <c r="R107" s="438">
        <f t="shared" si="105"/>
        <v>1.224568138</v>
      </c>
      <c r="S107" s="438">
        <f t="shared" si="105"/>
        <v>0.564516129</v>
      </c>
      <c r="U107" s="439">
        <v>17.03</v>
      </c>
      <c r="V107" s="439">
        <v>-0.05</v>
      </c>
      <c r="W107" s="439">
        <v>5.31</v>
      </c>
      <c r="X107" s="440">
        <f t="shared" si="100"/>
        <v>5.36</v>
      </c>
      <c r="Y107" s="438">
        <f t="shared" si="101"/>
        <v>107.2</v>
      </c>
    </row>
    <row r="108" ht="15.75" customHeight="1">
      <c r="B108" s="428" t="s">
        <v>1867</v>
      </c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428"/>
      <c r="U108" s="428"/>
      <c r="V108" s="428"/>
      <c r="W108" s="428"/>
      <c r="X108" s="428"/>
      <c r="Y108" s="428" t="str">
        <f t="shared" si="101"/>
        <v/>
      </c>
    </row>
    <row r="109" ht="15.75" customHeight="1">
      <c r="B109" s="429" t="s">
        <v>56</v>
      </c>
      <c r="C109" s="430">
        <v>0.0</v>
      </c>
      <c r="D109" s="430">
        <v>0.0</v>
      </c>
      <c r="E109" s="430">
        <v>2.13</v>
      </c>
      <c r="F109" s="430">
        <v>5.76</v>
      </c>
      <c r="G109" s="431">
        <f t="shared" ref="G109:G114" si="107">SUM(C109:F109)</f>
        <v>7.89</v>
      </c>
      <c r="I109" s="430">
        <v>0.0</v>
      </c>
      <c r="J109" s="430">
        <v>0.0</v>
      </c>
      <c r="K109" s="430">
        <v>1.54</v>
      </c>
      <c r="L109" s="430">
        <v>10.89</v>
      </c>
      <c r="M109" s="431">
        <f t="shared" ref="M109:M114" si="108">SUM(I109:L109)</f>
        <v>12.43</v>
      </c>
      <c r="O109" s="432" t="str">
        <f t="shared" ref="O109:S109" si="106">IFERROR(I109/C109-1,"")</f>
        <v/>
      </c>
      <c r="P109" s="432" t="str">
        <f t="shared" si="106"/>
        <v/>
      </c>
      <c r="Q109" s="432">
        <f t="shared" si="106"/>
        <v>-0.2769953052</v>
      </c>
      <c r="R109" s="432">
        <f t="shared" si="106"/>
        <v>0.890625</v>
      </c>
      <c r="S109" s="432">
        <f t="shared" si="106"/>
        <v>0.5754119138</v>
      </c>
      <c r="U109" s="433">
        <v>13.99</v>
      </c>
      <c r="V109" s="433">
        <v>-1.68</v>
      </c>
      <c r="W109" s="433">
        <v>2.86</v>
      </c>
      <c r="X109" s="434">
        <f t="shared" ref="X109:X114" si="110">IFERROR(W109-V109,"")</f>
        <v>4.54</v>
      </c>
      <c r="Y109" s="432">
        <f t="shared" si="101"/>
        <v>2.702380952</v>
      </c>
    </row>
    <row r="110" ht="15.75" customHeight="1">
      <c r="B110" s="429" t="s">
        <v>57</v>
      </c>
      <c r="C110" s="430">
        <v>0.0</v>
      </c>
      <c r="D110" s="430">
        <v>0.0</v>
      </c>
      <c r="E110" s="430">
        <v>3.55</v>
      </c>
      <c r="F110" s="430">
        <v>6.17</v>
      </c>
      <c r="G110" s="431">
        <f t="shared" si="107"/>
        <v>9.72</v>
      </c>
      <c r="I110" s="430">
        <v>0.0</v>
      </c>
      <c r="J110" s="430">
        <v>0.0</v>
      </c>
      <c r="K110" s="430">
        <v>2.61</v>
      </c>
      <c r="L110" s="430">
        <v>14.08</v>
      </c>
      <c r="M110" s="431">
        <f t="shared" si="108"/>
        <v>16.69</v>
      </c>
      <c r="O110" s="432" t="str">
        <f t="shared" ref="O110:S110" si="109">IFERROR(I110/C110-1,"")</f>
        <v/>
      </c>
      <c r="P110" s="432" t="str">
        <f t="shared" si="109"/>
        <v/>
      </c>
      <c r="Q110" s="432">
        <f t="shared" si="109"/>
        <v>-0.2647887324</v>
      </c>
      <c r="R110" s="432">
        <f t="shared" si="109"/>
        <v>1.282009724</v>
      </c>
      <c r="S110" s="432">
        <f t="shared" si="109"/>
        <v>0.7170781893</v>
      </c>
      <c r="U110" s="433">
        <v>24.34</v>
      </c>
      <c r="V110" s="433">
        <v>-4.01</v>
      </c>
      <c r="W110" s="433">
        <v>2.96</v>
      </c>
      <c r="X110" s="434">
        <f t="shared" si="110"/>
        <v>6.97</v>
      </c>
      <c r="Y110" s="432">
        <f t="shared" si="101"/>
        <v>1.738154613</v>
      </c>
    </row>
    <row r="111" ht="15.75" customHeight="1">
      <c r="B111" s="429" t="s">
        <v>58</v>
      </c>
      <c r="C111" s="430">
        <v>0.0</v>
      </c>
      <c r="D111" s="430">
        <v>0.0</v>
      </c>
      <c r="E111" s="430">
        <v>5.53</v>
      </c>
      <c r="F111" s="430">
        <v>6.78</v>
      </c>
      <c r="G111" s="431">
        <f t="shared" si="107"/>
        <v>12.31</v>
      </c>
      <c r="I111" s="430">
        <v>0.0</v>
      </c>
      <c r="J111" s="430">
        <v>0.0</v>
      </c>
      <c r="K111" s="430">
        <v>4.0</v>
      </c>
      <c r="L111" s="430">
        <v>15.44</v>
      </c>
      <c r="M111" s="431">
        <f t="shared" si="108"/>
        <v>19.44</v>
      </c>
      <c r="O111" s="432" t="str">
        <f t="shared" ref="O111:S111" si="111">IFERROR(I111/C111-1,"")</f>
        <v/>
      </c>
      <c r="P111" s="432" t="str">
        <f t="shared" si="111"/>
        <v/>
      </c>
      <c r="Q111" s="432">
        <f t="shared" si="111"/>
        <v>-0.2766726944</v>
      </c>
      <c r="R111" s="432">
        <f t="shared" si="111"/>
        <v>1.277286136</v>
      </c>
      <c r="S111" s="432">
        <f t="shared" si="111"/>
        <v>0.5792038993</v>
      </c>
      <c r="U111" s="433">
        <v>31.19</v>
      </c>
      <c r="V111" s="433">
        <v>-5.95</v>
      </c>
      <c r="W111" s="433">
        <v>1.18</v>
      </c>
      <c r="X111" s="434">
        <f t="shared" si="110"/>
        <v>7.13</v>
      </c>
      <c r="Y111" s="432">
        <f t="shared" si="101"/>
        <v>1.198319328</v>
      </c>
    </row>
    <row r="112" ht="15.75" customHeight="1">
      <c r="B112" s="429" t="s">
        <v>59</v>
      </c>
      <c r="C112" s="430">
        <v>0.0</v>
      </c>
      <c r="D112" s="430">
        <v>0.0</v>
      </c>
      <c r="E112" s="430">
        <v>10.42</v>
      </c>
      <c r="F112" s="430">
        <v>8.1</v>
      </c>
      <c r="G112" s="431">
        <f t="shared" si="107"/>
        <v>18.52</v>
      </c>
      <c r="I112" s="430">
        <v>0.0</v>
      </c>
      <c r="J112" s="430">
        <v>0.0</v>
      </c>
      <c r="K112" s="430">
        <v>7.46</v>
      </c>
      <c r="L112" s="430">
        <v>18.98</v>
      </c>
      <c r="M112" s="431">
        <f t="shared" si="108"/>
        <v>26.44</v>
      </c>
      <c r="O112" s="432" t="str">
        <f t="shared" ref="O112:S112" si="112">IFERROR(I112/C112-1,"")</f>
        <v/>
      </c>
      <c r="P112" s="432" t="str">
        <f t="shared" si="112"/>
        <v/>
      </c>
      <c r="Q112" s="432">
        <f t="shared" si="112"/>
        <v>-0.2840690979</v>
      </c>
      <c r="R112" s="432">
        <f t="shared" si="112"/>
        <v>1.343209877</v>
      </c>
      <c r="S112" s="432">
        <f t="shared" si="112"/>
        <v>0.4276457883</v>
      </c>
      <c r="U112" s="433">
        <v>44.66</v>
      </c>
      <c r="V112" s="433">
        <v>-10.11</v>
      </c>
      <c r="W112" s="433">
        <v>-2.19</v>
      </c>
      <c r="X112" s="434">
        <f t="shared" si="110"/>
        <v>7.92</v>
      </c>
      <c r="Y112" s="432">
        <f t="shared" si="101"/>
        <v>0.7833827893</v>
      </c>
    </row>
    <row r="113" ht="15.75" customHeight="1">
      <c r="B113" s="429" t="s">
        <v>60</v>
      </c>
      <c r="C113" s="430">
        <v>0.0</v>
      </c>
      <c r="D113" s="430">
        <v>0.0</v>
      </c>
      <c r="E113" s="430">
        <v>18.0</v>
      </c>
      <c r="F113" s="430">
        <v>8.46</v>
      </c>
      <c r="G113" s="431">
        <f t="shared" si="107"/>
        <v>26.46</v>
      </c>
      <c r="I113" s="430">
        <v>0.0</v>
      </c>
      <c r="J113" s="430">
        <v>0.0</v>
      </c>
      <c r="K113" s="430">
        <v>12.89</v>
      </c>
      <c r="L113" s="430">
        <v>19.38</v>
      </c>
      <c r="M113" s="431">
        <f t="shared" si="108"/>
        <v>32.27</v>
      </c>
      <c r="O113" s="432" t="str">
        <f t="shared" ref="O113:S113" si="113">IFERROR(I113/C113-1,"")</f>
        <v/>
      </c>
      <c r="P113" s="432" t="str">
        <f t="shared" si="113"/>
        <v/>
      </c>
      <c r="Q113" s="432">
        <f t="shared" si="113"/>
        <v>-0.2838888889</v>
      </c>
      <c r="R113" s="432">
        <f t="shared" si="113"/>
        <v>1.290780142</v>
      </c>
      <c r="S113" s="432">
        <f t="shared" si="113"/>
        <v>0.2195767196</v>
      </c>
      <c r="U113" s="433">
        <v>57.06</v>
      </c>
      <c r="V113" s="433">
        <v>-12.15</v>
      </c>
      <c r="W113" s="433">
        <v>-6.34</v>
      </c>
      <c r="X113" s="434">
        <f t="shared" si="110"/>
        <v>5.81</v>
      </c>
      <c r="Y113" s="432">
        <f t="shared" si="101"/>
        <v>0.4781893004</v>
      </c>
    </row>
    <row r="114" ht="15.75" customHeight="1">
      <c r="B114" s="435" t="s">
        <v>1866</v>
      </c>
      <c r="C114" s="436">
        <v>0.0</v>
      </c>
      <c r="D114" s="436">
        <v>0.0</v>
      </c>
      <c r="E114" s="436">
        <v>3.81</v>
      </c>
      <c r="F114" s="436">
        <v>6.23</v>
      </c>
      <c r="G114" s="437">
        <f t="shared" si="107"/>
        <v>10.04</v>
      </c>
      <c r="I114" s="436">
        <v>0.0</v>
      </c>
      <c r="J114" s="436">
        <v>0.0</v>
      </c>
      <c r="K114" s="436">
        <v>2.76</v>
      </c>
      <c r="L114" s="436">
        <v>13.07</v>
      </c>
      <c r="M114" s="437">
        <f t="shared" si="108"/>
        <v>15.83</v>
      </c>
      <c r="O114" s="438" t="str">
        <f t="shared" ref="O114:S114" si="114">IFERROR(I114/C114-1,"")</f>
        <v/>
      </c>
      <c r="P114" s="438" t="str">
        <f t="shared" si="114"/>
        <v/>
      </c>
      <c r="Q114" s="438">
        <f t="shared" si="114"/>
        <v>-0.2755905512</v>
      </c>
      <c r="R114" s="438">
        <f t="shared" si="114"/>
        <v>1.097913323</v>
      </c>
      <c r="S114" s="438">
        <f t="shared" si="114"/>
        <v>0.5766932271</v>
      </c>
      <c r="U114" s="439">
        <v>22.28</v>
      </c>
      <c r="V114" s="439">
        <v>-3.74</v>
      </c>
      <c r="W114" s="439">
        <v>2.1</v>
      </c>
      <c r="X114" s="440">
        <f t="shared" si="110"/>
        <v>5.84</v>
      </c>
      <c r="Y114" s="438">
        <f t="shared" si="101"/>
        <v>1.561497326</v>
      </c>
    </row>
    <row r="115" ht="15.75" customHeight="1">
      <c r="Y115" s="194" t="str">
        <f t="shared" si="101"/>
        <v/>
      </c>
    </row>
    <row r="116" ht="15.75" customHeight="1">
      <c r="Y116" s="194" t="str">
        <f t="shared" si="101"/>
        <v/>
      </c>
    </row>
    <row r="117" ht="15.75" customHeight="1">
      <c r="B117" s="415" t="s">
        <v>1873</v>
      </c>
      <c r="C117" s="415"/>
      <c r="D117" s="415"/>
      <c r="E117" s="415"/>
      <c r="F117" s="415"/>
      <c r="G117" s="415"/>
      <c r="H117" s="415"/>
      <c r="I117" s="415"/>
      <c r="J117" s="415"/>
      <c r="K117" s="415"/>
      <c r="L117" s="415"/>
      <c r="M117" s="415"/>
      <c r="N117" s="415"/>
      <c r="O117" s="415"/>
      <c r="P117" s="415"/>
      <c r="Q117" s="415"/>
      <c r="R117" s="415"/>
      <c r="S117" s="415"/>
      <c r="T117" s="415"/>
      <c r="U117" s="415"/>
      <c r="V117" s="415"/>
      <c r="W117" s="415"/>
      <c r="X117" s="415"/>
      <c r="Y117" s="415"/>
    </row>
    <row r="118" ht="15.75" customHeight="1">
      <c r="C118" s="416" t="s">
        <v>1852</v>
      </c>
      <c r="D118" s="417"/>
      <c r="E118" s="417"/>
      <c r="F118" s="417"/>
      <c r="G118" s="417"/>
      <c r="I118" s="418" t="s">
        <v>1853</v>
      </c>
      <c r="J118" s="419"/>
      <c r="K118" s="419"/>
      <c r="L118" s="419"/>
      <c r="M118" s="419"/>
      <c r="O118" s="420" t="s">
        <v>1854</v>
      </c>
      <c r="P118" s="421"/>
      <c r="Q118" s="421"/>
      <c r="R118" s="421"/>
      <c r="S118" s="421"/>
      <c r="U118" s="422" t="s">
        <v>1855</v>
      </c>
      <c r="V118" s="423"/>
      <c r="W118" s="423"/>
      <c r="X118" s="421"/>
      <c r="Y118" s="421"/>
    </row>
    <row r="119" ht="15.75" customHeight="1">
      <c r="B119" s="161" t="s">
        <v>1856</v>
      </c>
      <c r="C119" s="424" t="s">
        <v>1857</v>
      </c>
      <c r="D119" s="424" t="s">
        <v>1858</v>
      </c>
      <c r="E119" s="424" t="s">
        <v>1859</v>
      </c>
      <c r="F119" s="424" t="s">
        <v>1860</v>
      </c>
      <c r="G119" s="424" t="s">
        <v>111</v>
      </c>
      <c r="I119" s="425" t="s">
        <v>1857</v>
      </c>
      <c r="J119" s="425" t="s">
        <v>1858</v>
      </c>
      <c r="K119" s="425" t="s">
        <v>1859</v>
      </c>
      <c r="L119" s="425" t="s">
        <v>1860</v>
      </c>
      <c r="M119" s="425" t="s">
        <v>111</v>
      </c>
      <c r="O119" s="426" t="s">
        <v>1857</v>
      </c>
      <c r="P119" s="426" t="s">
        <v>1858</v>
      </c>
      <c r="Q119" s="426" t="s">
        <v>1859</v>
      </c>
      <c r="R119" s="426" t="s">
        <v>1860</v>
      </c>
      <c r="S119" s="426" t="s">
        <v>111</v>
      </c>
      <c r="U119" s="427" t="s">
        <v>1861</v>
      </c>
      <c r="V119" s="427" t="s">
        <v>1862</v>
      </c>
      <c r="W119" s="427" t="s">
        <v>1863</v>
      </c>
      <c r="X119" s="426" t="s">
        <v>1864</v>
      </c>
      <c r="Y119" s="426" t="s">
        <v>1865</v>
      </c>
    </row>
    <row r="120" ht="15.75" customHeight="1">
      <c r="B120" s="428" t="s">
        <v>163</v>
      </c>
      <c r="C120" s="428"/>
      <c r="D120" s="428"/>
      <c r="E120" s="428"/>
      <c r="F120" s="428"/>
      <c r="G120" s="428"/>
      <c r="H120" s="428"/>
      <c r="I120" s="428"/>
      <c r="J120" s="428"/>
      <c r="K120" s="428"/>
      <c r="L120" s="428"/>
      <c r="M120" s="428"/>
      <c r="N120" s="428"/>
      <c r="O120" s="428"/>
      <c r="P120" s="428"/>
      <c r="Q120" s="428"/>
      <c r="R120" s="428"/>
      <c r="S120" s="428"/>
      <c r="T120" s="428"/>
      <c r="U120" s="428"/>
      <c r="V120" s="428"/>
      <c r="W120" s="428"/>
      <c r="X120" s="428"/>
      <c r="Y120" s="428"/>
    </row>
    <row r="121" ht="15.75" customHeight="1">
      <c r="B121" s="429" t="s">
        <v>56</v>
      </c>
      <c r="C121" s="430">
        <v>0.0</v>
      </c>
      <c r="D121" s="430">
        <v>0.0</v>
      </c>
      <c r="E121" s="430">
        <v>1.06</v>
      </c>
      <c r="F121" s="430">
        <v>2.54</v>
      </c>
      <c r="G121" s="431">
        <f t="shared" ref="G121:G126" si="116">SUM(C121:F121)</f>
        <v>3.6</v>
      </c>
      <c r="I121" s="430">
        <v>0.0</v>
      </c>
      <c r="J121" s="430">
        <v>0.0</v>
      </c>
      <c r="K121" s="430">
        <v>0.41</v>
      </c>
      <c r="L121" s="430">
        <v>6.28</v>
      </c>
      <c r="M121" s="431">
        <f t="shared" ref="M121:M126" si="117">SUM(I121:L121)</f>
        <v>6.69</v>
      </c>
      <c r="O121" s="432" t="str">
        <f t="shared" ref="O121:S121" si="115">IFERROR(I121/C121-1,"")</f>
        <v/>
      </c>
      <c r="P121" s="432" t="str">
        <f t="shared" si="115"/>
        <v/>
      </c>
      <c r="Q121" s="432">
        <f t="shared" si="115"/>
        <v>-0.6132075472</v>
      </c>
      <c r="R121" s="432">
        <f t="shared" si="115"/>
        <v>1.472440945</v>
      </c>
      <c r="S121" s="432">
        <f t="shared" si="115"/>
        <v>0.8583333333</v>
      </c>
      <c r="U121" s="433">
        <v>5.23</v>
      </c>
      <c r="V121" s="433">
        <v>0.15</v>
      </c>
      <c r="W121" s="433">
        <v>3.24</v>
      </c>
      <c r="X121" s="434">
        <f t="shared" ref="X121:X126" si="119">IFERROR(W121-V121,"")</f>
        <v>3.09</v>
      </c>
      <c r="Y121" s="432">
        <f t="shared" ref="Y121:Y135" si="120">IF(X121="","",IFERROR(X121/ABS(V121),0))</f>
        <v>20.6</v>
      </c>
    </row>
    <row r="122" ht="15.75" customHeight="1">
      <c r="B122" s="429" t="s">
        <v>57</v>
      </c>
      <c r="C122" s="430">
        <v>0.0</v>
      </c>
      <c r="D122" s="430">
        <v>0.0</v>
      </c>
      <c r="E122" s="430">
        <v>2.04</v>
      </c>
      <c r="F122" s="430">
        <v>3.33</v>
      </c>
      <c r="G122" s="431">
        <f t="shared" si="116"/>
        <v>5.37</v>
      </c>
      <c r="I122" s="430">
        <v>0.0</v>
      </c>
      <c r="J122" s="430">
        <v>0.0</v>
      </c>
      <c r="K122" s="430">
        <v>0.8</v>
      </c>
      <c r="L122" s="430">
        <v>10.89</v>
      </c>
      <c r="M122" s="431">
        <f t="shared" si="117"/>
        <v>11.69</v>
      </c>
      <c r="O122" s="432" t="str">
        <f t="shared" ref="O122:S122" si="118">IFERROR(I122/C122-1,"")</f>
        <v/>
      </c>
      <c r="P122" s="432" t="str">
        <f t="shared" si="118"/>
        <v/>
      </c>
      <c r="Q122" s="432">
        <f t="shared" si="118"/>
        <v>-0.6078431373</v>
      </c>
      <c r="R122" s="432">
        <f t="shared" si="118"/>
        <v>2.27027027</v>
      </c>
      <c r="S122" s="432">
        <f t="shared" si="118"/>
        <v>1.176908752</v>
      </c>
      <c r="U122" s="433">
        <v>9.79</v>
      </c>
      <c r="V122" s="433">
        <v>0.44</v>
      </c>
      <c r="W122" s="433">
        <v>6.76</v>
      </c>
      <c r="X122" s="434">
        <f t="shared" si="119"/>
        <v>6.32</v>
      </c>
      <c r="Y122" s="432">
        <f t="shared" si="120"/>
        <v>14.36363636</v>
      </c>
    </row>
    <row r="123" ht="15.75" customHeight="1">
      <c r="B123" s="429" t="s">
        <v>58</v>
      </c>
      <c r="C123" s="430">
        <v>0.0</v>
      </c>
      <c r="D123" s="430">
        <v>0.0</v>
      </c>
      <c r="E123" s="430">
        <v>3.34</v>
      </c>
      <c r="F123" s="430">
        <v>4.0</v>
      </c>
      <c r="G123" s="431">
        <f t="shared" si="116"/>
        <v>7.34</v>
      </c>
      <c r="I123" s="430">
        <v>0.0</v>
      </c>
      <c r="J123" s="430">
        <v>0.0</v>
      </c>
      <c r="K123" s="430">
        <v>1.33</v>
      </c>
      <c r="L123" s="430">
        <v>12.69</v>
      </c>
      <c r="M123" s="431">
        <f t="shared" si="117"/>
        <v>14.02</v>
      </c>
      <c r="O123" s="432" t="str">
        <f t="shared" ref="O123:S123" si="121">IFERROR(I123/C123-1,"")</f>
        <v/>
      </c>
      <c r="P123" s="432" t="str">
        <f t="shared" si="121"/>
        <v/>
      </c>
      <c r="Q123" s="432">
        <f t="shared" si="121"/>
        <v>-0.6017964072</v>
      </c>
      <c r="R123" s="432">
        <f t="shared" si="121"/>
        <v>2.1725</v>
      </c>
      <c r="S123" s="432">
        <f t="shared" si="121"/>
        <v>0.9100817439</v>
      </c>
      <c r="U123" s="433">
        <v>13.47</v>
      </c>
      <c r="V123" s="433">
        <v>0.68</v>
      </c>
      <c r="W123" s="433">
        <v>7.36</v>
      </c>
      <c r="X123" s="434">
        <f t="shared" si="119"/>
        <v>6.68</v>
      </c>
      <c r="Y123" s="432">
        <f t="shared" si="120"/>
        <v>9.823529412</v>
      </c>
    </row>
    <row r="124" ht="15.75" customHeight="1">
      <c r="B124" s="429" t="s">
        <v>59</v>
      </c>
      <c r="C124" s="430">
        <v>0.0</v>
      </c>
      <c r="D124" s="430">
        <v>0.0</v>
      </c>
      <c r="E124" s="430">
        <v>6.49</v>
      </c>
      <c r="F124" s="430">
        <v>5.16</v>
      </c>
      <c r="G124" s="431">
        <f t="shared" si="116"/>
        <v>11.65</v>
      </c>
      <c r="I124" s="430">
        <v>0.0</v>
      </c>
      <c r="J124" s="430">
        <v>0.0</v>
      </c>
      <c r="K124" s="430">
        <v>2.64</v>
      </c>
      <c r="L124" s="430">
        <v>15.13</v>
      </c>
      <c r="M124" s="431">
        <f t="shared" si="117"/>
        <v>17.77</v>
      </c>
      <c r="O124" s="432" t="str">
        <f t="shared" ref="O124:S124" si="122">IFERROR(I124/C124-1,"")</f>
        <v/>
      </c>
      <c r="P124" s="432" t="str">
        <f t="shared" si="122"/>
        <v/>
      </c>
      <c r="Q124" s="432">
        <f t="shared" si="122"/>
        <v>-0.593220339</v>
      </c>
      <c r="R124" s="432">
        <f t="shared" si="122"/>
        <v>1.932170543</v>
      </c>
      <c r="S124" s="432">
        <f t="shared" si="122"/>
        <v>0.5253218884</v>
      </c>
      <c r="U124" s="433">
        <v>19.41</v>
      </c>
      <c r="V124" s="433">
        <v>0.86</v>
      </c>
      <c r="W124" s="433">
        <v>6.98</v>
      </c>
      <c r="X124" s="434">
        <f t="shared" si="119"/>
        <v>6.12</v>
      </c>
      <c r="Y124" s="432">
        <f t="shared" si="120"/>
        <v>7.11627907</v>
      </c>
    </row>
    <row r="125" ht="15.75" customHeight="1">
      <c r="B125" s="429" t="s">
        <v>60</v>
      </c>
      <c r="C125" s="430">
        <v>0.0</v>
      </c>
      <c r="D125" s="430">
        <v>0.0</v>
      </c>
      <c r="E125" s="430">
        <v>10.19</v>
      </c>
      <c r="F125" s="430">
        <v>4.93</v>
      </c>
      <c r="G125" s="431">
        <f t="shared" si="116"/>
        <v>15.12</v>
      </c>
      <c r="I125" s="430">
        <v>0.0</v>
      </c>
      <c r="J125" s="430">
        <v>0.0</v>
      </c>
      <c r="K125" s="430">
        <v>4.58</v>
      </c>
      <c r="L125" s="430">
        <v>15.15</v>
      </c>
      <c r="M125" s="431">
        <f t="shared" si="117"/>
        <v>19.73</v>
      </c>
      <c r="O125" s="432" t="str">
        <f t="shared" ref="O125:S125" si="123">IFERROR(I125/C125-1,"")</f>
        <v/>
      </c>
      <c r="P125" s="432" t="str">
        <f t="shared" si="123"/>
        <v/>
      </c>
      <c r="Q125" s="432">
        <f t="shared" si="123"/>
        <v>-0.5505397448</v>
      </c>
      <c r="R125" s="432">
        <f t="shared" si="123"/>
        <v>2.073022312</v>
      </c>
      <c r="S125" s="432">
        <f t="shared" si="123"/>
        <v>0.3048941799</v>
      </c>
      <c r="U125" s="433">
        <v>25.41</v>
      </c>
      <c r="V125" s="433">
        <v>-1.06</v>
      </c>
      <c r="W125" s="433">
        <v>3.55</v>
      </c>
      <c r="X125" s="434">
        <f t="shared" si="119"/>
        <v>4.61</v>
      </c>
      <c r="Y125" s="432">
        <f t="shared" si="120"/>
        <v>4.349056604</v>
      </c>
    </row>
    <row r="126" ht="15.75" customHeight="1">
      <c r="B126" s="435" t="s">
        <v>1866</v>
      </c>
      <c r="C126" s="436">
        <v>0.0</v>
      </c>
      <c r="D126" s="436">
        <v>0.0</v>
      </c>
      <c r="E126" s="436">
        <v>2.3</v>
      </c>
      <c r="F126" s="436">
        <v>3.25</v>
      </c>
      <c r="G126" s="437">
        <f t="shared" si="116"/>
        <v>5.55</v>
      </c>
      <c r="I126" s="436">
        <v>0.0</v>
      </c>
      <c r="J126" s="436">
        <v>0.0</v>
      </c>
      <c r="K126" s="436">
        <v>0.92</v>
      </c>
      <c r="L126" s="436">
        <v>9.42</v>
      </c>
      <c r="M126" s="437">
        <f t="shared" si="117"/>
        <v>10.34</v>
      </c>
      <c r="O126" s="438" t="str">
        <f t="shared" ref="O126:S126" si="124">IFERROR(I126/C126-1,"")</f>
        <v/>
      </c>
      <c r="P126" s="438" t="str">
        <f t="shared" si="124"/>
        <v/>
      </c>
      <c r="Q126" s="438">
        <f t="shared" si="124"/>
        <v>-0.6</v>
      </c>
      <c r="R126" s="438">
        <f t="shared" si="124"/>
        <v>1.898461538</v>
      </c>
      <c r="S126" s="438">
        <f t="shared" si="124"/>
        <v>0.8630630631</v>
      </c>
      <c r="U126" s="439">
        <v>9.83</v>
      </c>
      <c r="V126" s="439">
        <v>0.38</v>
      </c>
      <c r="W126" s="439">
        <v>5.37</v>
      </c>
      <c r="X126" s="440">
        <f t="shared" si="119"/>
        <v>4.99</v>
      </c>
      <c r="Y126" s="438">
        <f t="shared" si="120"/>
        <v>13.13157895</v>
      </c>
    </row>
    <row r="127" ht="15.75" customHeight="1">
      <c r="B127" s="428" t="s">
        <v>1867</v>
      </c>
      <c r="C127" s="428"/>
      <c r="D127" s="428"/>
      <c r="E127" s="428"/>
      <c r="F127" s="428"/>
      <c r="G127" s="428"/>
      <c r="H127" s="428"/>
      <c r="I127" s="428"/>
      <c r="J127" s="428"/>
      <c r="K127" s="428"/>
      <c r="L127" s="428"/>
      <c r="M127" s="428"/>
      <c r="N127" s="428"/>
      <c r="O127" s="428"/>
      <c r="P127" s="428"/>
      <c r="Q127" s="428"/>
      <c r="R127" s="428"/>
      <c r="S127" s="428"/>
      <c r="T127" s="428"/>
      <c r="U127" s="428"/>
      <c r="V127" s="428"/>
      <c r="W127" s="428"/>
      <c r="X127" s="428"/>
      <c r="Y127" s="428" t="str">
        <f t="shared" si="120"/>
        <v/>
      </c>
    </row>
    <row r="128" ht="15.75" customHeight="1">
      <c r="B128" s="429" t="s">
        <v>56</v>
      </c>
      <c r="C128" s="430">
        <v>0.0</v>
      </c>
      <c r="D128" s="430">
        <v>0.0</v>
      </c>
      <c r="E128" s="430">
        <v>1.18</v>
      </c>
      <c r="F128" s="430">
        <v>3.58</v>
      </c>
      <c r="G128" s="431">
        <f t="shared" ref="G128:G133" si="126">SUM(C128:F128)</f>
        <v>4.76</v>
      </c>
      <c r="I128" s="430">
        <v>0.0</v>
      </c>
      <c r="J128" s="430">
        <v>0.0</v>
      </c>
      <c r="K128" s="430">
        <v>0.44</v>
      </c>
      <c r="L128" s="430">
        <v>8.32</v>
      </c>
      <c r="M128" s="431">
        <f t="shared" ref="M128:M133" si="127">SUM(I128:L128)</f>
        <v>8.76</v>
      </c>
      <c r="O128" s="432" t="str">
        <f t="shared" ref="O128:S128" si="125">IFERROR(I128/C128-1,"")</f>
        <v/>
      </c>
      <c r="P128" s="432" t="str">
        <f t="shared" si="125"/>
        <v/>
      </c>
      <c r="Q128" s="432">
        <f t="shared" si="125"/>
        <v>-0.6271186441</v>
      </c>
      <c r="R128" s="432">
        <f t="shared" si="125"/>
        <v>1.324022346</v>
      </c>
      <c r="S128" s="432">
        <f t="shared" si="125"/>
        <v>0.8403361345</v>
      </c>
      <c r="U128" s="433">
        <v>8.49</v>
      </c>
      <c r="V128" s="433">
        <v>-1.25</v>
      </c>
      <c r="W128" s="433">
        <v>2.75</v>
      </c>
      <c r="X128" s="434">
        <f t="shared" ref="X128:X133" si="129">IFERROR(W128-V128,"")</f>
        <v>4</v>
      </c>
      <c r="Y128" s="432">
        <f t="shared" si="120"/>
        <v>3.2</v>
      </c>
    </row>
    <row r="129" ht="15.75" customHeight="1">
      <c r="B129" s="429" t="s">
        <v>57</v>
      </c>
      <c r="C129" s="430">
        <v>0.0</v>
      </c>
      <c r="D129" s="430">
        <v>0.0</v>
      </c>
      <c r="E129" s="430">
        <v>1.89</v>
      </c>
      <c r="F129" s="430">
        <v>4.2</v>
      </c>
      <c r="G129" s="431">
        <f t="shared" si="126"/>
        <v>6.09</v>
      </c>
      <c r="I129" s="430">
        <v>0.0</v>
      </c>
      <c r="J129" s="430">
        <v>0.0</v>
      </c>
      <c r="K129" s="430">
        <v>0.72</v>
      </c>
      <c r="L129" s="430">
        <v>12.04</v>
      </c>
      <c r="M129" s="431">
        <f t="shared" si="127"/>
        <v>12.76</v>
      </c>
      <c r="O129" s="432" t="str">
        <f t="shared" ref="O129:S129" si="128">IFERROR(I129/C129-1,"")</f>
        <v/>
      </c>
      <c r="P129" s="432" t="str">
        <f t="shared" si="128"/>
        <v/>
      </c>
      <c r="Q129" s="432">
        <f t="shared" si="128"/>
        <v>-0.619047619</v>
      </c>
      <c r="R129" s="432">
        <f t="shared" si="128"/>
        <v>1.866666667</v>
      </c>
      <c r="S129" s="432">
        <f t="shared" si="128"/>
        <v>1.095238095</v>
      </c>
      <c r="U129" s="433">
        <v>15.89</v>
      </c>
      <c r="V129" s="433">
        <v>-3.24</v>
      </c>
      <c r="W129" s="433">
        <v>3.43</v>
      </c>
      <c r="X129" s="434">
        <f t="shared" si="129"/>
        <v>6.67</v>
      </c>
      <c r="Y129" s="432">
        <f t="shared" si="120"/>
        <v>2.058641975</v>
      </c>
    </row>
    <row r="130" ht="15.75" customHeight="1">
      <c r="B130" s="429" t="s">
        <v>58</v>
      </c>
      <c r="C130" s="430">
        <v>0.0</v>
      </c>
      <c r="D130" s="430">
        <v>0.0</v>
      </c>
      <c r="E130" s="430">
        <v>2.99</v>
      </c>
      <c r="F130" s="430">
        <v>5.04</v>
      </c>
      <c r="G130" s="431">
        <f t="shared" si="126"/>
        <v>8.03</v>
      </c>
      <c r="I130" s="430">
        <v>0.0</v>
      </c>
      <c r="J130" s="430">
        <v>0.0</v>
      </c>
      <c r="K130" s="430">
        <v>1.16</v>
      </c>
      <c r="L130" s="430">
        <v>13.71</v>
      </c>
      <c r="M130" s="431">
        <f t="shared" si="127"/>
        <v>14.87</v>
      </c>
      <c r="O130" s="432" t="str">
        <f t="shared" ref="O130:S130" si="130">IFERROR(I130/C130-1,"")</f>
        <v/>
      </c>
      <c r="P130" s="432" t="str">
        <f t="shared" si="130"/>
        <v/>
      </c>
      <c r="Q130" s="432">
        <f t="shared" si="130"/>
        <v>-0.6120401338</v>
      </c>
      <c r="R130" s="432">
        <f t="shared" si="130"/>
        <v>1.720238095</v>
      </c>
      <c r="S130" s="432">
        <f t="shared" si="130"/>
        <v>0.8518057285</v>
      </c>
      <c r="U130" s="433">
        <v>21.08</v>
      </c>
      <c r="V130" s="433">
        <v>-4.92</v>
      </c>
      <c r="W130" s="433">
        <v>1.92</v>
      </c>
      <c r="X130" s="434">
        <f t="shared" si="129"/>
        <v>6.84</v>
      </c>
      <c r="Y130" s="432">
        <f t="shared" si="120"/>
        <v>1.390243902</v>
      </c>
    </row>
    <row r="131" ht="15.75" customHeight="1">
      <c r="B131" s="429" t="s">
        <v>59</v>
      </c>
      <c r="C131" s="430">
        <v>0.0</v>
      </c>
      <c r="D131" s="430">
        <v>0.0</v>
      </c>
      <c r="E131" s="430">
        <v>5.71</v>
      </c>
      <c r="F131" s="430">
        <v>6.6</v>
      </c>
      <c r="G131" s="431">
        <f t="shared" si="126"/>
        <v>12.31</v>
      </c>
      <c r="I131" s="430">
        <v>0.0</v>
      </c>
      <c r="J131" s="430">
        <v>0.0</v>
      </c>
      <c r="K131" s="430">
        <v>2.25</v>
      </c>
      <c r="L131" s="430">
        <v>16.35</v>
      </c>
      <c r="M131" s="431">
        <f t="shared" si="127"/>
        <v>18.6</v>
      </c>
      <c r="O131" s="432" t="str">
        <f t="shared" ref="O131:S131" si="131">IFERROR(I131/C131-1,"")</f>
        <v/>
      </c>
      <c r="P131" s="432" t="str">
        <f t="shared" si="131"/>
        <v/>
      </c>
      <c r="Q131" s="432">
        <f t="shared" si="131"/>
        <v>-0.6059544658</v>
      </c>
      <c r="R131" s="432">
        <f t="shared" si="131"/>
        <v>1.477272727</v>
      </c>
      <c r="S131" s="432">
        <f t="shared" si="131"/>
        <v>0.5109666937</v>
      </c>
      <c r="U131" s="433">
        <v>30.13</v>
      </c>
      <c r="V131" s="433">
        <v>-7.49</v>
      </c>
      <c r="W131" s="433">
        <v>-1.2</v>
      </c>
      <c r="X131" s="434">
        <f t="shared" si="129"/>
        <v>6.29</v>
      </c>
      <c r="Y131" s="432">
        <f t="shared" si="120"/>
        <v>0.8397863818</v>
      </c>
    </row>
    <row r="132" ht="15.75" customHeight="1">
      <c r="B132" s="429" t="s">
        <v>60</v>
      </c>
      <c r="C132" s="430">
        <v>0.0</v>
      </c>
      <c r="D132" s="430">
        <v>0.0</v>
      </c>
      <c r="E132" s="430">
        <v>9.68</v>
      </c>
      <c r="F132" s="430">
        <v>7.26</v>
      </c>
      <c r="G132" s="431">
        <f t="shared" si="126"/>
        <v>16.94</v>
      </c>
      <c r="I132" s="430">
        <v>0.0</v>
      </c>
      <c r="J132" s="430">
        <v>0.0</v>
      </c>
      <c r="K132" s="430">
        <v>4.11</v>
      </c>
      <c r="L132" s="430">
        <v>18.48</v>
      </c>
      <c r="M132" s="431">
        <f t="shared" si="127"/>
        <v>22.59</v>
      </c>
      <c r="O132" s="432" t="str">
        <f t="shared" ref="O132:S132" si="132">IFERROR(I132/C132-1,"")</f>
        <v/>
      </c>
      <c r="P132" s="432" t="str">
        <f t="shared" si="132"/>
        <v/>
      </c>
      <c r="Q132" s="432">
        <f t="shared" si="132"/>
        <v>-0.5754132231</v>
      </c>
      <c r="R132" s="432">
        <f t="shared" si="132"/>
        <v>1.545454545</v>
      </c>
      <c r="S132" s="432">
        <f t="shared" si="132"/>
        <v>0.3335301063</v>
      </c>
      <c r="U132" s="433">
        <v>38.54</v>
      </c>
      <c r="V132" s="433">
        <v>-9.53</v>
      </c>
      <c r="W132" s="433">
        <v>-3.88</v>
      </c>
      <c r="X132" s="434">
        <f t="shared" si="129"/>
        <v>5.65</v>
      </c>
      <c r="Y132" s="432">
        <f t="shared" si="120"/>
        <v>0.592864638</v>
      </c>
    </row>
    <row r="133" ht="15.75" customHeight="1">
      <c r="B133" s="435" t="s">
        <v>1866</v>
      </c>
      <c r="C133" s="436">
        <v>0.0</v>
      </c>
      <c r="D133" s="436">
        <v>0.0</v>
      </c>
      <c r="E133" s="436">
        <v>2.07</v>
      </c>
      <c r="F133" s="436">
        <v>4.23</v>
      </c>
      <c r="G133" s="437">
        <f t="shared" si="126"/>
        <v>6.3</v>
      </c>
      <c r="I133" s="436">
        <v>0.0</v>
      </c>
      <c r="J133" s="436">
        <v>0.0</v>
      </c>
      <c r="K133" s="436">
        <v>0.8</v>
      </c>
      <c r="L133" s="436">
        <v>10.77</v>
      </c>
      <c r="M133" s="437">
        <f t="shared" si="127"/>
        <v>11.57</v>
      </c>
      <c r="O133" s="438" t="str">
        <f t="shared" ref="O133:S133" si="133">IFERROR(I133/C133-1,"")</f>
        <v/>
      </c>
      <c r="P133" s="438" t="str">
        <f t="shared" si="133"/>
        <v/>
      </c>
      <c r="Q133" s="438">
        <f t="shared" si="133"/>
        <v>-0.61352657</v>
      </c>
      <c r="R133" s="438">
        <f t="shared" si="133"/>
        <v>1.546099291</v>
      </c>
      <c r="S133" s="438">
        <f t="shared" si="133"/>
        <v>0.8365079365</v>
      </c>
      <c r="U133" s="439">
        <v>14.64</v>
      </c>
      <c r="V133" s="439">
        <v>-2.99</v>
      </c>
      <c r="W133" s="439">
        <v>2.36</v>
      </c>
      <c r="X133" s="440">
        <f t="shared" si="129"/>
        <v>5.35</v>
      </c>
      <c r="Y133" s="438">
        <f t="shared" si="120"/>
        <v>1.789297659</v>
      </c>
    </row>
    <row r="134" ht="15.75" customHeight="1">
      <c r="Y134" s="194" t="str">
        <f t="shared" si="120"/>
        <v/>
      </c>
    </row>
    <row r="135" ht="15.75" customHeight="1">
      <c r="Y135" s="194" t="str">
        <f t="shared" si="120"/>
        <v/>
      </c>
    </row>
    <row r="136" ht="15.75" customHeight="1">
      <c r="B136" s="415" t="s">
        <v>1874</v>
      </c>
      <c r="C136" s="415"/>
      <c r="D136" s="415"/>
      <c r="E136" s="415"/>
      <c r="F136" s="415"/>
      <c r="G136" s="415"/>
      <c r="H136" s="415"/>
      <c r="I136" s="415"/>
      <c r="J136" s="415"/>
      <c r="K136" s="415"/>
      <c r="L136" s="415"/>
      <c r="M136" s="415"/>
      <c r="N136" s="415"/>
      <c r="O136" s="415"/>
      <c r="P136" s="415"/>
      <c r="Q136" s="415"/>
      <c r="R136" s="415"/>
      <c r="S136" s="415"/>
      <c r="T136" s="415"/>
      <c r="U136" s="415"/>
      <c r="V136" s="415"/>
      <c r="W136" s="415"/>
      <c r="X136" s="415"/>
      <c r="Y136" s="415"/>
    </row>
    <row r="137" ht="15.75" customHeight="1">
      <c r="C137" s="416" t="s">
        <v>1852</v>
      </c>
      <c r="D137" s="417"/>
      <c r="E137" s="417"/>
      <c r="F137" s="417"/>
      <c r="G137" s="417"/>
      <c r="I137" s="418" t="s">
        <v>1853</v>
      </c>
      <c r="J137" s="419"/>
      <c r="K137" s="419"/>
      <c r="L137" s="419"/>
      <c r="M137" s="419"/>
      <c r="O137" s="420" t="s">
        <v>1854</v>
      </c>
      <c r="P137" s="421"/>
      <c r="Q137" s="421"/>
      <c r="R137" s="421"/>
      <c r="S137" s="421"/>
      <c r="U137" s="422" t="s">
        <v>1855</v>
      </c>
      <c r="V137" s="423"/>
      <c r="W137" s="423"/>
      <c r="X137" s="421"/>
      <c r="Y137" s="421"/>
    </row>
    <row r="138" ht="15.75" customHeight="1">
      <c r="B138" s="161" t="s">
        <v>1856</v>
      </c>
      <c r="C138" s="424" t="s">
        <v>1857</v>
      </c>
      <c r="D138" s="424" t="s">
        <v>1858</v>
      </c>
      <c r="E138" s="424" t="s">
        <v>1859</v>
      </c>
      <c r="F138" s="424" t="s">
        <v>1860</v>
      </c>
      <c r="G138" s="424" t="s">
        <v>111</v>
      </c>
      <c r="I138" s="425" t="s">
        <v>1857</v>
      </c>
      <c r="J138" s="425" t="s">
        <v>1858</v>
      </c>
      <c r="K138" s="425" t="s">
        <v>1859</v>
      </c>
      <c r="L138" s="425" t="s">
        <v>1860</v>
      </c>
      <c r="M138" s="425" t="s">
        <v>111</v>
      </c>
      <c r="O138" s="426" t="s">
        <v>1857</v>
      </c>
      <c r="P138" s="426" t="s">
        <v>1858</v>
      </c>
      <c r="Q138" s="426" t="s">
        <v>1859</v>
      </c>
      <c r="R138" s="426" t="s">
        <v>1860</v>
      </c>
      <c r="S138" s="426" t="s">
        <v>111</v>
      </c>
      <c r="U138" s="427" t="s">
        <v>1861</v>
      </c>
      <c r="V138" s="427" t="s">
        <v>1862</v>
      </c>
      <c r="W138" s="427" t="s">
        <v>1863</v>
      </c>
      <c r="X138" s="426" t="s">
        <v>1864</v>
      </c>
      <c r="Y138" s="426" t="s">
        <v>1865</v>
      </c>
    </row>
    <row r="139" ht="15.75" customHeight="1">
      <c r="B139" s="428" t="s">
        <v>163</v>
      </c>
      <c r="C139" s="428"/>
      <c r="D139" s="428"/>
      <c r="E139" s="428"/>
      <c r="F139" s="428"/>
      <c r="G139" s="428"/>
      <c r="H139" s="428"/>
      <c r="I139" s="428"/>
      <c r="J139" s="428"/>
      <c r="K139" s="428"/>
      <c r="L139" s="428"/>
      <c r="M139" s="428"/>
      <c r="N139" s="428"/>
      <c r="O139" s="428"/>
      <c r="P139" s="428"/>
      <c r="Q139" s="428"/>
      <c r="R139" s="428"/>
      <c r="S139" s="428"/>
      <c r="T139" s="428"/>
      <c r="U139" s="428"/>
      <c r="V139" s="428"/>
      <c r="W139" s="428"/>
      <c r="X139" s="428"/>
      <c r="Y139" s="428"/>
    </row>
    <row r="140" ht="15.75" customHeight="1">
      <c r="B140" s="429" t="s">
        <v>56</v>
      </c>
      <c r="C140" s="430">
        <v>0.0</v>
      </c>
      <c r="D140" s="430">
        <v>0.0</v>
      </c>
      <c r="E140" s="430">
        <v>27.25</v>
      </c>
      <c r="F140" s="430">
        <v>3.3</v>
      </c>
      <c r="G140" s="431">
        <f t="shared" ref="G140:G145" si="135">SUM(C140:F140)</f>
        <v>30.55</v>
      </c>
      <c r="I140" s="430">
        <v>0.0</v>
      </c>
      <c r="J140" s="430">
        <v>0.0</v>
      </c>
      <c r="K140" s="430">
        <v>27.25</v>
      </c>
      <c r="L140" s="430">
        <v>1.24</v>
      </c>
      <c r="M140" s="431">
        <f t="shared" ref="M140:M145" si="136">SUM(I140:L140)</f>
        <v>28.49</v>
      </c>
      <c r="O140" s="432" t="str">
        <f t="shared" ref="O140:S140" si="134">IFERROR(I140/C140-1,"")</f>
        <v/>
      </c>
      <c r="P140" s="432" t="str">
        <f t="shared" si="134"/>
        <v/>
      </c>
      <c r="Q140" s="432">
        <f t="shared" si="134"/>
        <v>0</v>
      </c>
      <c r="R140" s="432">
        <f t="shared" si="134"/>
        <v>-0.6242424242</v>
      </c>
      <c r="S140" s="432">
        <f t="shared" si="134"/>
        <v>-0.0674304419</v>
      </c>
      <c r="U140" s="433">
        <v>10.02</v>
      </c>
      <c r="V140" s="433">
        <v>21.79</v>
      </c>
      <c r="W140" s="433">
        <v>19.73</v>
      </c>
      <c r="X140" s="434">
        <f t="shared" ref="X140:X145" si="138">IFERROR(W140-V140,"")</f>
        <v>-2.06</v>
      </c>
      <c r="Y140" s="432">
        <f t="shared" ref="Y140:Y154" si="139">IF(X140="","",IFERROR(X140/ABS(V140),0))</f>
        <v>-0.09453877926</v>
      </c>
    </row>
    <row r="141" ht="15.75" customHeight="1">
      <c r="B141" s="429" t="s">
        <v>57</v>
      </c>
      <c r="C141" s="430">
        <v>0.0</v>
      </c>
      <c r="D141" s="430">
        <v>0.0</v>
      </c>
      <c r="E141" s="430">
        <v>15.22</v>
      </c>
      <c r="F141" s="430">
        <v>13.01</v>
      </c>
      <c r="G141" s="431">
        <f t="shared" si="135"/>
        <v>28.23</v>
      </c>
      <c r="I141" s="430">
        <v>0.0</v>
      </c>
      <c r="J141" s="430">
        <v>0.0</v>
      </c>
      <c r="K141" s="430">
        <v>15.22</v>
      </c>
      <c r="L141" s="430">
        <v>5.63</v>
      </c>
      <c r="M141" s="431">
        <f t="shared" si="136"/>
        <v>20.85</v>
      </c>
      <c r="O141" s="432" t="str">
        <f t="shared" ref="O141:S141" si="137">IFERROR(I141/C141-1,"")</f>
        <v/>
      </c>
      <c r="P141" s="432" t="str">
        <f t="shared" si="137"/>
        <v/>
      </c>
      <c r="Q141" s="432">
        <f t="shared" si="137"/>
        <v>0</v>
      </c>
      <c r="R141" s="432">
        <f t="shared" si="137"/>
        <v>-0.567255957</v>
      </c>
      <c r="S141" s="432">
        <f t="shared" si="137"/>
        <v>-0.261424017</v>
      </c>
      <c r="U141" s="433">
        <v>15.72</v>
      </c>
      <c r="V141" s="433">
        <v>19.95</v>
      </c>
      <c r="W141" s="433">
        <v>12.57</v>
      </c>
      <c r="X141" s="434">
        <f t="shared" si="138"/>
        <v>-7.38</v>
      </c>
      <c r="Y141" s="432">
        <f t="shared" si="139"/>
        <v>-0.369924812</v>
      </c>
    </row>
    <row r="142" ht="15.75" customHeight="1">
      <c r="B142" s="429" t="s">
        <v>58</v>
      </c>
      <c r="C142" s="430">
        <v>0.0</v>
      </c>
      <c r="D142" s="430">
        <v>0.0</v>
      </c>
      <c r="E142" s="430">
        <v>7.88</v>
      </c>
      <c r="F142" s="430">
        <v>20.41</v>
      </c>
      <c r="G142" s="431">
        <f t="shared" si="135"/>
        <v>28.29</v>
      </c>
      <c r="I142" s="430">
        <v>0.0</v>
      </c>
      <c r="J142" s="430">
        <v>0.0</v>
      </c>
      <c r="K142" s="430">
        <v>7.88</v>
      </c>
      <c r="L142" s="430">
        <v>9.69</v>
      </c>
      <c r="M142" s="431">
        <f t="shared" si="136"/>
        <v>17.57</v>
      </c>
      <c r="O142" s="432" t="str">
        <f t="shared" ref="O142:S142" si="140">IFERROR(I142/C142-1,"")</f>
        <v/>
      </c>
      <c r="P142" s="432" t="str">
        <f t="shared" si="140"/>
        <v/>
      </c>
      <c r="Q142" s="432">
        <f t="shared" si="140"/>
        <v>0</v>
      </c>
      <c r="R142" s="432">
        <f t="shared" si="140"/>
        <v>-0.5252327291</v>
      </c>
      <c r="S142" s="432">
        <f t="shared" si="140"/>
        <v>-0.378932485</v>
      </c>
      <c r="U142" s="433">
        <v>21.96</v>
      </c>
      <c r="V142" s="433">
        <v>19.82</v>
      </c>
      <c r="W142" s="433">
        <v>9.1</v>
      </c>
      <c r="X142" s="434">
        <f t="shared" si="138"/>
        <v>-10.72</v>
      </c>
      <c r="Y142" s="432">
        <f t="shared" si="139"/>
        <v>-0.5408678103</v>
      </c>
    </row>
    <row r="143" ht="15.75" customHeight="1">
      <c r="B143" s="429" t="s">
        <v>59</v>
      </c>
      <c r="C143" s="430">
        <v>0.0</v>
      </c>
      <c r="D143" s="430">
        <v>0.0</v>
      </c>
      <c r="E143" s="430">
        <v>5.65</v>
      </c>
      <c r="F143" s="430">
        <v>30.66</v>
      </c>
      <c r="G143" s="431">
        <f t="shared" si="135"/>
        <v>36.31</v>
      </c>
      <c r="I143" s="430">
        <v>0.0</v>
      </c>
      <c r="J143" s="430">
        <v>0.0</v>
      </c>
      <c r="K143" s="430">
        <v>5.65</v>
      </c>
      <c r="L143" s="430">
        <v>17.1</v>
      </c>
      <c r="M143" s="431">
        <f t="shared" si="136"/>
        <v>22.75</v>
      </c>
      <c r="O143" s="432" t="str">
        <f t="shared" ref="O143:S143" si="141">IFERROR(I143/C143-1,"")</f>
        <v/>
      </c>
      <c r="P143" s="432" t="str">
        <f t="shared" si="141"/>
        <v/>
      </c>
      <c r="Q143" s="432">
        <f t="shared" si="141"/>
        <v>0</v>
      </c>
      <c r="R143" s="432">
        <f t="shared" si="141"/>
        <v>-0.4422700587</v>
      </c>
      <c r="S143" s="432">
        <f t="shared" si="141"/>
        <v>-0.37345084</v>
      </c>
      <c r="U143" s="433">
        <v>32.36</v>
      </c>
      <c r="V143" s="433">
        <v>19.61</v>
      </c>
      <c r="W143" s="433">
        <v>6.05</v>
      </c>
      <c r="X143" s="434">
        <f t="shared" si="138"/>
        <v>-13.56</v>
      </c>
      <c r="Y143" s="432">
        <f t="shared" si="139"/>
        <v>-0.6914839368</v>
      </c>
    </row>
    <row r="144" ht="15.75" customHeight="1">
      <c r="B144" s="429" t="s">
        <v>60</v>
      </c>
      <c r="C144" s="430">
        <v>0.0</v>
      </c>
      <c r="D144" s="430">
        <v>0.0</v>
      </c>
      <c r="E144" s="430">
        <v>2.79</v>
      </c>
      <c r="F144" s="430">
        <v>28.57</v>
      </c>
      <c r="G144" s="431">
        <f t="shared" si="135"/>
        <v>31.36</v>
      </c>
      <c r="I144" s="430">
        <v>0.0</v>
      </c>
      <c r="J144" s="430">
        <v>0.0</v>
      </c>
      <c r="K144" s="430">
        <v>2.79</v>
      </c>
      <c r="L144" s="430">
        <v>18.83</v>
      </c>
      <c r="M144" s="431">
        <f t="shared" si="136"/>
        <v>21.62</v>
      </c>
      <c r="O144" s="432" t="str">
        <f t="shared" ref="O144:S144" si="142">IFERROR(I144/C144-1,"")</f>
        <v/>
      </c>
      <c r="P144" s="432" t="str">
        <f t="shared" si="142"/>
        <v/>
      </c>
      <c r="Q144" s="432">
        <f t="shared" si="142"/>
        <v>0</v>
      </c>
      <c r="R144" s="432">
        <f t="shared" si="142"/>
        <v>-0.3409170459</v>
      </c>
      <c r="S144" s="432">
        <f t="shared" si="142"/>
        <v>-0.3105867347</v>
      </c>
      <c r="U144" s="433">
        <v>36.03</v>
      </c>
      <c r="V144" s="433">
        <v>10.43</v>
      </c>
      <c r="W144" s="433">
        <v>0.69</v>
      </c>
      <c r="X144" s="434">
        <f t="shared" si="138"/>
        <v>-9.74</v>
      </c>
      <c r="Y144" s="432">
        <f t="shared" si="139"/>
        <v>-0.9338446788</v>
      </c>
    </row>
    <row r="145" ht="15.75" customHeight="1">
      <c r="B145" s="435" t="s">
        <v>1866</v>
      </c>
      <c r="C145" s="436">
        <v>0.0</v>
      </c>
      <c r="D145" s="436">
        <v>0.0</v>
      </c>
      <c r="E145" s="436">
        <v>18.74</v>
      </c>
      <c r="F145" s="436">
        <v>11.37</v>
      </c>
      <c r="G145" s="437">
        <f t="shared" si="135"/>
        <v>30.11</v>
      </c>
      <c r="I145" s="436">
        <v>0.0</v>
      </c>
      <c r="J145" s="436">
        <v>0.0</v>
      </c>
      <c r="K145" s="436">
        <v>18.74</v>
      </c>
      <c r="L145" s="436">
        <v>5.4</v>
      </c>
      <c r="M145" s="437">
        <f t="shared" si="136"/>
        <v>24.14</v>
      </c>
      <c r="O145" s="438" t="str">
        <f t="shared" ref="O145:S145" si="143">IFERROR(I145/C145-1,"")</f>
        <v/>
      </c>
      <c r="P145" s="438" t="str">
        <f t="shared" si="143"/>
        <v/>
      </c>
      <c r="Q145" s="438">
        <f t="shared" si="143"/>
        <v>0</v>
      </c>
      <c r="R145" s="438">
        <f t="shared" si="143"/>
        <v>-0.5250659631</v>
      </c>
      <c r="S145" s="438">
        <f t="shared" si="143"/>
        <v>-0.198272999</v>
      </c>
      <c r="U145" s="439">
        <v>19.02</v>
      </c>
      <c r="V145" s="439">
        <v>20.11</v>
      </c>
      <c r="W145" s="439">
        <v>12.24</v>
      </c>
      <c r="X145" s="440">
        <f t="shared" si="138"/>
        <v>-7.87</v>
      </c>
      <c r="Y145" s="438">
        <f t="shared" si="139"/>
        <v>-0.3913475883</v>
      </c>
    </row>
    <row r="146" ht="15.75" customHeight="1">
      <c r="B146" s="428" t="s">
        <v>1867</v>
      </c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428"/>
      <c r="N146" s="428"/>
      <c r="O146" s="428"/>
      <c r="P146" s="428"/>
      <c r="Q146" s="428"/>
      <c r="R146" s="428"/>
      <c r="S146" s="428"/>
      <c r="T146" s="428"/>
      <c r="U146" s="428"/>
      <c r="V146" s="428"/>
      <c r="W146" s="428"/>
      <c r="X146" s="428"/>
      <c r="Y146" s="428" t="str">
        <f t="shared" si="139"/>
        <v/>
      </c>
    </row>
    <row r="147" ht="15.75" customHeight="1">
      <c r="B147" s="429" t="s">
        <v>56</v>
      </c>
      <c r="C147" s="430">
        <v>0.0</v>
      </c>
      <c r="D147" s="430">
        <v>0.0</v>
      </c>
      <c r="E147" s="430">
        <v>22.24</v>
      </c>
      <c r="F147" s="430">
        <v>7.22</v>
      </c>
      <c r="G147" s="431">
        <f t="shared" ref="G147:G152" si="145">SUM(C147:F147)</f>
        <v>29.46</v>
      </c>
      <c r="I147" s="430">
        <v>0.0</v>
      </c>
      <c r="J147" s="430">
        <v>0.0</v>
      </c>
      <c r="K147" s="430">
        <v>22.24</v>
      </c>
      <c r="L147" s="430">
        <v>5.85</v>
      </c>
      <c r="M147" s="431">
        <f t="shared" ref="M147:M152" si="146">SUM(I147:L147)</f>
        <v>28.09</v>
      </c>
      <c r="O147" s="432" t="str">
        <f t="shared" ref="O147:S147" si="144">IFERROR(I147/C147-1,"")</f>
        <v/>
      </c>
      <c r="P147" s="432" t="str">
        <f t="shared" si="144"/>
        <v/>
      </c>
      <c r="Q147" s="432">
        <f t="shared" si="144"/>
        <v>0</v>
      </c>
      <c r="R147" s="432">
        <f t="shared" si="144"/>
        <v>-0.1897506925</v>
      </c>
      <c r="S147" s="432">
        <f t="shared" si="144"/>
        <v>-0.04650373388</v>
      </c>
      <c r="U147" s="433">
        <v>29.84</v>
      </c>
      <c r="V147" s="433">
        <v>4.9</v>
      </c>
      <c r="W147" s="433">
        <v>3.53</v>
      </c>
      <c r="X147" s="434">
        <f t="shared" ref="X147:X152" si="148">IFERROR(W147-V147,"")</f>
        <v>-1.37</v>
      </c>
      <c r="Y147" s="432">
        <f t="shared" si="139"/>
        <v>-0.2795918367</v>
      </c>
    </row>
    <row r="148" ht="15.75" customHeight="1">
      <c r="B148" s="429" t="s">
        <v>57</v>
      </c>
      <c r="C148" s="430">
        <v>0.0</v>
      </c>
      <c r="D148" s="430">
        <v>0.0</v>
      </c>
      <c r="E148" s="430">
        <v>11.55</v>
      </c>
      <c r="F148" s="430">
        <v>19.71</v>
      </c>
      <c r="G148" s="431">
        <f t="shared" si="145"/>
        <v>31.26</v>
      </c>
      <c r="I148" s="430">
        <v>0.0</v>
      </c>
      <c r="J148" s="430">
        <v>0.0</v>
      </c>
      <c r="K148" s="430">
        <v>11.55</v>
      </c>
      <c r="L148" s="430">
        <v>13.58</v>
      </c>
      <c r="M148" s="431">
        <f t="shared" si="146"/>
        <v>25.13</v>
      </c>
      <c r="O148" s="432" t="str">
        <f t="shared" ref="O148:S148" si="147">IFERROR(I148/C148-1,"")</f>
        <v/>
      </c>
      <c r="P148" s="432" t="str">
        <f t="shared" si="147"/>
        <v/>
      </c>
      <c r="Q148" s="432">
        <f t="shared" si="147"/>
        <v>0</v>
      </c>
      <c r="R148" s="432">
        <f t="shared" si="147"/>
        <v>-0.3110096398</v>
      </c>
      <c r="S148" s="432">
        <f t="shared" si="147"/>
        <v>-0.1960972489</v>
      </c>
      <c r="U148" s="433">
        <v>63.44</v>
      </c>
      <c r="V148" s="433">
        <v>-16.0</v>
      </c>
      <c r="W148" s="433">
        <v>-22.13</v>
      </c>
      <c r="X148" s="434">
        <f t="shared" si="148"/>
        <v>-6.13</v>
      </c>
      <c r="Y148" s="432">
        <f t="shared" si="139"/>
        <v>-0.383125</v>
      </c>
    </row>
    <row r="149" ht="15.75" customHeight="1">
      <c r="B149" s="429" t="s">
        <v>58</v>
      </c>
      <c r="C149" s="430">
        <v>0.0</v>
      </c>
      <c r="D149" s="430">
        <v>0.0</v>
      </c>
      <c r="E149" s="430">
        <v>6.18</v>
      </c>
      <c r="F149" s="430">
        <v>27.99</v>
      </c>
      <c r="G149" s="431">
        <f t="shared" si="145"/>
        <v>34.17</v>
      </c>
      <c r="I149" s="430">
        <v>0.0</v>
      </c>
      <c r="J149" s="430">
        <v>0.0</v>
      </c>
      <c r="K149" s="430">
        <v>6.18</v>
      </c>
      <c r="L149" s="430">
        <v>18.04</v>
      </c>
      <c r="M149" s="431">
        <f t="shared" si="146"/>
        <v>24.22</v>
      </c>
      <c r="O149" s="432" t="str">
        <f t="shared" ref="O149:S149" si="149">IFERROR(I149/C149-1,"")</f>
        <v/>
      </c>
      <c r="P149" s="432" t="str">
        <f t="shared" si="149"/>
        <v/>
      </c>
      <c r="Q149" s="432">
        <f t="shared" si="149"/>
        <v>0</v>
      </c>
      <c r="R149" s="432">
        <f t="shared" si="149"/>
        <v>-0.3554841015</v>
      </c>
      <c r="S149" s="432">
        <f t="shared" si="149"/>
        <v>-0.2911911033</v>
      </c>
      <c r="U149" s="433">
        <v>72.95</v>
      </c>
      <c r="V149" s="433">
        <v>-17.13</v>
      </c>
      <c r="W149" s="433">
        <v>-27.08</v>
      </c>
      <c r="X149" s="434">
        <f t="shared" si="148"/>
        <v>-9.95</v>
      </c>
      <c r="Y149" s="432">
        <f t="shared" si="139"/>
        <v>-0.5808523059</v>
      </c>
    </row>
    <row r="150" ht="15.75" customHeight="1">
      <c r="B150" s="429" t="s">
        <v>59</v>
      </c>
      <c r="C150" s="430">
        <v>0.0</v>
      </c>
      <c r="D150" s="430">
        <v>0.0</v>
      </c>
      <c r="E150" s="430">
        <v>3.9</v>
      </c>
      <c r="F150" s="430">
        <v>37.09</v>
      </c>
      <c r="G150" s="431">
        <f t="shared" si="145"/>
        <v>40.99</v>
      </c>
      <c r="I150" s="430">
        <v>0.0</v>
      </c>
      <c r="J150" s="430">
        <v>0.0</v>
      </c>
      <c r="K150" s="430">
        <v>3.9</v>
      </c>
      <c r="L150" s="430">
        <v>23.88</v>
      </c>
      <c r="M150" s="431">
        <f t="shared" si="146"/>
        <v>27.78</v>
      </c>
      <c r="O150" s="432" t="str">
        <f t="shared" ref="O150:S150" si="150">IFERROR(I150/C150-1,"")</f>
        <v/>
      </c>
      <c r="P150" s="432" t="str">
        <f t="shared" si="150"/>
        <v/>
      </c>
      <c r="Q150" s="432">
        <f t="shared" si="150"/>
        <v>0</v>
      </c>
      <c r="R150" s="432">
        <f t="shared" si="150"/>
        <v>-0.3561606902</v>
      </c>
      <c r="S150" s="432">
        <f t="shared" si="150"/>
        <v>-0.3222737253</v>
      </c>
      <c r="U150" s="433">
        <v>79.45</v>
      </c>
      <c r="V150" s="433">
        <v>-15.8</v>
      </c>
      <c r="W150" s="433">
        <v>-29.01</v>
      </c>
      <c r="X150" s="434">
        <f t="shared" si="148"/>
        <v>-13.21</v>
      </c>
      <c r="Y150" s="432">
        <f t="shared" si="139"/>
        <v>-0.8360759494</v>
      </c>
    </row>
    <row r="151" ht="15.75" customHeight="1">
      <c r="B151" s="429" t="s">
        <v>60</v>
      </c>
      <c r="C151" s="430">
        <v>0.0</v>
      </c>
      <c r="D151" s="430">
        <v>0.0</v>
      </c>
      <c r="E151" s="430">
        <v>1.99</v>
      </c>
      <c r="F151" s="430">
        <v>37.04</v>
      </c>
      <c r="G151" s="431">
        <f t="shared" si="145"/>
        <v>39.03</v>
      </c>
      <c r="I151" s="430">
        <v>0.0</v>
      </c>
      <c r="J151" s="430">
        <v>0.0</v>
      </c>
      <c r="K151" s="430">
        <v>1.99</v>
      </c>
      <c r="L151" s="430">
        <v>27.2</v>
      </c>
      <c r="M151" s="431">
        <f t="shared" si="146"/>
        <v>29.19</v>
      </c>
      <c r="O151" s="432" t="str">
        <f t="shared" ref="O151:S151" si="151">IFERROR(I151/C151-1,"")</f>
        <v/>
      </c>
      <c r="P151" s="432" t="str">
        <f t="shared" si="151"/>
        <v/>
      </c>
      <c r="Q151" s="432">
        <f t="shared" si="151"/>
        <v>0</v>
      </c>
      <c r="R151" s="432">
        <f t="shared" si="151"/>
        <v>-0.2656587473</v>
      </c>
      <c r="S151" s="432">
        <f t="shared" si="151"/>
        <v>-0.2521137586</v>
      </c>
      <c r="U151" s="433">
        <v>74.84</v>
      </c>
      <c r="V151" s="433">
        <v>-16.93</v>
      </c>
      <c r="W151" s="433">
        <v>-26.77</v>
      </c>
      <c r="X151" s="434">
        <f t="shared" si="148"/>
        <v>-9.84</v>
      </c>
      <c r="Y151" s="432">
        <f t="shared" si="139"/>
        <v>-0.581216775</v>
      </c>
    </row>
    <row r="152" ht="15.75" customHeight="1">
      <c r="B152" s="435" t="s">
        <v>1866</v>
      </c>
      <c r="C152" s="436">
        <v>0.0</v>
      </c>
      <c r="D152" s="436">
        <v>0.0</v>
      </c>
      <c r="E152" s="436">
        <v>15.59</v>
      </c>
      <c r="F152" s="436">
        <v>16.02</v>
      </c>
      <c r="G152" s="437">
        <f t="shared" si="145"/>
        <v>31.61</v>
      </c>
      <c r="I152" s="436">
        <v>0.0</v>
      </c>
      <c r="J152" s="436">
        <v>0.0</v>
      </c>
      <c r="K152" s="436">
        <v>15.59</v>
      </c>
      <c r="L152" s="436">
        <v>11.19</v>
      </c>
      <c r="M152" s="437">
        <f t="shared" si="146"/>
        <v>26.78</v>
      </c>
      <c r="O152" s="438" t="str">
        <f t="shared" ref="O152:S152" si="152">IFERROR(I152/C152-1,"")</f>
        <v/>
      </c>
      <c r="P152" s="438" t="str">
        <f t="shared" si="152"/>
        <v/>
      </c>
      <c r="Q152" s="438">
        <f t="shared" si="152"/>
        <v>0</v>
      </c>
      <c r="R152" s="438">
        <f t="shared" si="152"/>
        <v>-0.3014981273</v>
      </c>
      <c r="S152" s="438">
        <f t="shared" si="152"/>
        <v>-0.1527997469</v>
      </c>
      <c r="U152" s="439">
        <v>54.84</v>
      </c>
      <c r="V152" s="439">
        <v>-8.21</v>
      </c>
      <c r="W152" s="439">
        <v>-14.31</v>
      </c>
      <c r="X152" s="440">
        <f t="shared" si="148"/>
        <v>-6.1</v>
      </c>
      <c r="Y152" s="438">
        <f t="shared" si="139"/>
        <v>-0.7429963459</v>
      </c>
    </row>
    <row r="153" ht="15.75" customHeight="1">
      <c r="Y153" s="194" t="str">
        <f t="shared" si="139"/>
        <v/>
      </c>
    </row>
    <row r="154" ht="15.75" customHeight="1">
      <c r="Y154" s="194" t="str">
        <f t="shared" si="139"/>
        <v/>
      </c>
    </row>
    <row r="155" ht="15.75" customHeight="1">
      <c r="B155" s="415" t="s">
        <v>1875</v>
      </c>
      <c r="C155" s="415"/>
      <c r="D155" s="415"/>
      <c r="E155" s="415"/>
      <c r="F155" s="415"/>
      <c r="G155" s="415"/>
      <c r="H155" s="415"/>
      <c r="I155" s="415"/>
      <c r="J155" s="415"/>
      <c r="K155" s="415"/>
      <c r="L155" s="415"/>
      <c r="M155" s="415"/>
      <c r="N155" s="415"/>
      <c r="O155" s="415"/>
      <c r="P155" s="415"/>
      <c r="Q155" s="415"/>
      <c r="R155" s="415"/>
      <c r="S155" s="415"/>
      <c r="T155" s="415"/>
      <c r="U155" s="415"/>
      <c r="V155" s="415"/>
      <c r="W155" s="415"/>
      <c r="X155" s="415"/>
      <c r="Y155" s="415"/>
    </row>
    <row r="156" ht="15.75" customHeight="1">
      <c r="C156" s="416" t="s">
        <v>1852</v>
      </c>
      <c r="D156" s="417"/>
      <c r="E156" s="417"/>
      <c r="F156" s="417"/>
      <c r="G156" s="417"/>
      <c r="I156" s="418" t="s">
        <v>1853</v>
      </c>
      <c r="J156" s="419"/>
      <c r="K156" s="419"/>
      <c r="L156" s="419"/>
      <c r="M156" s="419"/>
      <c r="O156" s="420" t="s">
        <v>1854</v>
      </c>
      <c r="P156" s="421"/>
      <c r="Q156" s="421"/>
      <c r="R156" s="421"/>
      <c r="S156" s="421"/>
      <c r="U156" s="422" t="s">
        <v>1855</v>
      </c>
      <c r="V156" s="423"/>
      <c r="W156" s="423"/>
      <c r="X156" s="421"/>
      <c r="Y156" s="421"/>
    </row>
    <row r="157" ht="15.75" customHeight="1">
      <c r="B157" s="161" t="s">
        <v>1856</v>
      </c>
      <c r="C157" s="424" t="s">
        <v>1857</v>
      </c>
      <c r="D157" s="424" t="s">
        <v>1858</v>
      </c>
      <c r="E157" s="424" t="s">
        <v>1859</v>
      </c>
      <c r="F157" s="424" t="s">
        <v>1860</v>
      </c>
      <c r="G157" s="424" t="s">
        <v>111</v>
      </c>
      <c r="I157" s="425" t="s">
        <v>1857</v>
      </c>
      <c r="J157" s="425" t="s">
        <v>1858</v>
      </c>
      <c r="K157" s="425" t="s">
        <v>1859</v>
      </c>
      <c r="L157" s="425" t="s">
        <v>1860</v>
      </c>
      <c r="M157" s="425" t="s">
        <v>111</v>
      </c>
      <c r="O157" s="426" t="s">
        <v>1857</v>
      </c>
      <c r="P157" s="426" t="s">
        <v>1858</v>
      </c>
      <c r="Q157" s="426" t="s">
        <v>1859</v>
      </c>
      <c r="R157" s="426" t="s">
        <v>1860</v>
      </c>
      <c r="S157" s="426" t="s">
        <v>111</v>
      </c>
      <c r="U157" s="427" t="s">
        <v>1861</v>
      </c>
      <c r="V157" s="427" t="s">
        <v>1862</v>
      </c>
      <c r="W157" s="427" t="s">
        <v>1863</v>
      </c>
      <c r="X157" s="426" t="s">
        <v>1864</v>
      </c>
      <c r="Y157" s="426" t="s">
        <v>1865</v>
      </c>
    </row>
    <row r="158" ht="15.75" customHeight="1">
      <c r="B158" s="428" t="s">
        <v>163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</row>
    <row r="159" ht="15.75" customHeight="1">
      <c r="B159" s="429" t="s">
        <v>56</v>
      </c>
      <c r="C159" s="430">
        <v>0.0</v>
      </c>
      <c r="D159" s="430">
        <v>0.0</v>
      </c>
      <c r="E159" s="430">
        <v>12.1</v>
      </c>
      <c r="F159" s="430">
        <v>21.0</v>
      </c>
      <c r="G159" s="431">
        <f t="shared" ref="G159:G164" si="154">SUM(C159:F159)</f>
        <v>33.1</v>
      </c>
      <c r="I159" s="430">
        <v>0.0</v>
      </c>
      <c r="J159" s="430">
        <v>0.0</v>
      </c>
      <c r="K159" s="430">
        <v>12.1</v>
      </c>
      <c r="L159" s="430">
        <v>19.15</v>
      </c>
      <c r="M159" s="431">
        <f t="shared" ref="M159:M164" si="155">SUM(I159:L159)</f>
        <v>31.25</v>
      </c>
      <c r="O159" s="432" t="str">
        <f t="shared" ref="O159:S159" si="153">IFERROR(I159/C159-1,"")</f>
        <v/>
      </c>
      <c r="P159" s="432" t="str">
        <f t="shared" si="153"/>
        <v/>
      </c>
      <c r="Q159" s="432">
        <f t="shared" si="153"/>
        <v>0</v>
      </c>
      <c r="R159" s="432">
        <f t="shared" si="153"/>
        <v>-0.0880952381</v>
      </c>
      <c r="S159" s="432">
        <f t="shared" si="153"/>
        <v>-0.05589123867</v>
      </c>
      <c r="U159" s="433">
        <v>11.66</v>
      </c>
      <c r="V159" s="433">
        <v>30.6</v>
      </c>
      <c r="W159" s="433">
        <v>28.75</v>
      </c>
      <c r="X159" s="434">
        <f t="shared" ref="X159:X164" si="157">IFERROR(W159-V159,"")</f>
        <v>-1.85</v>
      </c>
      <c r="Y159" s="432">
        <f t="shared" ref="Y159:Y173" si="158">IF(X159="","",IFERROR(X159/ABS(V159),0))</f>
        <v>-0.06045751634</v>
      </c>
    </row>
    <row r="160" ht="15.75" customHeight="1">
      <c r="B160" s="429" t="s">
        <v>57</v>
      </c>
      <c r="C160" s="430">
        <v>0.0</v>
      </c>
      <c r="D160" s="430">
        <v>0.0</v>
      </c>
      <c r="E160" s="430">
        <v>10.4</v>
      </c>
      <c r="F160" s="430">
        <v>24.28</v>
      </c>
      <c r="G160" s="431">
        <f t="shared" si="154"/>
        <v>34.68</v>
      </c>
      <c r="I160" s="430">
        <v>0.0</v>
      </c>
      <c r="J160" s="430">
        <v>0.0</v>
      </c>
      <c r="K160" s="430">
        <v>10.4</v>
      </c>
      <c r="L160" s="430">
        <v>19.73</v>
      </c>
      <c r="M160" s="431">
        <f t="shared" si="155"/>
        <v>30.13</v>
      </c>
      <c r="O160" s="432" t="str">
        <f t="shared" ref="O160:S160" si="156">IFERROR(I160/C160-1,"")</f>
        <v/>
      </c>
      <c r="P160" s="432" t="str">
        <f t="shared" si="156"/>
        <v/>
      </c>
      <c r="Q160" s="432">
        <f t="shared" si="156"/>
        <v>0</v>
      </c>
      <c r="R160" s="432">
        <f t="shared" si="156"/>
        <v>-0.1873970346</v>
      </c>
      <c r="S160" s="432">
        <f t="shared" si="156"/>
        <v>-0.1311995386</v>
      </c>
      <c r="U160" s="433">
        <v>21.24</v>
      </c>
      <c r="V160" s="433">
        <v>33.72</v>
      </c>
      <c r="W160" s="433">
        <v>29.17</v>
      </c>
      <c r="X160" s="434">
        <f t="shared" si="157"/>
        <v>-4.55</v>
      </c>
      <c r="Y160" s="432">
        <f t="shared" si="158"/>
        <v>-0.1349347568</v>
      </c>
    </row>
    <row r="161" ht="15.75" customHeight="1">
      <c r="B161" s="429" t="s">
        <v>58</v>
      </c>
      <c r="C161" s="430">
        <v>0.0</v>
      </c>
      <c r="D161" s="430">
        <v>0.0</v>
      </c>
      <c r="E161" s="430">
        <v>9.07</v>
      </c>
      <c r="F161" s="430">
        <v>29.94</v>
      </c>
      <c r="G161" s="431">
        <f t="shared" si="154"/>
        <v>39.01</v>
      </c>
      <c r="I161" s="430">
        <v>0.0</v>
      </c>
      <c r="J161" s="430">
        <v>0.0</v>
      </c>
      <c r="K161" s="430">
        <v>9.07</v>
      </c>
      <c r="L161" s="430">
        <v>22.55</v>
      </c>
      <c r="M161" s="431">
        <f t="shared" si="155"/>
        <v>31.62</v>
      </c>
      <c r="O161" s="432" t="str">
        <f t="shared" ref="O161:S161" si="159">IFERROR(I161/C161-1,"")</f>
        <v/>
      </c>
      <c r="P161" s="432" t="str">
        <f t="shared" si="159"/>
        <v/>
      </c>
      <c r="Q161" s="432">
        <f t="shared" si="159"/>
        <v>0</v>
      </c>
      <c r="R161" s="432">
        <f t="shared" si="159"/>
        <v>-0.2468269873</v>
      </c>
      <c r="S161" s="432">
        <f t="shared" si="159"/>
        <v>-0.1894386055</v>
      </c>
      <c r="U161" s="433">
        <v>29.63</v>
      </c>
      <c r="V161" s="433">
        <v>35.04</v>
      </c>
      <c r="W161" s="433">
        <v>27.65</v>
      </c>
      <c r="X161" s="434">
        <f t="shared" si="157"/>
        <v>-7.39</v>
      </c>
      <c r="Y161" s="432">
        <f t="shared" si="158"/>
        <v>-0.2109018265</v>
      </c>
    </row>
    <row r="162" ht="15.75" customHeight="1">
      <c r="B162" s="429" t="s">
        <v>59</v>
      </c>
      <c r="C162" s="430">
        <v>0.0</v>
      </c>
      <c r="D162" s="430">
        <v>0.0</v>
      </c>
      <c r="E162" s="430">
        <v>8.21</v>
      </c>
      <c r="F162" s="430">
        <v>45.79</v>
      </c>
      <c r="G162" s="431">
        <f t="shared" si="154"/>
        <v>54</v>
      </c>
      <c r="I162" s="430">
        <v>0.0</v>
      </c>
      <c r="J162" s="430">
        <v>0.0</v>
      </c>
      <c r="K162" s="430">
        <v>8.21</v>
      </c>
      <c r="L162" s="430">
        <v>43.47</v>
      </c>
      <c r="M162" s="431">
        <f t="shared" si="155"/>
        <v>51.68</v>
      </c>
      <c r="O162" s="432" t="str">
        <f t="shared" ref="O162:S162" si="160">IFERROR(I162/C162-1,"")</f>
        <v/>
      </c>
      <c r="P162" s="432" t="str">
        <f t="shared" si="160"/>
        <v/>
      </c>
      <c r="Q162" s="432">
        <f t="shared" si="160"/>
        <v>0</v>
      </c>
      <c r="R162" s="432">
        <f t="shared" si="160"/>
        <v>-0.0506660843</v>
      </c>
      <c r="S162" s="432">
        <f t="shared" si="160"/>
        <v>-0.04296296296</v>
      </c>
      <c r="U162" s="433">
        <v>46.18</v>
      </c>
      <c r="V162" s="433">
        <v>38.29</v>
      </c>
      <c r="W162" s="433">
        <v>35.97</v>
      </c>
      <c r="X162" s="434">
        <f t="shared" si="157"/>
        <v>-2.32</v>
      </c>
      <c r="Y162" s="432">
        <f t="shared" si="158"/>
        <v>-0.06059023244</v>
      </c>
    </row>
    <row r="163" ht="15.75" customHeight="1">
      <c r="B163" s="429" t="s">
        <v>60</v>
      </c>
      <c r="C163" s="430">
        <v>0.0</v>
      </c>
      <c r="D163" s="430">
        <v>0.0</v>
      </c>
      <c r="E163" s="430">
        <v>4.4</v>
      </c>
      <c r="F163" s="430">
        <v>47.37</v>
      </c>
      <c r="G163" s="431">
        <f t="shared" si="154"/>
        <v>51.77</v>
      </c>
      <c r="I163" s="430">
        <v>0.0</v>
      </c>
      <c r="J163" s="430">
        <v>0.0</v>
      </c>
      <c r="K163" s="430">
        <v>4.4</v>
      </c>
      <c r="L163" s="430">
        <v>46.52</v>
      </c>
      <c r="M163" s="431">
        <f t="shared" si="155"/>
        <v>50.92</v>
      </c>
      <c r="O163" s="432" t="str">
        <f t="shared" ref="O163:S163" si="161">IFERROR(I163/C163-1,"")</f>
        <v/>
      </c>
      <c r="P163" s="432" t="str">
        <f t="shared" si="161"/>
        <v/>
      </c>
      <c r="Q163" s="432">
        <f t="shared" si="161"/>
        <v>0</v>
      </c>
      <c r="R163" s="432">
        <f t="shared" si="161"/>
        <v>-0.01794384632</v>
      </c>
      <c r="S163" s="432">
        <f t="shared" si="161"/>
        <v>-0.01641877535</v>
      </c>
      <c r="U163" s="433">
        <v>53.42</v>
      </c>
      <c r="V163" s="433">
        <v>25.12</v>
      </c>
      <c r="W163" s="433">
        <v>24.27</v>
      </c>
      <c r="X163" s="434">
        <f t="shared" si="157"/>
        <v>-0.85</v>
      </c>
      <c r="Y163" s="432">
        <f t="shared" si="158"/>
        <v>-0.03383757962</v>
      </c>
    </row>
    <row r="164" ht="15.75" customHeight="1">
      <c r="B164" s="435" t="s">
        <v>1866</v>
      </c>
      <c r="C164" s="436">
        <v>0.0</v>
      </c>
      <c r="D164" s="436">
        <v>0.0</v>
      </c>
      <c r="E164" s="436">
        <v>10.71</v>
      </c>
      <c r="F164" s="436">
        <v>25.87</v>
      </c>
      <c r="G164" s="437">
        <f t="shared" si="154"/>
        <v>36.58</v>
      </c>
      <c r="I164" s="436">
        <v>0.0</v>
      </c>
      <c r="J164" s="436">
        <v>0.0</v>
      </c>
      <c r="K164" s="436">
        <v>10.71</v>
      </c>
      <c r="L164" s="436">
        <v>22.4</v>
      </c>
      <c r="M164" s="437">
        <f t="shared" si="155"/>
        <v>33.11</v>
      </c>
      <c r="O164" s="438" t="str">
        <f t="shared" ref="O164:S164" si="162">IFERROR(I164/C164-1,"")</f>
        <v/>
      </c>
      <c r="P164" s="438" t="str">
        <f t="shared" si="162"/>
        <v/>
      </c>
      <c r="Q164" s="438">
        <f t="shared" si="162"/>
        <v>0</v>
      </c>
      <c r="R164" s="438">
        <f t="shared" si="162"/>
        <v>-0.1341321995</v>
      </c>
      <c r="S164" s="438">
        <f t="shared" si="162"/>
        <v>-0.09486057955</v>
      </c>
      <c r="U164" s="439">
        <v>21.92</v>
      </c>
      <c r="V164" s="439">
        <v>32.99</v>
      </c>
      <c r="W164" s="439">
        <v>29.32</v>
      </c>
      <c r="X164" s="440">
        <f t="shared" si="157"/>
        <v>-3.67</v>
      </c>
      <c r="Y164" s="438">
        <f t="shared" si="158"/>
        <v>-0.1112458321</v>
      </c>
    </row>
    <row r="165" ht="15.75" customHeight="1">
      <c r="B165" s="428" t="s">
        <v>1867</v>
      </c>
      <c r="C165" s="428"/>
      <c r="D165" s="428"/>
      <c r="E165" s="428"/>
      <c r="F165" s="428"/>
      <c r="G165" s="428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R165" s="428"/>
      <c r="S165" s="428"/>
      <c r="T165" s="428"/>
      <c r="U165" s="428"/>
      <c r="V165" s="428"/>
      <c r="W165" s="428"/>
      <c r="X165" s="428"/>
      <c r="Y165" s="428" t="str">
        <f t="shared" si="158"/>
        <v/>
      </c>
    </row>
    <row r="166" ht="15.75" customHeight="1">
      <c r="B166" s="429" t="s">
        <v>56</v>
      </c>
      <c r="C166" s="430">
        <v>0.0</v>
      </c>
      <c r="D166" s="430">
        <v>0.0</v>
      </c>
      <c r="E166" s="430">
        <v>15.36</v>
      </c>
      <c r="F166" s="430">
        <v>24.79</v>
      </c>
      <c r="G166" s="431">
        <f t="shared" ref="G166:G171" si="164">SUM(C166:F166)</f>
        <v>40.15</v>
      </c>
      <c r="I166" s="430">
        <v>0.0</v>
      </c>
      <c r="J166" s="430">
        <v>0.0</v>
      </c>
      <c r="K166" s="430">
        <v>15.36</v>
      </c>
      <c r="L166" s="430">
        <v>22.95</v>
      </c>
      <c r="M166" s="431">
        <f t="shared" ref="M166:M171" si="165">SUM(I166:L166)</f>
        <v>38.31</v>
      </c>
      <c r="O166" s="432" t="str">
        <f t="shared" ref="O166:S166" si="163">IFERROR(I166/C166-1,"")</f>
        <v/>
      </c>
      <c r="P166" s="432" t="str">
        <f t="shared" si="163"/>
        <v/>
      </c>
      <c r="Q166" s="432">
        <f t="shared" si="163"/>
        <v>0</v>
      </c>
      <c r="R166" s="432">
        <f t="shared" si="163"/>
        <v>-0.07422347721</v>
      </c>
      <c r="S166" s="432">
        <f t="shared" si="163"/>
        <v>-0.04582814446</v>
      </c>
      <c r="U166" s="433">
        <v>24.24</v>
      </c>
      <c r="V166" s="433">
        <v>29.26</v>
      </c>
      <c r="W166" s="433">
        <v>27.42</v>
      </c>
      <c r="X166" s="434">
        <f t="shared" ref="X166:X171" si="167">IFERROR(W166-V166,"")</f>
        <v>-1.84</v>
      </c>
      <c r="Y166" s="432">
        <f t="shared" si="158"/>
        <v>-0.06288448394</v>
      </c>
    </row>
    <row r="167" ht="15.75" customHeight="1">
      <c r="B167" s="429" t="s">
        <v>57</v>
      </c>
      <c r="C167" s="430">
        <v>0.0</v>
      </c>
      <c r="D167" s="430">
        <v>0.0</v>
      </c>
      <c r="E167" s="430">
        <v>9.88</v>
      </c>
      <c r="F167" s="430">
        <v>31.55</v>
      </c>
      <c r="G167" s="431">
        <f t="shared" si="164"/>
        <v>41.43</v>
      </c>
      <c r="I167" s="430">
        <v>0.0</v>
      </c>
      <c r="J167" s="430">
        <v>0.0</v>
      </c>
      <c r="K167" s="430">
        <v>9.88</v>
      </c>
      <c r="L167" s="430">
        <v>27.36</v>
      </c>
      <c r="M167" s="431">
        <f t="shared" si="165"/>
        <v>37.24</v>
      </c>
      <c r="O167" s="432" t="str">
        <f t="shared" ref="O167:S167" si="166">IFERROR(I167/C167-1,"")</f>
        <v/>
      </c>
      <c r="P167" s="432" t="str">
        <f t="shared" si="166"/>
        <v/>
      </c>
      <c r="Q167" s="432">
        <f t="shared" si="166"/>
        <v>0</v>
      </c>
      <c r="R167" s="432">
        <f t="shared" si="166"/>
        <v>-0.1328050713</v>
      </c>
      <c r="S167" s="432">
        <f t="shared" si="166"/>
        <v>-0.1011344436</v>
      </c>
      <c r="U167" s="433">
        <v>53.34</v>
      </c>
      <c r="V167" s="433">
        <v>18.97</v>
      </c>
      <c r="W167" s="433">
        <v>14.78</v>
      </c>
      <c r="X167" s="434">
        <f t="shared" si="167"/>
        <v>-4.19</v>
      </c>
      <c r="Y167" s="432">
        <f t="shared" si="158"/>
        <v>-0.2208750659</v>
      </c>
    </row>
    <row r="168" ht="15.75" customHeight="1">
      <c r="B168" s="429" t="s">
        <v>58</v>
      </c>
      <c r="C168" s="430">
        <v>0.0</v>
      </c>
      <c r="D168" s="430">
        <v>0.0</v>
      </c>
      <c r="E168" s="430">
        <v>7.47</v>
      </c>
      <c r="F168" s="430">
        <v>38.85</v>
      </c>
      <c r="G168" s="431">
        <f t="shared" si="164"/>
        <v>46.32</v>
      </c>
      <c r="I168" s="430">
        <v>0.0</v>
      </c>
      <c r="J168" s="430">
        <v>0.0</v>
      </c>
      <c r="K168" s="430">
        <v>7.47</v>
      </c>
      <c r="L168" s="430">
        <v>32.22</v>
      </c>
      <c r="M168" s="431">
        <f t="shared" si="165"/>
        <v>39.69</v>
      </c>
      <c r="O168" s="432" t="str">
        <f t="shared" ref="O168:S168" si="168">IFERROR(I168/C168-1,"")</f>
        <v/>
      </c>
      <c r="P168" s="432" t="str">
        <f t="shared" si="168"/>
        <v/>
      </c>
      <c r="Q168" s="432">
        <f t="shared" si="168"/>
        <v>0</v>
      </c>
      <c r="R168" s="432">
        <f t="shared" si="168"/>
        <v>-0.1706563707</v>
      </c>
      <c r="S168" s="432">
        <f t="shared" si="168"/>
        <v>-0.143134715</v>
      </c>
      <c r="U168" s="433">
        <v>67.82</v>
      </c>
      <c r="V168" s="433">
        <v>14.35</v>
      </c>
      <c r="W168" s="433">
        <v>7.72</v>
      </c>
      <c r="X168" s="434">
        <f t="shared" si="167"/>
        <v>-6.63</v>
      </c>
      <c r="Y168" s="432">
        <f t="shared" si="158"/>
        <v>-0.4620209059</v>
      </c>
    </row>
    <row r="169" ht="15.75" customHeight="1">
      <c r="B169" s="429" t="s">
        <v>59</v>
      </c>
      <c r="C169" s="430">
        <v>0.0</v>
      </c>
      <c r="D169" s="430">
        <v>0.0</v>
      </c>
      <c r="E169" s="430">
        <v>6.44</v>
      </c>
      <c r="F169" s="430">
        <v>55.46</v>
      </c>
      <c r="G169" s="431">
        <f t="shared" si="164"/>
        <v>61.9</v>
      </c>
      <c r="I169" s="430">
        <v>0.0</v>
      </c>
      <c r="J169" s="430">
        <v>0.0</v>
      </c>
      <c r="K169" s="430">
        <v>6.44</v>
      </c>
      <c r="L169" s="430">
        <v>53.11</v>
      </c>
      <c r="M169" s="431">
        <f t="shared" si="165"/>
        <v>59.55</v>
      </c>
      <c r="O169" s="432" t="str">
        <f t="shared" ref="O169:S169" si="169">IFERROR(I169/C169-1,"")</f>
        <v/>
      </c>
      <c r="P169" s="432" t="str">
        <f t="shared" si="169"/>
        <v/>
      </c>
      <c r="Q169" s="432">
        <f t="shared" si="169"/>
        <v>0</v>
      </c>
      <c r="R169" s="432">
        <f t="shared" si="169"/>
        <v>-0.04237288136</v>
      </c>
      <c r="S169" s="432">
        <f t="shared" si="169"/>
        <v>-0.0379644588</v>
      </c>
      <c r="U169" s="433">
        <v>91.97</v>
      </c>
      <c r="V169" s="433">
        <v>13.46</v>
      </c>
      <c r="W169" s="433">
        <v>11.11</v>
      </c>
      <c r="X169" s="434">
        <f t="shared" si="167"/>
        <v>-2.35</v>
      </c>
      <c r="Y169" s="432">
        <f t="shared" si="158"/>
        <v>-0.1745913819</v>
      </c>
    </row>
    <row r="170" ht="15.75" customHeight="1">
      <c r="B170" s="429" t="s">
        <v>60</v>
      </c>
      <c r="C170" s="430">
        <v>0.0</v>
      </c>
      <c r="D170" s="430">
        <v>0.0</v>
      </c>
      <c r="E170" s="430">
        <v>3.21</v>
      </c>
      <c r="F170" s="430">
        <v>65.39</v>
      </c>
      <c r="G170" s="431">
        <f t="shared" si="164"/>
        <v>68.6</v>
      </c>
      <c r="I170" s="430">
        <v>0.0</v>
      </c>
      <c r="J170" s="430">
        <v>0.0</v>
      </c>
      <c r="K170" s="430">
        <v>3.21</v>
      </c>
      <c r="L170" s="430">
        <v>64.47</v>
      </c>
      <c r="M170" s="431">
        <f t="shared" si="165"/>
        <v>67.68</v>
      </c>
      <c r="O170" s="432" t="str">
        <f t="shared" ref="O170:S170" si="170">IFERROR(I170/C170-1,"")</f>
        <v/>
      </c>
      <c r="P170" s="432" t="str">
        <f t="shared" si="170"/>
        <v/>
      </c>
      <c r="Q170" s="432">
        <f t="shared" si="170"/>
        <v>0</v>
      </c>
      <c r="R170" s="432">
        <f t="shared" si="170"/>
        <v>-0.01406942958</v>
      </c>
      <c r="S170" s="432">
        <f t="shared" si="170"/>
        <v>-0.01341107872</v>
      </c>
      <c r="U170" s="433">
        <v>103.37</v>
      </c>
      <c r="V170" s="433">
        <v>7.99</v>
      </c>
      <c r="W170" s="433">
        <v>7.07</v>
      </c>
      <c r="X170" s="434">
        <f t="shared" si="167"/>
        <v>-0.92</v>
      </c>
      <c r="Y170" s="432">
        <f t="shared" si="158"/>
        <v>-0.1151439299</v>
      </c>
    </row>
    <row r="171" ht="15.75" customHeight="1">
      <c r="B171" s="435" t="s">
        <v>1866</v>
      </c>
      <c r="C171" s="436">
        <v>0.0</v>
      </c>
      <c r="D171" s="436">
        <v>0.0</v>
      </c>
      <c r="E171" s="436">
        <v>12.02</v>
      </c>
      <c r="F171" s="436">
        <v>31.39</v>
      </c>
      <c r="G171" s="437">
        <f t="shared" si="164"/>
        <v>43.41</v>
      </c>
      <c r="I171" s="436">
        <v>0.0</v>
      </c>
      <c r="J171" s="436">
        <v>0.0</v>
      </c>
      <c r="K171" s="436">
        <v>12.02</v>
      </c>
      <c r="L171" s="436">
        <v>28.23</v>
      </c>
      <c r="M171" s="437">
        <f t="shared" si="165"/>
        <v>40.25</v>
      </c>
      <c r="O171" s="438" t="str">
        <f t="shared" ref="O171:S171" si="171">IFERROR(I171/C171-1,"")</f>
        <v/>
      </c>
      <c r="P171" s="438" t="str">
        <f t="shared" si="171"/>
        <v/>
      </c>
      <c r="Q171" s="438">
        <f t="shared" si="171"/>
        <v>0</v>
      </c>
      <c r="R171" s="438">
        <f t="shared" si="171"/>
        <v>-0.1006690029</v>
      </c>
      <c r="S171" s="438">
        <f t="shared" si="171"/>
        <v>-0.07279428703</v>
      </c>
      <c r="U171" s="439">
        <v>45.97</v>
      </c>
      <c r="V171" s="439">
        <v>22.47</v>
      </c>
      <c r="W171" s="439">
        <v>19.19</v>
      </c>
      <c r="X171" s="440">
        <f t="shared" si="167"/>
        <v>-3.28</v>
      </c>
      <c r="Y171" s="438">
        <f t="shared" si="158"/>
        <v>-0.1459724077</v>
      </c>
    </row>
    <row r="172" ht="15.75" customHeight="1">
      <c r="Y172" s="194" t="str">
        <f t="shared" si="158"/>
        <v/>
      </c>
    </row>
    <row r="173" ht="15.75" customHeight="1">
      <c r="Y173" s="194" t="str">
        <f t="shared" si="158"/>
        <v/>
      </c>
    </row>
    <row r="174" ht="15.75" customHeight="1">
      <c r="B174" s="415" t="s">
        <v>1876</v>
      </c>
      <c r="C174" s="415"/>
      <c r="D174" s="415"/>
      <c r="E174" s="415"/>
      <c r="F174" s="415"/>
      <c r="G174" s="415"/>
      <c r="H174" s="415"/>
      <c r="I174" s="415"/>
      <c r="J174" s="415"/>
      <c r="K174" s="415"/>
      <c r="L174" s="415"/>
      <c r="M174" s="415"/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5"/>
    </row>
    <row r="175" ht="15.75" customHeight="1">
      <c r="C175" s="416" t="s">
        <v>1852</v>
      </c>
      <c r="D175" s="417"/>
      <c r="E175" s="417"/>
      <c r="F175" s="417"/>
      <c r="G175" s="417"/>
      <c r="I175" s="418" t="s">
        <v>1853</v>
      </c>
      <c r="J175" s="419"/>
      <c r="K175" s="419"/>
      <c r="L175" s="419"/>
      <c r="M175" s="419"/>
      <c r="O175" s="420" t="s">
        <v>1854</v>
      </c>
      <c r="P175" s="421"/>
      <c r="Q175" s="421"/>
      <c r="R175" s="421"/>
      <c r="S175" s="421"/>
      <c r="U175" s="422" t="s">
        <v>1855</v>
      </c>
      <c r="V175" s="423"/>
      <c r="W175" s="423"/>
      <c r="X175" s="421"/>
      <c r="Y175" s="421"/>
    </row>
    <row r="176" ht="15.75" customHeight="1">
      <c r="B176" s="161" t="s">
        <v>1856</v>
      </c>
      <c r="C176" s="424" t="s">
        <v>1857</v>
      </c>
      <c r="D176" s="424" t="s">
        <v>1858</v>
      </c>
      <c r="E176" s="424" t="s">
        <v>1859</v>
      </c>
      <c r="F176" s="424" t="s">
        <v>1860</v>
      </c>
      <c r="G176" s="424" t="s">
        <v>111</v>
      </c>
      <c r="I176" s="425" t="s">
        <v>1857</v>
      </c>
      <c r="J176" s="425" t="s">
        <v>1858</v>
      </c>
      <c r="K176" s="425" t="s">
        <v>1859</v>
      </c>
      <c r="L176" s="425" t="s">
        <v>1860</v>
      </c>
      <c r="M176" s="425" t="s">
        <v>111</v>
      </c>
      <c r="O176" s="426" t="s">
        <v>1857</v>
      </c>
      <c r="P176" s="426" t="s">
        <v>1858</v>
      </c>
      <c r="Q176" s="426" t="s">
        <v>1859</v>
      </c>
      <c r="R176" s="426" t="s">
        <v>1860</v>
      </c>
      <c r="S176" s="426" t="s">
        <v>111</v>
      </c>
      <c r="U176" s="427" t="s">
        <v>1861</v>
      </c>
      <c r="V176" s="427" t="s">
        <v>1862</v>
      </c>
      <c r="W176" s="427" t="s">
        <v>1863</v>
      </c>
      <c r="X176" s="426" t="s">
        <v>1864</v>
      </c>
      <c r="Y176" s="426" t="s">
        <v>1865</v>
      </c>
    </row>
    <row r="177" ht="15.75" customHeight="1">
      <c r="B177" s="428" t="s">
        <v>163</v>
      </c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</row>
    <row r="178" ht="15.75" customHeight="1">
      <c r="B178" s="429" t="s">
        <v>56</v>
      </c>
      <c r="C178" s="430">
        <v>0.0</v>
      </c>
      <c r="D178" s="430">
        <v>0.0</v>
      </c>
      <c r="E178" s="430">
        <v>10.16</v>
      </c>
      <c r="F178" s="430">
        <v>23.78</v>
      </c>
      <c r="G178" s="431">
        <f t="shared" ref="G178:G183" si="173">SUM(C178:F178)</f>
        <v>33.94</v>
      </c>
      <c r="I178" s="430">
        <v>0.0</v>
      </c>
      <c r="J178" s="430">
        <v>0.0</v>
      </c>
      <c r="K178" s="430">
        <v>10.16</v>
      </c>
      <c r="L178" s="430">
        <v>22.73</v>
      </c>
      <c r="M178" s="431">
        <f t="shared" ref="M178:M183" si="174">SUM(I178:L178)</f>
        <v>32.89</v>
      </c>
      <c r="O178" s="432" t="str">
        <f t="shared" ref="O178:S178" si="172">IFERROR(I178/C178-1,"")</f>
        <v/>
      </c>
      <c r="P178" s="432" t="str">
        <f t="shared" si="172"/>
        <v/>
      </c>
      <c r="Q178" s="432">
        <f t="shared" si="172"/>
        <v>0</v>
      </c>
      <c r="R178" s="432">
        <f t="shared" si="172"/>
        <v>-0.04415475189</v>
      </c>
      <c r="S178" s="432">
        <f t="shared" si="172"/>
        <v>-0.03093694755</v>
      </c>
      <c r="U178" s="433">
        <v>13.47</v>
      </c>
      <c r="V178" s="433">
        <v>34.29</v>
      </c>
      <c r="W178" s="433">
        <v>33.24</v>
      </c>
      <c r="X178" s="434">
        <f t="shared" ref="X178:X183" si="176">IFERROR(W178-V178,"")</f>
        <v>-1.05</v>
      </c>
      <c r="Y178" s="432">
        <f t="shared" ref="Y178:Y192" si="177">IF(X178="","",IFERROR(X178/ABS(V178),0))</f>
        <v>-0.03062117235</v>
      </c>
    </row>
    <row r="179" ht="15.75" customHeight="1">
      <c r="B179" s="429" t="s">
        <v>57</v>
      </c>
      <c r="C179" s="430">
        <v>0.0</v>
      </c>
      <c r="D179" s="430">
        <v>0.0</v>
      </c>
      <c r="E179" s="430">
        <v>8.29</v>
      </c>
      <c r="F179" s="430">
        <v>30.99</v>
      </c>
      <c r="G179" s="431">
        <f t="shared" si="173"/>
        <v>39.28</v>
      </c>
      <c r="I179" s="430">
        <v>0.0</v>
      </c>
      <c r="J179" s="430">
        <v>0.0</v>
      </c>
      <c r="K179" s="430">
        <v>8.29</v>
      </c>
      <c r="L179" s="430">
        <v>43.25</v>
      </c>
      <c r="M179" s="431">
        <f t="shared" si="174"/>
        <v>51.54</v>
      </c>
      <c r="O179" s="432" t="str">
        <f t="shared" ref="O179:S179" si="175">IFERROR(I179/C179-1,"")</f>
        <v/>
      </c>
      <c r="P179" s="432" t="str">
        <f t="shared" si="175"/>
        <v/>
      </c>
      <c r="Q179" s="432">
        <f t="shared" si="175"/>
        <v>0</v>
      </c>
      <c r="R179" s="432">
        <f t="shared" si="175"/>
        <v>0.3956114876</v>
      </c>
      <c r="S179" s="432">
        <f t="shared" si="175"/>
        <v>0.3121181263</v>
      </c>
      <c r="U179" s="433">
        <v>26.28</v>
      </c>
      <c r="V179" s="433">
        <v>44.17</v>
      </c>
      <c r="W179" s="433">
        <v>56.43</v>
      </c>
      <c r="X179" s="434">
        <f t="shared" si="176"/>
        <v>12.26</v>
      </c>
      <c r="Y179" s="432">
        <f t="shared" si="177"/>
        <v>0.2775639574</v>
      </c>
    </row>
    <row r="180" ht="15.75" customHeight="1">
      <c r="B180" s="429" t="s">
        <v>58</v>
      </c>
      <c r="C180" s="430">
        <v>0.0</v>
      </c>
      <c r="D180" s="430">
        <v>0.0</v>
      </c>
      <c r="E180" s="430">
        <v>8.07</v>
      </c>
      <c r="F180" s="430">
        <v>40.94</v>
      </c>
      <c r="G180" s="431">
        <f t="shared" si="173"/>
        <v>49.01</v>
      </c>
      <c r="I180" s="430">
        <v>0.0</v>
      </c>
      <c r="J180" s="430">
        <v>0.0</v>
      </c>
      <c r="K180" s="430">
        <v>8.07</v>
      </c>
      <c r="L180" s="430">
        <v>59.59</v>
      </c>
      <c r="M180" s="431">
        <f t="shared" si="174"/>
        <v>67.66</v>
      </c>
      <c r="O180" s="432" t="str">
        <f t="shared" ref="O180:S180" si="178">IFERROR(I180/C180-1,"")</f>
        <v/>
      </c>
      <c r="P180" s="432" t="str">
        <f t="shared" si="178"/>
        <v/>
      </c>
      <c r="Q180" s="432">
        <f t="shared" si="178"/>
        <v>0</v>
      </c>
      <c r="R180" s="432">
        <f t="shared" si="178"/>
        <v>0.4555446996</v>
      </c>
      <c r="S180" s="432">
        <f t="shared" si="178"/>
        <v>0.3805345848</v>
      </c>
      <c r="U180" s="433">
        <v>37.79</v>
      </c>
      <c r="V180" s="433">
        <v>49.82</v>
      </c>
      <c r="W180" s="433">
        <v>68.47</v>
      </c>
      <c r="X180" s="434">
        <f t="shared" si="176"/>
        <v>18.65</v>
      </c>
      <c r="Y180" s="432">
        <f t="shared" si="177"/>
        <v>0.3743476515</v>
      </c>
    </row>
    <row r="181" ht="15.75" customHeight="1">
      <c r="B181" s="429" t="s">
        <v>59</v>
      </c>
      <c r="C181" s="430">
        <v>0.0</v>
      </c>
      <c r="D181" s="430">
        <v>0.0</v>
      </c>
      <c r="E181" s="430">
        <v>12.03</v>
      </c>
      <c r="F181" s="430">
        <v>56.76</v>
      </c>
      <c r="G181" s="431">
        <f t="shared" si="173"/>
        <v>68.79</v>
      </c>
      <c r="I181" s="430">
        <v>0.0</v>
      </c>
      <c r="J181" s="430">
        <v>0.0</v>
      </c>
      <c r="K181" s="430">
        <v>12.03</v>
      </c>
      <c r="L181" s="430">
        <v>73.83</v>
      </c>
      <c r="M181" s="431">
        <f t="shared" si="174"/>
        <v>85.86</v>
      </c>
      <c r="O181" s="432" t="str">
        <f t="shared" ref="O181:S181" si="179">IFERROR(I181/C181-1,"")</f>
        <v/>
      </c>
      <c r="P181" s="432" t="str">
        <f t="shared" si="179"/>
        <v/>
      </c>
      <c r="Q181" s="432">
        <f t="shared" si="179"/>
        <v>0</v>
      </c>
      <c r="R181" s="432">
        <f t="shared" si="179"/>
        <v>0.3007399577</v>
      </c>
      <c r="S181" s="432">
        <f t="shared" si="179"/>
        <v>0.2481465329</v>
      </c>
      <c r="U181" s="433">
        <v>55.13</v>
      </c>
      <c r="V181" s="433">
        <v>56.53</v>
      </c>
      <c r="W181" s="433">
        <v>73.6</v>
      </c>
      <c r="X181" s="434">
        <f t="shared" si="176"/>
        <v>17.07</v>
      </c>
      <c r="Y181" s="432">
        <f t="shared" si="177"/>
        <v>0.3019635592</v>
      </c>
    </row>
    <row r="182" ht="15.75" customHeight="1">
      <c r="B182" s="429" t="s">
        <v>60</v>
      </c>
      <c r="C182" s="430">
        <v>0.0</v>
      </c>
      <c r="D182" s="430">
        <v>0.0</v>
      </c>
      <c r="E182" s="430">
        <v>6.27</v>
      </c>
      <c r="F182" s="430">
        <v>63.79</v>
      </c>
      <c r="G182" s="431">
        <f t="shared" si="173"/>
        <v>70.06</v>
      </c>
      <c r="I182" s="430">
        <v>0.0</v>
      </c>
      <c r="J182" s="430">
        <v>0.0</v>
      </c>
      <c r="K182" s="430">
        <v>6.27</v>
      </c>
      <c r="L182" s="430">
        <v>66.02</v>
      </c>
      <c r="M182" s="431">
        <f t="shared" si="174"/>
        <v>72.29</v>
      </c>
      <c r="O182" s="432" t="str">
        <f t="shared" ref="O182:S182" si="180">IFERROR(I182/C182-1,"")</f>
        <v/>
      </c>
      <c r="P182" s="432" t="str">
        <f t="shared" si="180"/>
        <v/>
      </c>
      <c r="Q182" s="432">
        <f t="shared" si="180"/>
        <v>0</v>
      </c>
      <c r="R182" s="432">
        <f t="shared" si="180"/>
        <v>0.03495845744</v>
      </c>
      <c r="S182" s="432">
        <f t="shared" si="180"/>
        <v>0.03182986012</v>
      </c>
      <c r="U182" s="433">
        <v>63.97</v>
      </c>
      <c r="V182" s="433">
        <v>43.26</v>
      </c>
      <c r="W182" s="433">
        <v>45.49</v>
      </c>
      <c r="X182" s="434">
        <f t="shared" si="176"/>
        <v>2.23</v>
      </c>
      <c r="Y182" s="432">
        <f t="shared" si="177"/>
        <v>0.05154877485</v>
      </c>
    </row>
    <row r="183" ht="15.75" customHeight="1">
      <c r="B183" s="435" t="s">
        <v>1866</v>
      </c>
      <c r="C183" s="436">
        <v>0.0</v>
      </c>
      <c r="D183" s="436">
        <v>0.0</v>
      </c>
      <c r="E183" s="436">
        <v>9.45</v>
      </c>
      <c r="F183" s="436">
        <v>31.93</v>
      </c>
      <c r="G183" s="437">
        <f t="shared" si="173"/>
        <v>41.38</v>
      </c>
      <c r="I183" s="436">
        <v>0.0</v>
      </c>
      <c r="J183" s="436">
        <v>0.0</v>
      </c>
      <c r="K183" s="436">
        <v>9.45</v>
      </c>
      <c r="L183" s="436">
        <v>39.15</v>
      </c>
      <c r="M183" s="437">
        <f t="shared" si="174"/>
        <v>48.6</v>
      </c>
      <c r="O183" s="438" t="str">
        <f t="shared" ref="O183:S183" si="181">IFERROR(I183/C183-1,"")</f>
        <v/>
      </c>
      <c r="P183" s="438" t="str">
        <f t="shared" si="181"/>
        <v/>
      </c>
      <c r="Q183" s="438">
        <f t="shared" si="181"/>
        <v>0</v>
      </c>
      <c r="R183" s="438">
        <f t="shared" si="181"/>
        <v>0.2261196367</v>
      </c>
      <c r="S183" s="438">
        <f t="shared" si="181"/>
        <v>0.1744804253</v>
      </c>
      <c r="U183" s="439">
        <v>26.45</v>
      </c>
      <c r="V183" s="439">
        <v>42.22</v>
      </c>
      <c r="W183" s="439">
        <v>50.29</v>
      </c>
      <c r="X183" s="440">
        <f t="shared" si="176"/>
        <v>8.07</v>
      </c>
      <c r="Y183" s="438">
        <f t="shared" si="177"/>
        <v>0.191141639</v>
      </c>
    </row>
    <row r="184" ht="15.75" customHeight="1">
      <c r="B184" s="428" t="s">
        <v>1867</v>
      </c>
      <c r="C184" s="428"/>
      <c r="D184" s="428"/>
      <c r="E184" s="428"/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8"/>
      <c r="S184" s="428"/>
      <c r="T184" s="428"/>
      <c r="U184" s="428"/>
      <c r="V184" s="428"/>
      <c r="W184" s="428"/>
      <c r="X184" s="428"/>
      <c r="Y184" s="428" t="str">
        <f t="shared" si="177"/>
        <v/>
      </c>
    </row>
    <row r="185" ht="15.75" customHeight="1">
      <c r="B185" s="429" t="s">
        <v>56</v>
      </c>
      <c r="C185" s="430">
        <v>0.0</v>
      </c>
      <c r="D185" s="430">
        <v>0.0</v>
      </c>
      <c r="E185" s="430">
        <v>13.55</v>
      </c>
      <c r="F185" s="430">
        <v>27.59</v>
      </c>
      <c r="G185" s="431">
        <f t="shared" ref="G185:G190" si="183">SUM(C185:F185)</f>
        <v>41.14</v>
      </c>
      <c r="I185" s="430">
        <v>0.0</v>
      </c>
      <c r="J185" s="430">
        <v>0.0</v>
      </c>
      <c r="K185" s="430">
        <v>13.55</v>
      </c>
      <c r="L185" s="430">
        <v>27.02</v>
      </c>
      <c r="M185" s="431">
        <f t="shared" ref="M185:M190" si="184">SUM(I185:L185)</f>
        <v>40.57</v>
      </c>
      <c r="O185" s="432" t="str">
        <f t="shared" ref="O185:S185" si="182">IFERROR(I185/C185-1,"")</f>
        <v/>
      </c>
      <c r="P185" s="432" t="str">
        <f t="shared" si="182"/>
        <v/>
      </c>
      <c r="Q185" s="432">
        <f t="shared" si="182"/>
        <v>0</v>
      </c>
      <c r="R185" s="432">
        <f t="shared" si="182"/>
        <v>-0.0206596593</v>
      </c>
      <c r="S185" s="432">
        <f t="shared" si="182"/>
        <v>-0.01385512883</v>
      </c>
      <c r="U185" s="433">
        <v>26.14</v>
      </c>
      <c r="V185" s="433">
        <v>32.89</v>
      </c>
      <c r="W185" s="433">
        <v>32.32</v>
      </c>
      <c r="X185" s="434">
        <f t="shared" ref="X185:X190" si="186">IFERROR(W185-V185,"")</f>
        <v>-0.57</v>
      </c>
      <c r="Y185" s="432">
        <f t="shared" si="177"/>
        <v>-0.01733049559</v>
      </c>
    </row>
    <row r="186" ht="15.75" customHeight="1">
      <c r="B186" s="429" t="s">
        <v>57</v>
      </c>
      <c r="C186" s="430">
        <v>0.0</v>
      </c>
      <c r="D186" s="430">
        <v>0.0</v>
      </c>
      <c r="E186" s="430">
        <v>8.21</v>
      </c>
      <c r="F186" s="430">
        <v>34.93</v>
      </c>
      <c r="G186" s="431">
        <f t="shared" si="183"/>
        <v>43.14</v>
      </c>
      <c r="I186" s="430">
        <v>0.0</v>
      </c>
      <c r="J186" s="430">
        <v>0.0</v>
      </c>
      <c r="K186" s="430">
        <v>8.21</v>
      </c>
      <c r="L186" s="430">
        <v>48.89</v>
      </c>
      <c r="M186" s="431">
        <f t="shared" si="184"/>
        <v>57.1</v>
      </c>
      <c r="O186" s="432" t="str">
        <f t="shared" ref="O186:S186" si="185">IFERROR(I186/C186-1,"")</f>
        <v/>
      </c>
      <c r="P186" s="432" t="str">
        <f t="shared" si="185"/>
        <v/>
      </c>
      <c r="Q186" s="432">
        <f t="shared" si="185"/>
        <v>0</v>
      </c>
      <c r="R186" s="432">
        <f t="shared" si="185"/>
        <v>0.3996564558</v>
      </c>
      <c r="S186" s="432">
        <f t="shared" si="185"/>
        <v>0.3235975892</v>
      </c>
      <c r="U186" s="433">
        <v>57.05</v>
      </c>
      <c r="V186" s="433">
        <v>26.53</v>
      </c>
      <c r="W186" s="433">
        <v>40.49</v>
      </c>
      <c r="X186" s="434">
        <f t="shared" si="186"/>
        <v>13.96</v>
      </c>
      <c r="Y186" s="432">
        <f t="shared" si="177"/>
        <v>0.5261967584</v>
      </c>
    </row>
    <row r="187" ht="15.75" customHeight="1">
      <c r="B187" s="429" t="s">
        <v>58</v>
      </c>
      <c r="C187" s="430">
        <v>0.0</v>
      </c>
      <c r="D187" s="430">
        <v>0.0</v>
      </c>
      <c r="E187" s="430">
        <v>6.39</v>
      </c>
      <c r="F187" s="430">
        <v>45.99</v>
      </c>
      <c r="G187" s="431">
        <f t="shared" si="183"/>
        <v>52.38</v>
      </c>
      <c r="I187" s="430">
        <v>0.0</v>
      </c>
      <c r="J187" s="430">
        <v>0.0</v>
      </c>
      <c r="K187" s="430">
        <v>6.39</v>
      </c>
      <c r="L187" s="430">
        <v>65.5</v>
      </c>
      <c r="M187" s="431">
        <f t="shared" si="184"/>
        <v>71.89</v>
      </c>
      <c r="O187" s="432" t="str">
        <f t="shared" ref="O187:S187" si="187">IFERROR(I187/C187-1,"")</f>
        <v/>
      </c>
      <c r="P187" s="432" t="str">
        <f t="shared" si="187"/>
        <v/>
      </c>
      <c r="Q187" s="432">
        <f t="shared" si="187"/>
        <v>0</v>
      </c>
      <c r="R187" s="432">
        <f t="shared" si="187"/>
        <v>0.4242226571</v>
      </c>
      <c r="S187" s="432">
        <f t="shared" si="187"/>
        <v>0.3724704086</v>
      </c>
      <c r="U187" s="433">
        <v>74.11</v>
      </c>
      <c r="V187" s="433">
        <v>24.43</v>
      </c>
      <c r="W187" s="433">
        <v>43.94</v>
      </c>
      <c r="X187" s="434">
        <f t="shared" si="186"/>
        <v>19.51</v>
      </c>
      <c r="Y187" s="432">
        <f t="shared" si="177"/>
        <v>0.7986082685</v>
      </c>
    </row>
    <row r="188" ht="15.75" customHeight="1">
      <c r="B188" s="429" t="s">
        <v>59</v>
      </c>
      <c r="C188" s="430">
        <v>0.0</v>
      </c>
      <c r="D188" s="430">
        <v>0.0</v>
      </c>
      <c r="E188" s="430">
        <v>8.12</v>
      </c>
      <c r="F188" s="430">
        <v>63.85</v>
      </c>
      <c r="G188" s="431">
        <f t="shared" si="183"/>
        <v>71.97</v>
      </c>
      <c r="I188" s="430">
        <v>0.0</v>
      </c>
      <c r="J188" s="430">
        <v>0.0</v>
      </c>
      <c r="K188" s="430">
        <v>8.12</v>
      </c>
      <c r="L188" s="430">
        <v>80.52</v>
      </c>
      <c r="M188" s="431">
        <f t="shared" si="184"/>
        <v>88.64</v>
      </c>
      <c r="O188" s="432" t="str">
        <f t="shared" ref="O188:S188" si="188">IFERROR(I188/C188-1,"")</f>
        <v/>
      </c>
      <c r="P188" s="432" t="str">
        <f t="shared" si="188"/>
        <v/>
      </c>
      <c r="Q188" s="432">
        <f t="shared" si="188"/>
        <v>0</v>
      </c>
      <c r="R188" s="432">
        <f t="shared" si="188"/>
        <v>0.2610806578</v>
      </c>
      <c r="S188" s="432">
        <f t="shared" si="188"/>
        <v>0.2316242879</v>
      </c>
      <c r="U188" s="433">
        <v>98.89</v>
      </c>
      <c r="V188" s="433">
        <v>27.17</v>
      </c>
      <c r="W188" s="433">
        <v>43.84</v>
      </c>
      <c r="X188" s="434">
        <f t="shared" si="186"/>
        <v>16.67</v>
      </c>
      <c r="Y188" s="432">
        <f t="shared" si="177"/>
        <v>0.6135443504</v>
      </c>
    </row>
    <row r="189" ht="15.75" customHeight="1">
      <c r="B189" s="429" t="s">
        <v>60</v>
      </c>
      <c r="C189" s="430">
        <v>0.0</v>
      </c>
      <c r="D189" s="430">
        <v>0.0</v>
      </c>
      <c r="E189" s="430">
        <v>4.88</v>
      </c>
      <c r="F189" s="430">
        <v>80.22</v>
      </c>
      <c r="G189" s="431">
        <f t="shared" si="183"/>
        <v>85.1</v>
      </c>
      <c r="I189" s="430">
        <v>0.0</v>
      </c>
      <c r="J189" s="430">
        <v>0.0</v>
      </c>
      <c r="K189" s="430">
        <v>4.88</v>
      </c>
      <c r="L189" s="430">
        <v>81.25</v>
      </c>
      <c r="M189" s="431">
        <f t="shared" si="184"/>
        <v>86.13</v>
      </c>
      <c r="O189" s="432" t="str">
        <f t="shared" ref="O189:S189" si="189">IFERROR(I189/C189-1,"")</f>
        <v/>
      </c>
      <c r="P189" s="432" t="str">
        <f t="shared" si="189"/>
        <v/>
      </c>
      <c r="Q189" s="432">
        <f t="shared" si="189"/>
        <v>0</v>
      </c>
      <c r="R189" s="432">
        <f t="shared" si="189"/>
        <v>0.01283969085</v>
      </c>
      <c r="S189" s="432">
        <f t="shared" si="189"/>
        <v>0.01210340776</v>
      </c>
      <c r="U189" s="433">
        <v>114.25</v>
      </c>
      <c r="V189" s="433">
        <v>26.24</v>
      </c>
      <c r="W189" s="433">
        <v>27.27</v>
      </c>
      <c r="X189" s="434">
        <f t="shared" si="186"/>
        <v>1.03</v>
      </c>
      <c r="Y189" s="432">
        <f t="shared" si="177"/>
        <v>0.03925304878</v>
      </c>
    </row>
    <row r="190" ht="15.75" customHeight="1">
      <c r="B190" s="435" t="s">
        <v>1866</v>
      </c>
      <c r="C190" s="436">
        <v>0.0</v>
      </c>
      <c r="D190" s="436">
        <v>0.0</v>
      </c>
      <c r="E190" s="436">
        <v>10.67</v>
      </c>
      <c r="F190" s="436">
        <v>35.56</v>
      </c>
      <c r="G190" s="437">
        <f t="shared" si="183"/>
        <v>46.23</v>
      </c>
      <c r="I190" s="436">
        <v>0.0</v>
      </c>
      <c r="J190" s="436">
        <v>0.0</v>
      </c>
      <c r="K190" s="436">
        <v>10.67</v>
      </c>
      <c r="L190" s="436">
        <v>42.87</v>
      </c>
      <c r="M190" s="437">
        <f t="shared" si="184"/>
        <v>53.54</v>
      </c>
      <c r="O190" s="438" t="str">
        <f t="shared" ref="O190:S190" si="190">IFERROR(I190/C190-1,"")</f>
        <v/>
      </c>
      <c r="P190" s="438" t="str">
        <f t="shared" si="190"/>
        <v/>
      </c>
      <c r="Q190" s="438">
        <f t="shared" si="190"/>
        <v>0</v>
      </c>
      <c r="R190" s="438">
        <f t="shared" si="190"/>
        <v>0.205568054</v>
      </c>
      <c r="S190" s="438">
        <f t="shared" si="190"/>
        <v>0.1581224313</v>
      </c>
      <c r="U190" s="439">
        <v>49.18</v>
      </c>
      <c r="V190" s="439">
        <v>29.32</v>
      </c>
      <c r="W190" s="439">
        <v>37.21</v>
      </c>
      <c r="X190" s="440">
        <f t="shared" si="186"/>
        <v>7.89</v>
      </c>
      <c r="Y190" s="438">
        <f t="shared" si="177"/>
        <v>0.2690995907</v>
      </c>
    </row>
    <row r="191" ht="15.75" customHeight="1">
      <c r="Y191" s="194" t="str">
        <f t="shared" si="177"/>
        <v/>
      </c>
    </row>
    <row r="192" ht="15.75" customHeight="1">
      <c r="Y192" s="194" t="str">
        <f t="shared" si="177"/>
        <v/>
      </c>
    </row>
    <row r="193" ht="15.75" customHeight="1">
      <c r="B193" s="415" t="s">
        <v>1877</v>
      </c>
      <c r="C193" s="415"/>
      <c r="D193" s="415"/>
      <c r="E193" s="415"/>
      <c r="F193" s="415"/>
      <c r="G193" s="415"/>
      <c r="H193" s="415"/>
      <c r="I193" s="415"/>
      <c r="J193" s="415"/>
      <c r="K193" s="415"/>
      <c r="L193" s="415"/>
      <c r="M193" s="415"/>
      <c r="N193" s="415"/>
      <c r="O193" s="415"/>
      <c r="P193" s="415"/>
      <c r="Q193" s="415"/>
      <c r="R193" s="415"/>
      <c r="S193" s="415"/>
      <c r="T193" s="415"/>
      <c r="U193" s="415"/>
      <c r="V193" s="415"/>
      <c r="W193" s="415"/>
      <c r="X193" s="415"/>
      <c r="Y193" s="415"/>
    </row>
    <row r="194" ht="15.75" customHeight="1">
      <c r="C194" s="416" t="s">
        <v>1852</v>
      </c>
      <c r="D194" s="417"/>
      <c r="E194" s="417"/>
      <c r="F194" s="417"/>
      <c r="G194" s="417"/>
      <c r="I194" s="418" t="s">
        <v>1853</v>
      </c>
      <c r="J194" s="419"/>
      <c r="K194" s="419"/>
      <c r="L194" s="419"/>
      <c r="M194" s="419"/>
      <c r="O194" s="420" t="s">
        <v>1854</v>
      </c>
      <c r="P194" s="421"/>
      <c r="Q194" s="421"/>
      <c r="R194" s="421"/>
      <c r="S194" s="421"/>
      <c r="U194" s="422" t="s">
        <v>1855</v>
      </c>
      <c r="V194" s="423"/>
      <c r="W194" s="423"/>
      <c r="X194" s="421"/>
      <c r="Y194" s="421"/>
    </row>
    <row r="195" ht="15.75" customHeight="1">
      <c r="B195" s="161" t="s">
        <v>1856</v>
      </c>
      <c r="C195" s="424" t="s">
        <v>1857</v>
      </c>
      <c r="D195" s="424" t="s">
        <v>1858</v>
      </c>
      <c r="E195" s="424" t="s">
        <v>1859</v>
      </c>
      <c r="F195" s="424" t="s">
        <v>1860</v>
      </c>
      <c r="G195" s="424" t="s">
        <v>111</v>
      </c>
      <c r="I195" s="425" t="s">
        <v>1857</v>
      </c>
      <c r="J195" s="425" t="s">
        <v>1858</v>
      </c>
      <c r="K195" s="425" t="s">
        <v>1859</v>
      </c>
      <c r="L195" s="425" t="s">
        <v>1860</v>
      </c>
      <c r="M195" s="425" t="s">
        <v>111</v>
      </c>
      <c r="O195" s="426" t="s">
        <v>1857</v>
      </c>
      <c r="P195" s="426" t="s">
        <v>1858</v>
      </c>
      <c r="Q195" s="426" t="s">
        <v>1859</v>
      </c>
      <c r="R195" s="426" t="s">
        <v>1860</v>
      </c>
      <c r="S195" s="426" t="s">
        <v>111</v>
      </c>
      <c r="U195" s="427" t="s">
        <v>1861</v>
      </c>
      <c r="V195" s="427" t="s">
        <v>1862</v>
      </c>
      <c r="W195" s="427" t="s">
        <v>1863</v>
      </c>
      <c r="X195" s="426" t="s">
        <v>1864</v>
      </c>
      <c r="Y195" s="426" t="s">
        <v>1865</v>
      </c>
    </row>
    <row r="196" ht="15.75" customHeight="1">
      <c r="B196" s="428" t="s">
        <v>163</v>
      </c>
      <c r="C196" s="428"/>
      <c r="D196" s="428"/>
      <c r="E196" s="428"/>
      <c r="F196" s="428"/>
      <c r="G196" s="428"/>
      <c r="H196" s="428"/>
      <c r="I196" s="428"/>
      <c r="J196" s="428"/>
      <c r="K196" s="428"/>
      <c r="L196" s="428"/>
      <c r="M196" s="428"/>
      <c r="N196" s="428"/>
      <c r="O196" s="428"/>
      <c r="P196" s="428"/>
      <c r="Q196" s="428"/>
      <c r="R196" s="428"/>
      <c r="S196" s="428"/>
      <c r="T196" s="428"/>
      <c r="U196" s="428"/>
      <c r="V196" s="428"/>
      <c r="W196" s="428"/>
      <c r="X196" s="428"/>
      <c r="Y196" s="428"/>
    </row>
    <row r="197" ht="15.75" customHeight="1">
      <c r="B197" s="429" t="s">
        <v>56</v>
      </c>
      <c r="C197" s="430">
        <v>0.0</v>
      </c>
      <c r="D197" s="430">
        <v>6.47</v>
      </c>
      <c r="E197" s="430">
        <v>238.39</v>
      </c>
      <c r="F197" s="430">
        <v>268.23</v>
      </c>
      <c r="G197" s="431">
        <f t="shared" ref="G197:G202" si="192">SUM(C197:F197)</f>
        <v>513.09</v>
      </c>
      <c r="I197" s="430">
        <v>0.0</v>
      </c>
      <c r="J197" s="430">
        <v>6.47</v>
      </c>
      <c r="K197" s="430">
        <v>238.39</v>
      </c>
      <c r="L197" s="430">
        <v>363.94</v>
      </c>
      <c r="M197" s="431">
        <f t="shared" ref="M197:M202" si="193">SUM(I197:L197)</f>
        <v>608.8</v>
      </c>
      <c r="O197" s="432" t="str">
        <f t="shared" ref="O197:S197" si="191">IFERROR(I197/C197-1,"")</f>
        <v/>
      </c>
      <c r="P197" s="432">
        <f t="shared" si="191"/>
        <v>0</v>
      </c>
      <c r="Q197" s="432">
        <f t="shared" si="191"/>
        <v>0</v>
      </c>
      <c r="R197" s="432">
        <f t="shared" si="191"/>
        <v>0.356820639</v>
      </c>
      <c r="S197" s="432">
        <f t="shared" si="191"/>
        <v>0.1865364751</v>
      </c>
      <c r="U197" s="433">
        <v>0.0</v>
      </c>
      <c r="V197" s="433">
        <v>773.03</v>
      </c>
      <c r="W197" s="433">
        <v>868.74</v>
      </c>
      <c r="X197" s="434">
        <f t="shared" ref="X197:X202" si="195">IFERROR(W197-V197,"")</f>
        <v>95.71</v>
      </c>
      <c r="Y197" s="432">
        <f t="shared" ref="Y197:Y209" si="196">IF(X197="","",IFERROR(X197/ABS(V197),0))</f>
        <v>0.123811495</v>
      </c>
    </row>
    <row r="198" ht="15.75" customHeight="1">
      <c r="B198" s="429" t="s">
        <v>57</v>
      </c>
      <c r="C198" s="430">
        <v>0.0</v>
      </c>
      <c r="D198" s="430">
        <v>8.17</v>
      </c>
      <c r="E198" s="430">
        <v>326.78</v>
      </c>
      <c r="F198" s="430">
        <v>318.45</v>
      </c>
      <c r="G198" s="431">
        <f t="shared" si="192"/>
        <v>653.4</v>
      </c>
      <c r="I198" s="430">
        <v>0.0</v>
      </c>
      <c r="J198" s="430">
        <v>8.17</v>
      </c>
      <c r="K198" s="430">
        <v>326.78</v>
      </c>
      <c r="L198" s="430">
        <v>505.29</v>
      </c>
      <c r="M198" s="431">
        <f t="shared" si="193"/>
        <v>840.24</v>
      </c>
      <c r="O198" s="432" t="str">
        <f t="shared" ref="O198:S198" si="194">IFERROR(I198/C198-1,"")</f>
        <v/>
      </c>
      <c r="P198" s="432">
        <f t="shared" si="194"/>
        <v>0</v>
      </c>
      <c r="Q198" s="432">
        <f t="shared" si="194"/>
        <v>0</v>
      </c>
      <c r="R198" s="432">
        <f t="shared" si="194"/>
        <v>0.58671691</v>
      </c>
      <c r="S198" s="432">
        <f t="shared" si="194"/>
        <v>0.2859504132</v>
      </c>
      <c r="U198" s="433">
        <v>0.01</v>
      </c>
      <c r="V198" s="433">
        <v>1317.61</v>
      </c>
      <c r="W198" s="433">
        <v>1504.45</v>
      </c>
      <c r="X198" s="434">
        <f t="shared" si="195"/>
        <v>186.84</v>
      </c>
      <c r="Y198" s="432">
        <f t="shared" si="196"/>
        <v>0.1418022025</v>
      </c>
    </row>
    <row r="199" ht="15.75" customHeight="1">
      <c r="B199" s="429" t="s">
        <v>58</v>
      </c>
      <c r="C199" s="430">
        <v>0.0</v>
      </c>
      <c r="D199" s="430">
        <v>7.78</v>
      </c>
      <c r="E199" s="430">
        <v>460.49</v>
      </c>
      <c r="F199" s="430">
        <v>353.68</v>
      </c>
      <c r="G199" s="431">
        <f t="shared" si="192"/>
        <v>821.95</v>
      </c>
      <c r="I199" s="430">
        <v>0.0</v>
      </c>
      <c r="J199" s="430">
        <v>7.78</v>
      </c>
      <c r="K199" s="430">
        <v>460.49</v>
      </c>
      <c r="L199" s="430">
        <v>582.32</v>
      </c>
      <c r="M199" s="431">
        <f t="shared" si="193"/>
        <v>1050.59</v>
      </c>
      <c r="O199" s="432" t="str">
        <f t="shared" ref="O199:S199" si="197">IFERROR(I199/C199-1,"")</f>
        <v/>
      </c>
      <c r="P199" s="432">
        <f t="shared" si="197"/>
        <v>0</v>
      </c>
      <c r="Q199" s="432">
        <f t="shared" si="197"/>
        <v>0</v>
      </c>
      <c r="R199" s="432">
        <f t="shared" si="197"/>
        <v>0.6464600769</v>
      </c>
      <c r="S199" s="432">
        <f t="shared" si="197"/>
        <v>0.2781677718</v>
      </c>
      <c r="U199" s="433">
        <v>0.01</v>
      </c>
      <c r="V199" s="433">
        <v>1666.39</v>
      </c>
      <c r="W199" s="433">
        <v>1895.03</v>
      </c>
      <c r="X199" s="434">
        <f t="shared" si="195"/>
        <v>228.64</v>
      </c>
      <c r="Y199" s="432">
        <f t="shared" si="196"/>
        <v>0.1372067763</v>
      </c>
    </row>
    <row r="200" ht="15.75" customHeight="1">
      <c r="B200" s="429" t="s">
        <v>59</v>
      </c>
      <c r="C200" s="430">
        <v>0.0</v>
      </c>
      <c r="D200" s="430">
        <v>9.81</v>
      </c>
      <c r="E200" s="430">
        <v>834.34</v>
      </c>
      <c r="F200" s="430">
        <v>434.14</v>
      </c>
      <c r="G200" s="431">
        <f t="shared" si="192"/>
        <v>1278.29</v>
      </c>
      <c r="I200" s="430">
        <v>0.0</v>
      </c>
      <c r="J200" s="430">
        <v>9.81</v>
      </c>
      <c r="K200" s="430">
        <v>834.34</v>
      </c>
      <c r="L200" s="430">
        <v>744.91</v>
      </c>
      <c r="M200" s="431">
        <f t="shared" si="193"/>
        <v>1589.06</v>
      </c>
      <c r="O200" s="432" t="str">
        <f t="shared" ref="O200:S200" si="198">IFERROR(I200/C200-1,"")</f>
        <v/>
      </c>
      <c r="P200" s="432">
        <f t="shared" si="198"/>
        <v>0</v>
      </c>
      <c r="Q200" s="432">
        <f t="shared" si="198"/>
        <v>0</v>
      </c>
      <c r="R200" s="432">
        <f t="shared" si="198"/>
        <v>0.7158289953</v>
      </c>
      <c r="S200" s="432">
        <f t="shared" si="198"/>
        <v>0.2431138474</v>
      </c>
      <c r="U200" s="433">
        <v>0.02</v>
      </c>
      <c r="V200" s="433">
        <v>2297.96</v>
      </c>
      <c r="W200" s="433">
        <v>2608.73</v>
      </c>
      <c r="X200" s="434">
        <f t="shared" si="195"/>
        <v>310.77</v>
      </c>
      <c r="Y200" s="432">
        <f t="shared" si="196"/>
        <v>0.1352373409</v>
      </c>
    </row>
    <row r="201" ht="15.75" customHeight="1">
      <c r="B201" s="429" t="s">
        <v>60</v>
      </c>
      <c r="C201" s="430">
        <v>0.0</v>
      </c>
      <c r="D201" s="430">
        <v>9.89</v>
      </c>
      <c r="E201" s="430">
        <v>1243.02</v>
      </c>
      <c r="F201" s="430">
        <v>376.95</v>
      </c>
      <c r="G201" s="431">
        <f t="shared" si="192"/>
        <v>1629.86</v>
      </c>
      <c r="I201" s="430">
        <v>0.0</v>
      </c>
      <c r="J201" s="430">
        <v>9.89</v>
      </c>
      <c r="K201" s="430">
        <v>1243.02</v>
      </c>
      <c r="L201" s="430">
        <v>701.09</v>
      </c>
      <c r="M201" s="431">
        <f t="shared" si="193"/>
        <v>1954</v>
      </c>
      <c r="O201" s="432" t="str">
        <f t="shared" ref="O201:S201" si="199">IFERROR(I201/C201-1,"")</f>
        <v/>
      </c>
      <c r="P201" s="432">
        <f t="shared" si="199"/>
        <v>0</v>
      </c>
      <c r="Q201" s="432">
        <f t="shared" si="199"/>
        <v>0</v>
      </c>
      <c r="R201" s="432">
        <f t="shared" si="199"/>
        <v>0.8599018437</v>
      </c>
      <c r="S201" s="432">
        <f t="shared" si="199"/>
        <v>0.1988759771</v>
      </c>
      <c r="U201" s="433">
        <v>0.02</v>
      </c>
      <c r="V201" s="433">
        <v>2634.46</v>
      </c>
      <c r="W201" s="433">
        <v>2958.6</v>
      </c>
      <c r="X201" s="434">
        <f t="shared" si="195"/>
        <v>324.14</v>
      </c>
      <c r="Y201" s="432">
        <f t="shared" si="196"/>
        <v>0.1230384975</v>
      </c>
    </row>
    <row r="202" ht="15.75" customHeight="1">
      <c r="B202" s="435" t="s">
        <v>1866</v>
      </c>
      <c r="C202" s="436">
        <v>0.0</v>
      </c>
      <c r="D202" s="436">
        <v>7.46</v>
      </c>
      <c r="E202" s="436">
        <v>364.65</v>
      </c>
      <c r="F202" s="436">
        <v>311.28</v>
      </c>
      <c r="G202" s="437">
        <f t="shared" si="192"/>
        <v>683.39</v>
      </c>
      <c r="I202" s="436">
        <v>0.0</v>
      </c>
      <c r="J202" s="436">
        <v>7.46</v>
      </c>
      <c r="K202" s="436">
        <v>364.65</v>
      </c>
      <c r="L202" s="436">
        <v>474.35</v>
      </c>
      <c r="M202" s="437">
        <f t="shared" si="193"/>
        <v>846.46</v>
      </c>
      <c r="O202" s="438" t="str">
        <f t="shared" ref="O202:S202" si="200">IFERROR(I202/C202-1,"")</f>
        <v/>
      </c>
      <c r="P202" s="438">
        <f t="shared" si="200"/>
        <v>0</v>
      </c>
      <c r="Q202" s="438">
        <f t="shared" si="200"/>
        <v>0</v>
      </c>
      <c r="R202" s="438">
        <f t="shared" si="200"/>
        <v>0.5238691853</v>
      </c>
      <c r="S202" s="438">
        <f t="shared" si="200"/>
        <v>0.2386192365</v>
      </c>
      <c r="U202" s="439">
        <v>0.01</v>
      </c>
      <c r="V202" s="439">
        <v>1234.77</v>
      </c>
      <c r="W202" s="439">
        <v>1400.04</v>
      </c>
      <c r="X202" s="440">
        <f t="shared" si="195"/>
        <v>165.27</v>
      </c>
      <c r="Y202" s="438">
        <f t="shared" si="196"/>
        <v>0.1338467893</v>
      </c>
    </row>
    <row r="203" ht="15.75" customHeight="1">
      <c r="B203" s="428" t="s">
        <v>1867</v>
      </c>
      <c r="C203" s="428"/>
      <c r="D203" s="428"/>
      <c r="E203" s="428"/>
      <c r="F203" s="428"/>
      <c r="G203" s="428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R203" s="428"/>
      <c r="S203" s="428"/>
      <c r="T203" s="428"/>
      <c r="U203" s="428"/>
      <c r="V203" s="428"/>
      <c r="W203" s="428"/>
      <c r="X203" s="428"/>
      <c r="Y203" s="428" t="str">
        <f t="shared" si="196"/>
        <v/>
      </c>
    </row>
    <row r="204" ht="15.75" customHeight="1">
      <c r="B204" s="429" t="s">
        <v>56</v>
      </c>
      <c r="C204" s="430">
        <v>0.0</v>
      </c>
      <c r="D204" s="430">
        <v>12.12</v>
      </c>
      <c r="E204" s="430">
        <v>307.67</v>
      </c>
      <c r="F204" s="430">
        <v>377.03</v>
      </c>
      <c r="G204" s="431">
        <f t="shared" ref="G204:G209" si="202">SUM(C204:F204)</f>
        <v>696.82</v>
      </c>
      <c r="I204" s="430">
        <v>0.0</v>
      </c>
      <c r="J204" s="430">
        <v>12.12</v>
      </c>
      <c r="K204" s="430">
        <v>307.67</v>
      </c>
      <c r="L204" s="430">
        <v>506.46</v>
      </c>
      <c r="M204" s="431">
        <f t="shared" ref="M204:M209" si="203">SUM(I204:L204)</f>
        <v>826.25</v>
      </c>
      <c r="O204" s="432" t="str">
        <f t="shared" ref="O204:S204" si="201">IFERROR(I204/C204-1,"")</f>
        <v/>
      </c>
      <c r="P204" s="432">
        <f t="shared" si="201"/>
        <v>0</v>
      </c>
      <c r="Q204" s="432">
        <f t="shared" si="201"/>
        <v>0</v>
      </c>
      <c r="R204" s="432">
        <f t="shared" si="201"/>
        <v>0.3432883325</v>
      </c>
      <c r="S204" s="432">
        <f t="shared" si="201"/>
        <v>0.1857438076</v>
      </c>
      <c r="U204" s="433">
        <v>0.0</v>
      </c>
      <c r="V204" s="433">
        <v>1061.98</v>
      </c>
      <c r="W204" s="433">
        <v>1191.41</v>
      </c>
      <c r="X204" s="434">
        <f t="shared" ref="X204:X209" si="205">IFERROR(W204-V204,"")</f>
        <v>129.43</v>
      </c>
      <c r="Y204" s="432">
        <f t="shared" si="196"/>
        <v>0.1218761182</v>
      </c>
    </row>
    <row r="205" ht="15.75" customHeight="1">
      <c r="B205" s="429" t="s">
        <v>57</v>
      </c>
      <c r="C205" s="430">
        <v>0.0</v>
      </c>
      <c r="D205" s="430">
        <v>9.61</v>
      </c>
      <c r="E205" s="430">
        <v>318.57</v>
      </c>
      <c r="F205" s="430">
        <v>392.89</v>
      </c>
      <c r="G205" s="431">
        <f t="shared" si="202"/>
        <v>721.07</v>
      </c>
      <c r="I205" s="430">
        <v>0.0</v>
      </c>
      <c r="J205" s="430">
        <v>9.61</v>
      </c>
      <c r="K205" s="430">
        <v>318.57</v>
      </c>
      <c r="L205" s="430">
        <v>591.39</v>
      </c>
      <c r="M205" s="431">
        <f t="shared" si="203"/>
        <v>919.57</v>
      </c>
      <c r="O205" s="432" t="str">
        <f t="shared" ref="O205:S205" si="204">IFERROR(I205/C205-1,"")</f>
        <v/>
      </c>
      <c r="P205" s="432">
        <f t="shared" si="204"/>
        <v>0</v>
      </c>
      <c r="Q205" s="432">
        <f t="shared" si="204"/>
        <v>0</v>
      </c>
      <c r="R205" s="432">
        <f t="shared" si="204"/>
        <v>0.5052304716</v>
      </c>
      <c r="S205" s="432">
        <f t="shared" si="204"/>
        <v>0.2752853398</v>
      </c>
      <c r="U205" s="433">
        <v>0.0</v>
      </c>
      <c r="V205" s="433">
        <v>1576.93</v>
      </c>
      <c r="W205" s="433">
        <v>1775.43</v>
      </c>
      <c r="X205" s="434">
        <f t="shared" si="205"/>
        <v>198.5</v>
      </c>
      <c r="Y205" s="432">
        <f t="shared" si="196"/>
        <v>0.1258774961</v>
      </c>
    </row>
    <row r="206" ht="15.75" customHeight="1">
      <c r="B206" s="429" t="s">
        <v>58</v>
      </c>
      <c r="C206" s="430">
        <v>0.0</v>
      </c>
      <c r="D206" s="430">
        <v>8.27</v>
      </c>
      <c r="E206" s="430">
        <v>421.28</v>
      </c>
      <c r="F206" s="430">
        <v>459.66</v>
      </c>
      <c r="G206" s="431">
        <f t="shared" si="202"/>
        <v>889.21</v>
      </c>
      <c r="I206" s="430">
        <v>0.0</v>
      </c>
      <c r="J206" s="430">
        <v>8.27</v>
      </c>
      <c r="K206" s="430">
        <v>421.28</v>
      </c>
      <c r="L206" s="430">
        <v>691.33</v>
      </c>
      <c r="M206" s="431">
        <f t="shared" si="203"/>
        <v>1120.88</v>
      </c>
      <c r="O206" s="432" t="str">
        <f t="shared" ref="O206:S206" si="206">IFERROR(I206/C206-1,"")</f>
        <v/>
      </c>
      <c r="P206" s="432">
        <f t="shared" si="206"/>
        <v>0</v>
      </c>
      <c r="Q206" s="432">
        <f t="shared" si="206"/>
        <v>0</v>
      </c>
      <c r="R206" s="432">
        <f t="shared" si="206"/>
        <v>0.5040029587</v>
      </c>
      <c r="S206" s="432">
        <f t="shared" si="206"/>
        <v>0.2605346319</v>
      </c>
      <c r="U206" s="433">
        <v>0.0</v>
      </c>
      <c r="V206" s="433">
        <v>1875.02</v>
      </c>
      <c r="W206" s="433">
        <v>2106.69</v>
      </c>
      <c r="X206" s="434">
        <f t="shared" si="205"/>
        <v>231.67</v>
      </c>
      <c r="Y206" s="432">
        <f t="shared" si="196"/>
        <v>0.1235560154</v>
      </c>
    </row>
    <row r="207" ht="15.75" customHeight="1">
      <c r="B207" s="429" t="s">
        <v>59</v>
      </c>
      <c r="C207" s="430">
        <v>0.0</v>
      </c>
      <c r="D207" s="430">
        <v>8.36</v>
      </c>
      <c r="E207" s="430">
        <v>734.95</v>
      </c>
      <c r="F207" s="430">
        <v>593.93</v>
      </c>
      <c r="G207" s="431">
        <f t="shared" si="202"/>
        <v>1337.24</v>
      </c>
      <c r="I207" s="430">
        <v>0.0</v>
      </c>
      <c r="J207" s="430">
        <v>8.36</v>
      </c>
      <c r="K207" s="430">
        <v>734.95</v>
      </c>
      <c r="L207" s="430">
        <v>901.29</v>
      </c>
      <c r="M207" s="431">
        <f t="shared" si="203"/>
        <v>1644.6</v>
      </c>
      <c r="O207" s="432" t="str">
        <f t="shared" ref="O207:S207" si="207">IFERROR(I207/C207-1,"")</f>
        <v/>
      </c>
      <c r="P207" s="432">
        <f t="shared" si="207"/>
        <v>0</v>
      </c>
      <c r="Q207" s="432">
        <f t="shared" si="207"/>
        <v>0</v>
      </c>
      <c r="R207" s="432">
        <f t="shared" si="207"/>
        <v>0.5175020625</v>
      </c>
      <c r="S207" s="432">
        <f t="shared" si="207"/>
        <v>0.2298465496</v>
      </c>
      <c r="U207" s="433">
        <v>0.04</v>
      </c>
      <c r="V207" s="433">
        <v>2530.17</v>
      </c>
      <c r="W207" s="433">
        <v>2837.53</v>
      </c>
      <c r="X207" s="434">
        <f t="shared" si="205"/>
        <v>307.36</v>
      </c>
      <c r="Y207" s="432">
        <f t="shared" si="196"/>
        <v>0.1214780035</v>
      </c>
    </row>
    <row r="208" ht="15.75" customHeight="1">
      <c r="B208" s="429" t="s">
        <v>60</v>
      </c>
      <c r="C208" s="430">
        <v>0.0</v>
      </c>
      <c r="D208" s="430">
        <v>8.14</v>
      </c>
      <c r="E208" s="430">
        <v>1178.51</v>
      </c>
      <c r="F208" s="430">
        <v>614.56</v>
      </c>
      <c r="G208" s="431">
        <f t="shared" si="202"/>
        <v>1801.21</v>
      </c>
      <c r="I208" s="430">
        <v>0.0</v>
      </c>
      <c r="J208" s="430">
        <v>8.14</v>
      </c>
      <c r="K208" s="430">
        <v>1178.51</v>
      </c>
      <c r="L208" s="430">
        <v>981.91</v>
      </c>
      <c r="M208" s="431">
        <f t="shared" si="203"/>
        <v>2168.56</v>
      </c>
      <c r="O208" s="432" t="str">
        <f t="shared" ref="O208:S208" si="208">IFERROR(I208/C208-1,"")</f>
        <v/>
      </c>
      <c r="P208" s="432">
        <f t="shared" si="208"/>
        <v>0</v>
      </c>
      <c r="Q208" s="432">
        <f t="shared" si="208"/>
        <v>0</v>
      </c>
      <c r="R208" s="432">
        <f t="shared" si="208"/>
        <v>0.5977447279</v>
      </c>
      <c r="S208" s="432">
        <f t="shared" si="208"/>
        <v>0.2039462361</v>
      </c>
      <c r="U208" s="433">
        <v>0.0</v>
      </c>
      <c r="V208" s="433">
        <v>3117.51</v>
      </c>
      <c r="W208" s="433">
        <v>3484.86</v>
      </c>
      <c r="X208" s="434">
        <f t="shared" si="205"/>
        <v>367.35</v>
      </c>
      <c r="Y208" s="432">
        <f t="shared" si="196"/>
        <v>0.1178344256</v>
      </c>
    </row>
    <row r="209" ht="15.75" customHeight="1">
      <c r="B209" s="435" t="s">
        <v>1866</v>
      </c>
      <c r="C209" s="436">
        <v>0.0</v>
      </c>
      <c r="D209" s="436">
        <v>10.6</v>
      </c>
      <c r="E209" s="436">
        <v>370.75</v>
      </c>
      <c r="F209" s="436">
        <v>413.0</v>
      </c>
      <c r="G209" s="437">
        <f t="shared" si="202"/>
        <v>794.35</v>
      </c>
      <c r="I209" s="436">
        <v>0.0</v>
      </c>
      <c r="J209" s="436">
        <v>10.6</v>
      </c>
      <c r="K209" s="436">
        <v>370.75</v>
      </c>
      <c r="L209" s="436">
        <v>591.0</v>
      </c>
      <c r="M209" s="437">
        <f t="shared" si="203"/>
        <v>972.35</v>
      </c>
      <c r="O209" s="438" t="str">
        <f t="shared" ref="O209:S209" si="209">IFERROR(I209/C209-1,"")</f>
        <v/>
      </c>
      <c r="P209" s="438">
        <f t="shared" si="209"/>
        <v>0</v>
      </c>
      <c r="Q209" s="438">
        <f t="shared" si="209"/>
        <v>0</v>
      </c>
      <c r="R209" s="438">
        <f t="shared" si="209"/>
        <v>0.4309927361</v>
      </c>
      <c r="S209" s="438">
        <f t="shared" si="209"/>
        <v>0.2240825832</v>
      </c>
      <c r="U209" s="439">
        <v>0.0</v>
      </c>
      <c r="V209" s="439">
        <v>1453.87</v>
      </c>
      <c r="W209" s="439">
        <v>1632.86</v>
      </c>
      <c r="X209" s="440">
        <f t="shared" si="205"/>
        <v>178.99</v>
      </c>
      <c r="Y209" s="438">
        <f t="shared" si="196"/>
        <v>0.1231127955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1:S1000 Y1:Y1000 X4:X5 X23:X24 X42:X43 X61:X62 X80:X81 X99:X100 X118:X119 X137:X138 X156:X157 X175:X176 X194:X195">
    <cfRule type="cellIs" dxfId="11" priority="1" operator="greaterThan">
      <formula>0</formula>
    </cfRule>
  </conditionalFormatting>
  <conditionalFormatting sqref="Q1:S1000 Y1:Y1000 X4:X5 X23:X24 X42:X43 X61:X62 X80:X81 X99:X100 X118:X119 X137:X138 X156:X157 X175:X176 X194:X195">
    <cfRule type="cellIs" dxfId="12" priority="2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25" width="5.63"/>
  </cols>
  <sheetData>
    <row r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224"/>
      <c r="B2" s="441" t="s">
        <v>1878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>
      <c r="A3" s="224"/>
      <c r="B3" s="442" t="s">
        <v>162</v>
      </c>
      <c r="C3" s="157" t="s">
        <v>163</v>
      </c>
      <c r="D3" s="443" t="s">
        <v>1879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 ht="15.75" customHeight="1">
      <c r="A6" s="224"/>
      <c r="B6" s="444" t="s">
        <v>56</v>
      </c>
      <c r="C6" s="445" t="s">
        <v>1880</v>
      </c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224"/>
      <c r="O6" s="446" t="s">
        <v>1881</v>
      </c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224"/>
    </row>
    <row r="7" ht="72.0" customHeight="1">
      <c r="A7" s="224"/>
      <c r="B7" s="447" t="s">
        <v>400</v>
      </c>
      <c r="C7" s="448" t="s">
        <v>1882</v>
      </c>
      <c r="D7" s="448" t="s">
        <v>72</v>
      </c>
      <c r="E7" s="448" t="s">
        <v>73</v>
      </c>
      <c r="F7" s="448" t="s">
        <v>74</v>
      </c>
      <c r="G7" s="448" t="s">
        <v>69</v>
      </c>
      <c r="H7" s="448" t="s">
        <v>70</v>
      </c>
      <c r="I7" s="448" t="s">
        <v>71</v>
      </c>
      <c r="J7" s="448" t="s">
        <v>1883</v>
      </c>
      <c r="K7" s="448" t="s">
        <v>1884</v>
      </c>
      <c r="L7" s="448" t="s">
        <v>1885</v>
      </c>
      <c r="M7" s="448" t="s">
        <v>75</v>
      </c>
      <c r="N7" s="224"/>
      <c r="O7" s="449" t="s">
        <v>1882</v>
      </c>
      <c r="P7" s="449" t="s">
        <v>72</v>
      </c>
      <c r="Q7" s="449" t="s">
        <v>73</v>
      </c>
      <c r="R7" s="449" t="s">
        <v>74</v>
      </c>
      <c r="S7" s="449" t="s">
        <v>69</v>
      </c>
      <c r="T7" s="449" t="s">
        <v>70</v>
      </c>
      <c r="U7" s="449" t="s">
        <v>71</v>
      </c>
      <c r="V7" s="449" t="s">
        <v>1883</v>
      </c>
      <c r="W7" s="449" t="s">
        <v>1884</v>
      </c>
      <c r="X7" s="449" t="s">
        <v>1885</v>
      </c>
      <c r="Y7" s="449" t="s">
        <v>75</v>
      </c>
      <c r="Z7" s="224"/>
    </row>
    <row r="8" ht="15.75" customHeight="1">
      <c r="A8" s="224"/>
      <c r="B8" s="450" t="s">
        <v>367</v>
      </c>
      <c r="C8" s="451">
        <f>LET(payer, $C$3, segment, $B$6, ECOGAINS_SIM(payer, segment, sim_refresh!$A$1))</f>
        <v>19.1667</v>
      </c>
      <c r="D8" s="452">
        <v>0.5913</v>
      </c>
      <c r="E8" s="452">
        <v>0.6178</v>
      </c>
      <c r="F8" s="452">
        <v>0.3472</v>
      </c>
      <c r="G8" s="452">
        <v>0.0</v>
      </c>
      <c r="H8" s="452">
        <v>0.0</v>
      </c>
      <c r="I8" s="452">
        <v>0.0</v>
      </c>
      <c r="J8" s="452">
        <v>0.0</v>
      </c>
      <c r="K8" s="452">
        <v>0.0</v>
      </c>
      <c r="L8" s="452">
        <v>0.0</v>
      </c>
      <c r="M8" s="452">
        <v>6.4663</v>
      </c>
      <c r="N8" s="453"/>
      <c r="O8" s="454">
        <f>LET(payer, $C$3, segment, $B$6, ECOGAINS_DIFF(payer, segment, sim_refresh!$A$1))</f>
        <v>0</v>
      </c>
      <c r="P8" s="455">
        <v>0.0</v>
      </c>
      <c r="Q8" s="455">
        <v>0.0</v>
      </c>
      <c r="R8" s="455">
        <v>0.0</v>
      </c>
      <c r="S8" s="455">
        <v>0.0</v>
      </c>
      <c r="T8" s="455">
        <v>0.0</v>
      </c>
      <c r="U8" s="455">
        <v>0.0</v>
      </c>
      <c r="V8" s="455">
        <v>0.0</v>
      </c>
      <c r="W8" s="455">
        <v>0.0</v>
      </c>
      <c r="X8" s="455">
        <v>0.0</v>
      </c>
      <c r="Y8" s="455">
        <v>0.0</v>
      </c>
      <c r="Z8" s="224"/>
    </row>
    <row r="9" ht="15.75" customHeight="1">
      <c r="A9" s="224"/>
      <c r="B9" s="456" t="s">
        <v>312</v>
      </c>
      <c r="C9" s="457">
        <v>1.2150936452017937</v>
      </c>
      <c r="D9" s="457">
        <v>0.17653870206278027</v>
      </c>
      <c r="E9" s="457">
        <v>0.05438643085201794</v>
      </c>
      <c r="F9" s="457">
        <v>0.0035620505829596417</v>
      </c>
      <c r="G9" s="457">
        <v>0.0</v>
      </c>
      <c r="H9" s="457">
        <v>0.0</v>
      </c>
      <c r="I9" s="457">
        <v>0.0</v>
      </c>
      <c r="J9" s="457">
        <v>0.0</v>
      </c>
      <c r="K9" s="457">
        <v>0.0</v>
      </c>
      <c r="L9" s="457">
        <v>0.0</v>
      </c>
      <c r="M9" s="457">
        <v>0.0</v>
      </c>
      <c r="N9" s="453"/>
      <c r="O9" s="458">
        <v>-0.18350635479820632</v>
      </c>
      <c r="P9" s="455">
        <v>-0.02666129793721972</v>
      </c>
      <c r="Q9" s="455">
        <v>-0.008213569147982061</v>
      </c>
      <c r="R9" s="455">
        <v>-5.379494170403586E-4</v>
      </c>
      <c r="S9" s="455">
        <v>0.0</v>
      </c>
      <c r="T9" s="455">
        <v>0.0</v>
      </c>
      <c r="U9" s="455">
        <v>0.0</v>
      </c>
      <c r="V9" s="455">
        <v>0.0</v>
      </c>
      <c r="W9" s="455">
        <v>0.0</v>
      </c>
      <c r="X9" s="455">
        <v>0.0</v>
      </c>
      <c r="Y9" s="455">
        <v>0.0</v>
      </c>
      <c r="Z9" s="224"/>
    </row>
    <row r="10" ht="15.75" customHeight="1">
      <c r="A10" s="224"/>
      <c r="B10" s="456" t="s">
        <v>189</v>
      </c>
      <c r="C10" s="457">
        <v>0.172768585642966</v>
      </c>
      <c r="D10" s="457">
        <v>0.0</v>
      </c>
      <c r="E10" s="457">
        <v>0.0</v>
      </c>
      <c r="F10" s="457">
        <v>0.0</v>
      </c>
      <c r="G10" s="457">
        <v>6.648141823683154E-4</v>
      </c>
      <c r="H10" s="457">
        <v>0.1888072277926016</v>
      </c>
      <c r="I10" s="457">
        <v>0.0</v>
      </c>
      <c r="J10" s="457">
        <v>0.12174409714619776</v>
      </c>
      <c r="K10" s="457">
        <v>0.9358090634562001</v>
      </c>
      <c r="L10" s="457">
        <v>1.4551120416586505</v>
      </c>
      <c r="M10" s="457">
        <v>0.7045368297648223</v>
      </c>
      <c r="N10" s="453"/>
      <c r="O10" s="458">
        <v>-0.03513141435703401</v>
      </c>
      <c r="P10" s="455">
        <v>0.0</v>
      </c>
      <c r="Q10" s="455">
        <v>0.0</v>
      </c>
      <c r="R10" s="455">
        <v>0.0</v>
      </c>
      <c r="S10" s="455">
        <v>-1.351858176316846E-4</v>
      </c>
      <c r="T10" s="455">
        <v>-0.03839277220739842</v>
      </c>
      <c r="U10" s="455">
        <v>0.0</v>
      </c>
      <c r="V10" s="455">
        <v>-0.024755902853802234</v>
      </c>
      <c r="W10" s="455">
        <v>-0.19029093654380003</v>
      </c>
      <c r="X10" s="455">
        <v>-0.2958879583413494</v>
      </c>
      <c r="Y10" s="455">
        <v>-0.14326317023517765</v>
      </c>
      <c r="Z10" s="224"/>
    </row>
    <row r="11" ht="15.75" customHeight="1">
      <c r="A11" s="224"/>
      <c r="B11" s="456" t="s">
        <v>311</v>
      </c>
      <c r="C11" s="457">
        <v>0.25651225600000005</v>
      </c>
      <c r="D11" s="457">
        <v>0.034978944000000005</v>
      </c>
      <c r="E11" s="457">
        <v>0.010624768000000001</v>
      </c>
      <c r="F11" s="457">
        <v>7.589120000000001E-4</v>
      </c>
      <c r="G11" s="457">
        <v>0.0</v>
      </c>
      <c r="H11" s="457">
        <v>0.0</v>
      </c>
      <c r="I11" s="457">
        <v>0.0</v>
      </c>
      <c r="J11" s="457">
        <v>0.0</v>
      </c>
      <c r="K11" s="457">
        <v>0.0</v>
      </c>
      <c r="L11" s="457">
        <v>0.0</v>
      </c>
      <c r="M11" s="457">
        <v>0.0</v>
      </c>
      <c r="N11" s="453"/>
      <c r="O11" s="458">
        <v>-0.11528774399999997</v>
      </c>
      <c r="P11" s="455">
        <v>-0.015721055999999997</v>
      </c>
      <c r="Q11" s="455">
        <v>-0.004775231999999999</v>
      </c>
      <c r="R11" s="455">
        <v>-3.410879999999999E-4</v>
      </c>
      <c r="S11" s="455">
        <v>0.0</v>
      </c>
      <c r="T11" s="455">
        <v>0.0</v>
      </c>
      <c r="U11" s="455">
        <v>0.0</v>
      </c>
      <c r="V11" s="455">
        <v>0.0</v>
      </c>
      <c r="W11" s="455">
        <v>0.0</v>
      </c>
      <c r="X11" s="455">
        <v>0.0</v>
      </c>
      <c r="Y11" s="455">
        <v>0.0</v>
      </c>
      <c r="Z11" s="224"/>
    </row>
    <row r="12" ht="15.75" customHeight="1">
      <c r="A12" s="224"/>
      <c r="B12" s="450" t="s">
        <v>372</v>
      </c>
      <c r="C12" s="452">
        <v>20.187</v>
      </c>
      <c r="D12" s="452">
        <v>0.2051</v>
      </c>
      <c r="E12" s="452">
        <v>0.3246</v>
      </c>
      <c r="F12" s="452">
        <v>0.1708</v>
      </c>
      <c r="G12" s="452">
        <v>0.0832</v>
      </c>
      <c r="H12" s="452">
        <v>0.0955</v>
      </c>
      <c r="I12" s="452">
        <v>0.0881</v>
      </c>
      <c r="J12" s="452">
        <v>0.0</v>
      </c>
      <c r="K12" s="452">
        <v>0.0</v>
      </c>
      <c r="L12" s="452">
        <v>0.0</v>
      </c>
      <c r="M12" s="452">
        <v>12.9038</v>
      </c>
      <c r="N12" s="453"/>
      <c r="O12" s="459">
        <v>0.0</v>
      </c>
      <c r="P12" s="455">
        <v>0.0</v>
      </c>
      <c r="Q12" s="455">
        <v>0.0</v>
      </c>
      <c r="R12" s="455">
        <v>0.0</v>
      </c>
      <c r="S12" s="455">
        <v>0.0</v>
      </c>
      <c r="T12" s="455">
        <v>0.0</v>
      </c>
      <c r="U12" s="455">
        <v>0.0</v>
      </c>
      <c r="V12" s="455">
        <v>0.0</v>
      </c>
      <c r="W12" s="455">
        <v>0.0</v>
      </c>
      <c r="X12" s="455">
        <v>0.0</v>
      </c>
      <c r="Y12" s="455">
        <v>0.0</v>
      </c>
      <c r="Z12" s="224"/>
    </row>
    <row r="13" ht="15.75" customHeight="1">
      <c r="A13" s="224"/>
      <c r="B13" s="460" t="s">
        <v>373</v>
      </c>
      <c r="C13" s="457">
        <v>73.47135538057742</v>
      </c>
      <c r="D13" s="457">
        <v>1.5601</v>
      </c>
      <c r="E13" s="457">
        <v>1.0554</v>
      </c>
      <c r="F13" s="457">
        <v>0.1975</v>
      </c>
      <c r="G13" s="457">
        <v>0.0</v>
      </c>
      <c r="H13" s="457">
        <v>0.0</v>
      </c>
      <c r="I13" s="457">
        <v>0.0</v>
      </c>
      <c r="J13" s="457">
        <v>27.2538</v>
      </c>
      <c r="K13" s="457">
        <v>12.1041</v>
      </c>
      <c r="L13" s="457">
        <v>10.1554</v>
      </c>
      <c r="M13" s="457">
        <v>112.2644</v>
      </c>
      <c r="N13" s="453"/>
      <c r="O13" s="458">
        <v>-47.186344619422584</v>
      </c>
      <c r="P13" s="455">
        <v>0.0</v>
      </c>
      <c r="Q13" s="455">
        <v>0.0</v>
      </c>
      <c r="R13" s="455">
        <v>0.0</v>
      </c>
      <c r="S13" s="455">
        <v>0.0</v>
      </c>
      <c r="T13" s="455">
        <v>0.0</v>
      </c>
      <c r="U13" s="455">
        <v>0.0</v>
      </c>
      <c r="V13" s="455">
        <v>0.0</v>
      </c>
      <c r="W13" s="455">
        <v>0.0</v>
      </c>
      <c r="X13" s="455">
        <v>0.0</v>
      </c>
      <c r="Y13" s="455">
        <v>0.0</v>
      </c>
      <c r="Z13" s="224"/>
    </row>
    <row r="14" ht="15.75" customHeight="1">
      <c r="A14" s="224"/>
      <c r="B14" s="460" t="s">
        <v>374</v>
      </c>
      <c r="C14" s="457">
        <v>14.0734</v>
      </c>
      <c r="D14" s="457">
        <v>0.3009</v>
      </c>
      <c r="E14" s="457">
        <v>2.0E-4</v>
      </c>
      <c r="F14" s="457">
        <v>4.0E-4</v>
      </c>
      <c r="G14" s="457">
        <v>0.8585</v>
      </c>
      <c r="H14" s="457">
        <v>0.2427</v>
      </c>
      <c r="I14" s="457">
        <v>1.0E-4</v>
      </c>
      <c r="J14" s="457">
        <v>0.0</v>
      </c>
      <c r="K14" s="457">
        <v>5.0E-4</v>
      </c>
      <c r="L14" s="457">
        <v>2.0E-4</v>
      </c>
      <c r="M14" s="457">
        <v>35.9951</v>
      </c>
      <c r="N14" s="453"/>
      <c r="O14" s="459">
        <v>0.0</v>
      </c>
      <c r="P14" s="455">
        <v>0.0</v>
      </c>
      <c r="Q14" s="455">
        <v>0.0</v>
      </c>
      <c r="R14" s="455">
        <v>0.0</v>
      </c>
      <c r="S14" s="455">
        <v>0.0</v>
      </c>
      <c r="T14" s="455">
        <v>0.0</v>
      </c>
      <c r="U14" s="455">
        <v>0.0</v>
      </c>
      <c r="V14" s="455">
        <v>0.0</v>
      </c>
      <c r="W14" s="455">
        <v>0.0</v>
      </c>
      <c r="X14" s="455">
        <v>0.0</v>
      </c>
      <c r="Y14" s="455">
        <v>0.0</v>
      </c>
      <c r="Z14" s="224"/>
    </row>
    <row r="15" ht="15.75" customHeight="1">
      <c r="A15" s="224"/>
      <c r="B15" s="450" t="s">
        <v>49</v>
      </c>
      <c r="C15" s="452">
        <v>0.0</v>
      </c>
      <c r="D15" s="452">
        <v>0.2447</v>
      </c>
      <c r="E15" s="452">
        <v>0.0</v>
      </c>
      <c r="F15" s="452">
        <v>0.0</v>
      </c>
      <c r="G15" s="452">
        <v>0.2044</v>
      </c>
      <c r="H15" s="452">
        <v>0.1976</v>
      </c>
      <c r="I15" s="452">
        <v>0.2344</v>
      </c>
      <c r="J15" s="452">
        <v>0.0</v>
      </c>
      <c r="K15" s="452">
        <v>0.0</v>
      </c>
      <c r="L15" s="452">
        <v>0.0</v>
      </c>
      <c r="M15" s="452">
        <v>127.2906</v>
      </c>
      <c r="N15" s="453"/>
      <c r="O15" s="459">
        <v>0.0</v>
      </c>
      <c r="P15" s="455">
        <v>0.0</v>
      </c>
      <c r="Q15" s="455">
        <v>0.0</v>
      </c>
      <c r="R15" s="455">
        <v>0.0</v>
      </c>
      <c r="S15" s="455">
        <v>0.0</v>
      </c>
      <c r="T15" s="455">
        <v>0.0</v>
      </c>
      <c r="U15" s="455">
        <v>0.0</v>
      </c>
      <c r="V15" s="455">
        <v>0.0</v>
      </c>
      <c r="W15" s="455">
        <v>0.0</v>
      </c>
      <c r="X15" s="455">
        <v>0.0</v>
      </c>
      <c r="Y15" s="455">
        <v>0.0</v>
      </c>
      <c r="Z15" s="224"/>
    </row>
    <row r="16" ht="15.75" customHeight="1">
      <c r="A16" s="224"/>
      <c r="B16" s="456" t="s">
        <v>44</v>
      </c>
      <c r="C16" s="457">
        <v>2.6798314613082956</v>
      </c>
      <c r="D16" s="457">
        <v>0.015313322636047403</v>
      </c>
      <c r="E16" s="457">
        <v>0.051624458886674954</v>
      </c>
      <c r="F16" s="457">
        <v>0.009976861717424824</v>
      </c>
      <c r="G16" s="457">
        <v>1.1227449732702028</v>
      </c>
      <c r="H16" s="457">
        <v>0.25800628441340473</v>
      </c>
      <c r="I16" s="457">
        <v>0.04768011820769305</v>
      </c>
      <c r="J16" s="457">
        <v>0.0</v>
      </c>
      <c r="K16" s="457">
        <v>0.10429300795308041</v>
      </c>
      <c r="L16" s="457">
        <v>0.16601033857715028</v>
      </c>
      <c r="M16" s="457">
        <v>60.031937053944866</v>
      </c>
      <c r="N16" s="453"/>
      <c r="O16" s="461">
        <v>0.3698314613082956</v>
      </c>
      <c r="P16" s="455">
        <v>0.002113322636047403</v>
      </c>
      <c r="Q16" s="455">
        <v>0.007124458886674956</v>
      </c>
      <c r="R16" s="455">
        <v>0.0013768617174248245</v>
      </c>
      <c r="S16" s="455">
        <v>0.15494497327020285</v>
      </c>
      <c r="T16" s="455">
        <v>0.03560628441340474</v>
      </c>
      <c r="U16" s="455">
        <v>0.006580118207693053</v>
      </c>
      <c r="V16" s="455">
        <v>0.0</v>
      </c>
      <c r="W16" s="455">
        <v>0.01439300795308042</v>
      </c>
      <c r="X16" s="455">
        <v>0.022910338577150274</v>
      </c>
      <c r="Y16" s="455">
        <v>8.284737053944866</v>
      </c>
      <c r="Z16" s="224"/>
    </row>
    <row r="17" ht="15.75" customHeight="1">
      <c r="A17" s="224"/>
      <c r="B17" s="456" t="s">
        <v>375</v>
      </c>
      <c r="C17" s="457">
        <v>0.33510661767722755</v>
      </c>
      <c r="D17" s="457">
        <v>7.557659397321326E-5</v>
      </c>
      <c r="E17" s="457">
        <v>0.0</v>
      </c>
      <c r="F17" s="457">
        <v>0.0</v>
      </c>
      <c r="G17" s="457">
        <v>0.0027963339770088907</v>
      </c>
      <c r="H17" s="457">
        <v>0.4787777228203059</v>
      </c>
      <c r="I17" s="457">
        <v>0.0</v>
      </c>
      <c r="J17" s="457">
        <v>0.19627241454843483</v>
      </c>
      <c r="K17" s="457">
        <v>2.6982355580316595</v>
      </c>
      <c r="L17" s="457">
        <v>4.0835545255606585</v>
      </c>
      <c r="M17" s="457">
        <v>1.852155588501537</v>
      </c>
      <c r="N17" s="453"/>
      <c r="O17" s="458">
        <v>-0.10829338232277247</v>
      </c>
      <c r="P17" s="455">
        <v>-2.4423406026786743E-5</v>
      </c>
      <c r="Q17" s="455">
        <v>0.0</v>
      </c>
      <c r="R17" s="455">
        <v>0.0</v>
      </c>
      <c r="S17" s="455">
        <v>-9.036660229911095E-4</v>
      </c>
      <c r="T17" s="455">
        <v>-0.15472227717969406</v>
      </c>
      <c r="U17" s="455">
        <v>0.0</v>
      </c>
      <c r="V17" s="455">
        <v>-0.06342758545156515</v>
      </c>
      <c r="W17" s="455">
        <v>-0.8719644419683403</v>
      </c>
      <c r="X17" s="455">
        <v>-1.3196454744393415</v>
      </c>
      <c r="Y17" s="455">
        <v>-0.5985444114984628</v>
      </c>
      <c r="Z17" s="224"/>
    </row>
    <row r="18" ht="15.75" customHeight="1">
      <c r="A18" s="224"/>
      <c r="B18" s="456" t="s">
        <v>43</v>
      </c>
      <c r="C18" s="457">
        <v>0.3432588610590368</v>
      </c>
      <c r="D18" s="457">
        <v>0.010278731144466535</v>
      </c>
      <c r="E18" s="457">
        <v>0.003299345799458394</v>
      </c>
      <c r="F18" s="457">
        <v>2.537958307275688E-4</v>
      </c>
      <c r="G18" s="457">
        <v>0.007486977006463278</v>
      </c>
      <c r="H18" s="457">
        <v>0.006217997852825435</v>
      </c>
      <c r="I18" s="457">
        <v>0.005837304106734081</v>
      </c>
      <c r="J18" s="457">
        <v>0.0</v>
      </c>
      <c r="K18" s="457">
        <v>0.0</v>
      </c>
      <c r="L18" s="457">
        <v>0.0</v>
      </c>
      <c r="M18" s="457">
        <v>7.944951583011177</v>
      </c>
      <c r="N18" s="453"/>
      <c r="O18" s="461">
        <v>0.07275886105903678</v>
      </c>
      <c r="P18" s="455">
        <v>0.0021787311444665357</v>
      </c>
      <c r="Q18" s="455">
        <v>6.993457994583941E-4</v>
      </c>
      <c r="R18" s="455">
        <v>5.3795830727568775E-5</v>
      </c>
      <c r="S18" s="455">
        <v>0.0015869770064632785</v>
      </c>
      <c r="T18" s="455">
        <v>0.0013179978528254348</v>
      </c>
      <c r="U18" s="455">
        <v>0.0012373041067340815</v>
      </c>
      <c r="V18" s="455">
        <v>0.0</v>
      </c>
      <c r="W18" s="455">
        <v>0.0</v>
      </c>
      <c r="X18" s="455">
        <v>0.0</v>
      </c>
      <c r="Y18" s="455">
        <v>1.6840515830111764</v>
      </c>
      <c r="Z18" s="224"/>
    </row>
    <row r="19" ht="15.75" customHeight="1">
      <c r="A19" s="224"/>
      <c r="B19" s="456" t="s">
        <v>50</v>
      </c>
      <c r="C19" s="457">
        <v>8.757257918565022</v>
      </c>
      <c r="D19" s="457">
        <v>0.0912232466367713</v>
      </c>
      <c r="E19" s="457">
        <v>0.08922502313901345</v>
      </c>
      <c r="F19" s="457">
        <v>0.07080661524663677</v>
      </c>
      <c r="G19" s="457">
        <v>0.01598578798206278</v>
      </c>
      <c r="H19" s="457">
        <v>0.03353540304932736</v>
      </c>
      <c r="I19" s="457">
        <v>0.06837399533632288</v>
      </c>
      <c r="J19" s="457">
        <v>0.0</v>
      </c>
      <c r="K19" s="457">
        <v>0.0</v>
      </c>
      <c r="L19" s="457">
        <v>0.0</v>
      </c>
      <c r="M19" s="457">
        <v>0.3638504351569507</v>
      </c>
      <c r="N19" s="453"/>
      <c r="O19" s="458">
        <v>-1.3225420814349782</v>
      </c>
      <c r="P19" s="455">
        <v>-0.0137767533632287</v>
      </c>
      <c r="Q19" s="455">
        <v>-0.013474976860986546</v>
      </c>
      <c r="R19" s="455">
        <v>-0.010693384753363233</v>
      </c>
      <c r="S19" s="455">
        <v>-0.00241421201793722</v>
      </c>
      <c r="T19" s="455">
        <v>-0.005064596950672642</v>
      </c>
      <c r="U19" s="455">
        <v>-0.010326004663677127</v>
      </c>
      <c r="V19" s="455">
        <v>0.0</v>
      </c>
      <c r="W19" s="455">
        <v>0.0</v>
      </c>
      <c r="X19" s="455">
        <v>0.0</v>
      </c>
      <c r="Y19" s="455">
        <v>-0.0549495648430493</v>
      </c>
      <c r="Z19" s="224"/>
    </row>
    <row r="20" ht="15.75" customHeight="1">
      <c r="A20" s="224"/>
      <c r="B20" s="450" t="s">
        <v>377</v>
      </c>
      <c r="C20" s="452">
        <v>8.8881</v>
      </c>
      <c r="D20" s="452">
        <v>0.3103</v>
      </c>
      <c r="E20" s="452">
        <v>0.1557</v>
      </c>
      <c r="F20" s="452">
        <v>0.0736</v>
      </c>
      <c r="G20" s="452">
        <v>1.2507</v>
      </c>
      <c r="H20" s="452">
        <v>1.1972</v>
      </c>
      <c r="I20" s="452">
        <v>1.4155</v>
      </c>
      <c r="J20" s="452">
        <v>0.8068</v>
      </c>
      <c r="K20" s="452">
        <v>0.1781</v>
      </c>
      <c r="L20" s="452">
        <v>0.1516</v>
      </c>
      <c r="M20" s="452">
        <v>2.7316</v>
      </c>
      <c r="N20" s="453"/>
      <c r="O20" s="459">
        <v>0.0</v>
      </c>
      <c r="P20" s="455">
        <v>0.0</v>
      </c>
      <c r="Q20" s="455">
        <v>0.0</v>
      </c>
      <c r="R20" s="455">
        <v>0.0</v>
      </c>
      <c r="S20" s="455">
        <v>0.0</v>
      </c>
      <c r="T20" s="455">
        <v>0.0</v>
      </c>
      <c r="U20" s="455">
        <v>0.0</v>
      </c>
      <c r="V20" s="455">
        <v>0.0</v>
      </c>
      <c r="W20" s="455">
        <v>0.0</v>
      </c>
      <c r="X20" s="455">
        <v>0.0</v>
      </c>
      <c r="Y20" s="455">
        <v>0.0</v>
      </c>
      <c r="Z20" s="224"/>
    </row>
    <row r="21" ht="15.75" customHeight="1">
      <c r="A21" s="224"/>
      <c r="B21" s="456" t="s">
        <v>35</v>
      </c>
      <c r="C21" s="457">
        <v>0.29775180167114873</v>
      </c>
      <c r="D21" s="457">
        <v>0.0</v>
      </c>
      <c r="E21" s="457">
        <v>0.0</v>
      </c>
      <c r="F21" s="457">
        <v>0.0</v>
      </c>
      <c r="G21" s="457">
        <v>6.947799364895875E-4</v>
      </c>
      <c r="H21" s="457">
        <v>0.08283320798370304</v>
      </c>
      <c r="I21" s="457">
        <v>0.0</v>
      </c>
      <c r="J21" s="457">
        <v>0.0035510974531690023</v>
      </c>
      <c r="K21" s="457">
        <v>0.005867030574800961</v>
      </c>
      <c r="L21" s="457">
        <v>0.059828272308825585</v>
      </c>
      <c r="M21" s="457">
        <v>1.0967487286341744</v>
      </c>
      <c r="N21" s="453"/>
      <c r="O21" s="458">
        <v>-0.08794819832885126</v>
      </c>
      <c r="P21" s="455">
        <v>0.0</v>
      </c>
      <c r="Q21" s="455">
        <v>0.0</v>
      </c>
      <c r="R21" s="455">
        <v>0.0</v>
      </c>
      <c r="S21" s="455">
        <v>-2.0522006351041252E-4</v>
      </c>
      <c r="T21" s="455">
        <v>-0.024466792016296965</v>
      </c>
      <c r="U21" s="455">
        <v>0.0</v>
      </c>
      <c r="V21" s="455">
        <v>-0.0010489025468309976</v>
      </c>
      <c r="W21" s="455">
        <v>-0.0017329694251990392</v>
      </c>
      <c r="X21" s="455">
        <v>-0.017671727691174414</v>
      </c>
      <c r="Y21" s="455">
        <v>-0.3239512713658257</v>
      </c>
      <c r="Z21" s="224"/>
    </row>
    <row r="22" ht="15.75" customHeight="1">
      <c r="A22" s="224"/>
      <c r="B22" s="456" t="s">
        <v>310</v>
      </c>
      <c r="C22" s="457">
        <v>1.6533561858295962</v>
      </c>
      <c r="D22" s="457">
        <v>0.27914313470852015</v>
      </c>
      <c r="E22" s="457">
        <v>0.07988550026905829</v>
      </c>
      <c r="F22" s="457">
        <v>0.0044308434080717485</v>
      </c>
      <c r="G22" s="457">
        <v>1.3031892376681614E-4</v>
      </c>
      <c r="H22" s="457">
        <v>0.0</v>
      </c>
      <c r="I22" s="457">
        <v>0.0</v>
      </c>
      <c r="J22" s="457">
        <v>0.0</v>
      </c>
      <c r="K22" s="457">
        <v>0.0</v>
      </c>
      <c r="L22" s="457">
        <v>0.0</v>
      </c>
      <c r="M22" s="457">
        <v>0.0</v>
      </c>
      <c r="N22" s="453"/>
      <c r="O22" s="461">
        <v>0.38465618582959626</v>
      </c>
      <c r="P22" s="455">
        <v>0.06494313470852014</v>
      </c>
      <c r="Q22" s="455">
        <v>0.018585500269058287</v>
      </c>
      <c r="R22" s="455">
        <v>0.0010308434080717487</v>
      </c>
      <c r="S22" s="455">
        <v>3.0318923766816137E-5</v>
      </c>
      <c r="T22" s="455">
        <v>0.0</v>
      </c>
      <c r="U22" s="455">
        <v>0.0</v>
      </c>
      <c r="V22" s="455">
        <v>0.0</v>
      </c>
      <c r="W22" s="455">
        <v>0.0</v>
      </c>
      <c r="X22" s="455">
        <v>0.0</v>
      </c>
      <c r="Y22" s="455">
        <v>0.0</v>
      </c>
      <c r="Z22" s="224"/>
    </row>
    <row r="23" ht="15.75" customHeight="1">
      <c r="A23" s="224"/>
      <c r="B23" s="456" t="s">
        <v>134</v>
      </c>
      <c r="C23" s="457">
        <v>0.0</v>
      </c>
      <c r="D23" s="457">
        <v>0.0</v>
      </c>
      <c r="E23" s="457">
        <v>0.0</v>
      </c>
      <c r="F23" s="457">
        <v>0.0</v>
      </c>
      <c r="G23" s="457">
        <v>0.0</v>
      </c>
      <c r="H23" s="457">
        <v>0.0</v>
      </c>
      <c r="I23" s="457">
        <v>0.0</v>
      </c>
      <c r="J23" s="457">
        <v>0.0</v>
      </c>
      <c r="K23" s="457">
        <v>0.0</v>
      </c>
      <c r="L23" s="457">
        <v>0.0</v>
      </c>
      <c r="M23" s="457">
        <v>0.0</v>
      </c>
      <c r="N23" s="453"/>
      <c r="O23" s="458">
        <v>-3.657</v>
      </c>
      <c r="P23" s="455">
        <v>-0.0019</v>
      </c>
      <c r="Q23" s="455">
        <v>-0.1277</v>
      </c>
      <c r="R23" s="455">
        <v>-0.1077</v>
      </c>
      <c r="S23" s="455">
        <v>-0.0142</v>
      </c>
      <c r="T23" s="455">
        <v>-0.0365</v>
      </c>
      <c r="U23" s="455">
        <v>-0.0477</v>
      </c>
      <c r="V23" s="455">
        <v>-1.9709</v>
      </c>
      <c r="W23" s="455">
        <v>-0.8023</v>
      </c>
      <c r="X23" s="455">
        <v>-0.312</v>
      </c>
      <c r="Y23" s="455">
        <v>-0.1823</v>
      </c>
      <c r="Z23" s="224"/>
    </row>
    <row r="24" ht="15.75" customHeight="1">
      <c r="A24" s="224"/>
      <c r="B24" s="460" t="s">
        <v>379</v>
      </c>
      <c r="C24" s="457">
        <v>44.067679999999996</v>
      </c>
      <c r="D24" s="457">
        <v>0.0</v>
      </c>
      <c r="E24" s="457">
        <v>0.0</v>
      </c>
      <c r="F24" s="457">
        <v>0.0</v>
      </c>
      <c r="G24" s="457">
        <v>1.0178666666666667</v>
      </c>
      <c r="H24" s="457">
        <v>0.9818</v>
      </c>
      <c r="I24" s="457">
        <v>0.32270000000000004</v>
      </c>
      <c r="J24" s="457">
        <v>0.0</v>
      </c>
      <c r="K24" s="457">
        <v>0.0</v>
      </c>
      <c r="L24" s="457">
        <v>5.0E-4</v>
      </c>
      <c r="M24" s="457">
        <v>77.2231</v>
      </c>
      <c r="N24" s="453"/>
      <c r="O24" s="458">
        <v>-11.016920000000006</v>
      </c>
      <c r="P24" s="455">
        <v>-0.8023</v>
      </c>
      <c r="Q24" s="455">
        <v>-1.0844</v>
      </c>
      <c r="R24" s="455">
        <v>-0.9483</v>
      </c>
      <c r="S24" s="455">
        <v>-0.5089333333333332</v>
      </c>
      <c r="T24" s="455">
        <v>-0.4908999999999999</v>
      </c>
      <c r="U24" s="455">
        <v>-0.6454</v>
      </c>
      <c r="V24" s="455">
        <v>0.0</v>
      </c>
      <c r="W24" s="455">
        <v>0.0</v>
      </c>
      <c r="X24" s="455">
        <v>0.0</v>
      </c>
      <c r="Y24" s="455">
        <v>0.0</v>
      </c>
      <c r="Z24" s="224"/>
    </row>
    <row r="25" ht="15.75" customHeight="1">
      <c r="A25" s="224"/>
      <c r="B25" s="450" t="s">
        <v>380</v>
      </c>
      <c r="C25" s="452">
        <v>24.1196</v>
      </c>
      <c r="D25" s="452">
        <v>0.0779</v>
      </c>
      <c r="E25" s="452">
        <v>0.4533</v>
      </c>
      <c r="F25" s="452">
        <v>0.0</v>
      </c>
      <c r="G25" s="452">
        <v>1.4191</v>
      </c>
      <c r="H25" s="452">
        <v>1.6215</v>
      </c>
      <c r="I25" s="452">
        <v>0.2632</v>
      </c>
      <c r="J25" s="452">
        <v>0.1103</v>
      </c>
      <c r="K25" s="452">
        <v>15.2282</v>
      </c>
      <c r="L25" s="452">
        <v>15.9366</v>
      </c>
      <c r="M25" s="452">
        <v>57.7427</v>
      </c>
      <c r="N25" s="453"/>
      <c r="O25" s="459">
        <v>0.0</v>
      </c>
      <c r="P25" s="455">
        <v>0.0</v>
      </c>
      <c r="Q25" s="455">
        <v>0.0</v>
      </c>
      <c r="R25" s="455">
        <v>0.0</v>
      </c>
      <c r="S25" s="455">
        <v>0.0</v>
      </c>
      <c r="T25" s="455">
        <v>0.0</v>
      </c>
      <c r="U25" s="455">
        <v>0.0</v>
      </c>
      <c r="V25" s="455">
        <v>0.0</v>
      </c>
      <c r="W25" s="455">
        <v>0.0</v>
      </c>
      <c r="X25" s="455">
        <v>0.0</v>
      </c>
      <c r="Y25" s="455">
        <v>0.0</v>
      </c>
      <c r="Z25" s="224"/>
    </row>
    <row r="26" ht="15.75" customHeight="1">
      <c r="A26" s="224"/>
      <c r="B26" s="456" t="s">
        <v>32</v>
      </c>
      <c r="C26" s="457">
        <v>2.759178731525437</v>
      </c>
      <c r="D26" s="457">
        <v>0.0</v>
      </c>
      <c r="E26" s="457">
        <v>0.0</v>
      </c>
      <c r="F26" s="457">
        <v>0.006211968069174727</v>
      </c>
      <c r="G26" s="457">
        <v>0.0010649088118585245</v>
      </c>
      <c r="H26" s="457">
        <v>5.324544059292622E-4</v>
      </c>
      <c r="I26" s="457">
        <v>1.7748480197642076E-4</v>
      </c>
      <c r="J26" s="457">
        <v>0.0</v>
      </c>
      <c r="K26" s="457">
        <v>0.0</v>
      </c>
      <c r="L26" s="457">
        <v>0.0</v>
      </c>
      <c r="M26" s="457">
        <v>30.41663542351108</v>
      </c>
      <c r="N26" s="453"/>
      <c r="O26" s="461">
        <v>1.204578731525437</v>
      </c>
      <c r="P26" s="455">
        <v>-0.2747</v>
      </c>
      <c r="Q26" s="455">
        <v>-0.0858</v>
      </c>
      <c r="R26" s="455">
        <v>0.0027119680691747266</v>
      </c>
      <c r="S26" s="455">
        <v>4.649088118585245E-4</v>
      </c>
      <c r="T26" s="455">
        <v>2.3245440592926226E-4</v>
      </c>
      <c r="U26" s="455">
        <v>7.748480197642076E-5</v>
      </c>
      <c r="V26" s="455">
        <v>0.0</v>
      </c>
      <c r="W26" s="455">
        <v>0.0</v>
      </c>
      <c r="X26" s="455">
        <v>0.0</v>
      </c>
      <c r="Y26" s="455">
        <v>13.279035423511083</v>
      </c>
      <c r="Z26" s="224"/>
    </row>
    <row r="27" ht="15.75" customHeight="1">
      <c r="A27" s="224"/>
      <c r="B27" s="450" t="s">
        <v>40</v>
      </c>
      <c r="C27" s="452">
        <v>26.6191</v>
      </c>
      <c r="D27" s="452">
        <v>0.4894</v>
      </c>
      <c r="E27" s="452">
        <v>0.2632</v>
      </c>
      <c r="F27" s="452">
        <v>0.1105</v>
      </c>
      <c r="G27" s="452">
        <v>0.0</v>
      </c>
      <c r="H27" s="452">
        <v>0.0</v>
      </c>
      <c r="I27" s="452">
        <v>0.0</v>
      </c>
      <c r="J27" s="452">
        <v>0.0</v>
      </c>
      <c r="K27" s="452">
        <v>1.0E-4</v>
      </c>
      <c r="L27" s="452">
        <v>1.0E-4</v>
      </c>
      <c r="M27" s="452">
        <v>0.0011</v>
      </c>
      <c r="N27" s="453"/>
      <c r="O27" s="459">
        <v>0.0</v>
      </c>
      <c r="P27" s="455">
        <v>0.0</v>
      </c>
      <c r="Q27" s="455">
        <v>0.0</v>
      </c>
      <c r="R27" s="455">
        <v>0.0</v>
      </c>
      <c r="S27" s="455">
        <v>0.0</v>
      </c>
      <c r="T27" s="455">
        <v>0.0</v>
      </c>
      <c r="U27" s="455">
        <v>0.0</v>
      </c>
      <c r="V27" s="455">
        <v>0.0</v>
      </c>
      <c r="W27" s="455">
        <v>0.0</v>
      </c>
      <c r="X27" s="455">
        <v>0.0</v>
      </c>
      <c r="Y27" s="455">
        <v>0.0</v>
      </c>
      <c r="Z27" s="224"/>
    </row>
    <row r="28" ht="15.75" customHeight="1">
      <c r="A28" s="224"/>
      <c r="B28" s="450" t="s">
        <v>42</v>
      </c>
      <c r="C28" s="452">
        <v>42.3357</v>
      </c>
      <c r="D28" s="452">
        <v>0.3893</v>
      </c>
      <c r="E28" s="452">
        <v>0.5385</v>
      </c>
      <c r="F28" s="452">
        <v>1.0326</v>
      </c>
      <c r="G28" s="452">
        <v>0.0767</v>
      </c>
      <c r="H28" s="452">
        <v>0.1454</v>
      </c>
      <c r="I28" s="452">
        <v>0.4528</v>
      </c>
      <c r="J28" s="452">
        <v>0.0</v>
      </c>
      <c r="K28" s="452">
        <v>3.0E-4</v>
      </c>
      <c r="L28" s="452">
        <v>4.0E-4</v>
      </c>
      <c r="M28" s="452">
        <v>0.0014</v>
      </c>
      <c r="N28" s="453"/>
      <c r="O28" s="459">
        <v>0.0</v>
      </c>
      <c r="P28" s="455">
        <v>0.0</v>
      </c>
      <c r="Q28" s="455">
        <v>0.0</v>
      </c>
      <c r="R28" s="455">
        <v>0.0</v>
      </c>
      <c r="S28" s="455">
        <v>0.0</v>
      </c>
      <c r="T28" s="455">
        <v>0.0</v>
      </c>
      <c r="U28" s="455">
        <v>0.0</v>
      </c>
      <c r="V28" s="455">
        <v>0.0</v>
      </c>
      <c r="W28" s="455">
        <v>0.0</v>
      </c>
      <c r="X28" s="455">
        <v>0.0</v>
      </c>
      <c r="Y28" s="455">
        <v>0.0</v>
      </c>
      <c r="Z28" s="224"/>
    </row>
    <row r="29" ht="15.75" customHeight="1">
      <c r="A29" s="224"/>
      <c r="B29" s="456" t="s">
        <v>46</v>
      </c>
      <c r="C29" s="457">
        <v>0.0</v>
      </c>
      <c r="D29" s="457">
        <v>0.0</v>
      </c>
      <c r="E29" s="457">
        <v>0.0</v>
      </c>
      <c r="F29" s="457">
        <v>0.0</v>
      </c>
      <c r="G29" s="457">
        <v>0.0</v>
      </c>
      <c r="H29" s="457">
        <v>0.0</v>
      </c>
      <c r="I29" s="457">
        <v>0.0</v>
      </c>
      <c r="J29" s="457">
        <v>0.0</v>
      </c>
      <c r="K29" s="457">
        <v>8.909933283914011E-4</v>
      </c>
      <c r="L29" s="457">
        <v>1.9799851742031136E-4</v>
      </c>
      <c r="M29" s="457">
        <v>8.909933283914011E-4</v>
      </c>
      <c r="N29" s="453"/>
      <c r="O29" s="459">
        <v>0.0</v>
      </c>
      <c r="P29" s="455">
        <v>0.0</v>
      </c>
      <c r="Q29" s="455">
        <v>0.0</v>
      </c>
      <c r="R29" s="455">
        <v>0.0</v>
      </c>
      <c r="S29" s="455">
        <v>0.0</v>
      </c>
      <c r="T29" s="455">
        <v>0.0</v>
      </c>
      <c r="U29" s="455">
        <v>0.0</v>
      </c>
      <c r="V29" s="455">
        <v>0.0</v>
      </c>
      <c r="W29" s="455">
        <v>-9.006671608598909E-6</v>
      </c>
      <c r="X29" s="455">
        <v>-2.0014825796886495E-6</v>
      </c>
      <c r="Y29" s="455">
        <v>-9.006671608598909E-6</v>
      </c>
      <c r="Z29" s="224"/>
    </row>
    <row r="30" ht="15.75" customHeight="1">
      <c r="A30" s="224"/>
      <c r="B30" s="450" t="s">
        <v>382</v>
      </c>
      <c r="C30" s="452">
        <v>0.0</v>
      </c>
      <c r="D30" s="452">
        <v>0.0</v>
      </c>
      <c r="E30" s="452">
        <v>0.0</v>
      </c>
      <c r="F30" s="452">
        <v>0.0</v>
      </c>
      <c r="G30" s="452">
        <v>0.0</v>
      </c>
      <c r="H30" s="452">
        <v>0.0</v>
      </c>
      <c r="I30" s="452">
        <v>0.0</v>
      </c>
      <c r="J30" s="452">
        <v>0.0</v>
      </c>
      <c r="K30" s="452">
        <v>0.0</v>
      </c>
      <c r="L30" s="452">
        <v>7.0E-4</v>
      </c>
      <c r="M30" s="452">
        <v>0.0</v>
      </c>
      <c r="N30" s="453"/>
      <c r="O30" s="459">
        <v>0.0</v>
      </c>
      <c r="P30" s="455">
        <v>0.0</v>
      </c>
      <c r="Q30" s="455">
        <v>0.0</v>
      </c>
      <c r="R30" s="455">
        <v>0.0</v>
      </c>
      <c r="S30" s="455">
        <v>0.0</v>
      </c>
      <c r="T30" s="455">
        <v>0.0</v>
      </c>
      <c r="U30" s="455">
        <v>0.0</v>
      </c>
      <c r="V30" s="455">
        <v>0.0</v>
      </c>
      <c r="W30" s="455">
        <v>0.0</v>
      </c>
      <c r="X30" s="455">
        <v>0.0</v>
      </c>
      <c r="Y30" s="455">
        <v>0.0</v>
      </c>
      <c r="Z30" s="224"/>
    </row>
    <row r="31" ht="15.75" customHeight="1">
      <c r="A31" s="224"/>
      <c r="B31" s="456" t="s">
        <v>54</v>
      </c>
      <c r="C31" s="457">
        <v>50.58727626044105</v>
      </c>
      <c r="D31" s="457">
        <v>0.7913094752010311</v>
      </c>
      <c r="E31" s="457">
        <v>0.6105227116927341</v>
      </c>
      <c r="F31" s="457">
        <v>0.21997083431818698</v>
      </c>
      <c r="G31" s="457">
        <v>5.113492642907348</v>
      </c>
      <c r="H31" s="457">
        <v>4.200661522244633</v>
      </c>
      <c r="I31" s="457">
        <v>3.794014972214194</v>
      </c>
      <c r="J31" s="457">
        <v>0.0</v>
      </c>
      <c r="K31" s="457">
        <v>0.0</v>
      </c>
      <c r="L31" s="457">
        <v>0.8778404505295591</v>
      </c>
      <c r="M31" s="457">
        <v>73.75701613490106</v>
      </c>
      <c r="N31" s="453"/>
      <c r="O31" s="461">
        <v>50.58727626044105</v>
      </c>
      <c r="P31" s="455">
        <v>0.7913094752010311</v>
      </c>
      <c r="Q31" s="455">
        <v>0.6105227116927341</v>
      </c>
      <c r="R31" s="455">
        <v>0.21997083431818698</v>
      </c>
      <c r="S31" s="455">
        <v>5.113492642907348</v>
      </c>
      <c r="T31" s="455">
        <v>4.200661522244633</v>
      </c>
      <c r="U31" s="455">
        <v>3.794014972214194</v>
      </c>
      <c r="V31" s="455">
        <v>0.0</v>
      </c>
      <c r="W31" s="455">
        <v>0.0</v>
      </c>
      <c r="X31" s="455">
        <v>0.8776404505295591</v>
      </c>
      <c r="Y31" s="455">
        <v>73.75701613490106</v>
      </c>
      <c r="Z31" s="224"/>
    </row>
    <row r="32" ht="15.75" customHeight="1">
      <c r="A32" s="224"/>
      <c r="B32" s="450" t="s">
        <v>383</v>
      </c>
      <c r="C32" s="452">
        <v>1.0E-4</v>
      </c>
      <c r="D32" s="452">
        <v>0.0</v>
      </c>
      <c r="E32" s="452">
        <v>0.0</v>
      </c>
      <c r="F32" s="452">
        <v>0.0</v>
      </c>
      <c r="G32" s="452">
        <v>0.0</v>
      </c>
      <c r="H32" s="452">
        <v>0.0</v>
      </c>
      <c r="I32" s="452">
        <v>0.0</v>
      </c>
      <c r="J32" s="452">
        <v>0.0</v>
      </c>
      <c r="K32" s="452">
        <v>0.0</v>
      </c>
      <c r="L32" s="452">
        <v>0.0</v>
      </c>
      <c r="M32" s="452">
        <v>3.0E-4</v>
      </c>
      <c r="N32" s="453"/>
      <c r="O32" s="459">
        <v>0.0</v>
      </c>
      <c r="P32" s="455">
        <v>0.0</v>
      </c>
      <c r="Q32" s="455">
        <v>0.0</v>
      </c>
      <c r="R32" s="455">
        <v>0.0</v>
      </c>
      <c r="S32" s="455">
        <v>0.0</v>
      </c>
      <c r="T32" s="455">
        <v>0.0</v>
      </c>
      <c r="U32" s="455">
        <v>0.0</v>
      </c>
      <c r="V32" s="455">
        <v>0.0</v>
      </c>
      <c r="W32" s="455">
        <v>0.0</v>
      </c>
      <c r="X32" s="455">
        <v>0.0</v>
      </c>
      <c r="Y32" s="455">
        <v>0.0</v>
      </c>
      <c r="Z32" s="224"/>
    </row>
    <row r="33" ht="15.75" customHeight="1">
      <c r="A33" s="224"/>
      <c r="B33" s="224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 ht="15.75" customHeight="1">
      <c r="A34" s="224"/>
      <c r="B34" s="224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 ht="15.75" customHeight="1">
      <c r="A35" s="224"/>
      <c r="B35" s="444" t="s">
        <v>57</v>
      </c>
      <c r="C35" s="462" t="s">
        <v>1886</v>
      </c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53"/>
      <c r="O35" s="464" t="s">
        <v>1887</v>
      </c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224"/>
    </row>
    <row r="36" ht="60.75" customHeight="1">
      <c r="A36" s="224"/>
      <c r="B36" s="447" t="s">
        <v>400</v>
      </c>
      <c r="C36" s="465" t="s">
        <v>1882</v>
      </c>
      <c r="D36" s="465" t="s">
        <v>72</v>
      </c>
      <c r="E36" s="465" t="s">
        <v>73</v>
      </c>
      <c r="F36" s="465" t="s">
        <v>74</v>
      </c>
      <c r="G36" s="465" t="s">
        <v>69</v>
      </c>
      <c r="H36" s="465" t="s">
        <v>70</v>
      </c>
      <c r="I36" s="465" t="s">
        <v>71</v>
      </c>
      <c r="J36" s="465" t="s">
        <v>1883</v>
      </c>
      <c r="K36" s="465" t="s">
        <v>1884</v>
      </c>
      <c r="L36" s="465" t="s">
        <v>1885</v>
      </c>
      <c r="M36" s="465" t="s">
        <v>75</v>
      </c>
      <c r="N36" s="453"/>
      <c r="O36" s="466" t="s">
        <v>1882</v>
      </c>
      <c r="P36" s="449" t="s">
        <v>72</v>
      </c>
      <c r="Q36" s="449" t="s">
        <v>73</v>
      </c>
      <c r="R36" s="449" t="s">
        <v>74</v>
      </c>
      <c r="S36" s="449" t="s">
        <v>69</v>
      </c>
      <c r="T36" s="449" t="s">
        <v>70</v>
      </c>
      <c r="U36" s="449" t="s">
        <v>71</v>
      </c>
      <c r="V36" s="449" t="s">
        <v>1883</v>
      </c>
      <c r="W36" s="449" t="s">
        <v>1884</v>
      </c>
      <c r="X36" s="449" t="s">
        <v>1885</v>
      </c>
      <c r="Y36" s="449" t="s">
        <v>75</v>
      </c>
      <c r="Z36" s="224"/>
    </row>
    <row r="37" ht="15.75" customHeight="1">
      <c r="A37" s="224"/>
      <c r="B37" s="450" t="s">
        <v>367</v>
      </c>
      <c r="C37" s="451">
        <f>LET(payer, $C$3, segment, $B$35, ECOGAINS_SIM(payer, segment, sim_refresh!$A$1))</f>
        <v>24.3537</v>
      </c>
      <c r="D37" s="452">
        <v>0.6467</v>
      </c>
      <c r="E37" s="452">
        <v>0.6478</v>
      </c>
      <c r="F37" s="452">
        <v>0.3472</v>
      </c>
      <c r="G37" s="452">
        <v>0.0</v>
      </c>
      <c r="H37" s="452">
        <v>0.0</v>
      </c>
      <c r="I37" s="452">
        <v>0.0</v>
      </c>
      <c r="J37" s="452">
        <v>0.0</v>
      </c>
      <c r="K37" s="452">
        <v>0.0</v>
      </c>
      <c r="L37" s="452">
        <v>0.0</v>
      </c>
      <c r="M37" s="452">
        <v>8.1675</v>
      </c>
      <c r="N37" s="453"/>
      <c r="O37" s="454">
        <f>LET(payer, $C$3, segment, $B$35, ECOGAINS_DIFF(payer, segment, sim_refresh!$A$1))</f>
        <v>0</v>
      </c>
      <c r="P37" s="455">
        <v>0.0</v>
      </c>
      <c r="Q37" s="455">
        <v>0.0</v>
      </c>
      <c r="R37" s="455">
        <v>0.0</v>
      </c>
      <c r="S37" s="455">
        <v>0.0</v>
      </c>
      <c r="T37" s="455">
        <v>0.0</v>
      </c>
      <c r="U37" s="455">
        <v>0.0</v>
      </c>
      <c r="V37" s="455">
        <v>0.0</v>
      </c>
      <c r="W37" s="455">
        <v>0.0</v>
      </c>
      <c r="X37" s="455">
        <v>0.0</v>
      </c>
      <c r="Y37" s="455">
        <v>0.0</v>
      </c>
      <c r="Z37" s="224"/>
    </row>
    <row r="38" ht="15.75" customHeight="1">
      <c r="A38" s="224"/>
      <c r="B38" s="456" t="s">
        <v>312</v>
      </c>
      <c r="C38" s="457">
        <v>5.242738028076759</v>
      </c>
      <c r="D38" s="457">
        <v>0.22474363469509595</v>
      </c>
      <c r="E38" s="457">
        <v>0.13491296941577824</v>
      </c>
      <c r="F38" s="457">
        <v>0.013691662737739873</v>
      </c>
      <c r="G38" s="457">
        <v>0.0</v>
      </c>
      <c r="H38" s="457">
        <v>0.0</v>
      </c>
      <c r="I38" s="457">
        <v>0.0</v>
      </c>
      <c r="J38" s="457">
        <v>0.0</v>
      </c>
      <c r="K38" s="457">
        <v>0.0</v>
      </c>
      <c r="L38" s="457">
        <v>0.0</v>
      </c>
      <c r="M38" s="457">
        <v>0.0</v>
      </c>
      <c r="N38" s="453"/>
      <c r="O38" s="458">
        <v>-1.037061971923241</v>
      </c>
      <c r="P38" s="455">
        <v>-0.044456365304904044</v>
      </c>
      <c r="Q38" s="455">
        <v>-0.026687030584221755</v>
      </c>
      <c r="R38" s="455">
        <v>-0.0027083372622601284</v>
      </c>
      <c r="S38" s="455">
        <v>0.0</v>
      </c>
      <c r="T38" s="455">
        <v>0.0</v>
      </c>
      <c r="U38" s="455">
        <v>0.0</v>
      </c>
      <c r="V38" s="455">
        <v>0.0</v>
      </c>
      <c r="W38" s="455">
        <v>0.0</v>
      </c>
      <c r="X38" s="455">
        <v>0.0</v>
      </c>
      <c r="Y38" s="455">
        <v>0.0</v>
      </c>
      <c r="Z38" s="224"/>
    </row>
    <row r="39" ht="15.75" customHeight="1">
      <c r="A39" s="224"/>
      <c r="B39" s="456" t="s">
        <v>189</v>
      </c>
      <c r="C39" s="457">
        <v>1.75059359003237</v>
      </c>
      <c r="D39" s="457">
        <v>2.287659872847981E-4</v>
      </c>
      <c r="E39" s="457">
        <v>7.62553290949327E-5</v>
      </c>
      <c r="F39" s="457">
        <v>7.62553290949327E-5</v>
      </c>
      <c r="G39" s="457">
        <v>0.019292598261017972</v>
      </c>
      <c r="H39" s="457">
        <v>0.1870543222698699</v>
      </c>
      <c r="I39" s="457">
        <v>7.62553290949327E-5</v>
      </c>
      <c r="J39" s="457">
        <v>1.6732706863301083</v>
      </c>
      <c r="K39" s="457">
        <v>2.066366907814486</v>
      </c>
      <c r="L39" s="457">
        <v>2.1950096479976375</v>
      </c>
      <c r="M39" s="457">
        <v>3.49531551972443</v>
      </c>
      <c r="N39" s="453"/>
      <c r="O39" s="458">
        <v>-0.5451064099676302</v>
      </c>
      <c r="P39" s="455">
        <v>-7.123401271520187E-5</v>
      </c>
      <c r="Q39" s="455">
        <v>-2.374467090506731E-5</v>
      </c>
      <c r="R39" s="455">
        <v>-2.374467090506731E-5</v>
      </c>
      <c r="S39" s="455">
        <v>-0.006007401738982027</v>
      </c>
      <c r="T39" s="455">
        <v>-0.05824567773013009</v>
      </c>
      <c r="U39" s="455">
        <v>-2.374467090506731E-5</v>
      </c>
      <c r="V39" s="455">
        <v>-0.5210293136698918</v>
      </c>
      <c r="W39" s="455">
        <v>-0.6434330921855138</v>
      </c>
      <c r="X39" s="455">
        <v>-0.6834903520023623</v>
      </c>
      <c r="Y39" s="455">
        <v>-1.0883844802755704</v>
      </c>
      <c r="Z39" s="224"/>
    </row>
    <row r="40" ht="15.75" customHeight="1">
      <c r="A40" s="224"/>
      <c r="B40" s="456" t="s">
        <v>311</v>
      </c>
      <c r="C40" s="457">
        <v>1.037077056</v>
      </c>
      <c r="D40" s="457">
        <v>0.048352255999999996</v>
      </c>
      <c r="E40" s="457">
        <v>0.028512064</v>
      </c>
      <c r="F40" s="457">
        <v>0.0025621439999999997</v>
      </c>
      <c r="G40" s="457">
        <v>0.0</v>
      </c>
      <c r="H40" s="457">
        <v>0.0</v>
      </c>
      <c r="I40" s="457">
        <v>0.0</v>
      </c>
      <c r="J40" s="457">
        <v>0.0</v>
      </c>
      <c r="K40" s="457">
        <v>0.0</v>
      </c>
      <c r="L40" s="457">
        <v>0.0</v>
      </c>
      <c r="M40" s="457">
        <v>0.0</v>
      </c>
      <c r="N40" s="453"/>
      <c r="O40" s="458">
        <v>-0.541522944</v>
      </c>
      <c r="P40" s="455">
        <v>-0.025247744000000003</v>
      </c>
      <c r="Q40" s="455">
        <v>-0.014887936000000001</v>
      </c>
      <c r="R40" s="455">
        <v>-0.0013378560000000001</v>
      </c>
      <c r="S40" s="455">
        <v>0.0</v>
      </c>
      <c r="T40" s="455">
        <v>0.0</v>
      </c>
      <c r="U40" s="455">
        <v>0.0</v>
      </c>
      <c r="V40" s="455">
        <v>0.0</v>
      </c>
      <c r="W40" s="455">
        <v>0.0</v>
      </c>
      <c r="X40" s="455">
        <v>0.0</v>
      </c>
      <c r="Y40" s="455">
        <v>0.0</v>
      </c>
      <c r="Z40" s="224"/>
    </row>
    <row r="41" ht="15.75" customHeight="1">
      <c r="A41" s="224"/>
      <c r="B41" s="450" t="s">
        <v>372</v>
      </c>
      <c r="C41" s="452">
        <v>41.8924</v>
      </c>
      <c r="D41" s="452">
        <v>0.3661</v>
      </c>
      <c r="E41" s="452">
        <v>0.5532</v>
      </c>
      <c r="F41" s="452">
        <v>0.2595</v>
      </c>
      <c r="G41" s="452">
        <v>0.165</v>
      </c>
      <c r="H41" s="452">
        <v>0.1837</v>
      </c>
      <c r="I41" s="452">
        <v>0.1744</v>
      </c>
      <c r="J41" s="452">
        <v>0.0</v>
      </c>
      <c r="K41" s="452">
        <v>0.0</v>
      </c>
      <c r="L41" s="452">
        <v>0.0</v>
      </c>
      <c r="M41" s="452">
        <v>26.1719</v>
      </c>
      <c r="N41" s="453"/>
      <c r="O41" s="459">
        <v>0.0</v>
      </c>
      <c r="P41" s="455">
        <v>0.0</v>
      </c>
      <c r="Q41" s="455">
        <v>0.0</v>
      </c>
      <c r="R41" s="455">
        <v>0.0</v>
      </c>
      <c r="S41" s="455">
        <v>0.0</v>
      </c>
      <c r="T41" s="455">
        <v>0.0</v>
      </c>
      <c r="U41" s="455">
        <v>0.0</v>
      </c>
      <c r="V41" s="455">
        <v>0.0</v>
      </c>
      <c r="W41" s="455">
        <v>0.0</v>
      </c>
      <c r="X41" s="455">
        <v>0.0</v>
      </c>
      <c r="Y41" s="455">
        <v>0.0</v>
      </c>
      <c r="Z41" s="224"/>
    </row>
    <row r="42" ht="15.75" customHeight="1">
      <c r="A42" s="224"/>
      <c r="B42" s="460" t="s">
        <v>373</v>
      </c>
      <c r="C42" s="457">
        <v>68.2918064516129</v>
      </c>
      <c r="D42" s="457">
        <v>1.2272</v>
      </c>
      <c r="E42" s="457">
        <v>0.8131</v>
      </c>
      <c r="F42" s="457">
        <v>0.1398</v>
      </c>
      <c r="G42" s="457">
        <v>0.0</v>
      </c>
      <c r="H42" s="457">
        <v>0.0</v>
      </c>
      <c r="I42" s="457">
        <v>0.0</v>
      </c>
      <c r="J42" s="457">
        <v>15.224</v>
      </c>
      <c r="K42" s="457">
        <v>10.3974</v>
      </c>
      <c r="L42" s="457">
        <v>8.2907</v>
      </c>
      <c r="M42" s="457">
        <v>98.3149</v>
      </c>
      <c r="N42" s="453"/>
      <c r="O42" s="458">
        <v>-37.5604935483871</v>
      </c>
      <c r="P42" s="455">
        <v>0.0</v>
      </c>
      <c r="Q42" s="455">
        <v>0.0</v>
      </c>
      <c r="R42" s="455">
        <v>0.0</v>
      </c>
      <c r="S42" s="455">
        <v>0.0</v>
      </c>
      <c r="T42" s="455">
        <v>0.0</v>
      </c>
      <c r="U42" s="455">
        <v>0.0</v>
      </c>
      <c r="V42" s="455">
        <v>0.0</v>
      </c>
      <c r="W42" s="455">
        <v>0.0</v>
      </c>
      <c r="X42" s="455">
        <v>0.0</v>
      </c>
      <c r="Y42" s="455">
        <v>0.0</v>
      </c>
      <c r="Z42" s="224"/>
    </row>
    <row r="43" ht="15.75" customHeight="1">
      <c r="A43" s="224"/>
      <c r="B43" s="460" t="s">
        <v>374</v>
      </c>
      <c r="C43" s="457">
        <v>43.5118</v>
      </c>
      <c r="D43" s="457">
        <v>0.6415</v>
      </c>
      <c r="E43" s="457">
        <v>2.0E-4</v>
      </c>
      <c r="F43" s="457">
        <v>0.0021</v>
      </c>
      <c r="G43" s="457">
        <v>1.1902</v>
      </c>
      <c r="H43" s="457">
        <v>0.5686</v>
      </c>
      <c r="I43" s="457">
        <v>1.0E-4</v>
      </c>
      <c r="J43" s="457">
        <v>3.0E-4</v>
      </c>
      <c r="K43" s="457">
        <v>8.0E-4</v>
      </c>
      <c r="L43" s="457">
        <v>0.0</v>
      </c>
      <c r="M43" s="457">
        <v>37.343</v>
      </c>
      <c r="N43" s="453"/>
      <c r="O43" s="459">
        <v>0.0</v>
      </c>
      <c r="P43" s="455">
        <v>0.0</v>
      </c>
      <c r="Q43" s="455">
        <v>0.0</v>
      </c>
      <c r="R43" s="455">
        <v>0.0</v>
      </c>
      <c r="S43" s="455">
        <v>0.0</v>
      </c>
      <c r="T43" s="455">
        <v>0.0</v>
      </c>
      <c r="U43" s="455">
        <v>0.0</v>
      </c>
      <c r="V43" s="455">
        <v>0.0</v>
      </c>
      <c r="W43" s="455">
        <v>0.0</v>
      </c>
      <c r="X43" s="455">
        <v>0.0</v>
      </c>
      <c r="Y43" s="455">
        <v>0.0</v>
      </c>
      <c r="Z43" s="224"/>
    </row>
    <row r="44" ht="15.75" customHeight="1">
      <c r="A44" s="224"/>
      <c r="B44" s="450" t="s">
        <v>49</v>
      </c>
      <c r="C44" s="452">
        <v>0.0</v>
      </c>
      <c r="D44" s="452">
        <v>0.5192</v>
      </c>
      <c r="E44" s="452">
        <v>0.0</v>
      </c>
      <c r="F44" s="452">
        <v>0.0</v>
      </c>
      <c r="G44" s="452">
        <v>0.4638</v>
      </c>
      <c r="H44" s="452">
        <v>0.4615</v>
      </c>
      <c r="I44" s="452">
        <v>0.5146</v>
      </c>
      <c r="J44" s="452">
        <v>0.0</v>
      </c>
      <c r="K44" s="452">
        <v>0.0</v>
      </c>
      <c r="L44" s="452">
        <v>0.0</v>
      </c>
      <c r="M44" s="452">
        <v>132.211</v>
      </c>
      <c r="N44" s="453"/>
      <c r="O44" s="459">
        <v>0.0</v>
      </c>
      <c r="P44" s="455">
        <v>0.0</v>
      </c>
      <c r="Q44" s="455">
        <v>0.0</v>
      </c>
      <c r="R44" s="455">
        <v>0.0</v>
      </c>
      <c r="S44" s="455">
        <v>0.0</v>
      </c>
      <c r="T44" s="455">
        <v>0.0</v>
      </c>
      <c r="U44" s="455">
        <v>0.0</v>
      </c>
      <c r="V44" s="455">
        <v>0.0</v>
      </c>
      <c r="W44" s="455">
        <v>0.0</v>
      </c>
      <c r="X44" s="455">
        <v>0.0</v>
      </c>
      <c r="Y44" s="455">
        <v>0.0</v>
      </c>
      <c r="Z44" s="224"/>
    </row>
    <row r="45" ht="15.75" customHeight="1">
      <c r="A45" s="224"/>
      <c r="B45" s="456" t="s">
        <v>44</v>
      </c>
      <c r="C45" s="457">
        <v>9.105025610044525</v>
      </c>
      <c r="D45" s="457">
        <v>0.10149205088521211</v>
      </c>
      <c r="E45" s="457">
        <v>0.4111113817951666</v>
      </c>
      <c r="F45" s="457">
        <v>0.026058769821878783</v>
      </c>
      <c r="G45" s="457">
        <v>1.178587870189535</v>
      </c>
      <c r="H45" s="457">
        <v>0.7514754893809342</v>
      </c>
      <c r="I45" s="457">
        <v>0.40825406054276764</v>
      </c>
      <c r="J45" s="457">
        <v>0.0</v>
      </c>
      <c r="K45" s="457">
        <v>0.2955613103481515</v>
      </c>
      <c r="L45" s="457">
        <v>1.1629297497263889</v>
      </c>
      <c r="M45" s="457">
        <v>77.10984288139095</v>
      </c>
      <c r="N45" s="453"/>
      <c r="O45" s="461">
        <v>1.1386256100445244</v>
      </c>
      <c r="P45" s="455">
        <v>0.012692050885212108</v>
      </c>
      <c r="Q45" s="455">
        <v>0.05141138179516658</v>
      </c>
      <c r="R45" s="455">
        <v>0.003258769821878782</v>
      </c>
      <c r="S45" s="455">
        <v>0.14738787018953503</v>
      </c>
      <c r="T45" s="455">
        <v>0.09397548938093425</v>
      </c>
      <c r="U45" s="455">
        <v>0.05105406054276762</v>
      </c>
      <c r="V45" s="455">
        <v>0.0</v>
      </c>
      <c r="W45" s="455">
        <v>0.03696131034815148</v>
      </c>
      <c r="X45" s="455">
        <v>0.14542974972638878</v>
      </c>
      <c r="Y45" s="455">
        <v>9.642942881390951</v>
      </c>
      <c r="Z45" s="224"/>
    </row>
    <row r="46" ht="15.75" customHeight="1">
      <c r="A46" s="224"/>
      <c r="B46" s="456" t="s">
        <v>375</v>
      </c>
      <c r="C46" s="457">
        <v>4.300018131053884</v>
      </c>
      <c r="D46" s="457">
        <v>8.173668015965841E-4</v>
      </c>
      <c r="E46" s="457">
        <v>0.0</v>
      </c>
      <c r="F46" s="457">
        <v>5.944485829793338E-4</v>
      </c>
      <c r="G46" s="457">
        <v>0.0821082105240205</v>
      </c>
      <c r="H46" s="457">
        <v>0.4587656939143009</v>
      </c>
      <c r="I46" s="457">
        <v>5.201425101069171E-4</v>
      </c>
      <c r="J46" s="457">
        <v>3.383081191808261</v>
      </c>
      <c r="K46" s="457">
        <v>5.107576531031309</v>
      </c>
      <c r="L46" s="457">
        <v>5.448567099442829</v>
      </c>
      <c r="M46" s="457">
        <v>9.591353580298678</v>
      </c>
      <c r="N46" s="453"/>
      <c r="O46" s="458">
        <v>-1.4868818689461163</v>
      </c>
      <c r="P46" s="455">
        <v>-2.82633198403416E-4</v>
      </c>
      <c r="Q46" s="455">
        <v>0.0</v>
      </c>
      <c r="R46" s="455">
        <v>-2.0555141702066626E-4</v>
      </c>
      <c r="S46" s="455">
        <v>-0.028391789475979506</v>
      </c>
      <c r="T46" s="455">
        <v>-0.15863430608569906</v>
      </c>
      <c r="U46" s="455">
        <v>-1.7985748989308287E-4</v>
      </c>
      <c r="V46" s="455">
        <v>-1.1698188081917391</v>
      </c>
      <c r="W46" s="455">
        <v>-1.7661234689686918</v>
      </c>
      <c r="X46" s="455">
        <v>-1.8840329005571714</v>
      </c>
      <c r="Y46" s="455">
        <v>-3.3165464197013215</v>
      </c>
      <c r="Z46" s="224"/>
    </row>
    <row r="47" ht="15.75" customHeight="1">
      <c r="A47" s="224"/>
      <c r="B47" s="456" t="s">
        <v>43</v>
      </c>
      <c r="C47" s="457">
        <v>1.5452667188466016</v>
      </c>
      <c r="D47" s="457">
        <v>0.04059725156791142</v>
      </c>
      <c r="E47" s="457">
        <v>0.012855796329838616</v>
      </c>
      <c r="F47" s="457">
        <v>9.472692032512664E-4</v>
      </c>
      <c r="G47" s="457">
        <v>0.022057840018565204</v>
      </c>
      <c r="H47" s="457">
        <v>0.020027977440169636</v>
      </c>
      <c r="I47" s="457">
        <v>0.02178719167477913</v>
      </c>
      <c r="J47" s="457">
        <v>0.0</v>
      </c>
      <c r="K47" s="457">
        <v>0.0</v>
      </c>
      <c r="L47" s="457">
        <v>0.0</v>
      </c>
      <c r="M47" s="457">
        <v>11.914075417634965</v>
      </c>
      <c r="N47" s="453"/>
      <c r="O47" s="461">
        <v>0.4033667188466017</v>
      </c>
      <c r="P47" s="455">
        <v>0.010597251567911421</v>
      </c>
      <c r="Q47" s="455">
        <v>0.003355796329838616</v>
      </c>
      <c r="R47" s="455">
        <v>2.4726920325126645E-4</v>
      </c>
      <c r="S47" s="455">
        <v>0.005757840018565205</v>
      </c>
      <c r="T47" s="455">
        <v>0.005227977440169635</v>
      </c>
      <c r="U47" s="455">
        <v>0.00568719167477913</v>
      </c>
      <c r="V47" s="455">
        <v>0.0</v>
      </c>
      <c r="W47" s="455">
        <v>0.0</v>
      </c>
      <c r="X47" s="455">
        <v>0.0</v>
      </c>
      <c r="Y47" s="455">
        <v>3.109975417634965</v>
      </c>
      <c r="Z47" s="224"/>
    </row>
    <row r="48" ht="15.75" customHeight="1">
      <c r="A48" s="224"/>
      <c r="B48" s="456" t="s">
        <v>50</v>
      </c>
      <c r="C48" s="457">
        <v>32.34287984498081</v>
      </c>
      <c r="D48" s="457">
        <v>0.25095815969296376</v>
      </c>
      <c r="E48" s="457">
        <v>0.25947370602985076</v>
      </c>
      <c r="F48" s="457">
        <v>0.2218216335010661</v>
      </c>
      <c r="G48" s="457">
        <v>0.038653901509594885</v>
      </c>
      <c r="H48" s="457">
        <v>0.08941323653731344</v>
      </c>
      <c r="I48" s="457">
        <v>0.1842530467206823</v>
      </c>
      <c r="J48" s="457">
        <v>0.0</v>
      </c>
      <c r="K48" s="457">
        <v>0.0</v>
      </c>
      <c r="L48" s="457">
        <v>0.0</v>
      </c>
      <c r="M48" s="457">
        <v>0.7150554350533049</v>
      </c>
      <c r="N48" s="453"/>
      <c r="O48" s="458">
        <v>-6.3977201550191936</v>
      </c>
      <c r="P48" s="455">
        <v>-0.04964184030703622</v>
      </c>
      <c r="Q48" s="455">
        <v>-0.05132629397014926</v>
      </c>
      <c r="R48" s="455">
        <v>-0.043878366498933896</v>
      </c>
      <c r="S48" s="455">
        <v>-0.007646098490405116</v>
      </c>
      <c r="T48" s="455">
        <v>-0.017686763462686564</v>
      </c>
      <c r="U48" s="455">
        <v>-0.03644695327931771</v>
      </c>
      <c r="V48" s="455">
        <v>0.0</v>
      </c>
      <c r="W48" s="455">
        <v>0.0</v>
      </c>
      <c r="X48" s="455">
        <v>0.0</v>
      </c>
      <c r="Y48" s="455">
        <v>-0.1414445649466951</v>
      </c>
      <c r="Z48" s="224"/>
    </row>
    <row r="49" ht="15.75" customHeight="1">
      <c r="A49" s="224"/>
      <c r="B49" s="450" t="s">
        <v>377</v>
      </c>
      <c r="C49" s="452">
        <v>27.6206</v>
      </c>
      <c r="D49" s="452">
        <v>0.5016</v>
      </c>
      <c r="E49" s="452">
        <v>0.4017</v>
      </c>
      <c r="F49" s="452">
        <v>0.1639</v>
      </c>
      <c r="G49" s="452">
        <v>1.0701</v>
      </c>
      <c r="H49" s="452">
        <v>1.0616</v>
      </c>
      <c r="I49" s="452">
        <v>1.1726</v>
      </c>
      <c r="J49" s="452">
        <v>0.468</v>
      </c>
      <c r="K49" s="452">
        <v>0.1644</v>
      </c>
      <c r="L49" s="452">
        <v>0.1528</v>
      </c>
      <c r="M49" s="452">
        <v>4.1216</v>
      </c>
      <c r="N49" s="453"/>
      <c r="O49" s="459">
        <v>0.0</v>
      </c>
      <c r="P49" s="455">
        <v>0.0</v>
      </c>
      <c r="Q49" s="455">
        <v>0.0</v>
      </c>
      <c r="R49" s="455">
        <v>0.0</v>
      </c>
      <c r="S49" s="455">
        <v>0.0</v>
      </c>
      <c r="T49" s="455">
        <v>0.0</v>
      </c>
      <c r="U49" s="455">
        <v>0.0</v>
      </c>
      <c r="V49" s="455">
        <v>0.0</v>
      </c>
      <c r="W49" s="455">
        <v>0.0</v>
      </c>
      <c r="X49" s="455">
        <v>0.0</v>
      </c>
      <c r="Y49" s="455">
        <v>0.0</v>
      </c>
      <c r="Z49" s="224"/>
    </row>
    <row r="50" ht="15.75" customHeight="1">
      <c r="A50" s="224"/>
      <c r="B50" s="456" t="s">
        <v>35</v>
      </c>
      <c r="C50" s="457">
        <v>1.9990309871282763</v>
      </c>
      <c r="D50" s="457">
        <v>0.0</v>
      </c>
      <c r="E50" s="457">
        <v>5.148540016151415E-4</v>
      </c>
      <c r="F50" s="457">
        <v>0.0</v>
      </c>
      <c r="G50" s="457">
        <v>0.023609733502637203</v>
      </c>
      <c r="H50" s="457">
        <v>0.15578011077440998</v>
      </c>
      <c r="I50" s="457">
        <v>2.206517149779178E-4</v>
      </c>
      <c r="J50" s="457">
        <v>0.05383901845461195</v>
      </c>
      <c r="K50" s="457">
        <v>0.18041955228027748</v>
      </c>
      <c r="L50" s="457">
        <v>0.9453454975370592</v>
      </c>
      <c r="M50" s="457">
        <v>5.078519871931756</v>
      </c>
      <c r="N50" s="453"/>
      <c r="O50" s="458">
        <v>-0.7188690128717239</v>
      </c>
      <c r="P50" s="455">
        <v>0.0</v>
      </c>
      <c r="Q50" s="455">
        <v>-1.8514599838485846E-4</v>
      </c>
      <c r="R50" s="455">
        <v>0.0</v>
      </c>
      <c r="S50" s="455">
        <v>-0.008490266497362793</v>
      </c>
      <c r="T50" s="455">
        <v>-0.05601988922559001</v>
      </c>
      <c r="U50" s="455">
        <v>-7.934828502208216E-5</v>
      </c>
      <c r="V50" s="455">
        <v>-0.019360981545388053</v>
      </c>
      <c r="W50" s="455">
        <v>-0.06488044771972251</v>
      </c>
      <c r="X50" s="455">
        <v>-0.3399545024629409</v>
      </c>
      <c r="Y50" s="455">
        <v>-1.8262801280682437</v>
      </c>
      <c r="Z50" s="224"/>
    </row>
    <row r="51" ht="15.75" customHeight="1">
      <c r="A51" s="224"/>
      <c r="B51" s="456" t="s">
        <v>310</v>
      </c>
      <c r="C51" s="457">
        <v>10.207259799607677</v>
      </c>
      <c r="D51" s="457">
        <v>0.37505972469083154</v>
      </c>
      <c r="E51" s="457">
        <v>0.2579709625586354</v>
      </c>
      <c r="F51" s="457">
        <v>0.02579709625586354</v>
      </c>
      <c r="G51" s="457">
        <v>0.0</v>
      </c>
      <c r="H51" s="457">
        <v>0.0</v>
      </c>
      <c r="I51" s="457">
        <v>0.0</v>
      </c>
      <c r="J51" s="457">
        <v>0.0</v>
      </c>
      <c r="K51" s="457">
        <v>0.0</v>
      </c>
      <c r="L51" s="457">
        <v>0.0</v>
      </c>
      <c r="M51" s="457">
        <v>0.0</v>
      </c>
      <c r="N51" s="453"/>
      <c r="O51" s="461">
        <v>2.0563597996076766</v>
      </c>
      <c r="P51" s="455">
        <v>0.07555972469083155</v>
      </c>
      <c r="Q51" s="455">
        <v>0.0519709625586354</v>
      </c>
      <c r="R51" s="455">
        <v>0.00519709625586354</v>
      </c>
      <c r="S51" s="455">
        <v>0.0</v>
      </c>
      <c r="T51" s="455">
        <v>0.0</v>
      </c>
      <c r="U51" s="455">
        <v>0.0</v>
      </c>
      <c r="V51" s="455">
        <v>0.0</v>
      </c>
      <c r="W51" s="455">
        <v>0.0</v>
      </c>
      <c r="X51" s="455">
        <v>0.0</v>
      </c>
      <c r="Y51" s="455">
        <v>0.0</v>
      </c>
      <c r="Z51" s="224"/>
    </row>
    <row r="52" ht="15.75" customHeight="1">
      <c r="A52" s="224"/>
      <c r="B52" s="456" t="s">
        <v>134</v>
      </c>
      <c r="C52" s="457">
        <v>0.0</v>
      </c>
      <c r="D52" s="457">
        <v>0.0</v>
      </c>
      <c r="E52" s="457">
        <v>0.0</v>
      </c>
      <c r="F52" s="457">
        <v>0.0</v>
      </c>
      <c r="G52" s="457">
        <v>0.0</v>
      </c>
      <c r="H52" s="457">
        <v>0.0</v>
      </c>
      <c r="I52" s="457">
        <v>0.0</v>
      </c>
      <c r="J52" s="457">
        <v>0.0</v>
      </c>
      <c r="K52" s="457">
        <v>0.0</v>
      </c>
      <c r="L52" s="457">
        <v>0.0</v>
      </c>
      <c r="M52" s="457">
        <v>0.0</v>
      </c>
      <c r="N52" s="453"/>
      <c r="O52" s="458">
        <v>-10.151</v>
      </c>
      <c r="P52" s="455">
        <v>-0.0344</v>
      </c>
      <c r="Q52" s="455">
        <v>-0.241</v>
      </c>
      <c r="R52" s="455">
        <v>-0.2579</v>
      </c>
      <c r="S52" s="455">
        <v>-0.0842</v>
      </c>
      <c r="T52" s="455">
        <v>-0.0863</v>
      </c>
      <c r="U52" s="455">
        <v>-0.0733</v>
      </c>
      <c r="V52" s="455">
        <v>-5.6736</v>
      </c>
      <c r="W52" s="455">
        <v>-2.1124</v>
      </c>
      <c r="X52" s="455">
        <v>-1.4066</v>
      </c>
      <c r="Y52" s="455">
        <v>-0.622</v>
      </c>
      <c r="Z52" s="224"/>
    </row>
    <row r="53" ht="15.75" customHeight="1">
      <c r="A53" s="224"/>
      <c r="B53" s="460" t="s">
        <v>379</v>
      </c>
      <c r="C53" s="457">
        <v>92.76823999999999</v>
      </c>
      <c r="D53" s="457">
        <v>0.0</v>
      </c>
      <c r="E53" s="457">
        <v>0.0</v>
      </c>
      <c r="F53" s="457">
        <v>0.0</v>
      </c>
      <c r="G53" s="457">
        <v>2.0094000000000003</v>
      </c>
      <c r="H53" s="457">
        <v>1.9817333333333336</v>
      </c>
      <c r="I53" s="457">
        <v>0.6205333333333334</v>
      </c>
      <c r="J53" s="457">
        <v>0.0</v>
      </c>
      <c r="K53" s="457">
        <v>0.0</v>
      </c>
      <c r="L53" s="457">
        <v>5.0E-4</v>
      </c>
      <c r="M53" s="457">
        <v>164.9521</v>
      </c>
      <c r="N53" s="453"/>
      <c r="O53" s="458">
        <v>-23.192060000000012</v>
      </c>
      <c r="P53" s="455">
        <v>-1.4218</v>
      </c>
      <c r="Q53" s="455">
        <v>-1.8904</v>
      </c>
      <c r="R53" s="455">
        <v>-1.6241</v>
      </c>
      <c r="S53" s="455">
        <v>-1.0046999999999997</v>
      </c>
      <c r="T53" s="455">
        <v>-0.9908666666666663</v>
      </c>
      <c r="U53" s="455">
        <v>-1.2410666666666665</v>
      </c>
      <c r="V53" s="455">
        <v>0.0</v>
      </c>
      <c r="W53" s="455">
        <v>0.0</v>
      </c>
      <c r="X53" s="455">
        <v>0.0</v>
      </c>
      <c r="Y53" s="455">
        <v>0.0</v>
      </c>
      <c r="Z53" s="224"/>
    </row>
    <row r="54" ht="15.75" customHeight="1">
      <c r="A54" s="224"/>
      <c r="B54" s="450" t="s">
        <v>380</v>
      </c>
      <c r="C54" s="452">
        <v>37.7914</v>
      </c>
      <c r="D54" s="452">
        <v>0.2382</v>
      </c>
      <c r="E54" s="452">
        <v>0.6335</v>
      </c>
      <c r="F54" s="452">
        <v>0.0</v>
      </c>
      <c r="G54" s="452">
        <v>1.6378</v>
      </c>
      <c r="H54" s="452">
        <v>1.9225</v>
      </c>
      <c r="I54" s="452">
        <v>0.5719</v>
      </c>
      <c r="J54" s="452">
        <v>0.0473</v>
      </c>
      <c r="K54" s="452">
        <v>11.9188</v>
      </c>
      <c r="L54" s="452">
        <v>16.911</v>
      </c>
      <c r="M54" s="452">
        <v>64.5299</v>
      </c>
      <c r="N54" s="453"/>
      <c r="O54" s="459">
        <v>0.0</v>
      </c>
      <c r="P54" s="455">
        <v>0.0</v>
      </c>
      <c r="Q54" s="455">
        <v>0.0</v>
      </c>
      <c r="R54" s="455">
        <v>0.0</v>
      </c>
      <c r="S54" s="455">
        <v>0.0</v>
      </c>
      <c r="T54" s="455">
        <v>0.0</v>
      </c>
      <c r="U54" s="455">
        <v>0.0</v>
      </c>
      <c r="V54" s="455">
        <v>0.0</v>
      </c>
      <c r="W54" s="455">
        <v>0.0</v>
      </c>
      <c r="X54" s="455">
        <v>0.0</v>
      </c>
      <c r="Y54" s="455">
        <v>0.0</v>
      </c>
      <c r="Z54" s="224"/>
    </row>
    <row r="55" ht="15.75" customHeight="1">
      <c r="A55" s="224"/>
      <c r="B55" s="456" t="s">
        <v>32</v>
      </c>
      <c r="C55" s="457">
        <v>3.076989865872028</v>
      </c>
      <c r="D55" s="457">
        <v>0.1782009330077878</v>
      </c>
      <c r="E55" s="457">
        <v>0.3969204039506043</v>
      </c>
      <c r="F55" s="457">
        <v>0.03769635121318589</v>
      </c>
      <c r="G55" s="457">
        <v>8.063390633836553E-4</v>
      </c>
      <c r="H55" s="457">
        <v>6.047542975377414E-4</v>
      </c>
      <c r="I55" s="457">
        <v>2.0158476584591383E-4</v>
      </c>
      <c r="J55" s="457">
        <v>0.0</v>
      </c>
      <c r="K55" s="457">
        <v>0.0</v>
      </c>
      <c r="L55" s="457">
        <v>0.0</v>
      </c>
      <c r="M55" s="457">
        <v>31.128719541926014</v>
      </c>
      <c r="N55" s="453"/>
      <c r="O55" s="458">
        <v>-4.555010134127972</v>
      </c>
      <c r="P55" s="455">
        <v>-0.08699906699221219</v>
      </c>
      <c r="Q55" s="455">
        <v>0.2000204039506043</v>
      </c>
      <c r="R55" s="455">
        <v>0.018996351213185887</v>
      </c>
      <c r="S55" s="455">
        <v>4.063390633836553E-4</v>
      </c>
      <c r="T55" s="455">
        <v>3.047542975377414E-4</v>
      </c>
      <c r="U55" s="455">
        <v>1.0158476584591382E-4</v>
      </c>
      <c r="V55" s="455">
        <v>0.0</v>
      </c>
      <c r="W55" s="455">
        <v>0.0</v>
      </c>
      <c r="X55" s="455">
        <v>0.0</v>
      </c>
      <c r="Y55" s="455">
        <v>15.686719541926013</v>
      </c>
      <c r="Z55" s="224"/>
    </row>
    <row r="56" ht="15.75" customHeight="1">
      <c r="A56" s="224"/>
      <c r="B56" s="450" t="s">
        <v>40</v>
      </c>
      <c r="C56" s="452">
        <v>29.2304</v>
      </c>
      <c r="D56" s="452">
        <v>0.4683</v>
      </c>
      <c r="E56" s="452">
        <v>0.217</v>
      </c>
      <c r="F56" s="452">
        <v>0.0997</v>
      </c>
      <c r="G56" s="452">
        <v>0.0</v>
      </c>
      <c r="H56" s="452">
        <v>0.0</v>
      </c>
      <c r="I56" s="452">
        <v>0.0</v>
      </c>
      <c r="J56" s="452">
        <v>0.0</v>
      </c>
      <c r="K56" s="452">
        <v>3.0E-4</v>
      </c>
      <c r="L56" s="452">
        <v>3.0E-4</v>
      </c>
      <c r="M56" s="452">
        <v>0.0</v>
      </c>
      <c r="N56" s="453"/>
      <c r="O56" s="459">
        <v>0.0</v>
      </c>
      <c r="P56" s="455">
        <v>0.0</v>
      </c>
      <c r="Q56" s="455">
        <v>0.0</v>
      </c>
      <c r="R56" s="455">
        <v>0.0</v>
      </c>
      <c r="S56" s="455">
        <v>0.0</v>
      </c>
      <c r="T56" s="455">
        <v>0.0</v>
      </c>
      <c r="U56" s="455">
        <v>0.0</v>
      </c>
      <c r="V56" s="455">
        <v>0.0</v>
      </c>
      <c r="W56" s="455">
        <v>0.0</v>
      </c>
      <c r="X56" s="455">
        <v>0.0</v>
      </c>
      <c r="Y56" s="455">
        <v>0.0</v>
      </c>
      <c r="Z56" s="224"/>
    </row>
    <row r="57" ht="15.75" customHeight="1">
      <c r="A57" s="224"/>
      <c r="B57" s="450" t="s">
        <v>42</v>
      </c>
      <c r="C57" s="452">
        <v>47.164</v>
      </c>
      <c r="D57" s="452">
        <v>0.382</v>
      </c>
      <c r="E57" s="452">
        <v>0.507</v>
      </c>
      <c r="F57" s="452">
        <v>0.9273</v>
      </c>
      <c r="G57" s="452">
        <v>0.0616</v>
      </c>
      <c r="H57" s="452">
        <v>0.1209</v>
      </c>
      <c r="I57" s="452">
        <v>0.4012</v>
      </c>
      <c r="J57" s="452">
        <v>0.0</v>
      </c>
      <c r="K57" s="452">
        <v>0.0</v>
      </c>
      <c r="L57" s="452">
        <v>0.0</v>
      </c>
      <c r="M57" s="452">
        <v>4.0E-4</v>
      </c>
      <c r="N57" s="453"/>
      <c r="O57" s="459">
        <v>0.0</v>
      </c>
      <c r="P57" s="455">
        <v>0.0</v>
      </c>
      <c r="Q57" s="455">
        <v>0.0</v>
      </c>
      <c r="R57" s="455">
        <v>0.0</v>
      </c>
      <c r="S57" s="455">
        <v>0.0</v>
      </c>
      <c r="T57" s="455">
        <v>0.0</v>
      </c>
      <c r="U57" s="455">
        <v>0.0</v>
      </c>
      <c r="V57" s="455">
        <v>0.0</v>
      </c>
      <c r="W57" s="455">
        <v>0.0</v>
      </c>
      <c r="X57" s="455">
        <v>0.0</v>
      </c>
      <c r="Y57" s="455">
        <v>0.0</v>
      </c>
      <c r="Z57" s="224"/>
    </row>
    <row r="58" ht="15.75" customHeight="1">
      <c r="A58" s="224"/>
      <c r="B58" s="456" t="s">
        <v>46</v>
      </c>
      <c r="C58" s="457">
        <v>0.0</v>
      </c>
      <c r="D58" s="457">
        <v>0.0</v>
      </c>
      <c r="E58" s="457">
        <v>0.0</v>
      </c>
      <c r="F58" s="457">
        <v>0.0</v>
      </c>
      <c r="G58" s="457">
        <v>0.0</v>
      </c>
      <c r="H58" s="457">
        <v>0.0</v>
      </c>
      <c r="I58" s="457">
        <v>0.0</v>
      </c>
      <c r="J58" s="457">
        <v>0.0</v>
      </c>
      <c r="K58" s="457">
        <v>0.0</v>
      </c>
      <c r="L58" s="457">
        <v>9.771929824561405E-5</v>
      </c>
      <c r="M58" s="457">
        <v>0.0</v>
      </c>
      <c r="N58" s="453"/>
      <c r="O58" s="459">
        <v>0.0</v>
      </c>
      <c r="P58" s="455">
        <v>0.0</v>
      </c>
      <c r="Q58" s="455">
        <v>0.0</v>
      </c>
      <c r="R58" s="455">
        <v>0.0</v>
      </c>
      <c r="S58" s="455">
        <v>0.0</v>
      </c>
      <c r="T58" s="455">
        <v>0.0</v>
      </c>
      <c r="U58" s="455">
        <v>0.0</v>
      </c>
      <c r="V58" s="455">
        <v>0.0</v>
      </c>
      <c r="W58" s="455">
        <v>0.0</v>
      </c>
      <c r="X58" s="455">
        <v>-2.28070175438595E-6</v>
      </c>
      <c r="Y58" s="455">
        <v>0.0</v>
      </c>
      <c r="Z58" s="224"/>
    </row>
    <row r="59" ht="15.75" customHeight="1">
      <c r="A59" s="224"/>
      <c r="B59" s="450" t="s">
        <v>382</v>
      </c>
      <c r="C59" s="452">
        <v>0.0</v>
      </c>
      <c r="D59" s="452">
        <v>0.0</v>
      </c>
      <c r="E59" s="452">
        <v>0.0</v>
      </c>
      <c r="F59" s="452">
        <v>1.0E-4</v>
      </c>
      <c r="G59" s="452">
        <v>0.0</v>
      </c>
      <c r="H59" s="452">
        <v>1.0E-4</v>
      </c>
      <c r="I59" s="452">
        <v>0.0</v>
      </c>
      <c r="J59" s="452">
        <v>0.0</v>
      </c>
      <c r="K59" s="452">
        <v>0.0</v>
      </c>
      <c r="L59" s="452">
        <v>5.0E-4</v>
      </c>
      <c r="M59" s="452">
        <v>5.0E-4</v>
      </c>
      <c r="N59" s="453"/>
      <c r="O59" s="459">
        <v>0.0</v>
      </c>
      <c r="P59" s="455">
        <v>0.0</v>
      </c>
      <c r="Q59" s="455">
        <v>0.0</v>
      </c>
      <c r="R59" s="455">
        <v>0.0</v>
      </c>
      <c r="S59" s="455">
        <v>0.0</v>
      </c>
      <c r="T59" s="455">
        <v>0.0</v>
      </c>
      <c r="U59" s="455">
        <v>0.0</v>
      </c>
      <c r="V59" s="455">
        <v>0.0</v>
      </c>
      <c r="W59" s="455">
        <v>0.0</v>
      </c>
      <c r="X59" s="455">
        <v>0.0</v>
      </c>
      <c r="Y59" s="455">
        <v>0.0</v>
      </c>
      <c r="Z59" s="224"/>
    </row>
    <row r="60" ht="15.75" customHeight="1">
      <c r="A60" s="224"/>
      <c r="B60" s="456" t="s">
        <v>54</v>
      </c>
      <c r="C60" s="457">
        <v>96.99568668419839</v>
      </c>
      <c r="D60" s="457">
        <v>2.993597929456611</v>
      </c>
      <c r="E60" s="457">
        <v>2.5132607638696673</v>
      </c>
      <c r="F60" s="457">
        <v>1.8334620254566403</v>
      </c>
      <c r="G60" s="457">
        <v>10.039628465965654</v>
      </c>
      <c r="H60" s="457">
        <v>7.869940500623523</v>
      </c>
      <c r="I60" s="457">
        <v>7.61714378620367</v>
      </c>
      <c r="J60" s="457">
        <v>0.0</v>
      </c>
      <c r="K60" s="457">
        <v>0.0</v>
      </c>
      <c r="L60" s="457">
        <v>16.432532997040934</v>
      </c>
      <c r="M60" s="457">
        <v>165.39329341388103</v>
      </c>
      <c r="N60" s="453"/>
      <c r="O60" s="461">
        <v>96.99568668419839</v>
      </c>
      <c r="P60" s="455">
        <v>2.993597929456611</v>
      </c>
      <c r="Q60" s="455">
        <v>2.5132607638696673</v>
      </c>
      <c r="R60" s="455">
        <v>1.8334620254566403</v>
      </c>
      <c r="S60" s="455">
        <v>10.039628465965654</v>
      </c>
      <c r="T60" s="455">
        <v>7.869940500623523</v>
      </c>
      <c r="U60" s="455">
        <v>7.61714378620367</v>
      </c>
      <c r="V60" s="455">
        <v>0.0</v>
      </c>
      <c r="W60" s="455">
        <v>0.0</v>
      </c>
      <c r="X60" s="455">
        <v>16.432532997040934</v>
      </c>
      <c r="Y60" s="455">
        <v>165.39329341388103</v>
      </c>
      <c r="Z60" s="224"/>
    </row>
    <row r="61" ht="15.75" customHeight="1">
      <c r="A61" s="224"/>
      <c r="B61" s="450" t="s">
        <v>383</v>
      </c>
      <c r="C61" s="452">
        <v>0.0</v>
      </c>
      <c r="D61" s="452">
        <v>0.0</v>
      </c>
      <c r="E61" s="452">
        <v>0.0</v>
      </c>
      <c r="F61" s="452">
        <v>0.0</v>
      </c>
      <c r="G61" s="452">
        <v>0.0</v>
      </c>
      <c r="H61" s="452">
        <v>0.0</v>
      </c>
      <c r="I61" s="452">
        <v>0.0</v>
      </c>
      <c r="J61" s="452">
        <v>0.0</v>
      </c>
      <c r="K61" s="452">
        <v>0.0</v>
      </c>
      <c r="L61" s="452">
        <v>0.0</v>
      </c>
      <c r="M61" s="452">
        <v>3.0E-4</v>
      </c>
      <c r="N61" s="453"/>
      <c r="O61" s="459">
        <v>0.0</v>
      </c>
      <c r="P61" s="455">
        <v>0.0</v>
      </c>
      <c r="Q61" s="455">
        <v>0.0</v>
      </c>
      <c r="R61" s="455">
        <v>0.0</v>
      </c>
      <c r="S61" s="455">
        <v>0.0</v>
      </c>
      <c r="T61" s="455">
        <v>0.0</v>
      </c>
      <c r="U61" s="455">
        <v>0.0</v>
      </c>
      <c r="V61" s="455">
        <v>0.0</v>
      </c>
      <c r="W61" s="455">
        <v>0.0</v>
      </c>
      <c r="X61" s="455">
        <v>0.0</v>
      </c>
      <c r="Y61" s="455">
        <v>0.0</v>
      </c>
      <c r="Z61" s="224"/>
    </row>
    <row r="62" ht="15.75" customHeight="1">
      <c r="A62" s="224"/>
      <c r="B62" s="224"/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ht="15.75" customHeight="1">
      <c r="A63" s="224"/>
      <c r="B63" s="224"/>
      <c r="C63" s="453"/>
      <c r="D63" s="453"/>
      <c r="E63" s="453"/>
      <c r="F63" s="453"/>
      <c r="G63" s="453"/>
      <c r="H63" s="453"/>
      <c r="I63" s="453"/>
      <c r="J63" s="453"/>
      <c r="K63" s="453"/>
      <c r="L63" s="453"/>
      <c r="M63" s="453"/>
      <c r="N63" s="453"/>
      <c r="O63" s="453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</row>
    <row r="64" ht="15.75" customHeight="1">
      <c r="A64" s="224"/>
      <c r="B64" s="444" t="s">
        <v>58</v>
      </c>
      <c r="C64" s="462" t="s">
        <v>1888</v>
      </c>
      <c r="D64" s="463"/>
      <c r="E64" s="463"/>
      <c r="F64" s="463"/>
      <c r="G64" s="463"/>
      <c r="H64" s="463"/>
      <c r="I64" s="463"/>
      <c r="J64" s="463"/>
      <c r="K64" s="463"/>
      <c r="L64" s="463"/>
      <c r="M64" s="463"/>
      <c r="N64" s="453"/>
      <c r="O64" s="464" t="s">
        <v>1889</v>
      </c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224"/>
    </row>
    <row r="65" ht="60.75" customHeight="1">
      <c r="A65" s="224"/>
      <c r="B65" s="447" t="s">
        <v>400</v>
      </c>
      <c r="C65" s="465" t="s">
        <v>1882</v>
      </c>
      <c r="D65" s="465" t="s">
        <v>72</v>
      </c>
      <c r="E65" s="465" t="s">
        <v>73</v>
      </c>
      <c r="F65" s="465" t="s">
        <v>74</v>
      </c>
      <c r="G65" s="465" t="s">
        <v>69</v>
      </c>
      <c r="H65" s="465" t="s">
        <v>70</v>
      </c>
      <c r="I65" s="465" t="s">
        <v>71</v>
      </c>
      <c r="J65" s="465" t="s">
        <v>1883</v>
      </c>
      <c r="K65" s="465" t="s">
        <v>1884</v>
      </c>
      <c r="L65" s="465" t="s">
        <v>1885</v>
      </c>
      <c r="M65" s="465" t="s">
        <v>75</v>
      </c>
      <c r="N65" s="453"/>
      <c r="O65" s="466" t="s">
        <v>1882</v>
      </c>
      <c r="P65" s="449" t="s">
        <v>72</v>
      </c>
      <c r="Q65" s="449" t="s">
        <v>73</v>
      </c>
      <c r="R65" s="449" t="s">
        <v>74</v>
      </c>
      <c r="S65" s="449" t="s">
        <v>69</v>
      </c>
      <c r="T65" s="449" t="s">
        <v>70</v>
      </c>
      <c r="U65" s="449" t="s">
        <v>71</v>
      </c>
      <c r="V65" s="449" t="s">
        <v>1883</v>
      </c>
      <c r="W65" s="449" t="s">
        <v>1884</v>
      </c>
      <c r="X65" s="449" t="s">
        <v>1885</v>
      </c>
      <c r="Y65" s="449" t="s">
        <v>75</v>
      </c>
      <c r="Z65" s="224"/>
    </row>
    <row r="66" ht="15.75" customHeight="1">
      <c r="A66" s="224"/>
      <c r="B66" s="450" t="s">
        <v>367</v>
      </c>
      <c r="C66" s="451">
        <f>LET(payer, $C$3, segment, $B$64, ECOGAINS_SIM(payer, segment, sim_refresh!$A$1))</f>
        <v>23.2233</v>
      </c>
      <c r="D66" s="452">
        <v>0.5761</v>
      </c>
      <c r="E66" s="452">
        <v>0.5606</v>
      </c>
      <c r="F66" s="452">
        <v>0.292</v>
      </c>
      <c r="G66" s="452">
        <v>0.0</v>
      </c>
      <c r="H66" s="452">
        <v>0.0</v>
      </c>
      <c r="I66" s="452">
        <v>0.0</v>
      </c>
      <c r="J66" s="452">
        <v>0.0</v>
      </c>
      <c r="K66" s="452">
        <v>0.0</v>
      </c>
      <c r="L66" s="452">
        <v>0.0</v>
      </c>
      <c r="M66" s="452">
        <v>7.7836</v>
      </c>
      <c r="N66" s="453"/>
      <c r="O66" s="454">
        <f>LET(payer, $C$3, segment, $B$64, ECOGAINS_DIFF(payer, segment, sim_refresh!$A$1))</f>
        <v>0</v>
      </c>
      <c r="P66" s="455">
        <v>0.0</v>
      </c>
      <c r="Q66" s="455">
        <v>0.0</v>
      </c>
      <c r="R66" s="455">
        <v>0.0</v>
      </c>
      <c r="S66" s="455">
        <v>0.0</v>
      </c>
      <c r="T66" s="455">
        <v>0.0</v>
      </c>
      <c r="U66" s="455">
        <v>0.0</v>
      </c>
      <c r="V66" s="455">
        <v>0.0</v>
      </c>
      <c r="W66" s="455">
        <v>0.0</v>
      </c>
      <c r="X66" s="455">
        <v>0.0</v>
      </c>
      <c r="Y66" s="455">
        <v>0.0</v>
      </c>
      <c r="Z66" s="224"/>
    </row>
    <row r="67" ht="15.75" customHeight="1">
      <c r="A67" s="224"/>
      <c r="B67" s="456" t="s">
        <v>312</v>
      </c>
      <c r="C67" s="457">
        <v>14.931760424441894</v>
      </c>
      <c r="D67" s="457">
        <v>0.20820457254937988</v>
      </c>
      <c r="E67" s="457">
        <v>0.221533714552136</v>
      </c>
      <c r="F67" s="457">
        <v>0.04353061565457051</v>
      </c>
      <c r="G67" s="457">
        <v>0.0</v>
      </c>
      <c r="H67" s="457">
        <v>0.0</v>
      </c>
      <c r="I67" s="457">
        <v>0.0</v>
      </c>
      <c r="J67" s="457">
        <v>0.0</v>
      </c>
      <c r="K67" s="457">
        <v>0.0</v>
      </c>
      <c r="L67" s="457">
        <v>0.0</v>
      </c>
      <c r="M67" s="457">
        <v>0.0</v>
      </c>
      <c r="N67" s="453"/>
      <c r="O67" s="458">
        <v>-2.767939575558106</v>
      </c>
      <c r="P67" s="455">
        <v>-0.03859542745062011</v>
      </c>
      <c r="Q67" s="455">
        <v>-0.041066285447864004</v>
      </c>
      <c r="R67" s="455">
        <v>-0.00806938434542949</v>
      </c>
      <c r="S67" s="455">
        <v>0.0</v>
      </c>
      <c r="T67" s="455">
        <v>0.0</v>
      </c>
      <c r="U67" s="455">
        <v>0.0</v>
      </c>
      <c r="V67" s="455">
        <v>0.0</v>
      </c>
      <c r="W67" s="455">
        <v>0.0</v>
      </c>
      <c r="X67" s="455">
        <v>0.0</v>
      </c>
      <c r="Y67" s="455">
        <v>0.0</v>
      </c>
      <c r="Z67" s="224"/>
    </row>
    <row r="68" ht="15.75" customHeight="1">
      <c r="A68" s="224"/>
      <c r="B68" s="456" t="s">
        <v>189</v>
      </c>
      <c r="C68" s="457">
        <v>3.3212263609683754</v>
      </c>
      <c r="D68" s="457">
        <v>0.00110479221640888</v>
      </c>
      <c r="E68" s="457">
        <v>2.2095844328177603E-4</v>
      </c>
      <c r="F68" s="457">
        <v>2.2095844328177603E-4</v>
      </c>
      <c r="G68" s="457">
        <v>0.08072348461227552</v>
      </c>
      <c r="H68" s="457">
        <v>0.1638038592862233</v>
      </c>
      <c r="I68" s="457">
        <v>2.2095844328177603E-4</v>
      </c>
      <c r="J68" s="457">
        <v>2.6333827270322065</v>
      </c>
      <c r="K68" s="457">
        <v>2.202366457003889</v>
      </c>
      <c r="L68" s="457">
        <v>2.5364556232459345</v>
      </c>
      <c r="M68" s="457">
        <v>7.202214111583918</v>
      </c>
      <c r="N68" s="453"/>
      <c r="O68" s="458">
        <v>-1.1880736390316242</v>
      </c>
      <c r="P68" s="455">
        <v>-3.9520778359112E-4</v>
      </c>
      <c r="Q68" s="455">
        <v>-7.904155671822395E-5</v>
      </c>
      <c r="R68" s="455">
        <v>-7.904155671822395E-5</v>
      </c>
      <c r="S68" s="455">
        <v>-0.028876515387724483</v>
      </c>
      <c r="T68" s="455">
        <v>-0.058596140713776695</v>
      </c>
      <c r="U68" s="455">
        <v>-7.904155671822395E-5</v>
      </c>
      <c r="V68" s="455">
        <v>-0.9420172729677936</v>
      </c>
      <c r="W68" s="455">
        <v>-0.7878335429961112</v>
      </c>
      <c r="X68" s="455">
        <v>-0.9073443767540654</v>
      </c>
      <c r="Y68" s="455">
        <v>-2.576385888416083</v>
      </c>
      <c r="Z68" s="224"/>
    </row>
    <row r="69" ht="15.75" customHeight="1">
      <c r="A69" s="224"/>
      <c r="B69" s="456" t="s">
        <v>311</v>
      </c>
      <c r="C69" s="457">
        <v>3.179603184</v>
      </c>
      <c r="D69" s="457">
        <v>0.03574014</v>
      </c>
      <c r="E69" s="457">
        <v>0.047297232</v>
      </c>
      <c r="F69" s="457">
        <v>0.009085343999999999</v>
      </c>
      <c r="G69" s="457">
        <v>0.0</v>
      </c>
      <c r="H69" s="457">
        <v>6.6804E-5</v>
      </c>
      <c r="I69" s="457">
        <v>0.0</v>
      </c>
      <c r="J69" s="457">
        <v>0.0</v>
      </c>
      <c r="K69" s="457">
        <v>0.0</v>
      </c>
      <c r="L69" s="457">
        <v>0.0</v>
      </c>
      <c r="M69" s="457">
        <v>0.0</v>
      </c>
      <c r="N69" s="453"/>
      <c r="O69" s="458">
        <v>-1.579996816</v>
      </c>
      <c r="P69" s="455">
        <v>-0.017759860000000002</v>
      </c>
      <c r="Q69" s="455">
        <v>-0.023502768</v>
      </c>
      <c r="R69" s="455">
        <v>-0.004514656000000001</v>
      </c>
      <c r="S69" s="455">
        <v>0.0</v>
      </c>
      <c r="T69" s="455">
        <v>-3.3196E-5</v>
      </c>
      <c r="U69" s="455">
        <v>0.0</v>
      </c>
      <c r="V69" s="455">
        <v>0.0</v>
      </c>
      <c r="W69" s="455">
        <v>0.0</v>
      </c>
      <c r="X69" s="455">
        <v>0.0</v>
      </c>
      <c r="Y69" s="455">
        <v>0.0</v>
      </c>
      <c r="Z69" s="224"/>
    </row>
    <row r="70" ht="15.75" customHeight="1">
      <c r="A70" s="224"/>
      <c r="B70" s="450" t="s">
        <v>372</v>
      </c>
      <c r="C70" s="452">
        <v>81.2514</v>
      </c>
      <c r="D70" s="452">
        <v>0.6546</v>
      </c>
      <c r="E70" s="452">
        <v>0.9781</v>
      </c>
      <c r="F70" s="452">
        <v>0.4341</v>
      </c>
      <c r="G70" s="452">
        <v>0.3207</v>
      </c>
      <c r="H70" s="452">
        <v>0.3304</v>
      </c>
      <c r="I70" s="452">
        <v>0.3293</v>
      </c>
      <c r="J70" s="452">
        <v>0.0</v>
      </c>
      <c r="K70" s="452">
        <v>0.0</v>
      </c>
      <c r="L70" s="452">
        <v>0.0</v>
      </c>
      <c r="M70" s="452">
        <v>50.7444</v>
      </c>
      <c r="N70" s="453"/>
      <c r="O70" s="459">
        <v>0.0</v>
      </c>
      <c r="P70" s="455">
        <v>0.0</v>
      </c>
      <c r="Q70" s="455">
        <v>0.0</v>
      </c>
      <c r="R70" s="455">
        <v>0.0</v>
      </c>
      <c r="S70" s="455">
        <v>0.0</v>
      </c>
      <c r="T70" s="455">
        <v>0.0</v>
      </c>
      <c r="U70" s="455">
        <v>0.0</v>
      </c>
      <c r="V70" s="455">
        <v>0.0</v>
      </c>
      <c r="W70" s="455">
        <v>0.0</v>
      </c>
      <c r="X70" s="455">
        <v>0.0</v>
      </c>
      <c r="Y70" s="455">
        <v>0.0</v>
      </c>
      <c r="Z70" s="224"/>
    </row>
    <row r="71" ht="15.75" customHeight="1">
      <c r="A71" s="224"/>
      <c r="B71" s="460" t="s">
        <v>373</v>
      </c>
      <c r="C71" s="457">
        <v>62.21503225806452</v>
      </c>
      <c r="D71" s="457">
        <v>1.0223</v>
      </c>
      <c r="E71" s="457">
        <v>0.6711</v>
      </c>
      <c r="F71" s="457">
        <v>0.109</v>
      </c>
      <c r="G71" s="457">
        <v>0.0</v>
      </c>
      <c r="H71" s="457">
        <v>0.0</v>
      </c>
      <c r="I71" s="457">
        <v>0.0</v>
      </c>
      <c r="J71" s="457">
        <v>7.878</v>
      </c>
      <c r="K71" s="457">
        <v>9.0688</v>
      </c>
      <c r="L71" s="457">
        <v>8.0734</v>
      </c>
      <c r="M71" s="457">
        <v>89.4088</v>
      </c>
      <c r="N71" s="453"/>
      <c r="O71" s="458">
        <v>-34.218267741935485</v>
      </c>
      <c r="P71" s="455">
        <v>0.0</v>
      </c>
      <c r="Q71" s="455">
        <v>0.0</v>
      </c>
      <c r="R71" s="455">
        <v>0.0</v>
      </c>
      <c r="S71" s="455">
        <v>0.0</v>
      </c>
      <c r="T71" s="455">
        <v>0.0</v>
      </c>
      <c r="U71" s="455">
        <v>0.0</v>
      </c>
      <c r="V71" s="455">
        <v>0.0</v>
      </c>
      <c r="W71" s="455">
        <v>0.0</v>
      </c>
      <c r="X71" s="455">
        <v>0.0</v>
      </c>
      <c r="Y71" s="455">
        <v>0.0</v>
      </c>
      <c r="Z71" s="224"/>
    </row>
    <row r="72" ht="15.75" customHeight="1">
      <c r="A72" s="224"/>
      <c r="B72" s="460" t="s">
        <v>374</v>
      </c>
      <c r="C72" s="452">
        <v>86.857</v>
      </c>
      <c r="D72" s="452">
        <v>0.7121</v>
      </c>
      <c r="E72" s="452">
        <v>4.0E-4</v>
      </c>
      <c r="F72" s="452">
        <v>0.0086</v>
      </c>
      <c r="G72" s="452">
        <v>1.186</v>
      </c>
      <c r="H72" s="452">
        <v>0.659</v>
      </c>
      <c r="I72" s="452">
        <v>1.0E-4</v>
      </c>
      <c r="J72" s="452">
        <v>0.0</v>
      </c>
      <c r="K72" s="452">
        <v>6.0E-4</v>
      </c>
      <c r="L72" s="452">
        <v>1.0E-4</v>
      </c>
      <c r="M72" s="452">
        <v>35.852</v>
      </c>
      <c r="N72" s="453"/>
      <c r="O72" s="459">
        <v>0.0</v>
      </c>
      <c r="P72" s="455">
        <v>0.0</v>
      </c>
      <c r="Q72" s="455">
        <v>0.0</v>
      </c>
      <c r="R72" s="455">
        <v>0.0</v>
      </c>
      <c r="S72" s="455">
        <v>0.0</v>
      </c>
      <c r="T72" s="455">
        <v>0.0</v>
      </c>
      <c r="U72" s="455">
        <v>0.0</v>
      </c>
      <c r="V72" s="455">
        <v>0.0</v>
      </c>
      <c r="W72" s="455">
        <v>0.0</v>
      </c>
      <c r="X72" s="455">
        <v>0.0</v>
      </c>
      <c r="Y72" s="455">
        <v>0.0</v>
      </c>
      <c r="Z72" s="224"/>
    </row>
    <row r="73" ht="15.75" customHeight="1">
      <c r="A73" s="224"/>
      <c r="B73" s="450" t="s">
        <v>49</v>
      </c>
      <c r="C73" s="452">
        <v>0.0</v>
      </c>
      <c r="D73" s="452">
        <v>0.7598</v>
      </c>
      <c r="E73" s="452">
        <v>0.0</v>
      </c>
      <c r="F73" s="452">
        <v>0.0</v>
      </c>
      <c r="G73" s="452">
        <v>0.7122</v>
      </c>
      <c r="H73" s="452">
        <v>0.7108</v>
      </c>
      <c r="I73" s="452">
        <v>0.7554</v>
      </c>
      <c r="J73" s="452">
        <v>0.0</v>
      </c>
      <c r="K73" s="452">
        <v>0.0</v>
      </c>
      <c r="L73" s="452">
        <v>0.0</v>
      </c>
      <c r="M73" s="452">
        <v>129.6642</v>
      </c>
      <c r="N73" s="453"/>
      <c r="O73" s="459">
        <v>0.0</v>
      </c>
      <c r="P73" s="455">
        <v>0.0</v>
      </c>
      <c r="Q73" s="455">
        <v>0.0</v>
      </c>
      <c r="R73" s="455">
        <v>0.0</v>
      </c>
      <c r="S73" s="455">
        <v>0.0</v>
      </c>
      <c r="T73" s="455">
        <v>0.0</v>
      </c>
      <c r="U73" s="455">
        <v>0.0</v>
      </c>
      <c r="V73" s="455">
        <v>0.0</v>
      </c>
      <c r="W73" s="455">
        <v>0.0</v>
      </c>
      <c r="X73" s="455">
        <v>0.0</v>
      </c>
      <c r="Y73" s="455">
        <v>0.0</v>
      </c>
      <c r="Z73" s="224"/>
    </row>
    <row r="74" ht="15.75" customHeight="1">
      <c r="A74" s="224"/>
      <c r="B74" s="456" t="s">
        <v>44</v>
      </c>
      <c r="C74" s="457">
        <v>22.059033711100128</v>
      </c>
      <c r="D74" s="457">
        <v>0.47595630154961316</v>
      </c>
      <c r="E74" s="457">
        <v>0.7332238084303873</v>
      </c>
      <c r="F74" s="457">
        <v>0.2108132587439174</v>
      </c>
      <c r="G74" s="457">
        <v>1.091161209307986</v>
      </c>
      <c r="H74" s="457">
        <v>0.8877669336817485</v>
      </c>
      <c r="I74" s="457">
        <v>0.7403003769426357</v>
      </c>
      <c r="J74" s="457">
        <v>0.0</v>
      </c>
      <c r="K74" s="457">
        <v>2.5221118454057083</v>
      </c>
      <c r="L74" s="457">
        <v>5.412775944457388</v>
      </c>
      <c r="M74" s="457">
        <v>83.31460972053534</v>
      </c>
      <c r="N74" s="453"/>
      <c r="O74" s="461">
        <v>2.7324337111001284</v>
      </c>
      <c r="P74" s="455">
        <v>0.05895630154961318</v>
      </c>
      <c r="Q74" s="455">
        <v>0.09082380843038729</v>
      </c>
      <c r="R74" s="455">
        <v>0.0261132587439174</v>
      </c>
      <c r="S74" s="455">
        <v>0.13516120930798614</v>
      </c>
      <c r="T74" s="455">
        <v>0.10996693368174848</v>
      </c>
      <c r="U74" s="455">
        <v>0.09170037694263578</v>
      </c>
      <c r="V74" s="455">
        <v>0.0</v>
      </c>
      <c r="W74" s="455">
        <v>0.3124118454057081</v>
      </c>
      <c r="X74" s="455">
        <v>0.6704759444573876</v>
      </c>
      <c r="Y74" s="455">
        <v>10.320109720535342</v>
      </c>
      <c r="Z74" s="224"/>
    </row>
    <row r="75" ht="15.75" customHeight="1">
      <c r="A75" s="224"/>
      <c r="B75" s="456" t="s">
        <v>375</v>
      </c>
      <c r="C75" s="457">
        <v>8.672632422984464</v>
      </c>
      <c r="D75" s="457">
        <v>0.009975784964081899</v>
      </c>
      <c r="E75" s="457">
        <v>0.0</v>
      </c>
      <c r="F75" s="457">
        <v>0.0030752419814087063</v>
      </c>
      <c r="G75" s="457">
        <v>0.23731867388236944</v>
      </c>
      <c r="H75" s="457">
        <v>0.43428417249649776</v>
      </c>
      <c r="I75" s="457">
        <v>0.0028502242754519713</v>
      </c>
      <c r="J75" s="457">
        <v>6.045400694135617</v>
      </c>
      <c r="K75" s="457">
        <v>5.846785065677806</v>
      </c>
      <c r="L75" s="457">
        <v>7.122785470256462</v>
      </c>
      <c r="M75" s="457">
        <v>20.736881721952802</v>
      </c>
      <c r="N75" s="453"/>
      <c r="O75" s="458">
        <v>-2.889967577015536</v>
      </c>
      <c r="P75" s="455">
        <v>-0.0033242150359181002</v>
      </c>
      <c r="Q75" s="455">
        <v>0.0</v>
      </c>
      <c r="R75" s="455">
        <v>-0.001024758018591294</v>
      </c>
      <c r="S75" s="455">
        <v>-0.07908132611763058</v>
      </c>
      <c r="T75" s="455">
        <v>-0.1447158275035022</v>
      </c>
      <c r="U75" s="455">
        <v>-9.497757245480287E-4</v>
      </c>
      <c r="V75" s="455">
        <v>-2.0144993058643834</v>
      </c>
      <c r="W75" s="455">
        <v>-1.9483149343221937</v>
      </c>
      <c r="X75" s="455">
        <v>-2.373514529743538</v>
      </c>
      <c r="Y75" s="455">
        <v>-6.910118278047197</v>
      </c>
      <c r="Z75" s="224"/>
    </row>
    <row r="76" ht="15.75" customHeight="1">
      <c r="A76" s="224"/>
      <c r="B76" s="456" t="s">
        <v>43</v>
      </c>
      <c r="C76" s="457">
        <v>8.980048884466107</v>
      </c>
      <c r="D76" s="457">
        <v>0.10122610166351975</v>
      </c>
      <c r="E76" s="457">
        <v>0.06281619747499052</v>
      </c>
      <c r="F76" s="457">
        <v>0.007068489312472394</v>
      </c>
      <c r="G76" s="457">
        <v>0.02920753131002744</v>
      </c>
      <c r="H76" s="457">
        <v>0.03147478259893368</v>
      </c>
      <c r="I76" s="457">
        <v>0.03694285923688402</v>
      </c>
      <c r="J76" s="457">
        <v>0.0</v>
      </c>
      <c r="K76" s="457">
        <v>0.0</v>
      </c>
      <c r="L76" s="457">
        <v>0.0</v>
      </c>
      <c r="M76" s="457">
        <v>13.380783636233119</v>
      </c>
      <c r="N76" s="453"/>
      <c r="O76" s="461">
        <v>2.2467488844661077</v>
      </c>
      <c r="P76" s="455">
        <v>0.025326101663519757</v>
      </c>
      <c r="Q76" s="455">
        <v>0.01571619747499052</v>
      </c>
      <c r="R76" s="455">
        <v>0.0017684893124723941</v>
      </c>
      <c r="S76" s="455">
        <v>0.00730753131002744</v>
      </c>
      <c r="T76" s="455">
        <v>0.00787478259893368</v>
      </c>
      <c r="U76" s="455">
        <v>0.009242859236884022</v>
      </c>
      <c r="V76" s="455">
        <v>0.0</v>
      </c>
      <c r="W76" s="455">
        <v>0.0</v>
      </c>
      <c r="X76" s="455">
        <v>0.0</v>
      </c>
      <c r="Y76" s="455">
        <v>3.3477836362331193</v>
      </c>
      <c r="Z76" s="224"/>
    </row>
    <row r="77" ht="15.75" customHeight="1">
      <c r="A77" s="224"/>
      <c r="B77" s="456" t="s">
        <v>50</v>
      </c>
      <c r="C77" s="457">
        <v>49.25067353023427</v>
      </c>
      <c r="D77" s="457">
        <v>0.29956824842903085</v>
      </c>
      <c r="E77" s="457">
        <v>0.3401462060450161</v>
      </c>
      <c r="F77" s="457">
        <v>0.3212491945980708</v>
      </c>
      <c r="G77" s="457">
        <v>0.04116848922370235</v>
      </c>
      <c r="H77" s="457">
        <v>0.0985344168305007</v>
      </c>
      <c r="I77" s="457">
        <v>0.20128691657326597</v>
      </c>
      <c r="J77" s="457">
        <v>0.0</v>
      </c>
      <c r="K77" s="457">
        <v>0.0</v>
      </c>
      <c r="L77" s="457">
        <v>0.0</v>
      </c>
      <c r="M77" s="457">
        <v>0.787853526352779</v>
      </c>
      <c r="N77" s="453"/>
      <c r="O77" s="458">
        <v>-9.129726469765728</v>
      </c>
      <c r="P77" s="455">
        <v>-0.05553175157096918</v>
      </c>
      <c r="Q77" s="455">
        <v>-0.0630537939549839</v>
      </c>
      <c r="R77" s="455">
        <v>-0.05955080540192925</v>
      </c>
      <c r="S77" s="455">
        <v>-0.007631510776297652</v>
      </c>
      <c r="T77" s="455">
        <v>-0.018265583169499305</v>
      </c>
      <c r="U77" s="455">
        <v>-0.037313083426734034</v>
      </c>
      <c r="V77" s="455">
        <v>0.0</v>
      </c>
      <c r="W77" s="455">
        <v>0.0</v>
      </c>
      <c r="X77" s="455">
        <v>0.0</v>
      </c>
      <c r="Y77" s="455">
        <v>-0.1460464736472209</v>
      </c>
      <c r="Z77" s="224"/>
    </row>
    <row r="78" ht="15.75" customHeight="1">
      <c r="A78" s="224"/>
      <c r="B78" s="450" t="s">
        <v>377</v>
      </c>
      <c r="C78" s="452">
        <v>58.3426</v>
      </c>
      <c r="D78" s="452">
        <v>0.4679</v>
      </c>
      <c r="E78" s="452">
        <v>0.6107</v>
      </c>
      <c r="F78" s="452">
        <v>0.281</v>
      </c>
      <c r="G78" s="452">
        <v>1.0842</v>
      </c>
      <c r="H78" s="452">
        <v>1.0783</v>
      </c>
      <c r="I78" s="452">
        <v>1.1328</v>
      </c>
      <c r="J78" s="452">
        <v>0.3579</v>
      </c>
      <c r="K78" s="452">
        <v>0.1951</v>
      </c>
      <c r="L78" s="452">
        <v>0.1874</v>
      </c>
      <c r="M78" s="452">
        <v>5.8591</v>
      </c>
      <c r="N78" s="453"/>
      <c r="O78" s="459">
        <v>0.0</v>
      </c>
      <c r="P78" s="455">
        <v>0.0</v>
      </c>
      <c r="Q78" s="455">
        <v>0.0</v>
      </c>
      <c r="R78" s="455">
        <v>0.0</v>
      </c>
      <c r="S78" s="455">
        <v>0.0</v>
      </c>
      <c r="T78" s="455">
        <v>0.0</v>
      </c>
      <c r="U78" s="455">
        <v>0.0</v>
      </c>
      <c r="V78" s="455">
        <v>0.0</v>
      </c>
      <c r="W78" s="455">
        <v>0.0</v>
      </c>
      <c r="X78" s="455">
        <v>0.0</v>
      </c>
      <c r="Y78" s="455">
        <v>0.0</v>
      </c>
      <c r="Z78" s="224"/>
    </row>
    <row r="79" ht="15.75" customHeight="1">
      <c r="A79" s="224"/>
      <c r="B79" s="456" t="s">
        <v>35</v>
      </c>
      <c r="C79" s="457">
        <v>4.125579149754045</v>
      </c>
      <c r="D79" s="457">
        <v>0.0</v>
      </c>
      <c r="E79" s="457">
        <v>0.006904734978667858</v>
      </c>
      <c r="F79" s="457">
        <v>0.0</v>
      </c>
      <c r="G79" s="457">
        <v>0.08616827427459992</v>
      </c>
      <c r="H79" s="457">
        <v>0.1570474925250067</v>
      </c>
      <c r="I79" s="457">
        <v>0.0017614119843540454</v>
      </c>
      <c r="J79" s="457">
        <v>0.6145918695808136</v>
      </c>
      <c r="K79" s="457">
        <v>1.2595504817718908</v>
      </c>
      <c r="L79" s="457">
        <v>1.9633402542403933</v>
      </c>
      <c r="M79" s="457">
        <v>10.277768472226482</v>
      </c>
      <c r="N79" s="453"/>
      <c r="O79" s="458">
        <v>-1.7299208502459553</v>
      </c>
      <c r="P79" s="455">
        <v>0.0</v>
      </c>
      <c r="Q79" s="455">
        <v>-0.002895265021332142</v>
      </c>
      <c r="R79" s="455">
        <v>0.0</v>
      </c>
      <c r="S79" s="455">
        <v>-0.03613172572540009</v>
      </c>
      <c r="T79" s="455">
        <v>-0.0658525074749933</v>
      </c>
      <c r="U79" s="455">
        <v>-7.385880156459547E-4</v>
      </c>
      <c r="V79" s="455">
        <v>-0.2577081304191864</v>
      </c>
      <c r="W79" s="455">
        <v>-0.5281495182281093</v>
      </c>
      <c r="X79" s="455">
        <v>-0.8232597457596067</v>
      </c>
      <c r="Y79" s="455">
        <v>-4.309631527773519</v>
      </c>
      <c r="Z79" s="224"/>
    </row>
    <row r="80" ht="15.75" customHeight="1">
      <c r="A80" s="224"/>
      <c r="B80" s="456" t="s">
        <v>310</v>
      </c>
      <c r="C80" s="457">
        <v>28.964942646084065</v>
      </c>
      <c r="D80" s="457">
        <v>0.26890278565686726</v>
      </c>
      <c r="E80" s="457">
        <v>0.3926613383027102</v>
      </c>
      <c r="F80" s="457">
        <v>0.08617543389756546</v>
      </c>
      <c r="G80" s="457">
        <v>1.2654248736793753E-4</v>
      </c>
      <c r="H80" s="457">
        <v>0.0</v>
      </c>
      <c r="I80" s="457">
        <v>0.0</v>
      </c>
      <c r="J80" s="457">
        <v>0.0</v>
      </c>
      <c r="K80" s="457">
        <v>0.0</v>
      </c>
      <c r="L80" s="457">
        <v>0.0</v>
      </c>
      <c r="M80" s="457">
        <v>0.0</v>
      </c>
      <c r="N80" s="453"/>
      <c r="O80" s="461">
        <v>6.075442646084063</v>
      </c>
      <c r="P80" s="455">
        <v>0.056402785656867266</v>
      </c>
      <c r="Q80" s="455">
        <v>0.0823613383027102</v>
      </c>
      <c r="R80" s="455">
        <v>0.018075433897565468</v>
      </c>
      <c r="S80" s="455">
        <v>2.654248736793753E-5</v>
      </c>
      <c r="T80" s="455">
        <v>0.0</v>
      </c>
      <c r="U80" s="455">
        <v>0.0</v>
      </c>
      <c r="V80" s="455">
        <v>0.0</v>
      </c>
      <c r="W80" s="455">
        <v>0.0</v>
      </c>
      <c r="X80" s="455">
        <v>0.0</v>
      </c>
      <c r="Y80" s="455">
        <v>0.0</v>
      </c>
      <c r="Z80" s="224"/>
    </row>
    <row r="81" ht="15.75" customHeight="1">
      <c r="A81" s="224"/>
      <c r="B81" s="456" t="s">
        <v>134</v>
      </c>
      <c r="C81" s="457">
        <v>0.0</v>
      </c>
      <c r="D81" s="457">
        <v>0.0</v>
      </c>
      <c r="E81" s="457">
        <v>0.0</v>
      </c>
      <c r="F81" s="457">
        <v>0.0</v>
      </c>
      <c r="G81" s="457">
        <v>0.0</v>
      </c>
      <c r="H81" s="457">
        <v>0.0</v>
      </c>
      <c r="I81" s="457">
        <v>0.0</v>
      </c>
      <c r="J81" s="457">
        <v>0.0</v>
      </c>
      <c r="K81" s="457">
        <v>0.0</v>
      </c>
      <c r="L81" s="457">
        <v>0.0</v>
      </c>
      <c r="M81" s="457">
        <v>0.0</v>
      </c>
      <c r="N81" s="453"/>
      <c r="O81" s="458">
        <v>-21.5114</v>
      </c>
      <c r="P81" s="455">
        <v>-0.1589</v>
      </c>
      <c r="Q81" s="455">
        <v>-0.3883</v>
      </c>
      <c r="R81" s="455">
        <v>-0.4016</v>
      </c>
      <c r="S81" s="455">
        <v>-0.2136</v>
      </c>
      <c r="T81" s="455">
        <v>-0.1433</v>
      </c>
      <c r="U81" s="455">
        <v>-0.1415</v>
      </c>
      <c r="V81" s="455">
        <v>-7.4972</v>
      </c>
      <c r="W81" s="455">
        <v>-4.4294</v>
      </c>
      <c r="X81" s="455">
        <v>-3.7494</v>
      </c>
      <c r="Y81" s="455">
        <v>-1.6338</v>
      </c>
      <c r="Z81" s="224"/>
    </row>
    <row r="82" ht="15.75" customHeight="1">
      <c r="A82" s="224"/>
      <c r="B82" s="460" t="s">
        <v>379</v>
      </c>
      <c r="C82" s="457">
        <v>159.14247999999998</v>
      </c>
      <c r="D82" s="457">
        <v>0.0</v>
      </c>
      <c r="E82" s="457">
        <v>0.0</v>
      </c>
      <c r="F82" s="457">
        <v>0.0</v>
      </c>
      <c r="G82" s="457">
        <v>3.3516000000000004</v>
      </c>
      <c r="H82" s="457">
        <v>3.3407333333333336</v>
      </c>
      <c r="I82" s="457">
        <v>1.0033333333333334</v>
      </c>
      <c r="J82" s="457">
        <v>0.0</v>
      </c>
      <c r="K82" s="457">
        <v>0.0</v>
      </c>
      <c r="L82" s="457">
        <v>2.0E-4</v>
      </c>
      <c r="M82" s="457">
        <v>284.4803</v>
      </c>
      <c r="N82" s="453"/>
      <c r="O82" s="458">
        <v>-39.78562000000002</v>
      </c>
      <c r="P82" s="455">
        <v>-2.2637</v>
      </c>
      <c r="Q82" s="455">
        <v>-2.9709</v>
      </c>
      <c r="R82" s="455">
        <v>-2.4703</v>
      </c>
      <c r="S82" s="455">
        <v>-1.6757999999999997</v>
      </c>
      <c r="T82" s="455">
        <v>-1.6703666666666663</v>
      </c>
      <c r="U82" s="455">
        <v>-2.0066666666666664</v>
      </c>
      <c r="V82" s="455">
        <v>0.0</v>
      </c>
      <c r="W82" s="455">
        <v>0.0</v>
      </c>
      <c r="X82" s="455">
        <v>0.0</v>
      </c>
      <c r="Y82" s="455">
        <v>0.0</v>
      </c>
      <c r="Z82" s="224"/>
    </row>
    <row r="83" ht="15.75" customHeight="1">
      <c r="A83" s="224"/>
      <c r="B83" s="450" t="s">
        <v>380</v>
      </c>
      <c r="C83" s="452">
        <v>49.0219</v>
      </c>
      <c r="D83" s="452">
        <v>0.3513</v>
      </c>
      <c r="E83" s="452">
        <v>0.739</v>
      </c>
      <c r="F83" s="452">
        <v>0.0</v>
      </c>
      <c r="G83" s="452">
        <v>1.6428</v>
      </c>
      <c r="H83" s="452">
        <v>2.023</v>
      </c>
      <c r="I83" s="452">
        <v>0.677</v>
      </c>
      <c r="J83" s="452">
        <v>0.0415</v>
      </c>
      <c r="K83" s="452">
        <v>10.5275</v>
      </c>
      <c r="L83" s="452">
        <v>16.5284</v>
      </c>
      <c r="M83" s="452">
        <v>67.909</v>
      </c>
      <c r="N83" s="453"/>
      <c r="O83" s="459">
        <v>0.0</v>
      </c>
      <c r="P83" s="455">
        <v>0.0</v>
      </c>
      <c r="Q83" s="455">
        <v>0.0</v>
      </c>
      <c r="R83" s="455">
        <v>0.0</v>
      </c>
      <c r="S83" s="455">
        <v>0.0</v>
      </c>
      <c r="T83" s="455">
        <v>0.0</v>
      </c>
      <c r="U83" s="455">
        <v>0.0</v>
      </c>
      <c r="V83" s="455">
        <v>0.0</v>
      </c>
      <c r="W83" s="455">
        <v>0.0</v>
      </c>
      <c r="X83" s="455">
        <v>0.0</v>
      </c>
      <c r="Y83" s="455">
        <v>0.0</v>
      </c>
      <c r="Z83" s="224"/>
    </row>
    <row r="84" ht="15.75" customHeight="1">
      <c r="A84" s="224"/>
      <c r="B84" s="456" t="s">
        <v>32</v>
      </c>
      <c r="C84" s="457">
        <v>9.71971682630221</v>
      </c>
      <c r="D84" s="457">
        <v>0.0</v>
      </c>
      <c r="E84" s="457">
        <v>0.25685744045470493</v>
      </c>
      <c r="F84" s="457">
        <v>0.1154437485141711</v>
      </c>
      <c r="G84" s="457">
        <v>7.839982921166119E-4</v>
      </c>
      <c r="H84" s="457">
        <v>3.9199914605830594E-4</v>
      </c>
      <c r="I84" s="457">
        <v>3.9199914605830594E-4</v>
      </c>
      <c r="J84" s="457">
        <v>0.0</v>
      </c>
      <c r="K84" s="457">
        <v>0.0</v>
      </c>
      <c r="L84" s="457">
        <v>0.0</v>
      </c>
      <c r="M84" s="457">
        <v>24.776502026188254</v>
      </c>
      <c r="N84" s="453"/>
      <c r="O84" s="458">
        <v>-10.116483173697791</v>
      </c>
      <c r="P84" s="455">
        <v>-0.1699</v>
      </c>
      <c r="Q84" s="455">
        <v>-0.005242559545295067</v>
      </c>
      <c r="R84" s="455">
        <v>0.05654374851417109</v>
      </c>
      <c r="S84" s="455">
        <v>3.8399829211661186E-4</v>
      </c>
      <c r="T84" s="455">
        <v>1.9199914605830593E-4</v>
      </c>
      <c r="U84" s="455">
        <v>1.9199914605830593E-4</v>
      </c>
      <c r="V84" s="455">
        <v>0.0</v>
      </c>
      <c r="W84" s="455">
        <v>0.0</v>
      </c>
      <c r="X84" s="455">
        <v>0.0</v>
      </c>
      <c r="Y84" s="455">
        <v>12.135402026188254</v>
      </c>
      <c r="Z84" s="224"/>
    </row>
    <row r="85" ht="15.75" customHeight="1">
      <c r="A85" s="224"/>
      <c r="B85" s="450" t="s">
        <v>40</v>
      </c>
      <c r="C85" s="452">
        <v>33.9636</v>
      </c>
      <c r="D85" s="452">
        <v>0.5219</v>
      </c>
      <c r="E85" s="452">
        <v>0.2251</v>
      </c>
      <c r="F85" s="452">
        <v>0.0989</v>
      </c>
      <c r="G85" s="452">
        <v>0.0</v>
      </c>
      <c r="H85" s="452">
        <v>0.0</v>
      </c>
      <c r="I85" s="452">
        <v>0.0</v>
      </c>
      <c r="J85" s="452">
        <v>0.0</v>
      </c>
      <c r="K85" s="452">
        <v>2.0E-4</v>
      </c>
      <c r="L85" s="452">
        <v>2.0E-4</v>
      </c>
      <c r="M85" s="452">
        <v>0.0</v>
      </c>
      <c r="N85" s="453"/>
      <c r="O85" s="459">
        <v>0.0</v>
      </c>
      <c r="P85" s="455">
        <v>0.0</v>
      </c>
      <c r="Q85" s="455">
        <v>0.0</v>
      </c>
      <c r="R85" s="455">
        <v>0.0</v>
      </c>
      <c r="S85" s="455">
        <v>0.0</v>
      </c>
      <c r="T85" s="455">
        <v>0.0</v>
      </c>
      <c r="U85" s="455">
        <v>0.0</v>
      </c>
      <c r="V85" s="455">
        <v>0.0</v>
      </c>
      <c r="W85" s="455">
        <v>0.0</v>
      </c>
      <c r="X85" s="455">
        <v>0.0</v>
      </c>
      <c r="Y85" s="455">
        <v>0.0</v>
      </c>
      <c r="Z85" s="224"/>
    </row>
    <row r="86" ht="15.75" customHeight="1">
      <c r="A86" s="224"/>
      <c r="B86" s="450" t="s">
        <v>42</v>
      </c>
      <c r="C86" s="452">
        <v>52.8229</v>
      </c>
      <c r="D86" s="452">
        <v>0.3441</v>
      </c>
      <c r="E86" s="452">
        <v>0.5035</v>
      </c>
      <c r="F86" s="452">
        <v>0.8926</v>
      </c>
      <c r="G86" s="452">
        <v>0.0562</v>
      </c>
      <c r="H86" s="452">
        <v>0.1112</v>
      </c>
      <c r="I86" s="452">
        <v>0.3715</v>
      </c>
      <c r="J86" s="452">
        <v>0.0016</v>
      </c>
      <c r="K86" s="452">
        <v>2.0E-4</v>
      </c>
      <c r="L86" s="452">
        <v>4.0E-4</v>
      </c>
      <c r="M86" s="452">
        <v>8.0E-4</v>
      </c>
      <c r="N86" s="453"/>
      <c r="O86" s="459">
        <v>0.0</v>
      </c>
      <c r="P86" s="455">
        <v>0.0</v>
      </c>
      <c r="Q86" s="455">
        <v>0.0</v>
      </c>
      <c r="R86" s="455">
        <v>0.0</v>
      </c>
      <c r="S86" s="455">
        <v>0.0</v>
      </c>
      <c r="T86" s="455">
        <v>0.0</v>
      </c>
      <c r="U86" s="455">
        <v>0.0</v>
      </c>
      <c r="V86" s="455">
        <v>0.0</v>
      </c>
      <c r="W86" s="455">
        <v>0.0</v>
      </c>
      <c r="X86" s="455">
        <v>0.0</v>
      </c>
      <c r="Y86" s="455">
        <v>0.0</v>
      </c>
      <c r="Z86" s="224"/>
    </row>
    <row r="87" ht="15.75" customHeight="1">
      <c r="A87" s="224"/>
      <c r="B87" s="456" t="s">
        <v>46</v>
      </c>
      <c r="C87" s="457">
        <v>0.0</v>
      </c>
      <c r="D87" s="457">
        <v>0.0</v>
      </c>
      <c r="E87" s="457">
        <v>0.0</v>
      </c>
      <c r="F87" s="457">
        <v>0.0</v>
      </c>
      <c r="G87" s="457">
        <v>0.0</v>
      </c>
      <c r="H87" s="457">
        <v>0.0</v>
      </c>
      <c r="I87" s="457">
        <v>0.0</v>
      </c>
      <c r="J87" s="457">
        <v>3.9443348218921995E-4</v>
      </c>
      <c r="K87" s="457">
        <v>0.0</v>
      </c>
      <c r="L87" s="457">
        <v>0.0</v>
      </c>
      <c r="M87" s="457">
        <v>0.0</v>
      </c>
      <c r="N87" s="453"/>
      <c r="O87" s="459">
        <v>0.0</v>
      </c>
      <c r="P87" s="455">
        <v>0.0</v>
      </c>
      <c r="Q87" s="455">
        <v>0.0</v>
      </c>
      <c r="R87" s="455">
        <v>0.0</v>
      </c>
      <c r="S87" s="455">
        <v>0.0</v>
      </c>
      <c r="T87" s="455">
        <v>0.0</v>
      </c>
      <c r="U87" s="455">
        <v>0.0</v>
      </c>
      <c r="V87" s="455">
        <v>-5.566517810780074E-6</v>
      </c>
      <c r="W87" s="455">
        <v>0.0</v>
      </c>
      <c r="X87" s="455">
        <v>0.0</v>
      </c>
      <c r="Y87" s="455">
        <v>0.0</v>
      </c>
      <c r="Z87" s="224"/>
    </row>
    <row r="88" ht="15.75" customHeight="1">
      <c r="A88" s="224"/>
      <c r="B88" s="450" t="s">
        <v>382</v>
      </c>
      <c r="C88" s="452">
        <v>0.0</v>
      </c>
      <c r="D88" s="452">
        <v>0.0</v>
      </c>
      <c r="E88" s="452">
        <v>0.0</v>
      </c>
      <c r="F88" s="452">
        <v>2.0E-4</v>
      </c>
      <c r="G88" s="452">
        <v>0.0</v>
      </c>
      <c r="H88" s="452">
        <v>2.0E-4</v>
      </c>
      <c r="I88" s="452">
        <v>2.0E-4</v>
      </c>
      <c r="J88" s="452">
        <v>0.0</v>
      </c>
      <c r="K88" s="452">
        <v>0.0</v>
      </c>
      <c r="L88" s="452">
        <v>0.001</v>
      </c>
      <c r="M88" s="452">
        <v>0.0012</v>
      </c>
      <c r="N88" s="453"/>
      <c r="O88" s="459">
        <v>0.0</v>
      </c>
      <c r="P88" s="455">
        <v>0.0</v>
      </c>
      <c r="Q88" s="455">
        <v>0.0</v>
      </c>
      <c r="R88" s="455">
        <v>0.0</v>
      </c>
      <c r="S88" s="455">
        <v>0.0</v>
      </c>
      <c r="T88" s="455">
        <v>0.0</v>
      </c>
      <c r="U88" s="455">
        <v>0.0</v>
      </c>
      <c r="V88" s="455">
        <v>0.0</v>
      </c>
      <c r="W88" s="455">
        <v>0.0</v>
      </c>
      <c r="X88" s="455">
        <v>0.0</v>
      </c>
      <c r="Y88" s="455">
        <v>0.0</v>
      </c>
      <c r="Z88" s="224"/>
    </row>
    <row r="89" ht="15.75" customHeight="1">
      <c r="A89" s="224"/>
      <c r="B89" s="456" t="s">
        <v>54</v>
      </c>
      <c r="C89" s="457">
        <v>125.58954376784317</v>
      </c>
      <c r="D89" s="457">
        <v>4.629773976255684</v>
      </c>
      <c r="E89" s="457">
        <v>4.0658637929827055</v>
      </c>
      <c r="F89" s="457">
        <v>2.7106685187559414</v>
      </c>
      <c r="G89" s="457">
        <v>12.988391622237362</v>
      </c>
      <c r="H89" s="457">
        <v>8.961687701191995</v>
      </c>
      <c r="I89" s="457">
        <v>8.768052705893068</v>
      </c>
      <c r="J89" s="457">
        <v>0.0</v>
      </c>
      <c r="K89" s="457">
        <v>0.0</v>
      </c>
      <c r="L89" s="457">
        <v>25.840868422773898</v>
      </c>
      <c r="M89" s="457">
        <v>218.41113347661025</v>
      </c>
      <c r="N89" s="453"/>
      <c r="O89" s="461">
        <v>125.58954376784317</v>
      </c>
      <c r="P89" s="455">
        <v>4.629773976255684</v>
      </c>
      <c r="Q89" s="455">
        <v>4.0658637929827055</v>
      </c>
      <c r="R89" s="455">
        <v>2.7106685187559414</v>
      </c>
      <c r="S89" s="455">
        <v>12.988391622237362</v>
      </c>
      <c r="T89" s="455">
        <v>8.961687701191995</v>
      </c>
      <c r="U89" s="455">
        <v>8.768052705893068</v>
      </c>
      <c r="V89" s="455">
        <v>0.0</v>
      </c>
      <c r="W89" s="455">
        <v>0.0</v>
      </c>
      <c r="X89" s="455">
        <v>25.840868422773898</v>
      </c>
      <c r="Y89" s="455">
        <v>218.41113347661025</v>
      </c>
      <c r="Z89" s="224"/>
    </row>
    <row r="90" ht="15.75" customHeight="1">
      <c r="A90" s="224"/>
      <c r="B90" s="450" t="s">
        <v>383</v>
      </c>
      <c r="C90" s="452">
        <v>0.0</v>
      </c>
      <c r="D90" s="452">
        <v>0.0</v>
      </c>
      <c r="E90" s="452">
        <v>0.0</v>
      </c>
      <c r="F90" s="452">
        <v>0.0</v>
      </c>
      <c r="G90" s="452">
        <v>0.0</v>
      </c>
      <c r="H90" s="452">
        <v>0.0</v>
      </c>
      <c r="I90" s="452">
        <v>0.0</v>
      </c>
      <c r="J90" s="452">
        <v>0.0</v>
      </c>
      <c r="K90" s="452">
        <v>0.0</v>
      </c>
      <c r="L90" s="452">
        <v>0.0</v>
      </c>
      <c r="M90" s="452">
        <v>0.0</v>
      </c>
      <c r="N90" s="453"/>
      <c r="O90" s="459">
        <v>0.0</v>
      </c>
      <c r="P90" s="455">
        <v>0.0</v>
      </c>
      <c r="Q90" s="455">
        <v>0.0</v>
      </c>
      <c r="R90" s="455">
        <v>0.0</v>
      </c>
      <c r="S90" s="455">
        <v>0.0</v>
      </c>
      <c r="T90" s="455">
        <v>0.0</v>
      </c>
      <c r="U90" s="455">
        <v>0.0</v>
      </c>
      <c r="V90" s="455">
        <v>0.0</v>
      </c>
      <c r="W90" s="455">
        <v>0.0</v>
      </c>
      <c r="X90" s="455">
        <v>0.0</v>
      </c>
      <c r="Y90" s="455">
        <v>0.0</v>
      </c>
      <c r="Z90" s="224"/>
    </row>
    <row r="91" ht="15.75" customHeight="1">
      <c r="A91" s="224"/>
      <c r="B91" s="224"/>
      <c r="C91" s="453"/>
      <c r="D91" s="453"/>
      <c r="E91" s="453"/>
      <c r="F91" s="453"/>
      <c r="G91" s="453"/>
      <c r="H91" s="453"/>
      <c r="I91" s="453"/>
      <c r="J91" s="453"/>
      <c r="K91" s="453"/>
      <c r="L91" s="453"/>
      <c r="M91" s="453"/>
      <c r="N91" s="453"/>
      <c r="O91" s="453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</row>
    <row r="92" ht="15.75" customHeight="1">
      <c r="A92" s="224"/>
      <c r="B92" s="224"/>
      <c r="C92" s="453"/>
      <c r="D92" s="453"/>
      <c r="E92" s="453"/>
      <c r="F92" s="453"/>
      <c r="G92" s="453"/>
      <c r="H92" s="453"/>
      <c r="I92" s="453"/>
      <c r="J92" s="453"/>
      <c r="K92" s="453"/>
      <c r="L92" s="453"/>
      <c r="M92" s="453"/>
      <c r="N92" s="453"/>
      <c r="O92" s="453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</row>
    <row r="93" ht="15.75" customHeight="1">
      <c r="A93" s="224"/>
      <c r="B93" s="444" t="s">
        <v>59</v>
      </c>
      <c r="C93" s="462" t="s">
        <v>1890</v>
      </c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53"/>
      <c r="O93" s="464" t="s">
        <v>1891</v>
      </c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224"/>
    </row>
    <row r="94" ht="60.75" customHeight="1">
      <c r="A94" s="224"/>
      <c r="B94" s="447" t="s">
        <v>400</v>
      </c>
      <c r="C94" s="465" t="s">
        <v>1882</v>
      </c>
      <c r="D94" s="465" t="s">
        <v>72</v>
      </c>
      <c r="E94" s="465" t="s">
        <v>73</v>
      </c>
      <c r="F94" s="465" t="s">
        <v>74</v>
      </c>
      <c r="G94" s="465" t="s">
        <v>69</v>
      </c>
      <c r="H94" s="465" t="s">
        <v>70</v>
      </c>
      <c r="I94" s="465" t="s">
        <v>71</v>
      </c>
      <c r="J94" s="465" t="s">
        <v>1883</v>
      </c>
      <c r="K94" s="465" t="s">
        <v>1884</v>
      </c>
      <c r="L94" s="465" t="s">
        <v>1885</v>
      </c>
      <c r="M94" s="465" t="s">
        <v>75</v>
      </c>
      <c r="N94" s="453"/>
      <c r="O94" s="466" t="s">
        <v>1882</v>
      </c>
      <c r="P94" s="449" t="s">
        <v>72</v>
      </c>
      <c r="Q94" s="449" t="s">
        <v>73</v>
      </c>
      <c r="R94" s="449" t="s">
        <v>74</v>
      </c>
      <c r="S94" s="449" t="s">
        <v>69</v>
      </c>
      <c r="T94" s="449" t="s">
        <v>70</v>
      </c>
      <c r="U94" s="449" t="s">
        <v>71</v>
      </c>
      <c r="V94" s="449" t="s">
        <v>1883</v>
      </c>
      <c r="W94" s="449" t="s">
        <v>1884</v>
      </c>
      <c r="X94" s="449" t="s">
        <v>1885</v>
      </c>
      <c r="Y94" s="449" t="s">
        <v>75</v>
      </c>
      <c r="Z94" s="224"/>
    </row>
    <row r="95" ht="15.75" customHeight="1">
      <c r="A95" s="224"/>
      <c r="B95" s="450" t="s">
        <v>367</v>
      </c>
      <c r="C95" s="451">
        <f>LET(payer, $C$3, segment, $B$93, ECOGAINS_SIM(payer, segment, sim_refresh!$A$1))</f>
        <v>29.3957</v>
      </c>
      <c r="D95" s="452">
        <v>0.6801</v>
      </c>
      <c r="E95" s="452">
        <v>0.6711</v>
      </c>
      <c r="F95" s="452">
        <v>0.325</v>
      </c>
      <c r="G95" s="452">
        <v>1.0E-4</v>
      </c>
      <c r="H95" s="452">
        <v>0.0</v>
      </c>
      <c r="I95" s="452">
        <v>0.0</v>
      </c>
      <c r="J95" s="452">
        <v>0.0</v>
      </c>
      <c r="K95" s="452">
        <v>0.0</v>
      </c>
      <c r="L95" s="452">
        <v>0.0</v>
      </c>
      <c r="M95" s="452">
        <v>9.8071</v>
      </c>
      <c r="N95" s="453"/>
      <c r="O95" s="454">
        <f>LET(payer, $C$3, segment, $B$93, ECOGAINS_DIFF(payer, segment, sim_refresh!$A$1))</f>
        <v>0</v>
      </c>
      <c r="P95" s="455">
        <v>0.0</v>
      </c>
      <c r="Q95" s="455">
        <v>0.0</v>
      </c>
      <c r="R95" s="455">
        <v>0.0</v>
      </c>
      <c r="S95" s="455">
        <v>0.0</v>
      </c>
      <c r="T95" s="455">
        <v>0.0</v>
      </c>
      <c r="U95" s="455">
        <v>0.0</v>
      </c>
      <c r="V95" s="455">
        <v>0.0</v>
      </c>
      <c r="W95" s="455">
        <v>0.0</v>
      </c>
      <c r="X95" s="455">
        <v>0.0</v>
      </c>
      <c r="Y95" s="455">
        <v>0.0</v>
      </c>
      <c r="Z95" s="224"/>
    </row>
    <row r="96" ht="15.75" customHeight="1">
      <c r="A96" s="224"/>
      <c r="B96" s="456" t="s">
        <v>312</v>
      </c>
      <c r="C96" s="457">
        <v>37.01599138868384</v>
      </c>
      <c r="D96" s="457">
        <v>0.1499690329286619</v>
      </c>
      <c r="E96" s="457">
        <v>0.2968670276403546</v>
      </c>
      <c r="F96" s="457">
        <v>0.12292683529590546</v>
      </c>
      <c r="G96" s="457">
        <v>8.530661713803294E-5</v>
      </c>
      <c r="H96" s="457">
        <v>0.0</v>
      </c>
      <c r="I96" s="457">
        <v>8.530661713803294E-5</v>
      </c>
      <c r="J96" s="457">
        <v>0.0</v>
      </c>
      <c r="K96" s="457">
        <v>0.0</v>
      </c>
      <c r="L96" s="457">
        <v>0.0</v>
      </c>
      <c r="M96" s="457">
        <v>0.0</v>
      </c>
      <c r="N96" s="453"/>
      <c r="O96" s="458">
        <v>-6.375708611316163</v>
      </c>
      <c r="P96" s="455">
        <v>-0.025830967071338112</v>
      </c>
      <c r="Q96" s="455">
        <v>-0.05113297235964537</v>
      </c>
      <c r="R96" s="455">
        <v>-0.02117316470409454</v>
      </c>
      <c r="S96" s="455">
        <v>-1.4693382861967068E-5</v>
      </c>
      <c r="T96" s="455">
        <v>0.0</v>
      </c>
      <c r="U96" s="455">
        <v>-1.4693382861967068E-5</v>
      </c>
      <c r="V96" s="455">
        <v>0.0</v>
      </c>
      <c r="W96" s="455">
        <v>0.0</v>
      </c>
      <c r="X96" s="455">
        <v>0.0</v>
      </c>
      <c r="Y96" s="455">
        <v>0.0</v>
      </c>
      <c r="Z96" s="224"/>
    </row>
    <row r="97" ht="15.75" customHeight="1">
      <c r="A97" s="224"/>
      <c r="B97" s="456" t="s">
        <v>189</v>
      </c>
      <c r="C97" s="457">
        <v>6.7893502767611995</v>
      </c>
      <c r="D97" s="457">
        <v>0.048644041059420245</v>
      </c>
      <c r="E97" s="457">
        <v>0.023799768555145793</v>
      </c>
      <c r="F97" s="457">
        <v>0.02738092495215833</v>
      </c>
      <c r="G97" s="457">
        <v>0.11907345020066674</v>
      </c>
      <c r="H97" s="457">
        <v>0.15495962159572985</v>
      </c>
      <c r="I97" s="457">
        <v>0.026858672977594</v>
      </c>
      <c r="J97" s="457">
        <v>4.125492169358439</v>
      </c>
      <c r="K97" s="457">
        <v>3.246765918441488</v>
      </c>
      <c r="L97" s="457">
        <v>3.3976221316656416</v>
      </c>
      <c r="M97" s="457">
        <v>12.599105064089594</v>
      </c>
      <c r="N97" s="453"/>
      <c r="O97" s="458">
        <v>-2.3107497232388</v>
      </c>
      <c r="P97" s="455">
        <v>-0.01655595894057975</v>
      </c>
      <c r="Q97" s="455">
        <v>-0.008100231444854205</v>
      </c>
      <c r="R97" s="455">
        <v>-0.009319075047841675</v>
      </c>
      <c r="S97" s="455">
        <v>-0.04052654979933325</v>
      </c>
      <c r="T97" s="455">
        <v>-0.05274037840427015</v>
      </c>
      <c r="U97" s="455">
        <v>-0.009141327022405998</v>
      </c>
      <c r="V97" s="455">
        <v>-1.4041078306415615</v>
      </c>
      <c r="W97" s="455">
        <v>-1.1050340815585118</v>
      </c>
      <c r="X97" s="455">
        <v>-1.1563778683343586</v>
      </c>
      <c r="Y97" s="455">
        <v>-4.288094935910406</v>
      </c>
      <c r="Z97" s="224"/>
    </row>
    <row r="98" ht="15.75" customHeight="1">
      <c r="A98" s="224"/>
      <c r="B98" s="456" t="s">
        <v>311</v>
      </c>
      <c r="C98" s="457">
        <v>8.156356152</v>
      </c>
      <c r="D98" s="457">
        <v>0.021735384</v>
      </c>
      <c r="E98" s="457">
        <v>0.05866509600000001</v>
      </c>
      <c r="F98" s="457">
        <v>0.027526944</v>
      </c>
      <c r="G98" s="457">
        <v>0.0</v>
      </c>
      <c r="H98" s="457">
        <v>0.0</v>
      </c>
      <c r="I98" s="457">
        <v>0.0</v>
      </c>
      <c r="J98" s="457">
        <v>0.0</v>
      </c>
      <c r="K98" s="457">
        <v>0.0</v>
      </c>
      <c r="L98" s="457">
        <v>0.0</v>
      </c>
      <c r="M98" s="457">
        <v>0.0</v>
      </c>
      <c r="N98" s="453"/>
      <c r="O98" s="458">
        <v>-3.814343848</v>
      </c>
      <c r="P98" s="455">
        <v>-0.010164615999999998</v>
      </c>
      <c r="Q98" s="455">
        <v>-0.02743490399999999</v>
      </c>
      <c r="R98" s="455">
        <v>-0.012873055999999997</v>
      </c>
      <c r="S98" s="455">
        <v>0.0</v>
      </c>
      <c r="T98" s="455">
        <v>0.0</v>
      </c>
      <c r="U98" s="455">
        <v>0.0</v>
      </c>
      <c r="V98" s="455">
        <v>0.0</v>
      </c>
      <c r="W98" s="455">
        <v>0.0</v>
      </c>
      <c r="X98" s="455">
        <v>0.0</v>
      </c>
      <c r="Y98" s="455">
        <v>0.0</v>
      </c>
      <c r="Z98" s="224"/>
    </row>
    <row r="99" ht="15.75" customHeight="1">
      <c r="A99" s="224"/>
      <c r="B99" s="450" t="s">
        <v>372</v>
      </c>
      <c r="C99" s="452">
        <v>193.3373</v>
      </c>
      <c r="D99" s="452">
        <v>1.4455</v>
      </c>
      <c r="E99" s="452">
        <v>2.1762</v>
      </c>
      <c r="F99" s="452">
        <v>0.9077</v>
      </c>
      <c r="G99" s="452">
        <v>0.7551</v>
      </c>
      <c r="H99" s="452">
        <v>0.7765</v>
      </c>
      <c r="I99" s="452">
        <v>0.7218</v>
      </c>
      <c r="J99" s="452">
        <v>0.0</v>
      </c>
      <c r="K99" s="452">
        <v>0.0</v>
      </c>
      <c r="L99" s="452">
        <v>0.0</v>
      </c>
      <c r="M99" s="452">
        <v>120.767</v>
      </c>
      <c r="N99" s="453"/>
      <c r="O99" s="459">
        <v>0.0</v>
      </c>
      <c r="P99" s="455">
        <v>0.0</v>
      </c>
      <c r="Q99" s="455">
        <v>0.0</v>
      </c>
      <c r="R99" s="455">
        <v>0.0</v>
      </c>
      <c r="S99" s="455">
        <v>0.0</v>
      </c>
      <c r="T99" s="455">
        <v>0.0</v>
      </c>
      <c r="U99" s="455">
        <v>0.0</v>
      </c>
      <c r="V99" s="455">
        <v>0.0</v>
      </c>
      <c r="W99" s="455">
        <v>0.0</v>
      </c>
      <c r="X99" s="455">
        <v>0.0</v>
      </c>
      <c r="Y99" s="455">
        <v>0.0</v>
      </c>
      <c r="Z99" s="224"/>
    </row>
    <row r="100" ht="15.75" customHeight="1">
      <c r="A100" s="224"/>
      <c r="B100" s="460" t="s">
        <v>373</v>
      </c>
      <c r="C100" s="457">
        <v>66.99025806451613</v>
      </c>
      <c r="D100" s="457">
        <v>0.9665</v>
      </c>
      <c r="E100" s="457">
        <v>0.7333</v>
      </c>
      <c r="F100" s="457">
        <v>0.0914</v>
      </c>
      <c r="G100" s="457">
        <v>0.0</v>
      </c>
      <c r="H100" s="457">
        <v>0.0</v>
      </c>
      <c r="I100" s="457">
        <v>0.0</v>
      </c>
      <c r="J100" s="457">
        <v>5.6497</v>
      </c>
      <c r="K100" s="457">
        <v>8.2063</v>
      </c>
      <c r="L100" s="457">
        <v>12.0314</v>
      </c>
      <c r="M100" s="457">
        <v>92.1921</v>
      </c>
      <c r="N100" s="453"/>
      <c r="O100" s="458">
        <v>-36.84464193548388</v>
      </c>
      <c r="P100" s="455">
        <v>0.0</v>
      </c>
      <c r="Q100" s="455">
        <v>0.0</v>
      </c>
      <c r="R100" s="455">
        <v>0.0</v>
      </c>
      <c r="S100" s="455">
        <v>0.0</v>
      </c>
      <c r="T100" s="455">
        <v>0.0</v>
      </c>
      <c r="U100" s="455">
        <v>0.0</v>
      </c>
      <c r="V100" s="455">
        <v>0.0</v>
      </c>
      <c r="W100" s="455">
        <v>0.0</v>
      </c>
      <c r="X100" s="455">
        <v>0.0</v>
      </c>
      <c r="Y100" s="455">
        <v>0.0</v>
      </c>
      <c r="Z100" s="224"/>
    </row>
    <row r="101" ht="15.75" customHeight="1">
      <c r="A101" s="224"/>
      <c r="B101" s="460" t="s">
        <v>374</v>
      </c>
      <c r="C101" s="457">
        <v>180.6001</v>
      </c>
      <c r="D101" s="457">
        <v>0.9843</v>
      </c>
      <c r="E101" s="457">
        <v>1.0E-4</v>
      </c>
      <c r="F101" s="457">
        <v>0.1086</v>
      </c>
      <c r="G101" s="457">
        <v>1.3769</v>
      </c>
      <c r="H101" s="457">
        <v>0.8587</v>
      </c>
      <c r="I101" s="457">
        <v>0.0</v>
      </c>
      <c r="J101" s="457">
        <v>4.0E-4</v>
      </c>
      <c r="K101" s="457">
        <v>8.0E-4</v>
      </c>
      <c r="L101" s="457">
        <v>0.0</v>
      </c>
      <c r="M101" s="457">
        <v>44.551</v>
      </c>
      <c r="N101" s="453"/>
      <c r="O101" s="459">
        <v>0.0</v>
      </c>
      <c r="P101" s="455">
        <v>0.0</v>
      </c>
      <c r="Q101" s="455">
        <v>0.0</v>
      </c>
      <c r="R101" s="455">
        <v>0.0</v>
      </c>
      <c r="S101" s="455">
        <v>0.0</v>
      </c>
      <c r="T101" s="455">
        <v>0.0</v>
      </c>
      <c r="U101" s="455">
        <v>0.0</v>
      </c>
      <c r="V101" s="455">
        <v>0.0</v>
      </c>
      <c r="W101" s="455">
        <v>0.0</v>
      </c>
      <c r="X101" s="455">
        <v>0.0</v>
      </c>
      <c r="Y101" s="455">
        <v>0.0</v>
      </c>
      <c r="Z101" s="224"/>
    </row>
    <row r="102" ht="15.75" customHeight="1">
      <c r="A102" s="224"/>
      <c r="B102" s="450" t="s">
        <v>49</v>
      </c>
      <c r="C102" s="452">
        <v>0.0</v>
      </c>
      <c r="D102" s="452">
        <v>1.0788</v>
      </c>
      <c r="E102" s="452">
        <v>0.0</v>
      </c>
      <c r="F102" s="452">
        <v>0.0</v>
      </c>
      <c r="G102" s="452">
        <v>1.0598</v>
      </c>
      <c r="H102" s="452">
        <v>1.0554</v>
      </c>
      <c r="I102" s="452">
        <v>1.0813</v>
      </c>
      <c r="J102" s="452">
        <v>0.0</v>
      </c>
      <c r="K102" s="452">
        <v>0.0</v>
      </c>
      <c r="L102" s="452">
        <v>0.0</v>
      </c>
      <c r="M102" s="452">
        <v>143.8753</v>
      </c>
      <c r="N102" s="453"/>
      <c r="O102" s="459">
        <v>0.0</v>
      </c>
      <c r="P102" s="455">
        <v>0.0</v>
      </c>
      <c r="Q102" s="455">
        <v>0.0</v>
      </c>
      <c r="R102" s="455">
        <v>0.0</v>
      </c>
      <c r="S102" s="455">
        <v>0.0</v>
      </c>
      <c r="T102" s="455">
        <v>0.0</v>
      </c>
      <c r="U102" s="455">
        <v>0.0</v>
      </c>
      <c r="V102" s="455">
        <v>0.0</v>
      </c>
      <c r="W102" s="455">
        <v>0.0</v>
      </c>
      <c r="X102" s="455">
        <v>0.0</v>
      </c>
      <c r="Y102" s="455">
        <v>0.0</v>
      </c>
      <c r="Z102" s="224"/>
    </row>
    <row r="103" ht="15.75" customHeight="1">
      <c r="A103" s="224"/>
      <c r="B103" s="456" t="s">
        <v>44</v>
      </c>
      <c r="C103" s="457">
        <v>46.82033397114508</v>
      </c>
      <c r="D103" s="457">
        <v>0.8065849166481105</v>
      </c>
      <c r="E103" s="457">
        <v>0.9086296130625939</v>
      </c>
      <c r="F103" s="457">
        <v>0.6720404616873663</v>
      </c>
      <c r="G103" s="457">
        <v>1.0854464812373559</v>
      </c>
      <c r="H103" s="457">
        <v>0.9888562897537134</v>
      </c>
      <c r="I103" s="457">
        <v>0.9232885950642291</v>
      </c>
      <c r="J103" s="457">
        <v>0.0</v>
      </c>
      <c r="K103" s="457">
        <v>8.098576196066151</v>
      </c>
      <c r="L103" s="457">
        <v>9.022432968727342</v>
      </c>
      <c r="M103" s="457">
        <v>90.62080401443393</v>
      </c>
      <c r="N103" s="453"/>
      <c r="O103" s="461">
        <v>5.618133971145085</v>
      </c>
      <c r="P103" s="455">
        <v>0.09678491664811051</v>
      </c>
      <c r="Q103" s="455">
        <v>0.10902961306259396</v>
      </c>
      <c r="R103" s="455">
        <v>0.08064046168736627</v>
      </c>
      <c r="S103" s="455">
        <v>0.13024648123735583</v>
      </c>
      <c r="T103" s="455">
        <v>0.11865628975371345</v>
      </c>
      <c r="U103" s="455">
        <v>0.11078859506422911</v>
      </c>
      <c r="V103" s="455">
        <v>0.0</v>
      </c>
      <c r="W103" s="455">
        <v>0.9717761960661511</v>
      </c>
      <c r="X103" s="455">
        <v>1.0826329687273422</v>
      </c>
      <c r="Y103" s="455">
        <v>10.873904014433933</v>
      </c>
      <c r="Z103" s="224"/>
    </row>
    <row r="104" ht="15.75" customHeight="1">
      <c r="A104" s="224"/>
      <c r="B104" s="456" t="s">
        <v>375</v>
      </c>
      <c r="C104" s="457">
        <v>20.912051301586644</v>
      </c>
      <c r="D104" s="457">
        <v>0.16374005923252188</v>
      </c>
      <c r="E104" s="457">
        <v>0.0</v>
      </c>
      <c r="F104" s="457">
        <v>0.1164834345426295</v>
      </c>
      <c r="G104" s="457">
        <v>0.34290070125858757</v>
      </c>
      <c r="H104" s="457">
        <v>0.4655192063749926</v>
      </c>
      <c r="I104" s="457">
        <v>0.11457658828321277</v>
      </c>
      <c r="J104" s="457">
        <v>9.694903821029186</v>
      </c>
      <c r="K104" s="457">
        <v>9.322737175006507</v>
      </c>
      <c r="L104" s="457">
        <v>9.784940127017299</v>
      </c>
      <c r="M104" s="457">
        <v>37.11908381760121</v>
      </c>
      <c r="N104" s="453"/>
      <c r="O104" s="458">
        <v>-4.311648698413357</v>
      </c>
      <c r="P104" s="455">
        <v>-0.033759940767478125</v>
      </c>
      <c r="Q104" s="455">
        <v>0.0</v>
      </c>
      <c r="R104" s="455">
        <v>-0.02401656545737052</v>
      </c>
      <c r="S104" s="455">
        <v>-0.07069929874141245</v>
      </c>
      <c r="T104" s="455">
        <v>-0.09598079362500739</v>
      </c>
      <c r="U104" s="455">
        <v>-0.023623411716787224</v>
      </c>
      <c r="V104" s="455">
        <v>-1.9988961789708135</v>
      </c>
      <c r="W104" s="455">
        <v>-1.9221628249934923</v>
      </c>
      <c r="X104" s="455">
        <v>-2.017459872982702</v>
      </c>
      <c r="Y104" s="455">
        <v>-7.653216182398793</v>
      </c>
      <c r="Z104" s="224"/>
    </row>
    <row r="105" ht="15.75" customHeight="1">
      <c r="A105" s="224"/>
      <c r="B105" s="456" t="s">
        <v>43</v>
      </c>
      <c r="C105" s="457">
        <v>36.152471001512836</v>
      </c>
      <c r="D105" s="457">
        <v>0.1162109218610636</v>
      </c>
      <c r="E105" s="457">
        <v>0.18656635031584506</v>
      </c>
      <c r="F105" s="457">
        <v>0.06197042394620415</v>
      </c>
      <c r="G105" s="457">
        <v>0.0186042287534059</v>
      </c>
      <c r="H105" s="457">
        <v>0.0</v>
      </c>
      <c r="I105" s="457">
        <v>0.028561421607341448</v>
      </c>
      <c r="J105" s="457">
        <v>0.0</v>
      </c>
      <c r="K105" s="457">
        <v>0.0</v>
      </c>
      <c r="L105" s="457">
        <v>0.0</v>
      </c>
      <c r="M105" s="457">
        <v>14.892554101405976</v>
      </c>
      <c r="N105" s="453"/>
      <c r="O105" s="461">
        <v>3.0396710015128363</v>
      </c>
      <c r="P105" s="455">
        <v>0.027510921861063603</v>
      </c>
      <c r="Q105" s="455">
        <v>0.044166350315845065</v>
      </c>
      <c r="R105" s="455">
        <v>0.014670423946204152</v>
      </c>
      <c r="S105" s="455">
        <v>0.0044042287534059</v>
      </c>
      <c r="T105" s="455">
        <v>-0.0184</v>
      </c>
      <c r="U105" s="455">
        <v>0.006761421607341448</v>
      </c>
      <c r="V105" s="455">
        <v>0.0</v>
      </c>
      <c r="W105" s="455">
        <v>0.0</v>
      </c>
      <c r="X105" s="455">
        <v>0.0</v>
      </c>
      <c r="Y105" s="455">
        <v>3.525554101405975</v>
      </c>
      <c r="Z105" s="224"/>
    </row>
    <row r="106" ht="15.75" customHeight="1">
      <c r="A106" s="224"/>
      <c r="B106" s="456" t="s">
        <v>50</v>
      </c>
      <c r="C106" s="457">
        <v>70.55787079442128</v>
      </c>
      <c r="D106" s="457">
        <v>0.3123075253423386</v>
      </c>
      <c r="E106" s="457">
        <v>0.4031590725943437</v>
      </c>
      <c r="F106" s="457">
        <v>0.45835245388265095</v>
      </c>
      <c r="G106" s="457">
        <v>0.03693776522076826</v>
      </c>
      <c r="H106" s="457">
        <v>0.09460503840607852</v>
      </c>
      <c r="I106" s="457">
        <v>0.20004401718868722</v>
      </c>
      <c r="J106" s="457">
        <v>0.0</v>
      </c>
      <c r="K106" s="457">
        <v>0.0</v>
      </c>
      <c r="L106" s="457">
        <v>0.0</v>
      </c>
      <c r="M106" s="457">
        <v>0.7426794088037147</v>
      </c>
      <c r="N106" s="453"/>
      <c r="O106" s="458">
        <v>-12.153029205578719</v>
      </c>
      <c r="P106" s="455">
        <v>-0.053792474657661404</v>
      </c>
      <c r="Q106" s="455">
        <v>-0.06944092740565633</v>
      </c>
      <c r="R106" s="455">
        <v>-0.07894754611734905</v>
      </c>
      <c r="S106" s="455">
        <v>-0.006362234779231736</v>
      </c>
      <c r="T106" s="455">
        <v>-0.016294961593921478</v>
      </c>
      <c r="U106" s="455">
        <v>-0.03445598281131276</v>
      </c>
      <c r="V106" s="455">
        <v>0.0</v>
      </c>
      <c r="W106" s="455">
        <v>0.0</v>
      </c>
      <c r="X106" s="455">
        <v>0.0</v>
      </c>
      <c r="Y106" s="455">
        <v>-0.1279205911962853</v>
      </c>
      <c r="Z106" s="224"/>
    </row>
    <row r="107" ht="15.75" customHeight="1">
      <c r="A107" s="224"/>
      <c r="B107" s="450" t="s">
        <v>377</v>
      </c>
      <c r="C107" s="452">
        <v>110.5224</v>
      </c>
      <c r="D107" s="452">
        <v>0.4428</v>
      </c>
      <c r="E107" s="452">
        <v>0.776</v>
      </c>
      <c r="F107" s="452">
        <v>0.5121</v>
      </c>
      <c r="G107" s="452">
        <v>1.2099</v>
      </c>
      <c r="H107" s="452">
        <v>1.1983</v>
      </c>
      <c r="I107" s="452">
        <v>1.2147</v>
      </c>
      <c r="J107" s="452">
        <v>0.3277</v>
      </c>
      <c r="K107" s="452">
        <v>0.2336</v>
      </c>
      <c r="L107" s="452">
        <v>0.2265</v>
      </c>
      <c r="M107" s="452">
        <v>8.9364</v>
      </c>
      <c r="N107" s="453"/>
      <c r="O107" s="459">
        <v>0.0</v>
      </c>
      <c r="P107" s="455">
        <v>0.0</v>
      </c>
      <c r="Q107" s="455">
        <v>0.0</v>
      </c>
      <c r="R107" s="455">
        <v>0.0</v>
      </c>
      <c r="S107" s="455">
        <v>0.0</v>
      </c>
      <c r="T107" s="455">
        <v>0.0</v>
      </c>
      <c r="U107" s="455">
        <v>0.0</v>
      </c>
      <c r="V107" s="455">
        <v>0.0</v>
      </c>
      <c r="W107" s="455">
        <v>0.0</v>
      </c>
      <c r="X107" s="455">
        <v>0.0</v>
      </c>
      <c r="Y107" s="455">
        <v>0.0</v>
      </c>
      <c r="Z107" s="224"/>
    </row>
    <row r="108" ht="15.75" customHeight="1">
      <c r="A108" s="224"/>
      <c r="B108" s="456" t="s">
        <v>35</v>
      </c>
      <c r="C108" s="457">
        <v>9.593065370640739</v>
      </c>
      <c r="D108" s="457">
        <v>0.0</v>
      </c>
      <c r="E108" s="457">
        <v>0.08571219641404852</v>
      </c>
      <c r="F108" s="457">
        <v>0.0</v>
      </c>
      <c r="G108" s="457">
        <v>0.133244774392849</v>
      </c>
      <c r="H108" s="457">
        <v>0.1592795050625885</v>
      </c>
      <c r="I108" s="457">
        <v>0.06400495448834079</v>
      </c>
      <c r="J108" s="457">
        <v>2.915331449366432</v>
      </c>
      <c r="K108" s="457">
        <v>2.3577833834418236</v>
      </c>
      <c r="L108" s="457">
        <v>2.441331835483856</v>
      </c>
      <c r="M108" s="457">
        <v>25.842576209863374</v>
      </c>
      <c r="N108" s="453"/>
      <c r="O108" s="458">
        <v>-4.150934629359261</v>
      </c>
      <c r="P108" s="455">
        <v>0.0</v>
      </c>
      <c r="Q108" s="455">
        <v>-0.037087803585951484</v>
      </c>
      <c r="R108" s="455">
        <v>0.0</v>
      </c>
      <c r="S108" s="455">
        <v>-0.05765522560715097</v>
      </c>
      <c r="T108" s="455">
        <v>-0.06892049493741148</v>
      </c>
      <c r="U108" s="455">
        <v>-0.027695045511659216</v>
      </c>
      <c r="V108" s="455">
        <v>-1.2614685506335679</v>
      </c>
      <c r="W108" s="455">
        <v>-1.0202166165581765</v>
      </c>
      <c r="X108" s="455">
        <v>-1.0563681645161442</v>
      </c>
      <c r="Y108" s="455">
        <v>-11.182123790136629</v>
      </c>
      <c r="Z108" s="224"/>
    </row>
    <row r="109" ht="15.75" customHeight="1">
      <c r="A109" s="224"/>
      <c r="B109" s="456" t="s">
        <v>310</v>
      </c>
      <c r="C109" s="457">
        <v>61.182758877568595</v>
      </c>
      <c r="D109" s="457">
        <v>0.13973223887209796</v>
      </c>
      <c r="E109" s="457">
        <v>0.40179416672013507</v>
      </c>
      <c r="F109" s="457">
        <v>0.2147167553364289</v>
      </c>
      <c r="G109" s="457">
        <v>2.559198514140988E-4</v>
      </c>
      <c r="H109" s="457">
        <v>0.0</v>
      </c>
      <c r="I109" s="457">
        <v>0.0</v>
      </c>
      <c r="J109" s="457">
        <v>0.0</v>
      </c>
      <c r="K109" s="457">
        <v>0.0</v>
      </c>
      <c r="L109" s="457">
        <v>0.0</v>
      </c>
      <c r="M109" s="457">
        <v>0.0</v>
      </c>
      <c r="N109" s="453"/>
      <c r="O109" s="461">
        <v>13.368758877568595</v>
      </c>
      <c r="P109" s="455">
        <v>0.030532238872097953</v>
      </c>
      <c r="Q109" s="455">
        <v>0.08779416672013507</v>
      </c>
      <c r="R109" s="455">
        <v>0.04691675533642889</v>
      </c>
      <c r="S109" s="455">
        <v>5.591985141409879E-5</v>
      </c>
      <c r="T109" s="455">
        <v>0.0</v>
      </c>
      <c r="U109" s="455">
        <v>0.0</v>
      </c>
      <c r="V109" s="455">
        <v>0.0</v>
      </c>
      <c r="W109" s="455">
        <v>0.0</v>
      </c>
      <c r="X109" s="455">
        <v>0.0</v>
      </c>
      <c r="Y109" s="455">
        <v>0.0</v>
      </c>
      <c r="Z109" s="224"/>
    </row>
    <row r="110" ht="15.75" customHeight="1">
      <c r="A110" s="224"/>
      <c r="B110" s="456" t="s">
        <v>134</v>
      </c>
      <c r="C110" s="457">
        <v>0.0</v>
      </c>
      <c r="D110" s="457">
        <v>0.0</v>
      </c>
      <c r="E110" s="457">
        <v>0.0</v>
      </c>
      <c r="F110" s="457">
        <v>0.0</v>
      </c>
      <c r="G110" s="457">
        <v>0.0</v>
      </c>
      <c r="H110" s="457">
        <v>0.0</v>
      </c>
      <c r="I110" s="457">
        <v>0.0</v>
      </c>
      <c r="J110" s="457">
        <v>0.0</v>
      </c>
      <c r="K110" s="457">
        <v>0.0</v>
      </c>
      <c r="L110" s="457">
        <v>0.0</v>
      </c>
      <c r="M110" s="457">
        <v>0.0</v>
      </c>
      <c r="N110" s="453"/>
      <c r="O110" s="458">
        <v>-52.1783</v>
      </c>
      <c r="P110" s="455">
        <v>-0.5471</v>
      </c>
      <c r="Q110" s="455">
        <v>-0.6794</v>
      </c>
      <c r="R110" s="455">
        <v>-0.6719</v>
      </c>
      <c r="S110" s="455">
        <v>-0.4142</v>
      </c>
      <c r="T110" s="455">
        <v>-0.2572</v>
      </c>
      <c r="U110" s="455">
        <v>-0.3237</v>
      </c>
      <c r="V110" s="455">
        <v>-8.888</v>
      </c>
      <c r="W110" s="455">
        <v>-10.252</v>
      </c>
      <c r="X110" s="455">
        <v>-11.3338</v>
      </c>
      <c r="Y110" s="455">
        <v>-4.3948</v>
      </c>
      <c r="Z110" s="224"/>
    </row>
    <row r="111" ht="15.75" customHeight="1">
      <c r="A111" s="224"/>
      <c r="B111" s="460" t="s">
        <v>379</v>
      </c>
      <c r="C111" s="457">
        <v>320.2116</v>
      </c>
      <c r="D111" s="457">
        <v>0.0</v>
      </c>
      <c r="E111" s="457">
        <v>0.0</v>
      </c>
      <c r="F111" s="457">
        <v>0.0</v>
      </c>
      <c r="G111" s="457">
        <v>6.6252666666666675</v>
      </c>
      <c r="H111" s="457">
        <v>6.602600000000001</v>
      </c>
      <c r="I111" s="457">
        <v>1.9229000000000003</v>
      </c>
      <c r="J111" s="457">
        <v>6.0E-4</v>
      </c>
      <c r="K111" s="457">
        <v>4.0E-4</v>
      </c>
      <c r="L111" s="457">
        <v>4.0E-4</v>
      </c>
      <c r="M111" s="457">
        <v>576.8301</v>
      </c>
      <c r="N111" s="453"/>
      <c r="O111" s="458">
        <v>-80.05290000000002</v>
      </c>
      <c r="P111" s="455">
        <v>-4.3116</v>
      </c>
      <c r="Q111" s="455">
        <v>-5.6684</v>
      </c>
      <c r="R111" s="455">
        <v>-4.429</v>
      </c>
      <c r="S111" s="455">
        <v>-3.3126333333333333</v>
      </c>
      <c r="T111" s="455">
        <v>-3.3012999999999995</v>
      </c>
      <c r="U111" s="455">
        <v>-3.8457999999999997</v>
      </c>
      <c r="V111" s="455">
        <v>0.0</v>
      </c>
      <c r="W111" s="455">
        <v>0.0</v>
      </c>
      <c r="X111" s="455">
        <v>0.0</v>
      </c>
      <c r="Y111" s="455">
        <v>0.0</v>
      </c>
      <c r="Z111" s="224"/>
    </row>
    <row r="112" ht="15.75" customHeight="1">
      <c r="A112" s="224"/>
      <c r="B112" s="450" t="s">
        <v>380</v>
      </c>
      <c r="C112" s="452">
        <v>67.936</v>
      </c>
      <c r="D112" s="452">
        <v>0.402</v>
      </c>
      <c r="E112" s="452">
        <v>0.851</v>
      </c>
      <c r="F112" s="452">
        <v>0.0</v>
      </c>
      <c r="G112" s="452">
        <v>1.8173</v>
      </c>
      <c r="H112" s="452">
        <v>2.2885</v>
      </c>
      <c r="I112" s="452">
        <v>0.8164</v>
      </c>
      <c r="J112" s="452">
        <v>0.0407</v>
      </c>
      <c r="K112" s="452">
        <v>9.2025</v>
      </c>
      <c r="L112" s="452">
        <v>17.4008</v>
      </c>
      <c r="M112" s="452">
        <v>73.808</v>
      </c>
      <c r="N112" s="453"/>
      <c r="O112" s="459">
        <v>0.0</v>
      </c>
      <c r="P112" s="455">
        <v>0.0</v>
      </c>
      <c r="Q112" s="455">
        <v>0.0</v>
      </c>
      <c r="R112" s="455">
        <v>0.0</v>
      </c>
      <c r="S112" s="455">
        <v>0.0</v>
      </c>
      <c r="T112" s="455">
        <v>0.0</v>
      </c>
      <c r="U112" s="455">
        <v>0.0</v>
      </c>
      <c r="V112" s="455">
        <v>0.0</v>
      </c>
      <c r="W112" s="455">
        <v>0.0</v>
      </c>
      <c r="X112" s="455">
        <v>0.0</v>
      </c>
      <c r="Y112" s="455">
        <v>0.0</v>
      </c>
      <c r="Z112" s="224"/>
    </row>
    <row r="113" ht="15.75" customHeight="1">
      <c r="A113" s="224"/>
      <c r="B113" s="456" t="s">
        <v>32</v>
      </c>
      <c r="C113" s="457">
        <v>21.169383583143592</v>
      </c>
      <c r="D113" s="457">
        <v>0.17485338351133842</v>
      </c>
      <c r="E113" s="457">
        <v>0.2669213622616206</v>
      </c>
      <c r="F113" s="457">
        <v>0.2996945316521532</v>
      </c>
      <c r="G113" s="457">
        <v>9.472014274720392E-4</v>
      </c>
      <c r="H113" s="457">
        <v>7.577611419776314E-4</v>
      </c>
      <c r="I113" s="457">
        <v>5.683208564832234E-4</v>
      </c>
      <c r="J113" s="457">
        <v>0.0</v>
      </c>
      <c r="K113" s="457">
        <v>0.0</v>
      </c>
      <c r="L113" s="457">
        <v>0.0</v>
      </c>
      <c r="M113" s="457">
        <v>23.584557782911798</v>
      </c>
      <c r="N113" s="453"/>
      <c r="O113" s="458">
        <v>-23.529416416856407</v>
      </c>
      <c r="P113" s="455">
        <v>0.08255338351133842</v>
      </c>
      <c r="Q113" s="455">
        <v>-0.014878637738379386</v>
      </c>
      <c r="R113" s="455">
        <v>0.1414945316521532</v>
      </c>
      <c r="S113" s="455">
        <v>4.4720142747203915E-4</v>
      </c>
      <c r="T113" s="455">
        <v>3.5776114197763137E-4</v>
      </c>
      <c r="U113" s="455">
        <v>2.6832085648322343E-4</v>
      </c>
      <c r="V113" s="455">
        <v>0.0</v>
      </c>
      <c r="W113" s="455">
        <v>0.0</v>
      </c>
      <c r="X113" s="455">
        <v>0.0</v>
      </c>
      <c r="Y113" s="455">
        <v>11.134957782911798</v>
      </c>
      <c r="Z113" s="224"/>
    </row>
    <row r="114" ht="15.75" customHeight="1">
      <c r="A114" s="224"/>
      <c r="B114" s="450" t="s">
        <v>40</v>
      </c>
      <c r="C114" s="452">
        <v>45.7483</v>
      </c>
      <c r="D114" s="452">
        <v>0.5457</v>
      </c>
      <c r="E114" s="452">
        <v>0.2864</v>
      </c>
      <c r="F114" s="452">
        <v>0.1418</v>
      </c>
      <c r="G114" s="452">
        <v>0.0</v>
      </c>
      <c r="H114" s="452">
        <v>0.0</v>
      </c>
      <c r="I114" s="452">
        <v>0.0</v>
      </c>
      <c r="J114" s="452">
        <v>0.0</v>
      </c>
      <c r="K114" s="452">
        <v>8.0E-4</v>
      </c>
      <c r="L114" s="452">
        <v>8.0E-4</v>
      </c>
      <c r="M114" s="452">
        <v>0.0014</v>
      </c>
      <c r="N114" s="453"/>
      <c r="O114" s="459">
        <v>0.0</v>
      </c>
      <c r="P114" s="455">
        <v>0.0</v>
      </c>
      <c r="Q114" s="455">
        <v>0.0</v>
      </c>
      <c r="R114" s="455">
        <v>0.0</v>
      </c>
      <c r="S114" s="455">
        <v>0.0</v>
      </c>
      <c r="T114" s="455">
        <v>0.0</v>
      </c>
      <c r="U114" s="455">
        <v>0.0</v>
      </c>
      <c r="V114" s="455">
        <v>0.0</v>
      </c>
      <c r="W114" s="455">
        <v>0.0</v>
      </c>
      <c r="X114" s="455">
        <v>0.0</v>
      </c>
      <c r="Y114" s="455">
        <v>0.0</v>
      </c>
      <c r="Z114" s="224"/>
    </row>
    <row r="115" ht="15.75" customHeight="1">
      <c r="A115" s="224"/>
      <c r="B115" s="450" t="s">
        <v>42</v>
      </c>
      <c r="C115" s="452">
        <v>63.1524</v>
      </c>
      <c r="D115" s="452">
        <v>0.2816</v>
      </c>
      <c r="E115" s="452">
        <v>0.5265</v>
      </c>
      <c r="F115" s="452">
        <v>0.9048</v>
      </c>
      <c r="G115" s="452">
        <v>0.0485</v>
      </c>
      <c r="H115" s="452">
        <v>0.1038</v>
      </c>
      <c r="I115" s="452">
        <v>0.3843</v>
      </c>
      <c r="J115" s="452">
        <v>8.0E-4</v>
      </c>
      <c r="K115" s="452">
        <v>0.0</v>
      </c>
      <c r="L115" s="452">
        <v>0.0</v>
      </c>
      <c r="M115" s="452">
        <v>9.0E-4</v>
      </c>
      <c r="N115" s="453"/>
      <c r="O115" s="459">
        <v>0.0</v>
      </c>
      <c r="P115" s="455">
        <v>0.0</v>
      </c>
      <c r="Q115" s="455">
        <v>0.0</v>
      </c>
      <c r="R115" s="455">
        <v>0.0</v>
      </c>
      <c r="S115" s="455">
        <v>0.0</v>
      </c>
      <c r="T115" s="455">
        <v>0.0</v>
      </c>
      <c r="U115" s="455">
        <v>0.0</v>
      </c>
      <c r="V115" s="455">
        <v>0.0</v>
      </c>
      <c r="W115" s="455">
        <v>0.0</v>
      </c>
      <c r="X115" s="455">
        <v>0.0</v>
      </c>
      <c r="Y115" s="455">
        <v>0.0</v>
      </c>
      <c r="Z115" s="224"/>
    </row>
    <row r="116" ht="15.75" customHeight="1">
      <c r="A116" s="224"/>
      <c r="B116" s="456" t="s">
        <v>46</v>
      </c>
      <c r="C116" s="457">
        <v>0.0</v>
      </c>
      <c r="D116" s="457">
        <v>0.0</v>
      </c>
      <c r="E116" s="457">
        <v>0.0</v>
      </c>
      <c r="F116" s="457">
        <v>0.0</v>
      </c>
      <c r="G116" s="457">
        <v>0.0</v>
      </c>
      <c r="H116" s="457">
        <v>0.0</v>
      </c>
      <c r="I116" s="457">
        <v>0.0</v>
      </c>
      <c r="J116" s="457">
        <v>0.0</v>
      </c>
      <c r="K116" s="457">
        <v>0.0</v>
      </c>
      <c r="L116" s="457">
        <v>0.0</v>
      </c>
      <c r="M116" s="457">
        <v>0.0</v>
      </c>
      <c r="N116" s="453"/>
      <c r="O116" s="459">
        <v>0.0</v>
      </c>
      <c r="P116" s="455">
        <v>0.0</v>
      </c>
      <c r="Q116" s="455">
        <v>0.0</v>
      </c>
      <c r="R116" s="455">
        <v>0.0</v>
      </c>
      <c r="S116" s="455">
        <v>0.0</v>
      </c>
      <c r="T116" s="455">
        <v>0.0</v>
      </c>
      <c r="U116" s="455">
        <v>0.0</v>
      </c>
      <c r="V116" s="455">
        <v>0.0</v>
      </c>
      <c r="W116" s="455">
        <v>0.0</v>
      </c>
      <c r="X116" s="455">
        <v>0.0</v>
      </c>
      <c r="Y116" s="455">
        <v>0.0</v>
      </c>
      <c r="Z116" s="224"/>
    </row>
    <row r="117" ht="15.75" customHeight="1">
      <c r="A117" s="224"/>
      <c r="B117" s="450" t="s">
        <v>382</v>
      </c>
      <c r="C117" s="452">
        <v>0.0</v>
      </c>
      <c r="D117" s="452">
        <v>0.0</v>
      </c>
      <c r="E117" s="452">
        <v>0.0</v>
      </c>
      <c r="F117" s="452">
        <v>1.0E-4</v>
      </c>
      <c r="G117" s="452">
        <v>0.0</v>
      </c>
      <c r="H117" s="452">
        <v>1.0E-4</v>
      </c>
      <c r="I117" s="452">
        <v>1.0E-4</v>
      </c>
      <c r="J117" s="452">
        <v>0.0</v>
      </c>
      <c r="K117" s="452">
        <v>0.0</v>
      </c>
      <c r="L117" s="452">
        <v>0.0013</v>
      </c>
      <c r="M117" s="452">
        <v>6.0E-4</v>
      </c>
      <c r="N117" s="453"/>
      <c r="O117" s="459">
        <v>0.0</v>
      </c>
      <c r="P117" s="455">
        <v>0.0</v>
      </c>
      <c r="Q117" s="455">
        <v>0.0</v>
      </c>
      <c r="R117" s="455">
        <v>0.0</v>
      </c>
      <c r="S117" s="455">
        <v>0.0</v>
      </c>
      <c r="T117" s="455">
        <v>0.0</v>
      </c>
      <c r="U117" s="455">
        <v>0.0</v>
      </c>
      <c r="V117" s="455">
        <v>0.0</v>
      </c>
      <c r="W117" s="455">
        <v>0.0</v>
      </c>
      <c r="X117" s="455">
        <v>0.0</v>
      </c>
      <c r="Y117" s="455">
        <v>0.0</v>
      </c>
      <c r="Z117" s="224"/>
    </row>
    <row r="118" ht="15.75" customHeight="1">
      <c r="A118" s="224"/>
      <c r="B118" s="456" t="s">
        <v>54</v>
      </c>
      <c r="C118" s="457">
        <v>217.466481753819</v>
      </c>
      <c r="D118" s="457">
        <v>6.908754512085285</v>
      </c>
      <c r="E118" s="457">
        <v>8.82597515403278</v>
      </c>
      <c r="F118" s="457">
        <v>4.336763121641693</v>
      </c>
      <c r="G118" s="457">
        <v>16.420501991628125</v>
      </c>
      <c r="H118" s="457">
        <v>11.459418531665783</v>
      </c>
      <c r="I118" s="457">
        <v>10.275122595098232</v>
      </c>
      <c r="J118" s="457">
        <v>0.0</v>
      </c>
      <c r="K118" s="457">
        <v>11.006068193610858</v>
      </c>
      <c r="L118" s="457">
        <v>31.55793154149692</v>
      </c>
      <c r="M118" s="457">
        <v>312.8863896073386</v>
      </c>
      <c r="N118" s="453"/>
      <c r="O118" s="461">
        <v>217.466481753819</v>
      </c>
      <c r="P118" s="455">
        <v>6.908754512085285</v>
      </c>
      <c r="Q118" s="455">
        <v>8.82597515403278</v>
      </c>
      <c r="R118" s="455">
        <v>4.336763121641693</v>
      </c>
      <c r="S118" s="455">
        <v>16.420501991628125</v>
      </c>
      <c r="T118" s="455">
        <v>11.459418531665783</v>
      </c>
      <c r="U118" s="455">
        <v>10.275122595098232</v>
      </c>
      <c r="V118" s="455">
        <v>0.0</v>
      </c>
      <c r="W118" s="455">
        <v>11.006068193610858</v>
      </c>
      <c r="X118" s="455">
        <v>31.55793154149692</v>
      </c>
      <c r="Y118" s="455">
        <v>312.8863896073386</v>
      </c>
      <c r="Z118" s="224"/>
    </row>
    <row r="119" ht="15.75" customHeight="1">
      <c r="A119" s="224"/>
      <c r="B119" s="450" t="s">
        <v>383</v>
      </c>
      <c r="C119" s="452">
        <v>0.0</v>
      </c>
      <c r="D119" s="452">
        <v>0.0</v>
      </c>
      <c r="E119" s="452">
        <v>0.0</v>
      </c>
      <c r="F119" s="452">
        <v>0.0</v>
      </c>
      <c r="G119" s="452">
        <v>0.0</v>
      </c>
      <c r="H119" s="452">
        <v>0.0</v>
      </c>
      <c r="I119" s="452">
        <v>0.0</v>
      </c>
      <c r="J119" s="452">
        <v>0.0</v>
      </c>
      <c r="K119" s="452">
        <v>0.0</v>
      </c>
      <c r="L119" s="452">
        <v>0.0</v>
      </c>
      <c r="M119" s="452">
        <v>0.0</v>
      </c>
      <c r="N119" s="453"/>
      <c r="O119" s="459">
        <v>0.0</v>
      </c>
      <c r="P119" s="455">
        <v>0.0</v>
      </c>
      <c r="Q119" s="455">
        <v>0.0</v>
      </c>
      <c r="R119" s="455">
        <v>0.0</v>
      </c>
      <c r="S119" s="455">
        <v>0.0</v>
      </c>
      <c r="T119" s="455">
        <v>0.0</v>
      </c>
      <c r="U119" s="455">
        <v>0.0</v>
      </c>
      <c r="V119" s="455">
        <v>0.0</v>
      </c>
      <c r="W119" s="455">
        <v>0.0</v>
      </c>
      <c r="X119" s="455">
        <v>0.0</v>
      </c>
      <c r="Y119" s="455">
        <v>0.0</v>
      </c>
      <c r="Z119" s="224"/>
    </row>
    <row r="120" ht="15.75" customHeight="1">
      <c r="A120" s="224"/>
      <c r="B120" s="224"/>
      <c r="C120" s="453"/>
      <c r="D120" s="453"/>
      <c r="E120" s="453"/>
      <c r="F120" s="453"/>
      <c r="G120" s="453"/>
      <c r="H120" s="453"/>
      <c r="I120" s="453"/>
      <c r="J120" s="453"/>
      <c r="K120" s="453"/>
      <c r="L120" s="453"/>
      <c r="M120" s="453"/>
      <c r="N120" s="453"/>
      <c r="O120" s="453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</row>
    <row r="121" ht="15.75" customHeight="1">
      <c r="A121" s="224"/>
      <c r="B121" s="224"/>
      <c r="C121" s="453"/>
      <c r="D121" s="453"/>
      <c r="E121" s="453"/>
      <c r="F121" s="453"/>
      <c r="G121" s="453"/>
      <c r="H121" s="453"/>
      <c r="I121" s="453"/>
      <c r="J121" s="453"/>
      <c r="K121" s="453"/>
      <c r="L121" s="453"/>
      <c r="M121" s="453"/>
      <c r="N121" s="453"/>
      <c r="O121" s="453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</row>
    <row r="122" ht="15.75" customHeight="1">
      <c r="A122" s="224"/>
      <c r="B122" s="444" t="s">
        <v>60</v>
      </c>
      <c r="C122" s="462" t="s">
        <v>1892</v>
      </c>
      <c r="D122" s="463"/>
      <c r="E122" s="463"/>
      <c r="F122" s="463"/>
      <c r="G122" s="463"/>
      <c r="H122" s="463"/>
      <c r="I122" s="463"/>
      <c r="J122" s="463"/>
      <c r="K122" s="463"/>
      <c r="L122" s="463"/>
      <c r="M122" s="463"/>
      <c r="N122" s="453"/>
      <c r="O122" s="464" t="s">
        <v>1893</v>
      </c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224"/>
    </row>
    <row r="123" ht="60.75" customHeight="1">
      <c r="A123" s="224"/>
      <c r="B123" s="447" t="s">
        <v>400</v>
      </c>
      <c r="C123" s="465" t="s">
        <v>1882</v>
      </c>
      <c r="D123" s="465" t="s">
        <v>72</v>
      </c>
      <c r="E123" s="465" t="s">
        <v>73</v>
      </c>
      <c r="F123" s="465" t="s">
        <v>74</v>
      </c>
      <c r="G123" s="465" t="s">
        <v>69</v>
      </c>
      <c r="H123" s="465" t="s">
        <v>70</v>
      </c>
      <c r="I123" s="465" t="s">
        <v>71</v>
      </c>
      <c r="J123" s="465" t="s">
        <v>1883</v>
      </c>
      <c r="K123" s="465" t="s">
        <v>1884</v>
      </c>
      <c r="L123" s="465" t="s">
        <v>1885</v>
      </c>
      <c r="M123" s="465" t="s">
        <v>75</v>
      </c>
      <c r="N123" s="453"/>
      <c r="O123" s="466" t="s">
        <v>1882</v>
      </c>
      <c r="P123" s="449" t="s">
        <v>72</v>
      </c>
      <c r="Q123" s="449" t="s">
        <v>73</v>
      </c>
      <c r="R123" s="449" t="s">
        <v>74</v>
      </c>
      <c r="S123" s="449" t="s">
        <v>69</v>
      </c>
      <c r="T123" s="449" t="s">
        <v>70</v>
      </c>
      <c r="U123" s="449" t="s">
        <v>71</v>
      </c>
      <c r="V123" s="449" t="s">
        <v>1883</v>
      </c>
      <c r="W123" s="449" t="s">
        <v>1884</v>
      </c>
      <c r="X123" s="449" t="s">
        <v>1885</v>
      </c>
      <c r="Y123" s="449" t="s">
        <v>75</v>
      </c>
      <c r="Z123" s="224"/>
    </row>
    <row r="124" ht="15.75" customHeight="1">
      <c r="A124" s="224"/>
      <c r="B124" s="450" t="s">
        <v>367</v>
      </c>
      <c r="C124" s="451">
        <f>LET(payer, $C$3, segment, $B$122, ECOGAINS_SIM(payer, segment, sim_refresh!$A$1))</f>
        <v>28.8425</v>
      </c>
      <c r="D124" s="452">
        <v>0.6317</v>
      </c>
      <c r="E124" s="452">
        <v>0.6385</v>
      </c>
      <c r="F124" s="452">
        <v>0.3006</v>
      </c>
      <c r="G124" s="452">
        <v>0.0034</v>
      </c>
      <c r="H124" s="452">
        <v>0.002</v>
      </c>
      <c r="I124" s="452">
        <v>0.0014</v>
      </c>
      <c r="J124" s="452">
        <v>0.0</v>
      </c>
      <c r="K124" s="452">
        <v>0.0</v>
      </c>
      <c r="L124" s="452">
        <v>0.0</v>
      </c>
      <c r="M124" s="452">
        <v>9.8919</v>
      </c>
      <c r="N124" s="453"/>
      <c r="O124" s="454">
        <f>LET(payer, $C$3, segment, $B$122, ECOGAINS_DIFF(payer, segment, sim_refresh!$A$1))</f>
        <v>0</v>
      </c>
      <c r="P124" s="455">
        <v>0.0</v>
      </c>
      <c r="Q124" s="455">
        <v>0.0</v>
      </c>
      <c r="R124" s="455">
        <v>0.0</v>
      </c>
      <c r="S124" s="455">
        <v>0.0</v>
      </c>
      <c r="T124" s="455">
        <v>0.0</v>
      </c>
      <c r="U124" s="455">
        <v>0.0</v>
      </c>
      <c r="V124" s="455">
        <v>0.0</v>
      </c>
      <c r="W124" s="455">
        <v>0.0</v>
      </c>
      <c r="X124" s="455">
        <v>0.0</v>
      </c>
      <c r="Y124" s="455">
        <v>0.0</v>
      </c>
      <c r="Z124" s="224"/>
    </row>
    <row r="125" ht="15.75" customHeight="1">
      <c r="A125" s="224"/>
      <c r="B125" s="456" t="s">
        <v>312</v>
      </c>
      <c r="C125" s="457">
        <v>51.684611161621625</v>
      </c>
      <c r="D125" s="457">
        <v>0.03972158432432433</v>
      </c>
      <c r="E125" s="457">
        <v>0.18611629216216216</v>
      </c>
      <c r="F125" s="457">
        <v>0.20175329594594596</v>
      </c>
      <c r="G125" s="457">
        <v>0.0</v>
      </c>
      <c r="H125" s="457">
        <v>0.0</v>
      </c>
      <c r="I125" s="457">
        <v>0.0</v>
      </c>
      <c r="J125" s="457">
        <v>0.0</v>
      </c>
      <c r="K125" s="457">
        <v>0.0</v>
      </c>
      <c r="L125" s="457">
        <v>0.0</v>
      </c>
      <c r="M125" s="457">
        <v>0.0</v>
      </c>
      <c r="N125" s="453"/>
      <c r="O125" s="458">
        <v>-5.827188838378376</v>
      </c>
      <c r="P125" s="455">
        <v>-0.004478415675675675</v>
      </c>
      <c r="Q125" s="455">
        <v>-0.020983707837837845</v>
      </c>
      <c r="R125" s="455">
        <v>-0.022746704054054045</v>
      </c>
      <c r="S125" s="455">
        <v>0.0</v>
      </c>
      <c r="T125" s="455">
        <v>0.0</v>
      </c>
      <c r="U125" s="455">
        <v>0.0</v>
      </c>
      <c r="V125" s="455">
        <v>0.0</v>
      </c>
      <c r="W125" s="455">
        <v>0.0</v>
      </c>
      <c r="X125" s="455">
        <v>0.0</v>
      </c>
      <c r="Y125" s="455">
        <v>0.0</v>
      </c>
      <c r="Z125" s="224"/>
    </row>
    <row r="126" ht="15.75" customHeight="1">
      <c r="A126" s="224"/>
      <c r="B126" s="456" t="s">
        <v>189</v>
      </c>
      <c r="C126" s="457">
        <v>9.20343148616687</v>
      </c>
      <c r="D126" s="457">
        <v>0.08992511620901347</v>
      </c>
      <c r="E126" s="457">
        <v>0.07039082130218656</v>
      </c>
      <c r="F126" s="457">
        <v>0.07055922039621094</v>
      </c>
      <c r="G126" s="457">
        <v>0.11619537487681517</v>
      </c>
      <c r="H126" s="457">
        <v>0.12032115268041221</v>
      </c>
      <c r="I126" s="457">
        <v>0.07064341994322312</v>
      </c>
      <c r="J126" s="457">
        <v>4.74818085511113</v>
      </c>
      <c r="K126" s="457">
        <v>3.2850453266803936</v>
      </c>
      <c r="L126" s="457">
        <v>3.250186714217349</v>
      </c>
      <c r="M126" s="457">
        <v>15.186735496399741</v>
      </c>
      <c r="N126" s="453"/>
      <c r="O126" s="458">
        <v>-1.7270685138331299</v>
      </c>
      <c r="P126" s="455">
        <v>-0.016874883790986533</v>
      </c>
      <c r="Q126" s="455">
        <v>-0.013209178697813434</v>
      </c>
      <c r="R126" s="455">
        <v>-0.013240779603789055</v>
      </c>
      <c r="S126" s="455">
        <v>-0.021804625123184845</v>
      </c>
      <c r="T126" s="455">
        <v>-0.022578847319587786</v>
      </c>
      <c r="U126" s="455">
        <v>-0.013256580056776879</v>
      </c>
      <c r="V126" s="455">
        <v>-0.8910191448888698</v>
      </c>
      <c r="W126" s="455">
        <v>-0.6164546733196063</v>
      </c>
      <c r="X126" s="455">
        <v>-0.609913285782651</v>
      </c>
      <c r="Y126" s="455">
        <v>-2.8498645036002586</v>
      </c>
      <c r="Z126" s="224"/>
    </row>
    <row r="127" ht="15.75" customHeight="1">
      <c r="A127" s="224"/>
      <c r="B127" s="456" t="s">
        <v>311</v>
      </c>
      <c r="C127" s="457">
        <v>11.34556604</v>
      </c>
      <c r="D127" s="457">
        <v>0.00465152</v>
      </c>
      <c r="E127" s="457">
        <v>0.02914468</v>
      </c>
      <c r="F127" s="457">
        <v>0.047096639999999995</v>
      </c>
      <c r="G127" s="457">
        <v>0.0</v>
      </c>
      <c r="H127" s="457">
        <v>0.0</v>
      </c>
      <c r="I127" s="457">
        <v>0.0</v>
      </c>
      <c r="J127" s="457">
        <v>0.0</v>
      </c>
      <c r="K127" s="457">
        <v>0.0</v>
      </c>
      <c r="L127" s="457">
        <v>0.0</v>
      </c>
      <c r="M127" s="457">
        <v>0.0</v>
      </c>
      <c r="N127" s="453"/>
      <c r="O127" s="458">
        <v>-4.264733960000001</v>
      </c>
      <c r="P127" s="455">
        <v>-0.0017484800000000002</v>
      </c>
      <c r="Q127" s="455">
        <v>-0.010955319999999998</v>
      </c>
      <c r="R127" s="455">
        <v>-0.01770336</v>
      </c>
      <c r="S127" s="455">
        <v>0.0</v>
      </c>
      <c r="T127" s="455">
        <v>0.0</v>
      </c>
      <c r="U127" s="455">
        <v>0.0</v>
      </c>
      <c r="V127" s="455">
        <v>0.0</v>
      </c>
      <c r="W127" s="455">
        <v>0.0</v>
      </c>
      <c r="X127" s="455">
        <v>0.0</v>
      </c>
      <c r="Y127" s="455">
        <v>0.0</v>
      </c>
      <c r="Z127" s="224"/>
    </row>
    <row r="128" ht="15.75" customHeight="1">
      <c r="A128" s="224"/>
      <c r="B128" s="450" t="s">
        <v>372</v>
      </c>
      <c r="C128" s="452">
        <v>414.8552</v>
      </c>
      <c r="D128" s="452">
        <v>3.3161</v>
      </c>
      <c r="E128" s="452">
        <v>4.448</v>
      </c>
      <c r="F128" s="452">
        <v>1.5618</v>
      </c>
      <c r="G128" s="452">
        <v>1.4144</v>
      </c>
      <c r="H128" s="452">
        <v>2.3017</v>
      </c>
      <c r="I128" s="452">
        <v>1.7746</v>
      </c>
      <c r="J128" s="452">
        <v>0.0</v>
      </c>
      <c r="K128" s="452">
        <v>0.0</v>
      </c>
      <c r="L128" s="452">
        <v>0.0</v>
      </c>
      <c r="M128" s="452">
        <v>254.5933</v>
      </c>
      <c r="N128" s="453"/>
      <c r="O128" s="459">
        <v>0.0</v>
      </c>
      <c r="P128" s="455">
        <v>0.0</v>
      </c>
      <c r="Q128" s="455">
        <v>0.0</v>
      </c>
      <c r="R128" s="455">
        <v>0.0</v>
      </c>
      <c r="S128" s="455">
        <v>0.0</v>
      </c>
      <c r="T128" s="455">
        <v>0.0</v>
      </c>
      <c r="U128" s="455">
        <v>0.0</v>
      </c>
      <c r="V128" s="455">
        <v>0.0</v>
      </c>
      <c r="W128" s="455">
        <v>0.0</v>
      </c>
      <c r="X128" s="455">
        <v>0.0</v>
      </c>
      <c r="Y128" s="455">
        <v>0.0</v>
      </c>
      <c r="Z128" s="224"/>
    </row>
    <row r="129" ht="15.75" customHeight="1">
      <c r="A129" s="224"/>
      <c r="B129" s="460" t="s">
        <v>373</v>
      </c>
      <c r="C129" s="457">
        <v>36.5653881748072</v>
      </c>
      <c r="D129" s="457">
        <v>0.7594</v>
      </c>
      <c r="E129" s="457">
        <v>0.3839</v>
      </c>
      <c r="F129" s="457">
        <v>0.0457</v>
      </c>
      <c r="G129" s="457">
        <v>0.0</v>
      </c>
      <c r="H129" s="457">
        <v>0.0</v>
      </c>
      <c r="I129" s="457">
        <v>0.0</v>
      </c>
      <c r="J129" s="457">
        <v>2.7912</v>
      </c>
      <c r="K129" s="457">
        <v>4.3965</v>
      </c>
      <c r="L129" s="457">
        <v>6.2712</v>
      </c>
      <c r="M129" s="457">
        <v>54.4286</v>
      </c>
      <c r="N129" s="453"/>
      <c r="O129" s="458">
        <v>-22.7010118251928</v>
      </c>
      <c r="P129" s="455">
        <v>0.0</v>
      </c>
      <c r="Q129" s="455">
        <v>0.0</v>
      </c>
      <c r="R129" s="455">
        <v>0.0</v>
      </c>
      <c r="S129" s="455">
        <v>0.0</v>
      </c>
      <c r="T129" s="455">
        <v>0.0</v>
      </c>
      <c r="U129" s="455">
        <v>0.0</v>
      </c>
      <c r="V129" s="455">
        <v>0.0</v>
      </c>
      <c r="W129" s="455">
        <v>0.0</v>
      </c>
      <c r="X129" s="455">
        <v>0.0</v>
      </c>
      <c r="Y129" s="455">
        <v>0.0</v>
      </c>
      <c r="Z129" s="224"/>
    </row>
    <row r="130" ht="15.75" customHeight="1">
      <c r="A130" s="224"/>
      <c r="B130" s="460" t="s">
        <v>374</v>
      </c>
      <c r="C130" s="457">
        <v>201.3159</v>
      </c>
      <c r="D130" s="457">
        <v>0.9674</v>
      </c>
      <c r="E130" s="457">
        <v>2.0E-4</v>
      </c>
      <c r="F130" s="457">
        <v>0.2232</v>
      </c>
      <c r="G130" s="457">
        <v>1.1476</v>
      </c>
      <c r="H130" s="457">
        <v>0.7417</v>
      </c>
      <c r="I130" s="457">
        <v>2.0E-4</v>
      </c>
      <c r="J130" s="457">
        <v>0.0</v>
      </c>
      <c r="K130" s="457">
        <v>0.0013</v>
      </c>
      <c r="L130" s="457">
        <v>0.0037</v>
      </c>
      <c r="M130" s="457">
        <v>41.5183</v>
      </c>
      <c r="N130" s="453"/>
      <c r="O130" s="459">
        <v>0.0</v>
      </c>
      <c r="P130" s="455">
        <v>0.0</v>
      </c>
      <c r="Q130" s="455">
        <v>0.0</v>
      </c>
      <c r="R130" s="455">
        <v>0.0</v>
      </c>
      <c r="S130" s="455">
        <v>0.0</v>
      </c>
      <c r="T130" s="455">
        <v>0.0</v>
      </c>
      <c r="U130" s="455">
        <v>0.0</v>
      </c>
      <c r="V130" s="455">
        <v>0.0</v>
      </c>
      <c r="W130" s="455">
        <v>0.0</v>
      </c>
      <c r="X130" s="455">
        <v>0.0</v>
      </c>
      <c r="Y130" s="455">
        <v>0.0</v>
      </c>
      <c r="Z130" s="224"/>
    </row>
    <row r="131" ht="15.75" customHeight="1">
      <c r="A131" s="224"/>
      <c r="B131" s="450" t="s">
        <v>49</v>
      </c>
      <c r="C131" s="452">
        <v>0.0</v>
      </c>
      <c r="D131" s="452">
        <v>0.8916</v>
      </c>
      <c r="E131" s="452">
        <v>0.0</v>
      </c>
      <c r="F131" s="452">
        <v>0.0</v>
      </c>
      <c r="G131" s="452">
        <v>0.8905</v>
      </c>
      <c r="H131" s="452">
        <v>0.8888</v>
      </c>
      <c r="I131" s="452">
        <v>0.8913</v>
      </c>
      <c r="J131" s="452">
        <v>0.0</v>
      </c>
      <c r="K131" s="452">
        <v>0.0</v>
      </c>
      <c r="L131" s="452">
        <v>0.0</v>
      </c>
      <c r="M131" s="452">
        <v>99.4862</v>
      </c>
      <c r="N131" s="453"/>
      <c r="O131" s="459">
        <v>0.0</v>
      </c>
      <c r="P131" s="455">
        <v>0.0</v>
      </c>
      <c r="Q131" s="455">
        <v>0.0</v>
      </c>
      <c r="R131" s="455">
        <v>0.0</v>
      </c>
      <c r="S131" s="455">
        <v>0.0</v>
      </c>
      <c r="T131" s="455">
        <v>0.0</v>
      </c>
      <c r="U131" s="455">
        <v>0.0</v>
      </c>
      <c r="V131" s="455">
        <v>0.0</v>
      </c>
      <c r="W131" s="455">
        <v>0.0</v>
      </c>
      <c r="X131" s="455">
        <v>0.0</v>
      </c>
      <c r="Y131" s="455">
        <v>0.0</v>
      </c>
      <c r="Z131" s="224"/>
    </row>
    <row r="132" ht="15.75" customHeight="1">
      <c r="A132" s="224"/>
      <c r="B132" s="456" t="s">
        <v>44</v>
      </c>
      <c r="C132" s="457">
        <v>47.467204894572525</v>
      </c>
      <c r="D132" s="457">
        <v>0.7418701077608936</v>
      </c>
      <c r="E132" s="457">
        <v>0.7622111482603354</v>
      </c>
      <c r="F132" s="457">
        <v>0.7200266040427429</v>
      </c>
      <c r="G132" s="457">
        <v>0.8005817473842826</v>
      </c>
      <c r="H132" s="457">
        <v>0.7744620021974993</v>
      </c>
      <c r="I132" s="457">
        <v>0.7641759078540316</v>
      </c>
      <c r="J132" s="457">
        <v>0.0</v>
      </c>
      <c r="K132" s="457">
        <v>8.369644720957842</v>
      </c>
      <c r="L132" s="457">
        <v>8.2254082519618</v>
      </c>
      <c r="M132" s="457">
        <v>70.71470270355964</v>
      </c>
      <c r="N132" s="453"/>
      <c r="O132" s="461">
        <v>6.396404894572527</v>
      </c>
      <c r="P132" s="455">
        <v>0.09997010776089355</v>
      </c>
      <c r="Q132" s="455">
        <v>0.10271114826033545</v>
      </c>
      <c r="R132" s="455">
        <v>0.09702660404274288</v>
      </c>
      <c r="S132" s="455">
        <v>0.10788174738428258</v>
      </c>
      <c r="T132" s="455">
        <v>0.10436200219749925</v>
      </c>
      <c r="U132" s="455">
        <v>0.10297590785403155</v>
      </c>
      <c r="V132" s="455">
        <v>0.0</v>
      </c>
      <c r="W132" s="455">
        <v>1.1278447209578424</v>
      </c>
      <c r="X132" s="455">
        <v>1.1084082519618006</v>
      </c>
      <c r="Y132" s="455">
        <v>9.529102703559637</v>
      </c>
      <c r="Z132" s="224"/>
    </row>
    <row r="133" ht="15.75" customHeight="1">
      <c r="A133" s="224"/>
      <c r="B133" s="456" t="s">
        <v>375</v>
      </c>
      <c r="C133" s="457">
        <v>25.652886616621483</v>
      </c>
      <c r="D133" s="457">
        <v>0.24175766940734766</v>
      </c>
      <c r="E133" s="457">
        <v>0.0</v>
      </c>
      <c r="F133" s="457">
        <v>0.21142611873040806</v>
      </c>
      <c r="G133" s="457">
        <v>0.3200470701221624</v>
      </c>
      <c r="H133" s="457">
        <v>0.3452786255525369</v>
      </c>
      <c r="I133" s="457">
        <v>0.211515592331225</v>
      </c>
      <c r="J133" s="457">
        <v>11.30489998961842</v>
      </c>
      <c r="K133" s="457">
        <v>8.592239360050705</v>
      </c>
      <c r="L133" s="457">
        <v>8.85153385521817</v>
      </c>
      <c r="M133" s="457">
        <v>41.55234548179013</v>
      </c>
      <c r="N133" s="453"/>
      <c r="O133" s="458">
        <v>-3.0180133833785163</v>
      </c>
      <c r="P133" s="455">
        <v>-0.028442330592652332</v>
      </c>
      <c r="Q133" s="455">
        <v>0.0</v>
      </c>
      <c r="R133" s="455">
        <v>-0.024873881269591946</v>
      </c>
      <c r="S133" s="455">
        <v>-0.03765292987783764</v>
      </c>
      <c r="T133" s="455">
        <v>-0.04062137444746311</v>
      </c>
      <c r="U133" s="455">
        <v>-0.024884407668775005</v>
      </c>
      <c r="V133" s="455">
        <v>-1.3300000103815801</v>
      </c>
      <c r="W133" s="455">
        <v>-1.0108606399492945</v>
      </c>
      <c r="X133" s="455">
        <v>-1.0413661447818292</v>
      </c>
      <c r="Y133" s="455">
        <v>-4.888554518209872</v>
      </c>
      <c r="Z133" s="224"/>
    </row>
    <row r="134" ht="15.75" customHeight="1">
      <c r="A134" s="224"/>
      <c r="B134" s="456" t="s">
        <v>43</v>
      </c>
      <c r="C134" s="457">
        <v>39.65028119847751</v>
      </c>
      <c r="D134" s="457">
        <v>0.025542340306235825</v>
      </c>
      <c r="E134" s="457">
        <v>0.10087458821402812</v>
      </c>
      <c r="F134" s="457">
        <v>0.11288066522433252</v>
      </c>
      <c r="G134" s="457">
        <v>0.00388431903274554</v>
      </c>
      <c r="H134" s="457">
        <v>0.00776863806549108</v>
      </c>
      <c r="I134" s="457">
        <v>0.006356158417219975</v>
      </c>
      <c r="J134" s="457">
        <v>0.0</v>
      </c>
      <c r="K134" s="457">
        <v>0.0</v>
      </c>
      <c r="L134" s="457">
        <v>0.0</v>
      </c>
      <c r="M134" s="457">
        <v>14.475209142119645</v>
      </c>
      <c r="N134" s="453"/>
      <c r="O134" s="458">
        <v>-2.4568188015224948</v>
      </c>
      <c r="P134" s="455">
        <v>0.0038423403062358245</v>
      </c>
      <c r="Q134" s="455">
        <v>0.015174588214028117</v>
      </c>
      <c r="R134" s="455">
        <v>0.016980665224332517</v>
      </c>
      <c r="S134" s="455">
        <v>5.8431903274554E-4</v>
      </c>
      <c r="T134" s="455">
        <v>0.00116863806549108</v>
      </c>
      <c r="U134" s="455">
        <v>9.561584172199751E-4</v>
      </c>
      <c r="V134" s="455">
        <v>0.0</v>
      </c>
      <c r="W134" s="455">
        <v>0.0</v>
      </c>
      <c r="X134" s="455">
        <v>0.0</v>
      </c>
      <c r="Y134" s="455">
        <v>2.1775091421196446</v>
      </c>
      <c r="Z134" s="224"/>
    </row>
    <row r="135" ht="15.75" customHeight="1">
      <c r="A135" s="224"/>
      <c r="B135" s="456" t="s">
        <v>50</v>
      </c>
      <c r="C135" s="457">
        <v>69.93856638324326</v>
      </c>
      <c r="D135" s="457">
        <v>0.2032810491891892</v>
      </c>
      <c r="E135" s="457">
        <v>0.3181321459459459</v>
      </c>
      <c r="F135" s="457">
        <v>0.4923858835135136</v>
      </c>
      <c r="G135" s="457">
        <v>0.019860792162162164</v>
      </c>
      <c r="H135" s="457">
        <v>0.0491577072972973</v>
      </c>
      <c r="I135" s="457">
        <v>0.11251453297297298</v>
      </c>
      <c r="J135" s="457">
        <v>0.0</v>
      </c>
      <c r="K135" s="457">
        <v>0.0</v>
      </c>
      <c r="L135" s="457">
        <v>0.0</v>
      </c>
      <c r="M135" s="457">
        <v>0.46120174378378376</v>
      </c>
      <c r="N135" s="453"/>
      <c r="O135" s="458">
        <v>-7.88523361675675</v>
      </c>
      <c r="P135" s="455">
        <v>-0.0229189508108108</v>
      </c>
      <c r="Q135" s="455">
        <v>-0.03586785405405407</v>
      </c>
      <c r="R135" s="455">
        <v>-0.055514116486486464</v>
      </c>
      <c r="S135" s="455">
        <v>-0.0022392078378378373</v>
      </c>
      <c r="T135" s="455">
        <v>-0.005542292702702699</v>
      </c>
      <c r="U135" s="455">
        <v>-0.012685467027027025</v>
      </c>
      <c r="V135" s="455">
        <v>0.0</v>
      </c>
      <c r="W135" s="455">
        <v>0.0</v>
      </c>
      <c r="X135" s="455">
        <v>0.0</v>
      </c>
      <c r="Y135" s="455">
        <v>-0.05199825621621623</v>
      </c>
      <c r="Z135" s="224"/>
    </row>
    <row r="136" ht="15.75" customHeight="1">
      <c r="A136" s="224"/>
      <c r="B136" s="450" t="s">
        <v>377</v>
      </c>
      <c r="C136" s="452">
        <v>115.4999</v>
      </c>
      <c r="D136" s="452">
        <v>0.3352</v>
      </c>
      <c r="E136" s="452">
        <v>0.687</v>
      </c>
      <c r="F136" s="452">
        <v>0.5965</v>
      </c>
      <c r="G136" s="452">
        <v>1.0742</v>
      </c>
      <c r="H136" s="452">
        <v>1.0646</v>
      </c>
      <c r="I136" s="452">
        <v>1.0572</v>
      </c>
      <c r="J136" s="452">
        <v>0.1691</v>
      </c>
      <c r="K136" s="452">
        <v>0.1189</v>
      </c>
      <c r="L136" s="452">
        <v>0.1207</v>
      </c>
      <c r="M136" s="452">
        <v>10.175</v>
      </c>
      <c r="N136" s="453"/>
      <c r="O136" s="459">
        <v>0.0</v>
      </c>
      <c r="P136" s="455">
        <v>0.0</v>
      </c>
      <c r="Q136" s="455">
        <v>0.0</v>
      </c>
      <c r="R136" s="455">
        <v>0.0</v>
      </c>
      <c r="S136" s="455">
        <v>0.0</v>
      </c>
      <c r="T136" s="455">
        <v>0.0</v>
      </c>
      <c r="U136" s="455">
        <v>0.0</v>
      </c>
      <c r="V136" s="455">
        <v>0.0</v>
      </c>
      <c r="W136" s="455">
        <v>0.0</v>
      </c>
      <c r="X136" s="455">
        <v>0.0</v>
      </c>
      <c r="Y136" s="455">
        <v>0.0</v>
      </c>
      <c r="Z136" s="224"/>
    </row>
    <row r="137" ht="15.75" customHeight="1">
      <c r="A137" s="224"/>
      <c r="B137" s="456" t="s">
        <v>35</v>
      </c>
      <c r="C137" s="457">
        <v>9.467691326626968</v>
      </c>
      <c r="D137" s="457">
        <v>0.0</v>
      </c>
      <c r="E137" s="457">
        <v>0.09186580630823322</v>
      </c>
      <c r="F137" s="457">
        <v>0.0</v>
      </c>
      <c r="G137" s="457">
        <v>0.10608076115274653</v>
      </c>
      <c r="H137" s="457">
        <v>0.10727641156022895</v>
      </c>
      <c r="I137" s="457">
        <v>0.08542257911235568</v>
      </c>
      <c r="J137" s="457">
        <v>2.5435469668509523</v>
      </c>
      <c r="K137" s="457">
        <v>1.8549851821863492</v>
      </c>
      <c r="L137" s="457">
        <v>1.7681676775985975</v>
      </c>
      <c r="M137" s="457">
        <v>25.409829609771283</v>
      </c>
      <c r="N137" s="453"/>
      <c r="O137" s="458">
        <v>-4.785508673373032</v>
      </c>
      <c r="P137" s="455">
        <v>0.0</v>
      </c>
      <c r="Q137" s="455">
        <v>-0.04643419369176678</v>
      </c>
      <c r="R137" s="455">
        <v>0.0</v>
      </c>
      <c r="S137" s="455">
        <v>-0.053619238847253475</v>
      </c>
      <c r="T137" s="455">
        <v>-0.054223588439771056</v>
      </c>
      <c r="U137" s="455">
        <v>-0.04317742088764431</v>
      </c>
      <c r="V137" s="455">
        <v>-1.2856530331490479</v>
      </c>
      <c r="W137" s="455">
        <v>-0.937614817813651</v>
      </c>
      <c r="X137" s="455">
        <v>-0.8937323224014027</v>
      </c>
      <c r="Y137" s="455">
        <v>-12.843570390228717</v>
      </c>
      <c r="Z137" s="224"/>
    </row>
    <row r="138" ht="15.75" customHeight="1">
      <c r="A138" s="224"/>
      <c r="B138" s="456" t="s">
        <v>310</v>
      </c>
      <c r="C138" s="457">
        <v>77.81512289837838</v>
      </c>
      <c r="D138" s="457">
        <v>0.02952158472972973</v>
      </c>
      <c r="E138" s="457">
        <v>0.18656563135135135</v>
      </c>
      <c r="F138" s="457">
        <v>0.3270290618918919</v>
      </c>
      <c r="G138" s="457">
        <v>1.3480175675675677E-4</v>
      </c>
      <c r="H138" s="457">
        <v>0.0</v>
      </c>
      <c r="I138" s="457">
        <v>0.0</v>
      </c>
      <c r="J138" s="457">
        <v>0.0</v>
      </c>
      <c r="K138" s="457">
        <v>0.0</v>
      </c>
      <c r="L138" s="457">
        <v>0.0</v>
      </c>
      <c r="M138" s="457">
        <v>0.0</v>
      </c>
      <c r="N138" s="453"/>
      <c r="O138" s="461">
        <v>20.089522898378377</v>
      </c>
      <c r="P138" s="455">
        <v>0.007621584729729732</v>
      </c>
      <c r="Q138" s="455">
        <v>0.04816563135135135</v>
      </c>
      <c r="R138" s="455">
        <v>0.0844290618918919</v>
      </c>
      <c r="S138" s="455">
        <v>3.480175675675677E-5</v>
      </c>
      <c r="T138" s="455">
        <v>0.0</v>
      </c>
      <c r="U138" s="455">
        <v>0.0</v>
      </c>
      <c r="V138" s="455">
        <v>0.0</v>
      </c>
      <c r="W138" s="455">
        <v>0.0</v>
      </c>
      <c r="X138" s="455">
        <v>0.0</v>
      </c>
      <c r="Y138" s="455">
        <v>0.0</v>
      </c>
      <c r="Z138" s="224"/>
    </row>
    <row r="139" ht="15.75" customHeight="1">
      <c r="A139" s="224"/>
      <c r="B139" s="456" t="s">
        <v>134</v>
      </c>
      <c r="C139" s="457">
        <v>0.0</v>
      </c>
      <c r="D139" s="457">
        <v>0.0</v>
      </c>
      <c r="E139" s="457">
        <v>0.0</v>
      </c>
      <c r="F139" s="457">
        <v>0.0</v>
      </c>
      <c r="G139" s="457">
        <v>0.0</v>
      </c>
      <c r="H139" s="457">
        <v>0.0</v>
      </c>
      <c r="I139" s="457">
        <v>0.0</v>
      </c>
      <c r="J139" s="457">
        <v>0.0</v>
      </c>
      <c r="K139" s="457">
        <v>0.0</v>
      </c>
      <c r="L139" s="457">
        <v>0.0</v>
      </c>
      <c r="M139" s="457">
        <v>0.0</v>
      </c>
      <c r="N139" s="453"/>
      <c r="O139" s="458">
        <v>-85.5839</v>
      </c>
      <c r="P139" s="455">
        <v>-0.9704</v>
      </c>
      <c r="Q139" s="455">
        <v>-0.7694</v>
      </c>
      <c r="R139" s="455">
        <v>-0.8499</v>
      </c>
      <c r="S139" s="455">
        <v>-0.3771</v>
      </c>
      <c r="T139" s="455">
        <v>-0.2865</v>
      </c>
      <c r="U139" s="455">
        <v>-0.4497</v>
      </c>
      <c r="V139" s="455">
        <v>-6.2275</v>
      </c>
      <c r="W139" s="455">
        <v>-14.6382</v>
      </c>
      <c r="X139" s="455">
        <v>-20.5009</v>
      </c>
      <c r="Y139" s="455">
        <v>-6.0951</v>
      </c>
      <c r="Z139" s="224"/>
    </row>
    <row r="140" ht="15.75" customHeight="1">
      <c r="A140" s="224"/>
      <c r="B140" s="460" t="s">
        <v>379</v>
      </c>
      <c r="C140" s="457">
        <v>526.3427999999999</v>
      </c>
      <c r="D140" s="457">
        <v>0.0</v>
      </c>
      <c r="E140" s="457">
        <v>0.0</v>
      </c>
      <c r="F140" s="457">
        <v>0.0</v>
      </c>
      <c r="G140" s="457">
        <v>10.504133333333334</v>
      </c>
      <c r="H140" s="457">
        <v>10.500200000000001</v>
      </c>
      <c r="I140" s="457">
        <v>2.8064000000000004</v>
      </c>
      <c r="J140" s="457">
        <v>0.0</v>
      </c>
      <c r="K140" s="457">
        <v>0.0</v>
      </c>
      <c r="L140" s="457">
        <v>0.0</v>
      </c>
      <c r="M140" s="457">
        <v>892.4816</v>
      </c>
      <c r="N140" s="453"/>
      <c r="O140" s="458">
        <v>-131.5857000000001</v>
      </c>
      <c r="P140" s="455">
        <v>-6.7665</v>
      </c>
      <c r="Q140" s="455">
        <v>-8.7612</v>
      </c>
      <c r="R140" s="455">
        <v>-6.4549</v>
      </c>
      <c r="S140" s="455">
        <v>-5.252066666666666</v>
      </c>
      <c r="T140" s="455">
        <v>-5.250099999999998</v>
      </c>
      <c r="U140" s="455">
        <v>-5.6128</v>
      </c>
      <c r="V140" s="455">
        <v>0.0</v>
      </c>
      <c r="W140" s="455">
        <v>0.0</v>
      </c>
      <c r="X140" s="455">
        <v>0.0</v>
      </c>
      <c r="Y140" s="455">
        <v>0.0</v>
      </c>
      <c r="Z140" s="224"/>
    </row>
    <row r="141" ht="15.75" customHeight="1">
      <c r="A141" s="224"/>
      <c r="B141" s="450" t="s">
        <v>380</v>
      </c>
      <c r="C141" s="452">
        <v>86.5292</v>
      </c>
      <c r="D141" s="452">
        <v>0.404</v>
      </c>
      <c r="E141" s="452">
        <v>0.9737</v>
      </c>
      <c r="F141" s="452">
        <v>0.0</v>
      </c>
      <c r="G141" s="452">
        <v>2.3609</v>
      </c>
      <c r="H141" s="452">
        <v>2.8516</v>
      </c>
      <c r="I141" s="452">
        <v>1.0444</v>
      </c>
      <c r="J141" s="452">
        <v>0.0665</v>
      </c>
      <c r="K141" s="452">
        <v>9.0776</v>
      </c>
      <c r="L141" s="452">
        <v>19.6415</v>
      </c>
      <c r="M141" s="452">
        <v>76.6314</v>
      </c>
      <c r="N141" s="453"/>
      <c r="O141" s="459">
        <v>0.0</v>
      </c>
      <c r="P141" s="455">
        <v>0.0</v>
      </c>
      <c r="Q141" s="455">
        <v>0.0</v>
      </c>
      <c r="R141" s="455">
        <v>0.0</v>
      </c>
      <c r="S141" s="455">
        <v>0.0</v>
      </c>
      <c r="T141" s="455">
        <v>0.0</v>
      </c>
      <c r="U141" s="455">
        <v>0.0</v>
      </c>
      <c r="V141" s="455">
        <v>0.0</v>
      </c>
      <c r="W141" s="455">
        <v>0.0</v>
      </c>
      <c r="X141" s="455">
        <v>0.0</v>
      </c>
      <c r="Y141" s="455">
        <v>0.0</v>
      </c>
      <c r="Z141" s="224"/>
    </row>
    <row r="142" ht="15.75" customHeight="1">
      <c r="A142" s="224"/>
      <c r="B142" s="456" t="s">
        <v>32</v>
      </c>
      <c r="C142" s="457">
        <v>20.546896633815372</v>
      </c>
      <c r="D142" s="457">
        <v>0.021710323621653784</v>
      </c>
      <c r="E142" s="457">
        <v>0.18954190339188515</v>
      </c>
      <c r="F142" s="457">
        <v>0.346595308314487</v>
      </c>
      <c r="G142" s="457">
        <v>0.0012317914111576616</v>
      </c>
      <c r="H142" s="457">
        <v>4.61921779184123E-4</v>
      </c>
      <c r="I142" s="457">
        <v>0.0</v>
      </c>
      <c r="J142" s="457">
        <v>0.0</v>
      </c>
      <c r="K142" s="457">
        <v>0.0</v>
      </c>
      <c r="L142" s="457">
        <v>0.0</v>
      </c>
      <c r="M142" s="457">
        <v>12.067398533332424</v>
      </c>
      <c r="N142" s="453"/>
      <c r="O142" s="458">
        <v>-32.83070336618463</v>
      </c>
      <c r="P142" s="455">
        <v>0.0076103236216537844</v>
      </c>
      <c r="Q142" s="455">
        <v>0.06644190339188515</v>
      </c>
      <c r="R142" s="455">
        <v>0.12149530831448699</v>
      </c>
      <c r="S142" s="455">
        <v>4.317914111576616E-4</v>
      </c>
      <c r="T142" s="455">
        <v>1.6192177918412302E-4</v>
      </c>
      <c r="U142" s="455">
        <v>0.0</v>
      </c>
      <c r="V142" s="455">
        <v>0.0</v>
      </c>
      <c r="W142" s="455">
        <v>0.0</v>
      </c>
      <c r="X142" s="455">
        <v>0.0</v>
      </c>
      <c r="Y142" s="455">
        <v>4.230098533332424</v>
      </c>
      <c r="Z142" s="224"/>
    </row>
    <row r="143" ht="15.75" customHeight="1">
      <c r="A143" s="224"/>
      <c r="B143" s="450" t="s">
        <v>40</v>
      </c>
      <c r="C143" s="452">
        <v>41.0286</v>
      </c>
      <c r="D143" s="452">
        <v>0.3611</v>
      </c>
      <c r="E143" s="452">
        <v>0.2551</v>
      </c>
      <c r="F143" s="452">
        <v>0.1441</v>
      </c>
      <c r="G143" s="452">
        <v>0.0</v>
      </c>
      <c r="H143" s="452">
        <v>0.0</v>
      </c>
      <c r="I143" s="452">
        <v>0.0</v>
      </c>
      <c r="J143" s="452">
        <v>0.0</v>
      </c>
      <c r="K143" s="452">
        <v>0.0</v>
      </c>
      <c r="L143" s="452">
        <v>0.0</v>
      </c>
      <c r="M143" s="452">
        <v>0.0</v>
      </c>
      <c r="N143" s="453"/>
      <c r="O143" s="459">
        <v>0.0</v>
      </c>
      <c r="P143" s="455">
        <v>0.0</v>
      </c>
      <c r="Q143" s="455">
        <v>0.0</v>
      </c>
      <c r="R143" s="455">
        <v>0.0</v>
      </c>
      <c r="S143" s="455">
        <v>0.0</v>
      </c>
      <c r="T143" s="455">
        <v>0.0</v>
      </c>
      <c r="U143" s="455">
        <v>0.0</v>
      </c>
      <c r="V143" s="455">
        <v>0.0</v>
      </c>
      <c r="W143" s="455">
        <v>0.0</v>
      </c>
      <c r="X143" s="455">
        <v>0.0</v>
      </c>
      <c r="Y143" s="455">
        <v>0.0</v>
      </c>
      <c r="Z143" s="224"/>
    </row>
    <row r="144" ht="15.75" customHeight="1">
      <c r="A144" s="224"/>
      <c r="B144" s="450" t="s">
        <v>42</v>
      </c>
      <c r="C144" s="452">
        <v>43.0864</v>
      </c>
      <c r="D144" s="452">
        <v>0.1063</v>
      </c>
      <c r="E144" s="452">
        <v>0.3115</v>
      </c>
      <c r="F144" s="452">
        <v>0.5556</v>
      </c>
      <c r="G144" s="452">
        <v>0.0177</v>
      </c>
      <c r="H144" s="452">
        <v>0.0442</v>
      </c>
      <c r="I144" s="452">
        <v>0.2506</v>
      </c>
      <c r="J144" s="452">
        <v>0.0</v>
      </c>
      <c r="K144" s="452">
        <v>0.0</v>
      </c>
      <c r="L144" s="452">
        <v>0.0</v>
      </c>
      <c r="M144" s="452">
        <v>0.0022</v>
      </c>
      <c r="N144" s="453"/>
      <c r="O144" s="459">
        <v>0.0</v>
      </c>
      <c r="P144" s="455">
        <v>0.0</v>
      </c>
      <c r="Q144" s="455">
        <v>0.0</v>
      </c>
      <c r="R144" s="455">
        <v>0.0</v>
      </c>
      <c r="S144" s="455">
        <v>0.0</v>
      </c>
      <c r="T144" s="455">
        <v>0.0</v>
      </c>
      <c r="U144" s="455">
        <v>0.0</v>
      </c>
      <c r="V144" s="455">
        <v>0.0</v>
      </c>
      <c r="W144" s="455">
        <v>0.0</v>
      </c>
      <c r="X144" s="455">
        <v>0.0</v>
      </c>
      <c r="Y144" s="455">
        <v>0.0</v>
      </c>
      <c r="Z144" s="224"/>
    </row>
    <row r="145" ht="15.75" customHeight="1">
      <c r="A145" s="224"/>
      <c r="B145" s="456" t="s">
        <v>46</v>
      </c>
      <c r="C145" s="457">
        <v>0.0</v>
      </c>
      <c r="D145" s="457">
        <v>0.0</v>
      </c>
      <c r="E145" s="457">
        <v>0.0</v>
      </c>
      <c r="F145" s="457">
        <v>0.0</v>
      </c>
      <c r="G145" s="457">
        <v>0.0</v>
      </c>
      <c r="H145" s="457">
        <v>0.0</v>
      </c>
      <c r="I145" s="457">
        <v>0.0</v>
      </c>
      <c r="J145" s="457">
        <v>0.0</v>
      </c>
      <c r="K145" s="457">
        <v>0.0</v>
      </c>
      <c r="L145" s="457">
        <v>0.0</v>
      </c>
      <c r="M145" s="457">
        <v>0.0</v>
      </c>
      <c r="N145" s="453"/>
      <c r="O145" s="459">
        <v>0.0</v>
      </c>
      <c r="P145" s="455">
        <v>0.0</v>
      </c>
      <c r="Q145" s="455">
        <v>0.0</v>
      </c>
      <c r="R145" s="455">
        <v>0.0</v>
      </c>
      <c r="S145" s="455">
        <v>0.0</v>
      </c>
      <c r="T145" s="455">
        <v>0.0</v>
      </c>
      <c r="U145" s="455">
        <v>0.0</v>
      </c>
      <c r="V145" s="455">
        <v>0.0</v>
      </c>
      <c r="W145" s="455">
        <v>0.0</v>
      </c>
      <c r="X145" s="455">
        <v>0.0</v>
      </c>
      <c r="Y145" s="455">
        <v>0.0</v>
      </c>
      <c r="Z145" s="224"/>
    </row>
    <row r="146" ht="15.75" customHeight="1">
      <c r="A146" s="224"/>
      <c r="B146" s="450" t="s">
        <v>382</v>
      </c>
      <c r="C146" s="452">
        <v>0.0</v>
      </c>
      <c r="D146" s="452">
        <v>0.0</v>
      </c>
      <c r="E146" s="452">
        <v>0.0</v>
      </c>
      <c r="F146" s="452">
        <v>0.0</v>
      </c>
      <c r="G146" s="452">
        <v>0.0</v>
      </c>
      <c r="H146" s="452">
        <v>0.0</v>
      </c>
      <c r="I146" s="452">
        <v>0.0</v>
      </c>
      <c r="J146" s="452">
        <v>0.0</v>
      </c>
      <c r="K146" s="452">
        <v>0.0</v>
      </c>
      <c r="L146" s="452">
        <v>0.0</v>
      </c>
      <c r="M146" s="452">
        <v>0.0</v>
      </c>
      <c r="N146" s="453"/>
      <c r="O146" s="459">
        <v>0.0</v>
      </c>
      <c r="P146" s="455">
        <v>0.0</v>
      </c>
      <c r="Q146" s="455">
        <v>0.0</v>
      </c>
      <c r="R146" s="455">
        <v>0.0</v>
      </c>
      <c r="S146" s="455">
        <v>0.0</v>
      </c>
      <c r="T146" s="455">
        <v>0.0</v>
      </c>
      <c r="U146" s="455">
        <v>0.0</v>
      </c>
      <c r="V146" s="455">
        <v>0.0</v>
      </c>
      <c r="W146" s="455">
        <v>0.0</v>
      </c>
      <c r="X146" s="455">
        <v>0.0</v>
      </c>
      <c r="Y146" s="455">
        <v>0.0</v>
      </c>
      <c r="Z146" s="224"/>
    </row>
    <row r="147" ht="15.75" customHeight="1">
      <c r="A147" s="224"/>
      <c r="B147" s="456" t="s">
        <v>54</v>
      </c>
      <c r="C147" s="457">
        <v>341.1557692249444</v>
      </c>
      <c r="D147" s="457">
        <v>7.656890436957774</v>
      </c>
      <c r="E147" s="457">
        <v>10.591909123859757</v>
      </c>
      <c r="F147" s="457">
        <v>5.407158874976657</v>
      </c>
      <c r="G147" s="457">
        <v>13.511451096376568</v>
      </c>
      <c r="H147" s="457">
        <v>10.152606836651879</v>
      </c>
      <c r="I147" s="457">
        <v>10.660271855549322</v>
      </c>
      <c r="J147" s="457">
        <v>0.0</v>
      </c>
      <c r="K147" s="457">
        <v>15.217040645477088</v>
      </c>
      <c r="L147" s="457">
        <v>24.162084785578223</v>
      </c>
      <c r="M147" s="457">
        <v>334.93143191332746</v>
      </c>
      <c r="N147" s="453"/>
      <c r="O147" s="461">
        <v>341.1557692249444</v>
      </c>
      <c r="P147" s="455">
        <v>7.656890436957774</v>
      </c>
      <c r="Q147" s="455">
        <v>10.591909123859757</v>
      </c>
      <c r="R147" s="455">
        <v>5.407158874976657</v>
      </c>
      <c r="S147" s="455">
        <v>13.511451096376568</v>
      </c>
      <c r="T147" s="455">
        <v>10.152606836651879</v>
      </c>
      <c r="U147" s="455">
        <v>10.660271855549322</v>
      </c>
      <c r="V147" s="455">
        <v>-0.002</v>
      </c>
      <c r="W147" s="455">
        <v>15.217040645477088</v>
      </c>
      <c r="X147" s="455">
        <v>24.162084785578223</v>
      </c>
      <c r="Y147" s="455">
        <v>334.93143191332746</v>
      </c>
      <c r="Z147" s="224"/>
    </row>
    <row r="148" ht="15.75" customHeight="1">
      <c r="A148" s="224"/>
      <c r="B148" s="450" t="s">
        <v>383</v>
      </c>
      <c r="C148" s="452">
        <v>0.0</v>
      </c>
      <c r="D148" s="452">
        <v>2.0E-4</v>
      </c>
      <c r="E148" s="452">
        <v>0.0</v>
      </c>
      <c r="F148" s="452">
        <v>0.0</v>
      </c>
      <c r="G148" s="452">
        <v>0.0</v>
      </c>
      <c r="H148" s="452">
        <v>0.0</v>
      </c>
      <c r="I148" s="452">
        <v>0.0</v>
      </c>
      <c r="J148" s="452">
        <v>0.0</v>
      </c>
      <c r="K148" s="452">
        <v>0.0013</v>
      </c>
      <c r="L148" s="452">
        <v>0.0</v>
      </c>
      <c r="M148" s="452">
        <v>0.0</v>
      </c>
      <c r="N148" s="453"/>
      <c r="O148" s="459">
        <v>0.0</v>
      </c>
      <c r="P148" s="455">
        <v>0.0</v>
      </c>
      <c r="Q148" s="455">
        <v>0.0</v>
      </c>
      <c r="R148" s="455">
        <v>0.0</v>
      </c>
      <c r="S148" s="455">
        <v>0.0</v>
      </c>
      <c r="T148" s="455">
        <v>0.0</v>
      </c>
      <c r="U148" s="455">
        <v>0.0</v>
      </c>
      <c r="V148" s="455">
        <v>0.0</v>
      </c>
      <c r="W148" s="455">
        <v>0.0</v>
      </c>
      <c r="X148" s="455">
        <v>0.0</v>
      </c>
      <c r="Y148" s="455">
        <v>0.0</v>
      </c>
      <c r="Z148" s="224"/>
    </row>
    <row r="149" ht="15.75" customHeight="1">
      <c r="A149" s="224"/>
      <c r="B149" s="224"/>
      <c r="C149" s="453"/>
      <c r="D149" s="453"/>
      <c r="E149" s="453"/>
      <c r="F149" s="453"/>
      <c r="G149" s="453"/>
      <c r="H149" s="453"/>
      <c r="I149" s="453"/>
      <c r="J149" s="453"/>
      <c r="K149" s="453"/>
      <c r="L149" s="453"/>
      <c r="M149" s="453"/>
      <c r="N149" s="453"/>
      <c r="O149" s="453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</row>
    <row r="150" ht="15.75" customHeight="1">
      <c r="A150" s="224"/>
      <c r="B150" s="224"/>
      <c r="C150" s="453"/>
      <c r="D150" s="453"/>
      <c r="E150" s="453"/>
      <c r="F150" s="453"/>
      <c r="G150" s="453"/>
      <c r="H150" s="453"/>
      <c r="I150" s="453"/>
      <c r="J150" s="453"/>
      <c r="K150" s="453"/>
      <c r="L150" s="453"/>
      <c r="M150" s="453"/>
      <c r="N150" s="453"/>
      <c r="O150" s="453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</row>
    <row r="151" ht="15.75" customHeight="1">
      <c r="A151" s="224"/>
      <c r="B151" s="444" t="s">
        <v>1894</v>
      </c>
      <c r="C151" s="462" t="s">
        <v>1895</v>
      </c>
      <c r="D151" s="463"/>
      <c r="E151" s="463"/>
      <c r="F151" s="463"/>
      <c r="G151" s="463"/>
      <c r="H151" s="463"/>
      <c r="I151" s="463"/>
      <c r="J151" s="463"/>
      <c r="K151" s="463"/>
      <c r="L151" s="463"/>
      <c r="M151" s="463"/>
      <c r="N151" s="453"/>
      <c r="O151" s="464" t="s">
        <v>1896</v>
      </c>
      <c r="P151" s="446"/>
      <c r="Q151" s="446"/>
      <c r="R151" s="446"/>
      <c r="S151" s="446"/>
      <c r="T151" s="446"/>
      <c r="U151" s="446"/>
      <c r="V151" s="446"/>
      <c r="W151" s="446"/>
      <c r="X151" s="446"/>
      <c r="Y151" s="446"/>
      <c r="Z151" s="224"/>
    </row>
    <row r="152" ht="60.75" customHeight="1">
      <c r="A152" s="224"/>
      <c r="B152" s="447" t="s">
        <v>400</v>
      </c>
      <c r="C152" s="465" t="s">
        <v>1882</v>
      </c>
      <c r="D152" s="465" t="s">
        <v>72</v>
      </c>
      <c r="E152" s="465" t="s">
        <v>73</v>
      </c>
      <c r="F152" s="465" t="s">
        <v>74</v>
      </c>
      <c r="G152" s="465" t="s">
        <v>69</v>
      </c>
      <c r="H152" s="465" t="s">
        <v>70</v>
      </c>
      <c r="I152" s="465" t="s">
        <v>71</v>
      </c>
      <c r="J152" s="465" t="s">
        <v>1883</v>
      </c>
      <c r="K152" s="465" t="s">
        <v>1884</v>
      </c>
      <c r="L152" s="465" t="s">
        <v>1885</v>
      </c>
      <c r="M152" s="465" t="s">
        <v>75</v>
      </c>
      <c r="N152" s="453"/>
      <c r="O152" s="466" t="s">
        <v>1882</v>
      </c>
      <c r="P152" s="449" t="s">
        <v>72</v>
      </c>
      <c r="Q152" s="449" t="s">
        <v>73</v>
      </c>
      <c r="R152" s="449" t="s">
        <v>74</v>
      </c>
      <c r="S152" s="449" t="s">
        <v>69</v>
      </c>
      <c r="T152" s="449" t="s">
        <v>70</v>
      </c>
      <c r="U152" s="449" t="s">
        <v>71</v>
      </c>
      <c r="V152" s="449" t="s">
        <v>1883</v>
      </c>
      <c r="W152" s="449" t="s">
        <v>1884</v>
      </c>
      <c r="X152" s="449" t="s">
        <v>1885</v>
      </c>
      <c r="Y152" s="449" t="s">
        <v>75</v>
      </c>
      <c r="Z152" s="224"/>
    </row>
    <row r="153" ht="15.75" customHeight="1">
      <c r="A153" s="224"/>
      <c r="B153" s="450" t="s">
        <v>367</v>
      </c>
      <c r="C153" s="451">
        <f>LET(payer, $C$3, segment, $B$151, ECOGAINS_SIM(payer, segment, sim_refresh!$A$1))</f>
        <v>7.0883</v>
      </c>
      <c r="D153" s="452">
        <v>0.2724</v>
      </c>
      <c r="E153" s="452">
        <v>0.3376</v>
      </c>
      <c r="F153" s="452">
        <v>0.2915</v>
      </c>
      <c r="G153" s="452">
        <v>0.0</v>
      </c>
      <c r="H153" s="452">
        <v>0.0</v>
      </c>
      <c r="I153" s="452">
        <v>0.0</v>
      </c>
      <c r="J153" s="452">
        <v>0.0</v>
      </c>
      <c r="K153" s="452">
        <v>0.0</v>
      </c>
      <c r="L153" s="452">
        <v>0.0</v>
      </c>
      <c r="M153" s="452">
        <v>2.6759</v>
      </c>
      <c r="N153" s="453"/>
      <c r="O153" s="454">
        <f>LET(payer, $C$3, segment, $B$151, ECOGAINS_DIFF(payer, segment, sim_refresh!$A$1))</f>
        <v>0</v>
      </c>
      <c r="P153" s="455">
        <v>0.0</v>
      </c>
      <c r="Q153" s="455">
        <v>0.0</v>
      </c>
      <c r="R153" s="455">
        <v>0.0</v>
      </c>
      <c r="S153" s="455">
        <v>0.0</v>
      </c>
      <c r="T153" s="455">
        <v>0.0</v>
      </c>
      <c r="U153" s="455">
        <v>0.0</v>
      </c>
      <c r="V153" s="455">
        <v>0.0</v>
      </c>
      <c r="W153" s="455">
        <v>0.0</v>
      </c>
      <c r="X153" s="455">
        <v>0.0</v>
      </c>
      <c r="Y153" s="455">
        <v>0.0</v>
      </c>
      <c r="Z153" s="224"/>
    </row>
    <row r="154" ht="15.75" customHeight="1">
      <c r="A154" s="224"/>
      <c r="B154" s="450" t="s">
        <v>312</v>
      </c>
      <c r="C154" s="467">
        <v>1.3205</v>
      </c>
      <c r="D154" s="467">
        <v>0.0913</v>
      </c>
      <c r="E154" s="467">
        <v>0.0534</v>
      </c>
      <c r="F154" s="467">
        <v>0.0119</v>
      </c>
      <c r="G154" s="467">
        <v>0.0</v>
      </c>
      <c r="H154" s="467">
        <v>0.0</v>
      </c>
      <c r="I154" s="467">
        <v>1.0E-4</v>
      </c>
      <c r="J154" s="467">
        <v>0.0</v>
      </c>
      <c r="K154" s="467">
        <v>0.0</v>
      </c>
      <c r="L154" s="467">
        <v>0.0</v>
      </c>
      <c r="M154" s="467">
        <v>0.0</v>
      </c>
      <c r="N154" s="224"/>
      <c r="O154" s="455">
        <v>0.0</v>
      </c>
      <c r="P154" s="455">
        <v>0.0</v>
      </c>
      <c r="Q154" s="455">
        <v>0.0</v>
      </c>
      <c r="R154" s="455">
        <v>0.0</v>
      </c>
      <c r="S154" s="455">
        <v>0.0</v>
      </c>
      <c r="T154" s="455">
        <v>0.0</v>
      </c>
      <c r="U154" s="455">
        <v>0.0</v>
      </c>
      <c r="V154" s="455">
        <v>0.0</v>
      </c>
      <c r="W154" s="455">
        <v>0.0</v>
      </c>
      <c r="X154" s="455">
        <v>0.0</v>
      </c>
      <c r="Y154" s="455">
        <v>0.0</v>
      </c>
      <c r="Z154" s="224"/>
    </row>
    <row r="155" ht="15.75" customHeight="1">
      <c r="A155" s="224"/>
      <c r="B155" s="450" t="s">
        <v>189</v>
      </c>
      <c r="C155" s="467">
        <v>0.0889</v>
      </c>
      <c r="D155" s="467">
        <v>2.0E-4</v>
      </c>
      <c r="E155" s="467">
        <v>2.0E-4</v>
      </c>
      <c r="F155" s="467">
        <v>3.0E-4</v>
      </c>
      <c r="G155" s="467">
        <v>0.0025</v>
      </c>
      <c r="H155" s="467">
        <v>0.0647</v>
      </c>
      <c r="I155" s="467">
        <v>2.0E-4</v>
      </c>
      <c r="J155" s="467">
        <v>0.3274</v>
      </c>
      <c r="K155" s="467">
        <v>0.4764</v>
      </c>
      <c r="L155" s="467">
        <v>0.6181</v>
      </c>
      <c r="M155" s="467">
        <v>0.234</v>
      </c>
      <c r="N155" s="224"/>
      <c r="O155" s="455">
        <v>0.0</v>
      </c>
      <c r="P155" s="455">
        <v>0.0</v>
      </c>
      <c r="Q155" s="455">
        <v>0.0</v>
      </c>
      <c r="R155" s="455">
        <v>0.0</v>
      </c>
      <c r="S155" s="455">
        <v>0.0</v>
      </c>
      <c r="T155" s="455">
        <v>0.0</v>
      </c>
      <c r="U155" s="455">
        <v>0.0</v>
      </c>
      <c r="V155" s="455">
        <v>0.0</v>
      </c>
      <c r="W155" s="455">
        <v>0.0</v>
      </c>
      <c r="X155" s="455">
        <v>0.0</v>
      </c>
      <c r="Y155" s="455">
        <v>0.0</v>
      </c>
      <c r="Z155" s="224"/>
    </row>
    <row r="156" ht="15.75" customHeight="1">
      <c r="A156" s="224"/>
      <c r="B156" s="450" t="s">
        <v>311</v>
      </c>
      <c r="C156" s="467">
        <v>0.3087</v>
      </c>
      <c r="D156" s="467">
        <v>0.0257</v>
      </c>
      <c r="E156" s="467">
        <v>0.0141</v>
      </c>
      <c r="F156" s="467">
        <v>0.0024</v>
      </c>
      <c r="G156" s="467">
        <v>0.0</v>
      </c>
      <c r="H156" s="467">
        <v>0.0</v>
      </c>
      <c r="I156" s="467">
        <v>0.0</v>
      </c>
      <c r="J156" s="467">
        <v>0.0</v>
      </c>
      <c r="K156" s="467">
        <v>0.0</v>
      </c>
      <c r="L156" s="467">
        <v>0.0</v>
      </c>
      <c r="M156" s="467">
        <v>0.0</v>
      </c>
      <c r="N156" s="224"/>
      <c r="O156" s="455">
        <v>0.0</v>
      </c>
      <c r="P156" s="455">
        <v>0.0</v>
      </c>
      <c r="Q156" s="455">
        <v>0.0</v>
      </c>
      <c r="R156" s="455">
        <v>0.0</v>
      </c>
      <c r="S156" s="455">
        <v>0.0</v>
      </c>
      <c r="T156" s="455">
        <v>0.0</v>
      </c>
      <c r="U156" s="455">
        <v>0.0</v>
      </c>
      <c r="V156" s="455">
        <v>0.0</v>
      </c>
      <c r="W156" s="455">
        <v>0.0</v>
      </c>
      <c r="X156" s="455">
        <v>0.0</v>
      </c>
      <c r="Y156" s="455">
        <v>0.0</v>
      </c>
      <c r="Z156" s="224"/>
    </row>
    <row r="157" ht="15.75" customHeight="1">
      <c r="A157" s="224"/>
      <c r="B157" s="450" t="s">
        <v>372</v>
      </c>
      <c r="C157" s="467">
        <v>0.3753</v>
      </c>
      <c r="D157" s="467">
        <v>0.0048</v>
      </c>
      <c r="E157" s="467">
        <v>0.0082</v>
      </c>
      <c r="F157" s="467">
        <v>0.0059</v>
      </c>
      <c r="G157" s="467">
        <v>0.0032</v>
      </c>
      <c r="H157" s="467">
        <v>0.0038</v>
      </c>
      <c r="I157" s="467">
        <v>0.0037</v>
      </c>
      <c r="J157" s="467">
        <v>0.0</v>
      </c>
      <c r="K157" s="467">
        <v>0.0</v>
      </c>
      <c r="L157" s="467">
        <v>0.0</v>
      </c>
      <c r="M157" s="467">
        <v>0.258</v>
      </c>
      <c r="N157" s="224"/>
      <c r="O157" s="455">
        <v>0.0</v>
      </c>
      <c r="P157" s="455">
        <v>0.0</v>
      </c>
      <c r="Q157" s="455">
        <v>0.0</v>
      </c>
      <c r="R157" s="455">
        <v>0.0</v>
      </c>
      <c r="S157" s="455">
        <v>0.0</v>
      </c>
      <c r="T157" s="455">
        <v>0.0</v>
      </c>
      <c r="U157" s="455">
        <v>0.0</v>
      </c>
      <c r="V157" s="455">
        <v>0.0</v>
      </c>
      <c r="W157" s="455">
        <v>0.0</v>
      </c>
      <c r="X157" s="455">
        <v>0.0</v>
      </c>
      <c r="Y157" s="455">
        <v>0.0</v>
      </c>
      <c r="Z157" s="224"/>
    </row>
    <row r="158" ht="15.75" customHeight="1">
      <c r="A158" s="224"/>
      <c r="B158" s="460" t="s">
        <v>373</v>
      </c>
      <c r="C158" s="468">
        <v>48.91631706036745</v>
      </c>
      <c r="D158" s="468">
        <v>1.4596</v>
      </c>
      <c r="E158" s="468">
        <v>1.2316</v>
      </c>
      <c r="F158" s="468">
        <v>0.2783</v>
      </c>
      <c r="G158" s="468">
        <v>0.0</v>
      </c>
      <c r="H158" s="468">
        <v>0.0</v>
      </c>
      <c r="I158" s="468">
        <v>0.0</v>
      </c>
      <c r="J158" s="468">
        <v>30.5357</v>
      </c>
      <c r="K158" s="468">
        <v>19.124</v>
      </c>
      <c r="L158" s="468">
        <v>14.1246</v>
      </c>
      <c r="M158" s="468">
        <v>77.0285</v>
      </c>
      <c r="N158" s="224"/>
      <c r="O158" s="455">
        <v>-31.41608293963256</v>
      </c>
      <c r="P158" s="455">
        <v>0.0</v>
      </c>
      <c r="Q158" s="455">
        <v>0.0</v>
      </c>
      <c r="R158" s="455">
        <v>0.0</v>
      </c>
      <c r="S158" s="455">
        <v>0.0</v>
      </c>
      <c r="T158" s="455">
        <v>0.0</v>
      </c>
      <c r="U158" s="455">
        <v>0.0</v>
      </c>
      <c r="V158" s="455">
        <v>0.0</v>
      </c>
      <c r="W158" s="455">
        <v>0.0</v>
      </c>
      <c r="X158" s="455">
        <v>0.0</v>
      </c>
      <c r="Y158" s="455">
        <v>0.0</v>
      </c>
      <c r="Z158" s="224"/>
    </row>
    <row r="159" ht="15.75" customHeight="1">
      <c r="A159" s="224"/>
      <c r="B159" s="450" t="s">
        <v>374</v>
      </c>
      <c r="C159" s="467">
        <v>0.2881</v>
      </c>
      <c r="D159" s="467">
        <v>0.0036</v>
      </c>
      <c r="E159" s="467">
        <v>1.0E-4</v>
      </c>
      <c r="F159" s="467">
        <v>8.0E-4</v>
      </c>
      <c r="G159" s="467">
        <v>0.0072</v>
      </c>
      <c r="H159" s="467">
        <v>0.0036</v>
      </c>
      <c r="I159" s="467">
        <v>1.0E-4</v>
      </c>
      <c r="J159" s="467">
        <v>0.0</v>
      </c>
      <c r="K159" s="467">
        <v>4.0E-4</v>
      </c>
      <c r="L159" s="467">
        <v>0.0</v>
      </c>
      <c r="M159" s="467">
        <v>0.2698</v>
      </c>
      <c r="N159" s="224"/>
      <c r="O159" s="455">
        <v>0.0</v>
      </c>
      <c r="P159" s="455">
        <v>0.0</v>
      </c>
      <c r="Q159" s="455">
        <v>0.0</v>
      </c>
      <c r="R159" s="455">
        <v>0.0</v>
      </c>
      <c r="S159" s="455">
        <v>0.0</v>
      </c>
      <c r="T159" s="455">
        <v>0.0</v>
      </c>
      <c r="U159" s="455">
        <v>0.0</v>
      </c>
      <c r="V159" s="455">
        <v>0.0</v>
      </c>
      <c r="W159" s="455">
        <v>0.0</v>
      </c>
      <c r="X159" s="455">
        <v>0.0</v>
      </c>
      <c r="Y159" s="455">
        <v>0.0</v>
      </c>
      <c r="Z159" s="224"/>
    </row>
    <row r="160" ht="15.75" customHeight="1">
      <c r="A160" s="224"/>
      <c r="B160" s="450" t="s">
        <v>49</v>
      </c>
      <c r="C160" s="467">
        <v>0.0</v>
      </c>
      <c r="D160" s="467">
        <v>0.0614</v>
      </c>
      <c r="E160" s="467">
        <v>0.0</v>
      </c>
      <c r="F160" s="467">
        <v>0.0</v>
      </c>
      <c r="G160" s="467">
        <v>0.0801</v>
      </c>
      <c r="H160" s="467">
        <v>0.0683</v>
      </c>
      <c r="I160" s="467">
        <v>0.0952</v>
      </c>
      <c r="J160" s="467">
        <v>0.0</v>
      </c>
      <c r="K160" s="467">
        <v>0.0</v>
      </c>
      <c r="L160" s="467">
        <v>0.0</v>
      </c>
      <c r="M160" s="467">
        <v>47.5852</v>
      </c>
      <c r="N160" s="224"/>
      <c r="O160" s="455">
        <v>0.0</v>
      </c>
      <c r="P160" s="455">
        <v>0.0</v>
      </c>
      <c r="Q160" s="455">
        <v>0.0</v>
      </c>
      <c r="R160" s="455">
        <v>0.0</v>
      </c>
      <c r="S160" s="455">
        <v>0.0</v>
      </c>
      <c r="T160" s="455">
        <v>0.0</v>
      </c>
      <c r="U160" s="455">
        <v>0.0</v>
      </c>
      <c r="V160" s="455">
        <v>0.0</v>
      </c>
      <c r="W160" s="455">
        <v>0.0</v>
      </c>
      <c r="X160" s="455">
        <v>0.0</v>
      </c>
      <c r="Y160" s="455">
        <v>0.0</v>
      </c>
      <c r="Z160" s="224"/>
    </row>
    <row r="161" ht="15.75" customHeight="1">
      <c r="A161" s="224"/>
      <c r="B161" s="450" t="s">
        <v>44</v>
      </c>
      <c r="C161" s="467">
        <v>0.6628</v>
      </c>
      <c r="D161" s="467">
        <v>0.0108</v>
      </c>
      <c r="E161" s="467">
        <v>0.0381</v>
      </c>
      <c r="F161" s="467">
        <v>0.0088</v>
      </c>
      <c r="G161" s="467">
        <v>0.2458</v>
      </c>
      <c r="H161" s="467">
        <v>0.0869</v>
      </c>
      <c r="I161" s="467">
        <v>0.0482</v>
      </c>
      <c r="J161" s="467">
        <v>0.0</v>
      </c>
      <c r="K161" s="467">
        <v>0.1232</v>
      </c>
      <c r="L161" s="467">
        <v>0.2448</v>
      </c>
      <c r="M161" s="467">
        <v>8.2491</v>
      </c>
      <c r="N161" s="224"/>
      <c r="O161" s="455">
        <v>0.0</v>
      </c>
      <c r="P161" s="455">
        <v>0.0</v>
      </c>
      <c r="Q161" s="455">
        <v>0.0</v>
      </c>
      <c r="R161" s="455">
        <v>0.0</v>
      </c>
      <c r="S161" s="455">
        <v>0.0</v>
      </c>
      <c r="T161" s="455">
        <v>0.0</v>
      </c>
      <c r="U161" s="455">
        <v>0.0</v>
      </c>
      <c r="V161" s="455">
        <v>0.0</v>
      </c>
      <c r="W161" s="455">
        <v>0.0</v>
      </c>
      <c r="X161" s="455">
        <v>0.0</v>
      </c>
      <c r="Y161" s="455">
        <v>0.0</v>
      </c>
      <c r="Z161" s="224"/>
    </row>
    <row r="162" ht="15.75" customHeight="1">
      <c r="A162" s="224"/>
      <c r="B162" s="450" t="s">
        <v>375</v>
      </c>
      <c r="C162" s="467">
        <v>0.31</v>
      </c>
      <c r="D162" s="467">
        <v>7.0E-4</v>
      </c>
      <c r="E162" s="467">
        <v>0.0</v>
      </c>
      <c r="F162" s="467">
        <v>7.0E-4</v>
      </c>
      <c r="G162" s="467">
        <v>0.0102</v>
      </c>
      <c r="H162" s="467">
        <v>0.2301</v>
      </c>
      <c r="I162" s="467">
        <v>4.0E-4</v>
      </c>
      <c r="J162" s="467">
        <v>0.907</v>
      </c>
      <c r="K162" s="467">
        <v>1.9928</v>
      </c>
      <c r="L162" s="467">
        <v>2.5867</v>
      </c>
      <c r="M162" s="467">
        <v>0.95</v>
      </c>
      <c r="N162" s="224"/>
      <c r="O162" s="455">
        <v>0.0</v>
      </c>
      <c r="P162" s="455">
        <v>0.0</v>
      </c>
      <c r="Q162" s="455">
        <v>0.0</v>
      </c>
      <c r="R162" s="455">
        <v>0.0</v>
      </c>
      <c r="S162" s="455">
        <v>0.0</v>
      </c>
      <c r="T162" s="455">
        <v>0.0</v>
      </c>
      <c r="U162" s="455">
        <v>0.0</v>
      </c>
      <c r="V162" s="455">
        <v>0.0</v>
      </c>
      <c r="W162" s="455">
        <v>0.0</v>
      </c>
      <c r="X162" s="455">
        <v>0.0</v>
      </c>
      <c r="Y162" s="455">
        <v>0.0</v>
      </c>
      <c r="Z162" s="224"/>
    </row>
    <row r="163" ht="15.75" customHeight="1">
      <c r="A163" s="224"/>
      <c r="B163" s="450" t="s">
        <v>43</v>
      </c>
      <c r="C163" s="467">
        <v>0.6626</v>
      </c>
      <c r="D163" s="467">
        <v>0.0114</v>
      </c>
      <c r="E163" s="467">
        <v>0.0076</v>
      </c>
      <c r="F163" s="467">
        <v>0.0023</v>
      </c>
      <c r="G163" s="467">
        <v>0.0083</v>
      </c>
      <c r="H163" s="467">
        <v>0.0068</v>
      </c>
      <c r="I163" s="467">
        <v>0.0086</v>
      </c>
      <c r="J163" s="467">
        <v>0.0</v>
      </c>
      <c r="K163" s="467">
        <v>0.0</v>
      </c>
      <c r="L163" s="467">
        <v>0.0</v>
      </c>
      <c r="M163" s="467">
        <v>0.4805</v>
      </c>
      <c r="N163" s="224"/>
      <c r="O163" s="455">
        <v>0.0</v>
      </c>
      <c r="P163" s="455">
        <v>0.0</v>
      </c>
      <c r="Q163" s="455">
        <v>0.0</v>
      </c>
      <c r="R163" s="455">
        <v>0.0</v>
      </c>
      <c r="S163" s="455">
        <v>0.0</v>
      </c>
      <c r="T163" s="455">
        <v>0.0</v>
      </c>
      <c r="U163" s="455">
        <v>0.0</v>
      </c>
      <c r="V163" s="455">
        <v>0.0</v>
      </c>
      <c r="W163" s="455">
        <v>0.0</v>
      </c>
      <c r="X163" s="455">
        <v>0.0</v>
      </c>
      <c r="Y163" s="455">
        <v>0.0</v>
      </c>
      <c r="Z163" s="224"/>
    </row>
    <row r="164" ht="15.75" customHeight="1">
      <c r="A164" s="224"/>
      <c r="B164" s="450" t="s">
        <v>50</v>
      </c>
      <c r="C164" s="467">
        <v>1.6291</v>
      </c>
      <c r="D164" s="467">
        <v>0.0187</v>
      </c>
      <c r="E164" s="467">
        <v>0.0237</v>
      </c>
      <c r="F164" s="467">
        <v>0.0294</v>
      </c>
      <c r="G164" s="467">
        <v>0.0036</v>
      </c>
      <c r="H164" s="467">
        <v>0.0087</v>
      </c>
      <c r="I164" s="467">
        <v>0.0224</v>
      </c>
      <c r="J164" s="467">
        <v>0.0</v>
      </c>
      <c r="K164" s="467">
        <v>0.0</v>
      </c>
      <c r="L164" s="467">
        <v>0.0</v>
      </c>
      <c r="M164" s="467">
        <v>0.2066</v>
      </c>
      <c r="N164" s="224"/>
      <c r="O164" s="455">
        <v>0.0</v>
      </c>
      <c r="P164" s="455">
        <v>0.0</v>
      </c>
      <c r="Q164" s="455">
        <v>0.0</v>
      </c>
      <c r="R164" s="455">
        <v>0.0</v>
      </c>
      <c r="S164" s="455">
        <v>0.0</v>
      </c>
      <c r="T164" s="455">
        <v>0.0</v>
      </c>
      <c r="U164" s="455">
        <v>0.0</v>
      </c>
      <c r="V164" s="455">
        <v>0.0</v>
      </c>
      <c r="W164" s="455">
        <v>0.0</v>
      </c>
      <c r="X164" s="455">
        <v>0.0</v>
      </c>
      <c r="Y164" s="455">
        <v>0.0</v>
      </c>
      <c r="Z164" s="224"/>
    </row>
    <row r="165" ht="15.75" customHeight="1">
      <c r="A165" s="224"/>
      <c r="B165" s="450" t="s">
        <v>377</v>
      </c>
      <c r="C165" s="467">
        <v>3.7821</v>
      </c>
      <c r="D165" s="467">
        <v>0.1154</v>
      </c>
      <c r="E165" s="467">
        <v>0.0795</v>
      </c>
      <c r="F165" s="467">
        <v>0.0318</v>
      </c>
      <c r="G165" s="467">
        <v>0.909</v>
      </c>
      <c r="H165" s="467">
        <v>0.7675</v>
      </c>
      <c r="I165" s="467">
        <v>1.0762</v>
      </c>
      <c r="J165" s="467">
        <v>0.6909</v>
      </c>
      <c r="K165" s="467">
        <v>0.2001</v>
      </c>
      <c r="L165" s="467">
        <v>0.1446</v>
      </c>
      <c r="M165" s="467">
        <v>0.9354</v>
      </c>
      <c r="N165" s="224"/>
      <c r="O165" s="455">
        <v>0.0</v>
      </c>
      <c r="P165" s="455">
        <v>0.0</v>
      </c>
      <c r="Q165" s="455">
        <v>0.0</v>
      </c>
      <c r="R165" s="455">
        <v>0.0</v>
      </c>
      <c r="S165" s="455">
        <v>0.0</v>
      </c>
      <c r="T165" s="455">
        <v>0.0</v>
      </c>
      <c r="U165" s="455">
        <v>0.0</v>
      </c>
      <c r="V165" s="455">
        <v>0.0</v>
      </c>
      <c r="W165" s="455">
        <v>0.0</v>
      </c>
      <c r="X165" s="455">
        <v>0.0</v>
      </c>
      <c r="Y165" s="455">
        <v>0.0</v>
      </c>
      <c r="Z165" s="224"/>
    </row>
    <row r="166" ht="15.75" customHeight="1">
      <c r="A166" s="224"/>
      <c r="B166" s="450" t="s">
        <v>35</v>
      </c>
      <c r="C166" s="467">
        <v>0.1222</v>
      </c>
      <c r="D166" s="467">
        <v>0.0</v>
      </c>
      <c r="E166" s="467">
        <v>5.0E-4</v>
      </c>
      <c r="F166" s="467">
        <v>0.0</v>
      </c>
      <c r="G166" s="467">
        <v>0.0029</v>
      </c>
      <c r="H166" s="467">
        <v>0.0258</v>
      </c>
      <c r="I166" s="467">
        <v>3.0E-4</v>
      </c>
      <c r="J166" s="467">
        <v>0.085</v>
      </c>
      <c r="K166" s="467">
        <v>0.06</v>
      </c>
      <c r="L166" s="467">
        <v>0.1133</v>
      </c>
      <c r="M166" s="467">
        <v>0.4036</v>
      </c>
      <c r="N166" s="224"/>
      <c r="O166" s="455">
        <v>0.0</v>
      </c>
      <c r="P166" s="455">
        <v>0.0</v>
      </c>
      <c r="Q166" s="455">
        <v>0.0</v>
      </c>
      <c r="R166" s="455">
        <v>0.0</v>
      </c>
      <c r="S166" s="455">
        <v>0.0</v>
      </c>
      <c r="T166" s="455">
        <v>0.0</v>
      </c>
      <c r="U166" s="455">
        <v>0.0</v>
      </c>
      <c r="V166" s="455">
        <v>0.0</v>
      </c>
      <c r="W166" s="455">
        <v>0.0</v>
      </c>
      <c r="X166" s="455">
        <v>0.0</v>
      </c>
      <c r="Y166" s="455">
        <v>0.0</v>
      </c>
      <c r="Z166" s="224"/>
    </row>
    <row r="167" ht="15.75" customHeight="1">
      <c r="A167" s="224"/>
      <c r="B167" s="450" t="s">
        <v>310</v>
      </c>
      <c r="C167" s="467">
        <v>1.2011</v>
      </c>
      <c r="D167" s="467">
        <v>0.0954</v>
      </c>
      <c r="E167" s="467">
        <v>0.0524</v>
      </c>
      <c r="F167" s="467">
        <v>0.01</v>
      </c>
      <c r="G167" s="467">
        <v>1.0E-4</v>
      </c>
      <c r="H167" s="467">
        <v>0.0</v>
      </c>
      <c r="I167" s="467">
        <v>0.0</v>
      </c>
      <c r="J167" s="467">
        <v>0.0</v>
      </c>
      <c r="K167" s="467">
        <v>0.0</v>
      </c>
      <c r="L167" s="467">
        <v>0.0</v>
      </c>
      <c r="M167" s="467">
        <v>0.0</v>
      </c>
      <c r="N167" s="224"/>
      <c r="O167" s="455">
        <v>0.0</v>
      </c>
      <c r="P167" s="455">
        <v>0.0</v>
      </c>
      <c r="Q167" s="455">
        <v>0.0</v>
      </c>
      <c r="R167" s="455">
        <v>0.0</v>
      </c>
      <c r="S167" s="455">
        <v>0.0</v>
      </c>
      <c r="T167" s="455">
        <v>0.0</v>
      </c>
      <c r="U167" s="455">
        <v>0.0</v>
      </c>
      <c r="V167" s="455">
        <v>0.0</v>
      </c>
      <c r="W167" s="455">
        <v>0.0</v>
      </c>
      <c r="X167" s="455">
        <v>0.0</v>
      </c>
      <c r="Y167" s="455">
        <v>0.0</v>
      </c>
      <c r="Z167" s="224"/>
    </row>
    <row r="168" ht="15.75" customHeight="1">
      <c r="A168" s="224"/>
      <c r="B168" s="456" t="s">
        <v>134</v>
      </c>
      <c r="C168" s="468">
        <v>0.0</v>
      </c>
      <c r="D168" s="468">
        <v>0.0</v>
      </c>
      <c r="E168" s="468">
        <v>0.0</v>
      </c>
      <c r="F168" s="468">
        <v>0.0</v>
      </c>
      <c r="G168" s="468">
        <v>0.0</v>
      </c>
      <c r="H168" s="468">
        <v>0.0</v>
      </c>
      <c r="I168" s="468">
        <v>0.0</v>
      </c>
      <c r="J168" s="468">
        <v>0.0</v>
      </c>
      <c r="K168" s="468">
        <v>0.0</v>
      </c>
      <c r="L168" s="468">
        <v>0.0</v>
      </c>
      <c r="M168" s="468">
        <v>0.0</v>
      </c>
      <c r="N168" s="224"/>
      <c r="O168" s="455">
        <v>-0.1178</v>
      </c>
      <c r="P168" s="455">
        <v>-0.0019</v>
      </c>
      <c r="Q168" s="455">
        <v>-0.0044</v>
      </c>
      <c r="R168" s="455">
        <v>-0.006</v>
      </c>
      <c r="S168" s="455">
        <v>-0.0016</v>
      </c>
      <c r="T168" s="455">
        <v>-0.0012</v>
      </c>
      <c r="U168" s="455">
        <v>-0.0026</v>
      </c>
      <c r="V168" s="455">
        <v>-0.0978</v>
      </c>
      <c r="W168" s="455">
        <v>-0.051</v>
      </c>
      <c r="X168" s="455">
        <v>-0.0566</v>
      </c>
      <c r="Y168" s="455">
        <v>-0.0059</v>
      </c>
      <c r="Z168" s="224"/>
    </row>
    <row r="169" ht="15.75" customHeight="1">
      <c r="A169" s="224"/>
      <c r="B169" s="460" t="s">
        <v>379</v>
      </c>
      <c r="C169" s="468">
        <v>0.45296</v>
      </c>
      <c r="D169" s="468">
        <v>0.0</v>
      </c>
      <c r="E169" s="468">
        <v>0.0</v>
      </c>
      <c r="F169" s="468">
        <v>0.0</v>
      </c>
      <c r="G169" s="468">
        <v>0.018600000000000002</v>
      </c>
      <c r="H169" s="468">
        <v>0.015266666666666668</v>
      </c>
      <c r="I169" s="468">
        <v>0.004233333333333334</v>
      </c>
      <c r="J169" s="468">
        <v>0.0106</v>
      </c>
      <c r="K169" s="468">
        <v>0.0</v>
      </c>
      <c r="L169" s="468">
        <v>4.0E-4</v>
      </c>
      <c r="M169" s="468">
        <v>0.6676</v>
      </c>
      <c r="N169" s="224"/>
      <c r="O169" s="455">
        <v>-0.11324000000000006</v>
      </c>
      <c r="P169" s="455">
        <v>-0.0091</v>
      </c>
      <c r="Q169" s="455">
        <v>-0.0131</v>
      </c>
      <c r="R169" s="455">
        <v>-0.0157</v>
      </c>
      <c r="S169" s="455">
        <v>-0.0093</v>
      </c>
      <c r="T169" s="455">
        <v>-0.007633333333333332</v>
      </c>
      <c r="U169" s="455">
        <v>-0.008466666666666666</v>
      </c>
      <c r="V169" s="455">
        <v>0.0</v>
      </c>
      <c r="W169" s="455">
        <v>0.0</v>
      </c>
      <c r="X169" s="455">
        <v>0.0</v>
      </c>
      <c r="Y169" s="455">
        <v>0.0</v>
      </c>
      <c r="Z169" s="224"/>
    </row>
    <row r="170" ht="15.75" customHeight="1">
      <c r="A170" s="224"/>
      <c r="B170" s="450" t="s">
        <v>380</v>
      </c>
      <c r="C170" s="467">
        <v>5.2918</v>
      </c>
      <c r="D170" s="467">
        <v>0.0231</v>
      </c>
      <c r="E170" s="467">
        <v>0.109</v>
      </c>
      <c r="F170" s="467">
        <v>0.0</v>
      </c>
      <c r="G170" s="467">
        <v>0.4792</v>
      </c>
      <c r="H170" s="467">
        <v>0.5634</v>
      </c>
      <c r="I170" s="467">
        <v>0.0838</v>
      </c>
      <c r="J170" s="467">
        <v>0.2175</v>
      </c>
      <c r="K170" s="467">
        <v>10.6575</v>
      </c>
      <c r="L170" s="467">
        <v>8.6975</v>
      </c>
      <c r="M170" s="467">
        <v>16.7548</v>
      </c>
      <c r="N170" s="224"/>
      <c r="O170" s="455">
        <v>0.0</v>
      </c>
      <c r="P170" s="455">
        <v>0.0</v>
      </c>
      <c r="Q170" s="455">
        <v>0.0</v>
      </c>
      <c r="R170" s="455">
        <v>0.0</v>
      </c>
      <c r="S170" s="455">
        <v>0.0</v>
      </c>
      <c r="T170" s="455">
        <v>0.0</v>
      </c>
      <c r="U170" s="455">
        <v>0.0</v>
      </c>
      <c r="V170" s="455">
        <v>0.0</v>
      </c>
      <c r="W170" s="455">
        <v>0.0</v>
      </c>
      <c r="X170" s="455">
        <v>0.0</v>
      </c>
      <c r="Y170" s="455">
        <v>0.0</v>
      </c>
      <c r="Z170" s="224"/>
    </row>
    <row r="171" ht="15.75" customHeight="1">
      <c r="A171" s="224"/>
      <c r="B171" s="450" t="s">
        <v>32</v>
      </c>
      <c r="C171" s="467">
        <v>1.225</v>
      </c>
      <c r="D171" s="467">
        <v>0.1122</v>
      </c>
      <c r="E171" s="467">
        <v>0.0582</v>
      </c>
      <c r="F171" s="467">
        <v>0.0098</v>
      </c>
      <c r="G171" s="467">
        <v>3.0E-4</v>
      </c>
      <c r="H171" s="467">
        <v>1.0E-4</v>
      </c>
      <c r="I171" s="467">
        <v>0.0</v>
      </c>
      <c r="J171" s="467">
        <v>0.0</v>
      </c>
      <c r="K171" s="467">
        <v>0.0</v>
      </c>
      <c r="L171" s="467">
        <v>0.0</v>
      </c>
      <c r="M171" s="467">
        <v>0.0688</v>
      </c>
      <c r="N171" s="224"/>
      <c r="O171" s="455">
        <v>0.0</v>
      </c>
      <c r="P171" s="455">
        <v>0.0</v>
      </c>
      <c r="Q171" s="455">
        <v>0.0</v>
      </c>
      <c r="R171" s="455">
        <v>0.0</v>
      </c>
      <c r="S171" s="455">
        <v>0.0</v>
      </c>
      <c r="T171" s="455">
        <v>0.0</v>
      </c>
      <c r="U171" s="455">
        <v>0.0</v>
      </c>
      <c r="V171" s="455">
        <v>0.0</v>
      </c>
      <c r="W171" s="455">
        <v>0.0</v>
      </c>
      <c r="X171" s="455">
        <v>0.0</v>
      </c>
      <c r="Y171" s="455">
        <v>0.0</v>
      </c>
      <c r="Z171" s="224"/>
    </row>
    <row r="172" ht="15.75" customHeight="1">
      <c r="A172" s="224"/>
      <c r="B172" s="450" t="s">
        <v>40</v>
      </c>
      <c r="C172" s="467">
        <v>9.4246</v>
      </c>
      <c r="D172" s="467">
        <v>0.2233</v>
      </c>
      <c r="E172" s="467">
        <v>0.123</v>
      </c>
      <c r="F172" s="467">
        <v>0.0809</v>
      </c>
      <c r="G172" s="467">
        <v>0.0</v>
      </c>
      <c r="H172" s="467">
        <v>0.0</v>
      </c>
      <c r="I172" s="467">
        <v>0.0</v>
      </c>
      <c r="J172" s="467">
        <v>0.0</v>
      </c>
      <c r="K172" s="467">
        <v>6.0E-4</v>
      </c>
      <c r="L172" s="467">
        <v>4.0E-4</v>
      </c>
      <c r="M172" s="467">
        <v>0.0011</v>
      </c>
      <c r="N172" s="224"/>
      <c r="O172" s="455">
        <v>0.0</v>
      </c>
      <c r="P172" s="455">
        <v>0.0</v>
      </c>
      <c r="Q172" s="455">
        <v>0.0</v>
      </c>
      <c r="R172" s="455">
        <v>0.0</v>
      </c>
      <c r="S172" s="455">
        <v>0.0</v>
      </c>
      <c r="T172" s="455">
        <v>0.0</v>
      </c>
      <c r="U172" s="455">
        <v>0.0</v>
      </c>
      <c r="V172" s="455">
        <v>0.0</v>
      </c>
      <c r="W172" s="455">
        <v>0.0</v>
      </c>
      <c r="X172" s="455">
        <v>0.0</v>
      </c>
      <c r="Y172" s="455">
        <v>0.0</v>
      </c>
      <c r="Z172" s="224"/>
    </row>
    <row r="173" ht="15.75" customHeight="1">
      <c r="A173" s="224"/>
      <c r="B173" s="450" t="s">
        <v>42</v>
      </c>
      <c r="C173" s="467">
        <v>14.9567</v>
      </c>
      <c r="D173" s="467">
        <v>0.1947</v>
      </c>
      <c r="E173" s="467">
        <v>0.2889</v>
      </c>
      <c r="F173" s="467">
        <v>0.8305</v>
      </c>
      <c r="G173" s="467">
        <v>0.0595</v>
      </c>
      <c r="H173" s="467">
        <v>0.0935</v>
      </c>
      <c r="I173" s="467">
        <v>0.2936</v>
      </c>
      <c r="J173" s="467">
        <v>0.0028</v>
      </c>
      <c r="K173" s="467">
        <v>6.0E-4</v>
      </c>
      <c r="L173" s="467">
        <v>4.0E-4</v>
      </c>
      <c r="M173" s="467">
        <v>0.0016</v>
      </c>
      <c r="N173" s="224"/>
      <c r="O173" s="455">
        <v>0.0</v>
      </c>
      <c r="P173" s="455">
        <v>0.0</v>
      </c>
      <c r="Q173" s="455">
        <v>0.0</v>
      </c>
      <c r="R173" s="455">
        <v>0.0</v>
      </c>
      <c r="S173" s="455">
        <v>0.0</v>
      </c>
      <c r="T173" s="455">
        <v>0.0</v>
      </c>
      <c r="U173" s="455">
        <v>0.0</v>
      </c>
      <c r="V173" s="455">
        <v>0.0</v>
      </c>
      <c r="W173" s="455">
        <v>0.0</v>
      </c>
      <c r="X173" s="455">
        <v>0.0</v>
      </c>
      <c r="Y173" s="455">
        <v>0.0</v>
      </c>
      <c r="Z173" s="224"/>
    </row>
    <row r="174" ht="15.75" customHeight="1">
      <c r="A174" s="224"/>
      <c r="B174" s="450" t="s">
        <v>46</v>
      </c>
      <c r="C174" s="467">
        <v>0.0</v>
      </c>
      <c r="D174" s="467">
        <v>0.0</v>
      </c>
      <c r="E174" s="467">
        <v>0.0</v>
      </c>
      <c r="F174" s="467">
        <v>0.0</v>
      </c>
      <c r="G174" s="467">
        <v>0.0</v>
      </c>
      <c r="H174" s="467">
        <v>0.0</v>
      </c>
      <c r="I174" s="467">
        <v>0.0</v>
      </c>
      <c r="J174" s="467">
        <v>0.0</v>
      </c>
      <c r="K174" s="467">
        <v>0.0018</v>
      </c>
      <c r="L174" s="467">
        <v>0.0</v>
      </c>
      <c r="M174" s="467">
        <v>0.0011</v>
      </c>
      <c r="N174" s="224"/>
      <c r="O174" s="455">
        <v>0.0</v>
      </c>
      <c r="P174" s="455">
        <v>0.0</v>
      </c>
      <c r="Q174" s="455">
        <v>0.0</v>
      </c>
      <c r="R174" s="455">
        <v>0.0</v>
      </c>
      <c r="S174" s="455">
        <v>0.0</v>
      </c>
      <c r="T174" s="455">
        <v>0.0</v>
      </c>
      <c r="U174" s="455">
        <v>0.0</v>
      </c>
      <c r="V174" s="455">
        <v>0.0</v>
      </c>
      <c r="W174" s="455">
        <v>0.0</v>
      </c>
      <c r="X174" s="455">
        <v>0.0</v>
      </c>
      <c r="Y174" s="455">
        <v>0.0</v>
      </c>
      <c r="Z174" s="224"/>
    </row>
    <row r="175" ht="15.75" customHeight="1">
      <c r="A175" s="224"/>
      <c r="B175" s="450" t="s">
        <v>382</v>
      </c>
      <c r="C175" s="467">
        <v>0.0</v>
      </c>
      <c r="D175" s="467">
        <v>0.0</v>
      </c>
      <c r="E175" s="467">
        <v>0.0</v>
      </c>
      <c r="F175" s="467">
        <v>1.0E-4</v>
      </c>
      <c r="G175" s="467">
        <v>0.0</v>
      </c>
      <c r="H175" s="467">
        <v>0.0</v>
      </c>
      <c r="I175" s="467">
        <v>4.0E-4</v>
      </c>
      <c r="J175" s="467">
        <v>0.0</v>
      </c>
      <c r="K175" s="467">
        <v>0.0</v>
      </c>
      <c r="L175" s="467">
        <v>0.0011</v>
      </c>
      <c r="M175" s="467">
        <v>1.0E-4</v>
      </c>
      <c r="N175" s="224"/>
      <c r="O175" s="455">
        <v>0.0</v>
      </c>
      <c r="P175" s="455">
        <v>0.0</v>
      </c>
      <c r="Q175" s="455">
        <v>0.0</v>
      </c>
      <c r="R175" s="455">
        <v>0.0</v>
      </c>
      <c r="S175" s="455">
        <v>0.0</v>
      </c>
      <c r="T175" s="455">
        <v>0.0</v>
      </c>
      <c r="U175" s="455">
        <v>0.0</v>
      </c>
      <c r="V175" s="455">
        <v>0.0</v>
      </c>
      <c r="W175" s="455">
        <v>0.0</v>
      </c>
      <c r="X175" s="455">
        <v>0.0</v>
      </c>
      <c r="Y175" s="455">
        <v>0.0</v>
      </c>
      <c r="Z175" s="224"/>
    </row>
    <row r="176" ht="15.75" customHeight="1">
      <c r="A176" s="224"/>
      <c r="B176" s="450" t="s">
        <v>54</v>
      </c>
      <c r="C176" s="467">
        <v>0.0</v>
      </c>
      <c r="D176" s="467">
        <v>0.0</v>
      </c>
      <c r="E176" s="467">
        <v>0.0</v>
      </c>
      <c r="F176" s="467">
        <v>0.0</v>
      </c>
      <c r="G176" s="467">
        <v>0.0</v>
      </c>
      <c r="H176" s="467">
        <v>0.0</v>
      </c>
      <c r="I176" s="467">
        <v>0.0</v>
      </c>
      <c r="J176" s="467">
        <v>0.0</v>
      </c>
      <c r="K176" s="467">
        <v>0.0</v>
      </c>
      <c r="L176" s="467">
        <v>0.0</v>
      </c>
      <c r="M176" s="467">
        <v>0.0</v>
      </c>
      <c r="N176" s="224"/>
      <c r="O176" s="455">
        <v>0.0</v>
      </c>
      <c r="P176" s="455">
        <v>0.0</v>
      </c>
      <c r="Q176" s="455">
        <v>0.0</v>
      </c>
      <c r="R176" s="455">
        <v>0.0</v>
      </c>
      <c r="S176" s="455">
        <v>0.0</v>
      </c>
      <c r="T176" s="455">
        <v>0.0</v>
      </c>
      <c r="U176" s="455">
        <v>0.0</v>
      </c>
      <c r="V176" s="455">
        <v>0.0</v>
      </c>
      <c r="W176" s="455">
        <v>0.0</v>
      </c>
      <c r="X176" s="455">
        <v>0.0</v>
      </c>
      <c r="Y176" s="455">
        <v>0.0</v>
      </c>
      <c r="Z176" s="224"/>
    </row>
    <row r="177" ht="15.75" customHeight="1">
      <c r="A177" s="224"/>
      <c r="B177" s="450" t="s">
        <v>383</v>
      </c>
      <c r="C177" s="467">
        <v>0.0</v>
      </c>
      <c r="D177" s="467">
        <v>0.0</v>
      </c>
      <c r="E177" s="467">
        <v>0.0</v>
      </c>
      <c r="F177" s="467">
        <v>0.0</v>
      </c>
      <c r="G177" s="467">
        <v>0.0</v>
      </c>
      <c r="H177" s="467">
        <v>0.0</v>
      </c>
      <c r="I177" s="467">
        <v>0.0</v>
      </c>
      <c r="J177" s="467">
        <v>0.0</v>
      </c>
      <c r="K177" s="467">
        <v>0.0</v>
      </c>
      <c r="L177" s="467">
        <v>0.0</v>
      </c>
      <c r="M177" s="467">
        <v>0.0</v>
      </c>
      <c r="N177" s="224"/>
      <c r="O177" s="455">
        <v>0.0</v>
      </c>
      <c r="P177" s="455">
        <v>0.0</v>
      </c>
      <c r="Q177" s="455">
        <v>0.0</v>
      </c>
      <c r="R177" s="455">
        <v>0.0</v>
      </c>
      <c r="S177" s="455">
        <v>0.0</v>
      </c>
      <c r="T177" s="455">
        <v>0.0</v>
      </c>
      <c r="U177" s="455">
        <v>0.0</v>
      </c>
      <c r="V177" s="455">
        <v>0.0</v>
      </c>
      <c r="W177" s="455">
        <v>0.0</v>
      </c>
      <c r="X177" s="455">
        <v>0.0</v>
      </c>
      <c r="Y177" s="455">
        <v>0.0</v>
      </c>
      <c r="Z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</row>
    <row r="181" ht="15.75" hidden="1" customHeight="1">
      <c r="A181" s="224"/>
      <c r="B181" s="469" t="s">
        <v>1897</v>
      </c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</row>
    <row r="182" ht="15.75" hidden="1" customHeight="1">
      <c r="A182" s="224"/>
      <c r="B182" s="443" t="s">
        <v>1898</v>
      </c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</row>
    <row r="183" ht="15.75" hidden="1" customHeight="1">
      <c r="A183" s="224"/>
      <c r="B183" s="443" t="s">
        <v>1899</v>
      </c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</row>
    <row r="184" ht="15.75" hidden="1" customHeight="1">
      <c r="A184" s="224"/>
      <c r="B184" s="443" t="s">
        <v>1900</v>
      </c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</row>
    <row r="185" ht="15.75" hidden="1" customHeight="1">
      <c r="A185" s="224"/>
      <c r="B185" s="443" t="s">
        <v>1901</v>
      </c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</row>
    <row r="186" ht="15.75" hidden="1" customHeight="1">
      <c r="A186" s="224"/>
      <c r="B186" s="443" t="s">
        <v>1902</v>
      </c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</row>
    <row r="187" ht="15.75" hidden="1" customHeight="1">
      <c r="A187" s="224"/>
      <c r="B187" s="443" t="s">
        <v>1903</v>
      </c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</row>
    <row r="188" ht="15.75" hidden="1" customHeight="1">
      <c r="A188" s="224"/>
      <c r="B188" s="443" t="s">
        <v>1904</v>
      </c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</row>
    <row r="189" ht="15.75" hidden="1" customHeight="1">
      <c r="A189" s="224"/>
      <c r="B189" s="443" t="s">
        <v>1905</v>
      </c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</row>
    <row r="190" ht="15.75" hidden="1" customHeight="1">
      <c r="A190" s="224"/>
      <c r="B190" s="443" t="s">
        <v>1906</v>
      </c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 ht="15.7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 ht="15.7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 ht="15.7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 ht="15.7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 ht="15.7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 ht="15.7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 ht="15.7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 ht="15.7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 ht="15.7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 ht="15.7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 ht="15.7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 ht="15.7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 ht="15.7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 ht="15.7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 ht="15.7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 ht="15.7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 ht="15.7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 ht="15.7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 ht="15.7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 ht="15.7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 ht="15.7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 ht="15.7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 ht="15.7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 ht="15.7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 ht="15.7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 ht="15.7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 ht="15.7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 ht="15.7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 ht="15.7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 ht="15.7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 ht="15.7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 ht="15.7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 ht="15.7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 ht="15.7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 ht="15.7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 ht="15.7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 ht="15.7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 ht="15.7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 ht="15.7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 ht="15.7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 ht="15.7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 ht="15.7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 ht="15.7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 ht="15.7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 ht="15.7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 ht="15.7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 ht="15.7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 ht="15.7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 ht="15.7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 ht="15.7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 ht="15.7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 ht="15.7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 ht="15.7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 ht="15.7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 ht="15.7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 ht="15.7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 ht="15.7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 ht="15.7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 ht="15.7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 ht="15.7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 ht="15.7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 ht="15.7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 ht="15.7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 ht="15.7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 ht="15.7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 ht="15.7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 ht="15.7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 ht="15.7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 ht="15.7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 ht="15.7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 ht="15.7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 ht="15.7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 ht="15.7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 ht="15.7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 ht="15.7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 ht="15.7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 ht="15.7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 ht="15.7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 ht="15.7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 ht="15.7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 ht="15.7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 ht="15.7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 ht="15.7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 ht="15.7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 ht="15.7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 ht="15.7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 ht="15.7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 ht="15.7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 ht="15.7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 ht="15.7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 ht="15.7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 ht="15.7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 ht="15.7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 ht="15.7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 ht="15.7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 ht="15.7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 ht="15.7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 ht="15.7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 ht="15.7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 ht="15.7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 ht="15.7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 ht="15.7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 ht="15.7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 ht="15.7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 ht="15.7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 ht="15.7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 ht="15.7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 ht="15.7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 ht="15.7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 ht="15.7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 ht="15.7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 ht="15.7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 ht="15.7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 ht="15.7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 ht="15.7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 ht="15.7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 ht="15.7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 ht="15.7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 ht="15.7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 ht="15.7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 ht="15.7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 ht="15.7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 ht="15.7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 ht="15.7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 ht="15.7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 ht="15.7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 ht="15.7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 ht="15.7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 ht="15.7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 ht="15.7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 ht="15.7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 ht="15.7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 ht="15.7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 ht="15.7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 ht="15.7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 ht="15.7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 ht="15.7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 ht="15.7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 ht="15.7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 ht="15.7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 ht="15.7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 ht="15.7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 ht="15.7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 ht="15.7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 ht="15.7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 ht="15.7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 ht="15.7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 ht="15.7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 ht="15.7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 ht="15.7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 ht="15.7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 ht="15.7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 ht="15.7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 ht="15.7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 ht="15.7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 ht="15.7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 ht="15.7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 ht="15.7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 ht="15.7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 ht="15.7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 ht="15.7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 ht="15.7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 ht="15.7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 ht="15.7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 ht="15.7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 ht="15.7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 ht="15.7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 ht="15.7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 ht="15.7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 ht="15.7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 ht="15.7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 ht="15.7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 ht="15.7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 ht="15.7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 ht="15.7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 ht="15.7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 ht="15.7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 ht="15.7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 ht="15.7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 ht="15.7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 ht="15.7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 ht="15.7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 ht="15.7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 ht="15.7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 ht="15.7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 ht="15.7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 ht="15.7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 ht="15.7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 ht="15.7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 ht="15.7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 ht="15.7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 ht="15.7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 ht="15.7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 ht="15.7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 ht="15.7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 ht="15.7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 ht="15.7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 ht="15.7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 ht="15.7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 ht="15.7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 ht="15.7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 ht="15.7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 ht="15.7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 ht="15.7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 ht="15.7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 ht="15.7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 ht="15.7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 ht="15.7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 ht="15.7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 ht="15.7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 ht="15.7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 ht="15.7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 ht="15.7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 ht="15.7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 ht="15.7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 ht="15.7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 ht="15.7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 ht="15.7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 ht="15.7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 ht="15.7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 ht="15.7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 ht="15.7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 ht="15.7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 ht="15.7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 ht="15.7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 ht="15.7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 ht="15.7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 ht="15.7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 ht="15.7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 ht="15.7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 ht="15.7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 ht="15.7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 ht="15.7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 ht="15.7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 ht="15.7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 ht="15.7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 ht="15.7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 ht="15.7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 ht="15.7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 ht="15.7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 ht="15.7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 ht="15.7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 ht="15.7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 ht="15.7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 ht="15.7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 ht="15.7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 ht="15.7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 ht="15.7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 ht="15.7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 ht="15.7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 ht="15.7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 ht="15.7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 ht="15.7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 ht="15.7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 ht="15.7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 ht="15.7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 ht="15.7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 ht="15.7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 ht="15.7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 ht="15.7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 ht="15.7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 ht="15.7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 ht="15.7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 ht="15.7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 ht="15.7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 ht="15.7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 ht="15.7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 ht="15.7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 ht="15.7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 ht="15.7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 ht="15.7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 ht="15.7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 ht="15.7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 ht="15.7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 ht="15.7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 ht="15.7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 ht="15.7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 ht="15.7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 ht="15.7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 ht="15.7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 ht="15.7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 ht="15.7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 ht="15.7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 ht="15.7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 ht="15.7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 ht="15.7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 ht="15.7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 ht="15.7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 ht="15.7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 ht="15.7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 ht="15.7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 ht="15.7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 ht="15.7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 ht="15.7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 ht="15.7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 ht="15.7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 ht="15.7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 ht="15.7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 ht="15.7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 ht="15.7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 ht="15.7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 ht="15.7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 ht="15.7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 ht="15.7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 ht="15.7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 ht="15.7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 ht="15.7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 ht="15.7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 ht="15.7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 ht="15.7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 ht="15.7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 ht="15.7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 ht="15.7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 ht="15.7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 ht="15.7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 ht="15.7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 ht="15.7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 ht="15.7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 ht="15.7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 ht="15.7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 ht="15.7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 ht="15.7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 ht="15.7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 ht="15.7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 ht="15.7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 ht="15.7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 ht="15.7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 ht="15.7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 ht="15.7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 ht="15.7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 ht="15.7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 ht="15.7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 ht="15.7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 ht="15.7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 ht="15.7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 ht="15.7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 ht="15.7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 ht="15.7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 ht="15.7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 ht="15.7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 ht="15.7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 ht="15.7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 ht="15.7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 ht="15.7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 ht="15.7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 ht="15.7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 ht="15.7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 ht="15.7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 ht="15.7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 ht="15.7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 ht="15.7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 ht="15.7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 ht="15.7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 ht="15.7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 ht="15.7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 ht="15.7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 ht="15.7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 ht="15.7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 ht="15.7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 ht="15.7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 ht="15.7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 ht="15.7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 ht="15.7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 ht="15.7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 ht="15.7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 ht="15.7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 ht="15.7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 ht="15.7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 ht="15.7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 ht="15.7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 ht="15.7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 ht="15.7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 ht="15.7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 ht="15.7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 ht="15.7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 ht="15.7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 ht="15.7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 ht="15.7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 ht="15.7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 ht="15.7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 ht="15.7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 ht="15.7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 ht="15.7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 ht="15.7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 ht="15.7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 ht="15.7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 ht="15.7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 ht="15.7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 ht="15.7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 ht="15.7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 ht="15.7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 ht="15.7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 ht="15.7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 ht="15.7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 ht="15.7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 ht="15.7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 ht="15.7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 ht="15.7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 ht="15.7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 ht="15.7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 ht="15.7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 ht="15.7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 ht="15.7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 ht="15.7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 ht="15.7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 ht="15.7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 ht="15.7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 ht="15.7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 ht="15.7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 ht="15.7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 ht="15.7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 ht="15.7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 ht="15.7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 ht="15.7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 ht="15.7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 ht="15.7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 ht="15.7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 ht="15.7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 ht="15.7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 ht="15.7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 ht="15.7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 ht="15.7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 ht="15.7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 ht="15.7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 ht="15.7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 ht="15.7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 ht="15.7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 ht="15.7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 ht="15.7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 ht="15.7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 ht="15.7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 ht="15.7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 ht="15.7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 ht="15.7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 ht="15.7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 ht="15.7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 ht="15.7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 ht="15.7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 ht="15.7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 ht="15.7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 ht="15.7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 ht="15.7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 ht="15.7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 ht="15.7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 ht="15.7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 ht="15.7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 ht="15.7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 ht="15.7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 ht="15.7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 ht="15.7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 ht="15.7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 ht="15.7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 ht="15.7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 ht="15.7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 ht="15.7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 ht="15.7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 ht="15.7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 ht="15.7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 ht="15.7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 ht="15.7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 ht="15.7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 ht="15.7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 ht="15.7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 ht="15.7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 ht="15.7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 ht="15.7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 ht="15.7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 ht="15.7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 ht="15.7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 ht="15.7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 ht="15.7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 ht="15.7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 ht="15.7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 ht="15.7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 ht="15.7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 ht="15.7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 ht="15.7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 ht="15.7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 ht="15.7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 ht="15.7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 ht="15.7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 ht="15.7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 ht="15.7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 ht="15.7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 ht="15.7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 ht="15.7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 ht="15.7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 ht="15.7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 ht="15.7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 ht="15.7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 ht="15.7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 ht="15.7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 ht="15.7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 ht="15.7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 ht="15.7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 ht="15.7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 ht="15.7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 ht="15.7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 ht="15.7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 ht="15.7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 ht="15.7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 ht="15.7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 ht="15.7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 ht="15.7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 ht="15.7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 ht="15.7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 ht="15.7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 ht="15.7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 ht="15.7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 ht="15.7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 ht="15.7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 ht="15.7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 ht="15.7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 ht="15.7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 ht="15.7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 ht="15.7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 ht="15.7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 ht="15.7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 ht="15.7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 ht="15.7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 ht="15.7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 ht="15.7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 ht="15.7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 ht="15.7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 ht="15.7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 ht="15.7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 ht="15.7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 ht="15.7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 ht="15.7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 ht="15.7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 ht="15.7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 ht="15.7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 ht="15.7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 ht="15.7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 ht="15.7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 ht="15.7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 ht="15.7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 ht="15.7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 ht="15.7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 ht="15.7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 ht="15.7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 ht="15.7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 ht="15.7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 ht="15.7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 ht="15.7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 ht="15.7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 ht="15.7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 ht="15.7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 ht="15.7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 ht="15.7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 ht="15.7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 ht="15.7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 ht="15.7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 ht="15.7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 ht="15.7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 ht="15.7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 ht="15.7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 ht="15.7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 ht="15.7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 ht="15.7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 ht="15.7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 ht="15.7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 ht="15.7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 ht="15.7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 ht="15.7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 ht="15.7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 ht="15.7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 ht="15.7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 ht="15.7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 ht="15.7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 ht="15.7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 ht="15.7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 ht="15.7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 ht="15.7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 ht="15.7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 ht="15.7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 ht="15.7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 ht="15.7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 ht="15.7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 ht="15.7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 ht="15.7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 ht="15.7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 ht="15.7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 ht="15.7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 ht="15.7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 ht="15.7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 ht="15.7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 ht="15.7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 ht="15.7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 ht="15.7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 ht="15.7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 ht="15.7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 ht="15.7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 ht="15.7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 ht="15.7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 ht="15.7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 ht="15.7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 ht="15.7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 ht="15.7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 ht="15.7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 ht="15.7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 ht="15.7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 ht="15.7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 ht="15.7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 ht="15.7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 ht="15.7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 ht="15.7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 ht="15.7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 ht="15.7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 ht="15.7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 ht="15.7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 ht="15.7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 ht="15.7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 ht="15.7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 ht="15.7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 ht="15.7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 ht="15.7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 ht="15.7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 ht="15.7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 ht="15.7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 ht="15.7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 ht="15.7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 ht="15.7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 ht="15.7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 ht="15.7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 ht="15.7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 ht="15.7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 ht="15.7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 ht="15.7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 ht="15.7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 ht="15.7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 ht="15.7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 ht="15.7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 ht="15.7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 ht="15.7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 ht="15.7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 ht="15.7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 ht="15.7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 ht="15.7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 ht="15.7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 ht="15.7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 ht="15.7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 ht="15.7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 ht="15.7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 ht="15.7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 ht="15.7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 ht="15.7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 ht="15.7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 ht="15.7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 ht="15.7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 ht="15.7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 ht="15.7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 ht="15.7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 ht="15.7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 ht="15.7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 ht="15.7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 ht="15.7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 ht="15.7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 ht="15.7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 ht="15.7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 ht="15.7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 ht="15.7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 ht="15.7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 ht="15.7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 ht="15.7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 ht="15.7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 ht="15.7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 ht="15.7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 ht="15.7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 ht="15.7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 ht="15.7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 ht="15.7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 ht="15.7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</sheetData>
  <conditionalFormatting sqref="O8:Y32">
    <cfRule type="cellIs" dxfId="13" priority="1" operator="lessThan">
      <formula>0</formula>
    </cfRule>
  </conditionalFormatting>
  <conditionalFormatting sqref="O8:Y32">
    <cfRule type="cellIs" dxfId="14" priority="2" operator="greaterThan">
      <formula>0</formula>
    </cfRule>
  </conditionalFormatting>
  <conditionalFormatting sqref="O37:Y61">
    <cfRule type="cellIs" dxfId="13" priority="3" operator="lessThan">
      <formula>0</formula>
    </cfRule>
  </conditionalFormatting>
  <conditionalFormatting sqref="O37:Y61">
    <cfRule type="cellIs" dxfId="14" priority="4" operator="greaterThan">
      <formula>0</formula>
    </cfRule>
  </conditionalFormatting>
  <conditionalFormatting sqref="O66:Y90">
    <cfRule type="cellIs" dxfId="13" priority="5" operator="lessThan">
      <formula>0</formula>
    </cfRule>
  </conditionalFormatting>
  <conditionalFormatting sqref="O66:Y90">
    <cfRule type="cellIs" dxfId="14" priority="6" operator="greaterThan">
      <formula>0</formula>
    </cfRule>
  </conditionalFormatting>
  <conditionalFormatting sqref="O95:Y119">
    <cfRule type="cellIs" dxfId="13" priority="7" operator="lessThan">
      <formula>0</formula>
    </cfRule>
  </conditionalFormatting>
  <conditionalFormatting sqref="O95:Y119">
    <cfRule type="cellIs" dxfId="14" priority="8" operator="greaterThan">
      <formula>0</formula>
    </cfRule>
  </conditionalFormatting>
  <conditionalFormatting sqref="O124:Y148">
    <cfRule type="cellIs" dxfId="13" priority="9" operator="lessThan">
      <formula>0</formula>
    </cfRule>
  </conditionalFormatting>
  <conditionalFormatting sqref="O124:Y148">
    <cfRule type="cellIs" dxfId="14" priority="10" operator="greaterThan">
      <formula>0</formula>
    </cfRule>
  </conditionalFormatting>
  <conditionalFormatting sqref="O153:Y177">
    <cfRule type="cellIs" dxfId="13" priority="11" operator="lessThan">
      <formula>0</formula>
    </cfRule>
  </conditionalFormatting>
  <conditionalFormatting sqref="O153:Y177">
    <cfRule type="cellIs" dxfId="14" priority="12" operator="greaterThan">
      <formula>0</formula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14" width="5.75"/>
    <col customWidth="1" min="15" max="15" width="3.0"/>
    <col customWidth="1" min="16" max="26" width="5.75"/>
    <col customWidth="1" min="27" max="27" width="3.0"/>
    <col customWidth="1" min="28" max="38" width="5.75"/>
    <col customWidth="1" min="39" max="39" width="2.5"/>
    <col customWidth="1" min="40" max="50" width="6.0"/>
    <col customWidth="1" min="51" max="51" width="2.5"/>
    <col customWidth="1" min="52" max="62" width="6.0"/>
    <col customWidth="1" min="63" max="63" width="2.5"/>
    <col customWidth="1" min="64" max="74" width="7.0"/>
    <col customWidth="1" min="75" max="75" width="2.5"/>
    <col customWidth="1" min="76" max="86" width="7.0"/>
    <col customWidth="1" min="87" max="87" width="2.5"/>
    <col customWidth="1" min="88" max="88" width="15.38"/>
    <col customWidth="1" hidden="1" min="89" max="89" width="18.38"/>
  </cols>
  <sheetData>
    <row r="1">
      <c r="A1" s="224"/>
      <c r="B1" s="414" t="s">
        <v>1907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CK1" s="180" t="s">
        <v>1908</v>
      </c>
    </row>
    <row r="2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CK2" s="180" t="s">
        <v>1909</v>
      </c>
    </row>
    <row r="3">
      <c r="A3" s="224"/>
      <c r="B3" s="442" t="s">
        <v>162</v>
      </c>
      <c r="C3" s="470" t="s">
        <v>163</v>
      </c>
      <c r="D3" s="443" t="s">
        <v>1910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CK3" s="180" t="s">
        <v>367</v>
      </c>
    </row>
    <row r="4">
      <c r="A4" s="224"/>
      <c r="B4" s="442" t="s">
        <v>1856</v>
      </c>
      <c r="C4" s="471" t="s">
        <v>58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CK4" s="180" t="s">
        <v>312</v>
      </c>
    </row>
    <row r="5">
      <c r="A5" s="224"/>
      <c r="B5" s="442" t="s">
        <v>400</v>
      </c>
      <c r="C5" s="471" t="s">
        <v>1909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CK5" s="180" t="s">
        <v>189</v>
      </c>
    </row>
    <row r="6">
      <c r="A6" s="224"/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CK6" s="180" t="s">
        <v>311</v>
      </c>
    </row>
    <row r="7">
      <c r="A7" s="224"/>
      <c r="B7" s="224"/>
      <c r="C7" s="224"/>
      <c r="D7" s="472" t="s">
        <v>1911</v>
      </c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224"/>
      <c r="P7" s="445" t="s">
        <v>1912</v>
      </c>
      <c r="Q7" s="445"/>
      <c r="R7" s="445"/>
      <c r="S7" s="445"/>
      <c r="T7" s="445"/>
      <c r="U7" s="445"/>
      <c r="V7" s="445"/>
      <c r="W7" s="445"/>
      <c r="X7" s="445"/>
      <c r="Y7" s="445"/>
      <c r="Z7" s="445"/>
      <c r="AA7" s="224"/>
      <c r="AB7" s="446" t="s">
        <v>1913</v>
      </c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N7" s="473" t="s">
        <v>1914</v>
      </c>
      <c r="AO7" s="473"/>
      <c r="AP7" s="473"/>
      <c r="AQ7" s="473"/>
      <c r="AR7" s="473"/>
      <c r="AS7" s="473"/>
      <c r="AT7" s="473"/>
      <c r="AU7" s="473"/>
      <c r="AV7" s="473"/>
      <c r="AW7" s="473"/>
      <c r="AX7" s="473"/>
      <c r="AZ7" s="473" t="s">
        <v>1915</v>
      </c>
      <c r="BA7" s="473"/>
      <c r="BB7" s="473"/>
      <c r="BC7" s="473"/>
      <c r="BD7" s="473"/>
      <c r="BE7" s="473"/>
      <c r="BF7" s="473"/>
      <c r="BG7" s="473"/>
      <c r="BH7" s="473"/>
      <c r="BI7" s="473"/>
      <c r="BJ7" s="473"/>
      <c r="BL7" s="473" t="s">
        <v>1916</v>
      </c>
      <c r="BM7" s="473"/>
      <c r="BN7" s="473"/>
      <c r="BO7" s="473"/>
      <c r="BP7" s="473"/>
      <c r="BQ7" s="473"/>
      <c r="BR7" s="473"/>
      <c r="BS7" s="473"/>
      <c r="BT7" s="473"/>
      <c r="BU7" s="473"/>
      <c r="BV7" s="473"/>
      <c r="BX7" s="446" t="s">
        <v>1917</v>
      </c>
      <c r="BY7" s="446"/>
      <c r="BZ7" s="446"/>
      <c r="CA7" s="446"/>
      <c r="CB7" s="446"/>
      <c r="CC7" s="446"/>
      <c r="CD7" s="446"/>
      <c r="CE7" s="446"/>
      <c r="CF7" s="446"/>
      <c r="CG7" s="446"/>
      <c r="CH7" s="446"/>
      <c r="CK7" s="180" t="s">
        <v>372</v>
      </c>
    </row>
    <row r="8" ht="75.75" customHeight="1">
      <c r="A8" s="224"/>
      <c r="B8" s="161" t="s">
        <v>87</v>
      </c>
      <c r="C8" s="161" t="s">
        <v>1918</v>
      </c>
      <c r="D8" s="474" t="s">
        <v>1882</v>
      </c>
      <c r="E8" s="474" t="s">
        <v>72</v>
      </c>
      <c r="F8" s="474" t="s">
        <v>73</v>
      </c>
      <c r="G8" s="474" t="s">
        <v>74</v>
      </c>
      <c r="H8" s="474" t="s">
        <v>69</v>
      </c>
      <c r="I8" s="474" t="s">
        <v>70</v>
      </c>
      <c r="J8" s="474" t="s">
        <v>71</v>
      </c>
      <c r="K8" s="474" t="s">
        <v>1883</v>
      </c>
      <c r="L8" s="474" t="s">
        <v>1884</v>
      </c>
      <c r="M8" s="474" t="s">
        <v>1885</v>
      </c>
      <c r="N8" s="474" t="s">
        <v>75</v>
      </c>
      <c r="O8" s="224"/>
      <c r="P8" s="448" t="s">
        <v>1882</v>
      </c>
      <c r="Q8" s="448" t="s">
        <v>72</v>
      </c>
      <c r="R8" s="448" t="s">
        <v>73</v>
      </c>
      <c r="S8" s="448" t="s">
        <v>74</v>
      </c>
      <c r="T8" s="448" t="s">
        <v>69</v>
      </c>
      <c r="U8" s="448" t="s">
        <v>70</v>
      </c>
      <c r="V8" s="448" t="s">
        <v>71</v>
      </c>
      <c r="W8" s="448" t="s">
        <v>1883</v>
      </c>
      <c r="X8" s="448" t="s">
        <v>1884</v>
      </c>
      <c r="Y8" s="448" t="s">
        <v>1885</v>
      </c>
      <c r="Z8" s="448" t="s">
        <v>75</v>
      </c>
      <c r="AA8" s="224"/>
      <c r="AB8" s="449" t="s">
        <v>1882</v>
      </c>
      <c r="AC8" s="449" t="s">
        <v>72</v>
      </c>
      <c r="AD8" s="449" t="s">
        <v>73</v>
      </c>
      <c r="AE8" s="449" t="s">
        <v>74</v>
      </c>
      <c r="AF8" s="449" t="s">
        <v>69</v>
      </c>
      <c r="AG8" s="449" t="s">
        <v>70</v>
      </c>
      <c r="AH8" s="449" t="s">
        <v>71</v>
      </c>
      <c r="AI8" s="449" t="s">
        <v>1883</v>
      </c>
      <c r="AJ8" s="449" t="s">
        <v>1884</v>
      </c>
      <c r="AK8" s="449" t="s">
        <v>1885</v>
      </c>
      <c r="AL8" s="449" t="s">
        <v>75</v>
      </c>
      <c r="AN8" s="475" t="s">
        <v>1882</v>
      </c>
      <c r="AO8" s="475" t="s">
        <v>72</v>
      </c>
      <c r="AP8" s="475" t="s">
        <v>73</v>
      </c>
      <c r="AQ8" s="475" t="s">
        <v>74</v>
      </c>
      <c r="AR8" s="475" t="s">
        <v>69</v>
      </c>
      <c r="AS8" s="475" t="s">
        <v>70</v>
      </c>
      <c r="AT8" s="475" t="s">
        <v>71</v>
      </c>
      <c r="AU8" s="475" t="s">
        <v>1883</v>
      </c>
      <c r="AV8" s="475" t="s">
        <v>1884</v>
      </c>
      <c r="AW8" s="475" t="s">
        <v>1885</v>
      </c>
      <c r="AX8" s="475" t="s">
        <v>75</v>
      </c>
      <c r="AY8" s="476"/>
      <c r="AZ8" s="475" t="s">
        <v>1882</v>
      </c>
      <c r="BA8" s="475" t="s">
        <v>72</v>
      </c>
      <c r="BB8" s="475" t="s">
        <v>73</v>
      </c>
      <c r="BC8" s="475" t="s">
        <v>74</v>
      </c>
      <c r="BD8" s="475" t="s">
        <v>69</v>
      </c>
      <c r="BE8" s="475" t="s">
        <v>70</v>
      </c>
      <c r="BF8" s="475" t="s">
        <v>71</v>
      </c>
      <c r="BG8" s="475" t="s">
        <v>1883</v>
      </c>
      <c r="BH8" s="475" t="s">
        <v>1884</v>
      </c>
      <c r="BI8" s="475" t="s">
        <v>1885</v>
      </c>
      <c r="BJ8" s="475" t="s">
        <v>75</v>
      </c>
      <c r="BK8" s="476"/>
      <c r="BL8" s="475" t="s">
        <v>1882</v>
      </c>
      <c r="BM8" s="475" t="s">
        <v>72</v>
      </c>
      <c r="BN8" s="475" t="s">
        <v>73</v>
      </c>
      <c r="BO8" s="475" t="s">
        <v>74</v>
      </c>
      <c r="BP8" s="475" t="s">
        <v>69</v>
      </c>
      <c r="BQ8" s="475" t="s">
        <v>70</v>
      </c>
      <c r="BR8" s="475" t="s">
        <v>71</v>
      </c>
      <c r="BS8" s="475" t="s">
        <v>1883</v>
      </c>
      <c r="BT8" s="475" t="s">
        <v>1884</v>
      </c>
      <c r="BU8" s="475" t="s">
        <v>1885</v>
      </c>
      <c r="BV8" s="475" t="s">
        <v>75</v>
      </c>
      <c r="BW8" s="476"/>
      <c r="BX8" s="449" t="s">
        <v>1882</v>
      </c>
      <c r="BY8" s="449" t="s">
        <v>72</v>
      </c>
      <c r="BZ8" s="449" t="s">
        <v>73</v>
      </c>
      <c r="CA8" s="449" t="s">
        <v>74</v>
      </c>
      <c r="CB8" s="449" t="s">
        <v>69</v>
      </c>
      <c r="CC8" s="449" t="s">
        <v>70</v>
      </c>
      <c r="CD8" s="449" t="s">
        <v>71</v>
      </c>
      <c r="CE8" s="449" t="s">
        <v>1883</v>
      </c>
      <c r="CF8" s="449" t="s">
        <v>1884</v>
      </c>
      <c r="CG8" s="449" t="s">
        <v>1885</v>
      </c>
      <c r="CH8" s="449" t="s">
        <v>75</v>
      </c>
      <c r="CK8" s="180" t="s">
        <v>373</v>
      </c>
    </row>
    <row r="9">
      <c r="A9" s="224"/>
      <c r="B9" s="477">
        <v>1.0</v>
      </c>
      <c r="C9" s="477" t="s">
        <v>1919</v>
      </c>
      <c r="D9" s="478">
        <f>LET(payer,$C$3, segment,$C$4, source,$C$5, ECOGAINS_DAILY(payer, segment, source, "CURRENT", sim_refresh!$A$1))</f>
        <v>22.3547909</v>
      </c>
      <c r="E9" s="478">
        <v>0.24093499780814615</v>
      </c>
      <c r="F9" s="478">
        <v>0.23438219583181258</v>
      </c>
      <c r="G9" s="478">
        <v>0.1531693576018333</v>
      </c>
      <c r="H9" s="478">
        <v>0.33620728604755556</v>
      </c>
      <c r="I9" s="478">
        <v>0.34890627004011787</v>
      </c>
      <c r="J9" s="478">
        <v>0.19664751814049233</v>
      </c>
      <c r="K9" s="478">
        <v>1.0451941968454972</v>
      </c>
      <c r="L9" s="478">
        <v>1.2832891858772923</v>
      </c>
      <c r="M9" s="478">
        <v>1.5323411242071752</v>
      </c>
      <c r="N9" s="478">
        <v>22.596495593504326</v>
      </c>
      <c r="O9" s="453"/>
      <c r="P9" s="478">
        <f>LET(payer,$C$3, segment,$C$4, source,$C$5, ECOGAINS_DAILY(payer, segment, source, "NEW", sim_refresh!$A$1))</f>
        <v>29.11842163</v>
      </c>
      <c r="Q9" s="479">
        <v>0.5332715615958615</v>
      </c>
      <c r="R9" s="479">
        <v>0.47215770632773535</v>
      </c>
      <c r="S9" s="479">
        <v>0.275988688752424</v>
      </c>
      <c r="T9" s="479">
        <v>1.2741835077738206</v>
      </c>
      <c r="U9" s="479">
        <v>0.9629132248098893</v>
      </c>
      <c r="V9" s="479">
        <v>0.8177577667974433</v>
      </c>
      <c r="W9" s="479">
        <v>0.2553692921806288</v>
      </c>
      <c r="X9" s="479">
        <v>0.7498642960028421</v>
      </c>
      <c r="Y9" s="479">
        <v>2.9680192914439836</v>
      </c>
      <c r="Z9" s="479">
        <v>41.47330498233072</v>
      </c>
      <c r="AA9" s="480"/>
      <c r="AB9" s="481">
        <f>LET(payer,$C$3, segment,$C$4, source,$C$5, ECOGAINS_DAILY(payer, segment, source, "DIFF", sim_refresh!$A$1))</f>
        <v>6.763630734</v>
      </c>
      <c r="AC9" s="482">
        <v>0.2923365637877154</v>
      </c>
      <c r="AD9" s="482">
        <v>0.23777551049592277</v>
      </c>
      <c r="AE9" s="482">
        <v>0.12281933115059068</v>
      </c>
      <c r="AF9" s="482">
        <v>0.937976221726265</v>
      </c>
      <c r="AG9" s="482">
        <v>0.6140069547697714</v>
      </c>
      <c r="AH9" s="482">
        <v>0.621110248656951</v>
      </c>
      <c r="AI9" s="482">
        <v>-0.7898249046648684</v>
      </c>
      <c r="AJ9" s="482">
        <v>-0.5334248898744502</v>
      </c>
      <c r="AK9" s="482">
        <v>1.4356781672368084</v>
      </c>
      <c r="AL9" s="482">
        <v>18.87680938882639</v>
      </c>
      <c r="AM9" s="483"/>
      <c r="AN9" s="478">
        <f>LET(payer,$C$3, segment,$C$4, source,$C$5, ECOGAINS_DAILY(payer, segment, source, "SPEND", sim_refresh!$A$1))</f>
        <v>46.9876</v>
      </c>
      <c r="AO9" s="479">
        <v>0.5196</v>
      </c>
      <c r="AP9" s="479">
        <v>0.5292</v>
      </c>
      <c r="AQ9" s="479">
        <v>0.2732</v>
      </c>
      <c r="AR9" s="479">
        <v>0.6541</v>
      </c>
      <c r="AS9" s="479">
        <v>0.6615</v>
      </c>
      <c r="AT9" s="479">
        <v>0.3355</v>
      </c>
      <c r="AU9" s="479">
        <v>0.2991</v>
      </c>
      <c r="AV9" s="479">
        <v>0.5402</v>
      </c>
      <c r="AW9" s="479">
        <v>0.8218</v>
      </c>
      <c r="AX9" s="479">
        <v>8.0E-4</v>
      </c>
      <c r="AY9" s="483"/>
      <c r="AZ9" s="484">
        <f>LET(payer,$C$3, segment,$C$4, source,$C$5, ECOGAINS_DAILY(payer, segment, source, "CURNET", sim_refresh!$A$1))</f>
        <v>-7.6989</v>
      </c>
      <c r="BA9" s="485">
        <v>-0.08409999999999995</v>
      </c>
      <c r="BB9" s="485">
        <v>-0.1269</v>
      </c>
      <c r="BC9" s="485">
        <v>-0.048100000000000004</v>
      </c>
      <c r="BD9" s="485">
        <v>-0.08040000000000003</v>
      </c>
      <c r="BE9" s="485">
        <v>-0.06399999999999995</v>
      </c>
      <c r="BF9" s="485">
        <v>-0.0049000000000000155</v>
      </c>
      <c r="BG9" s="485">
        <v>0.27140000000000003</v>
      </c>
      <c r="BH9" s="485">
        <v>0.6972</v>
      </c>
      <c r="BI9" s="485">
        <v>1.097</v>
      </c>
      <c r="BJ9" s="485">
        <v>53.3308</v>
      </c>
      <c r="BK9" s="483"/>
      <c r="BL9" s="484">
        <f>LET(payer,$C$3, segment,$C$4, source,$C$5, ECOGAINS_DAILY(payer, segment, source, "NEWNET", sim_refresh!$A$1))</f>
        <v>-0.9352692664</v>
      </c>
      <c r="BM9" s="485">
        <v>0.20823656378771543</v>
      </c>
      <c r="BN9" s="485">
        <v>0.11087551049592276</v>
      </c>
      <c r="BO9" s="485">
        <v>0.07471933115059068</v>
      </c>
      <c r="BP9" s="485">
        <v>0.857576221726265</v>
      </c>
      <c r="BQ9" s="485">
        <v>0.5500069547697715</v>
      </c>
      <c r="BR9" s="485">
        <v>0.616210248656951</v>
      </c>
      <c r="BS9" s="485">
        <v>-0.5184249046648683</v>
      </c>
      <c r="BT9" s="485">
        <v>0.1637751101255498</v>
      </c>
      <c r="BU9" s="485">
        <v>2.532678167236808</v>
      </c>
      <c r="BV9" s="485">
        <v>72.2076093888264</v>
      </c>
      <c r="BW9" s="281"/>
      <c r="BX9" s="486">
        <f t="shared" ref="BX9:CH9" si="1">IFERROR(BL9-AZ9,"")</f>
        <v>6.763630734</v>
      </c>
      <c r="BY9" s="486">
        <f t="shared" si="1"/>
        <v>0.2923365638</v>
      </c>
      <c r="BZ9" s="486">
        <f t="shared" si="1"/>
        <v>0.2377755105</v>
      </c>
      <c r="CA9" s="486">
        <f t="shared" si="1"/>
        <v>0.1228193312</v>
      </c>
      <c r="CB9" s="486">
        <f t="shared" si="1"/>
        <v>0.9379762217</v>
      </c>
      <c r="CC9" s="486">
        <f t="shared" si="1"/>
        <v>0.6140069548</v>
      </c>
      <c r="CD9" s="486">
        <f t="shared" si="1"/>
        <v>0.6211102487</v>
      </c>
      <c r="CE9" s="486">
        <f t="shared" si="1"/>
        <v>-0.7898249047</v>
      </c>
      <c r="CF9" s="486">
        <f t="shared" si="1"/>
        <v>-0.5334248899</v>
      </c>
      <c r="CG9" s="486">
        <f t="shared" si="1"/>
        <v>1.435678167</v>
      </c>
      <c r="CH9" s="486">
        <f t="shared" si="1"/>
        <v>18.87680939</v>
      </c>
      <c r="CK9" s="180" t="s">
        <v>374</v>
      </c>
    </row>
    <row r="10">
      <c r="A10" s="224"/>
      <c r="B10" s="477">
        <v>2.0</v>
      </c>
      <c r="C10" s="477" t="s">
        <v>1920</v>
      </c>
      <c r="D10" s="478">
        <v>28.426393603648506</v>
      </c>
      <c r="E10" s="478">
        <v>0.2909802750817737</v>
      </c>
      <c r="F10" s="478">
        <v>0.30816082204307854</v>
      </c>
      <c r="G10" s="478">
        <v>0.16950252045754946</v>
      </c>
      <c r="H10" s="478">
        <v>0.35292572372202946</v>
      </c>
      <c r="I10" s="478">
        <v>0.3793993688795488</v>
      </c>
      <c r="J10" s="478">
        <v>0.19689270876399653</v>
      </c>
      <c r="K10" s="478">
        <v>1.4687306221724705</v>
      </c>
      <c r="L10" s="478">
        <v>1.6929372514787704</v>
      </c>
      <c r="M10" s="478">
        <v>2.0313906457490822</v>
      </c>
      <c r="N10" s="478">
        <v>26.92481084160438</v>
      </c>
      <c r="O10" s="453"/>
      <c r="P10" s="478">
        <v>39.4841205486109</v>
      </c>
      <c r="Q10" s="478">
        <v>0.6382406170284873</v>
      </c>
      <c r="R10" s="478">
        <v>0.6266684914564444</v>
      </c>
      <c r="S10" s="478">
        <v>0.3115060069296257</v>
      </c>
      <c r="T10" s="478">
        <v>1.3093817140967927</v>
      </c>
      <c r="U10" s="478">
        <v>0.9915161083131487</v>
      </c>
      <c r="V10" s="478">
        <v>0.8416094384870988</v>
      </c>
      <c r="W10" s="478">
        <v>0.2553692921806288</v>
      </c>
      <c r="X10" s="478">
        <v>0.8311239921678617</v>
      </c>
      <c r="Y10" s="478">
        <v>3.1424130358995077</v>
      </c>
      <c r="Z10" s="478">
        <v>44.15761094771857</v>
      </c>
      <c r="AA10" s="487"/>
      <c r="AB10" s="481">
        <v>11.057726944962397</v>
      </c>
      <c r="AC10" s="481">
        <v>0.3472603419467136</v>
      </c>
      <c r="AD10" s="481">
        <v>0.3185076694133659</v>
      </c>
      <c r="AE10" s="481">
        <v>0.14200348647207625</v>
      </c>
      <c r="AF10" s="481">
        <v>0.9564559903747633</v>
      </c>
      <c r="AG10" s="481">
        <v>0.6121167394336</v>
      </c>
      <c r="AH10" s="481">
        <v>0.6447167297231022</v>
      </c>
      <c r="AI10" s="481">
        <v>-1.2133613299918418</v>
      </c>
      <c r="AJ10" s="481">
        <v>-0.8618132593109087</v>
      </c>
      <c r="AK10" s="481">
        <v>1.1110223901504255</v>
      </c>
      <c r="AL10" s="481">
        <v>17.232800106114187</v>
      </c>
      <c r="AM10" s="281"/>
      <c r="AN10" s="488">
        <v>49.5276</v>
      </c>
      <c r="AO10" s="488">
        <v>0.5135</v>
      </c>
      <c r="AP10" s="488">
        <v>0.5461</v>
      </c>
      <c r="AQ10" s="488">
        <v>0.2938</v>
      </c>
      <c r="AR10" s="488">
        <v>0.6187</v>
      </c>
      <c r="AS10" s="488">
        <v>0.6337</v>
      </c>
      <c r="AT10" s="488">
        <v>0.3323</v>
      </c>
      <c r="AU10" s="488">
        <v>0.8668</v>
      </c>
      <c r="AV10" s="488">
        <v>0.8565</v>
      </c>
      <c r="AW10" s="488">
        <v>0.9507</v>
      </c>
      <c r="AX10" s="488">
        <v>0.0</v>
      </c>
      <c r="AY10" s="281"/>
      <c r="AZ10" s="489">
        <v>6.895400000000002</v>
      </c>
      <c r="BA10" s="489">
        <v>-0.01759999999999995</v>
      </c>
      <c r="BB10" s="489">
        <v>0.05249999999999999</v>
      </c>
      <c r="BC10" s="489">
        <v>0.0262</v>
      </c>
      <c r="BD10" s="489">
        <v>-0.06320000000000003</v>
      </c>
      <c r="BE10" s="489">
        <v>-0.0605</v>
      </c>
      <c r="BF10" s="489">
        <v>-0.006500000000000006</v>
      </c>
      <c r="BG10" s="489">
        <v>0.7485999999999999</v>
      </c>
      <c r="BH10" s="489">
        <v>0.9472</v>
      </c>
      <c r="BI10" s="489">
        <v>1.2023000000000001</v>
      </c>
      <c r="BJ10" s="489">
        <v>35.2312</v>
      </c>
      <c r="BK10" s="281"/>
      <c r="BL10" s="489">
        <v>17.9531269449624</v>
      </c>
      <c r="BM10" s="489">
        <v>0.3296603419467137</v>
      </c>
      <c r="BN10" s="489">
        <v>0.3710076694133659</v>
      </c>
      <c r="BO10" s="489">
        <v>0.16820348647207625</v>
      </c>
      <c r="BP10" s="489">
        <v>0.8932559903747632</v>
      </c>
      <c r="BQ10" s="489">
        <v>0.5516167394336</v>
      </c>
      <c r="BR10" s="489">
        <v>0.6382167297231023</v>
      </c>
      <c r="BS10" s="489">
        <v>-0.46476132999184183</v>
      </c>
      <c r="BT10" s="489">
        <v>0.08538674068909136</v>
      </c>
      <c r="BU10" s="489">
        <v>2.3133223901504256</v>
      </c>
      <c r="BV10" s="489">
        <v>52.464000106114185</v>
      </c>
      <c r="BW10" s="281"/>
      <c r="BX10" s="486">
        <f t="shared" ref="BX10:CH10" si="2">IFERROR(BL10-AZ10,"")</f>
        <v>11.05772694</v>
      </c>
      <c r="BY10" s="486">
        <f t="shared" si="2"/>
        <v>0.3472603419</v>
      </c>
      <c r="BZ10" s="486">
        <f t="shared" si="2"/>
        <v>0.3185076694</v>
      </c>
      <c r="CA10" s="486">
        <f t="shared" si="2"/>
        <v>0.1420034865</v>
      </c>
      <c r="CB10" s="486">
        <f t="shared" si="2"/>
        <v>0.9564559904</v>
      </c>
      <c r="CC10" s="486">
        <f t="shared" si="2"/>
        <v>0.6121167394</v>
      </c>
      <c r="CD10" s="486">
        <f t="shared" si="2"/>
        <v>0.6447167297</v>
      </c>
      <c r="CE10" s="486">
        <f t="shared" si="2"/>
        <v>-1.21336133</v>
      </c>
      <c r="CF10" s="486">
        <f t="shared" si="2"/>
        <v>-0.8618132593</v>
      </c>
      <c r="CG10" s="486">
        <f t="shared" si="2"/>
        <v>1.11102239</v>
      </c>
      <c r="CH10" s="486">
        <f t="shared" si="2"/>
        <v>17.23280011</v>
      </c>
      <c r="CK10" s="180" t="s">
        <v>49</v>
      </c>
    </row>
    <row r="11">
      <c r="A11" s="224"/>
      <c r="B11" s="477">
        <v>3.0</v>
      </c>
      <c r="C11" s="477" t="s">
        <v>1921</v>
      </c>
      <c r="D11" s="490">
        <v>22.25677077961991</v>
      </c>
      <c r="E11" s="490">
        <v>0.2356562334854726</v>
      </c>
      <c r="F11" s="490">
        <v>0.2285880316684915</v>
      </c>
      <c r="G11" s="490">
        <v>0.14955106259508194</v>
      </c>
      <c r="H11" s="490">
        <v>0.3412351346326915</v>
      </c>
      <c r="I11" s="490">
        <v>0.36557676155500834</v>
      </c>
      <c r="J11" s="490">
        <v>0.1926186632376705</v>
      </c>
      <c r="K11" s="490">
        <v>1.3721202505109917</v>
      </c>
      <c r="L11" s="490">
        <v>1.5976568872036323</v>
      </c>
      <c r="M11" s="490">
        <v>1.91904701716876</v>
      </c>
      <c r="N11" s="490">
        <v>23.174351086419364</v>
      </c>
      <c r="O11" s="453"/>
      <c r="P11" s="490">
        <v>19.43502073020617</v>
      </c>
      <c r="Q11" s="490">
        <v>0.16307249557965736</v>
      </c>
      <c r="R11" s="490">
        <v>0.14595003728638486</v>
      </c>
      <c r="S11" s="490">
        <v>0.07168778589780482</v>
      </c>
      <c r="T11" s="490">
        <v>0.26805062730049517</v>
      </c>
      <c r="U11" s="490">
        <v>0.2804413594718245</v>
      </c>
      <c r="V11" s="490">
        <v>0.12871569538245672</v>
      </c>
      <c r="W11" s="490">
        <v>0.7086052798135061</v>
      </c>
      <c r="X11" s="490">
        <v>1.041440645605135</v>
      </c>
      <c r="Y11" s="490">
        <v>1.2913414443282079</v>
      </c>
      <c r="Z11" s="490">
        <v>23.279923340857827</v>
      </c>
      <c r="AA11" s="487"/>
      <c r="AB11" s="491">
        <v>-2.8217500494137404</v>
      </c>
      <c r="AC11" s="491">
        <v>-0.07258373790581524</v>
      </c>
      <c r="AD11" s="491">
        <v>-0.08263799438210664</v>
      </c>
      <c r="AE11" s="491">
        <v>-0.07786327669727712</v>
      </c>
      <c r="AF11" s="491">
        <v>-0.07318450733219634</v>
      </c>
      <c r="AG11" s="491">
        <v>-0.08513540208318382</v>
      </c>
      <c r="AH11" s="491">
        <v>-0.06390296785521377</v>
      </c>
      <c r="AI11" s="491">
        <v>-0.6635149706974857</v>
      </c>
      <c r="AJ11" s="491">
        <v>-0.5562162415984973</v>
      </c>
      <c r="AK11" s="491">
        <v>-0.6277055728405521</v>
      </c>
      <c r="AL11" s="491">
        <v>0.10557225443846363</v>
      </c>
      <c r="AM11" s="281"/>
      <c r="AN11" s="488">
        <v>50.7649</v>
      </c>
      <c r="AO11" s="488">
        <v>0.5628</v>
      </c>
      <c r="AP11" s="488">
        <v>0.544</v>
      </c>
      <c r="AQ11" s="488">
        <v>0.2809</v>
      </c>
      <c r="AR11" s="488">
        <v>0.7267</v>
      </c>
      <c r="AS11" s="488">
        <v>0.7125</v>
      </c>
      <c r="AT11" s="488">
        <v>0.4076</v>
      </c>
      <c r="AU11" s="488">
        <v>0.6886</v>
      </c>
      <c r="AV11" s="488">
        <v>0.6712</v>
      </c>
      <c r="AW11" s="488">
        <v>0.8474</v>
      </c>
      <c r="AX11" s="488">
        <v>4.0E-4</v>
      </c>
      <c r="AY11" s="281"/>
      <c r="AZ11" s="489">
        <v>1.076500000000003</v>
      </c>
      <c r="BA11" s="489">
        <v>0.017199999999999993</v>
      </c>
      <c r="BB11" s="489">
        <v>-0.011300000000000088</v>
      </c>
      <c r="BC11" s="489">
        <v>0.008099999999999996</v>
      </c>
      <c r="BD11" s="489">
        <v>0.09540000000000004</v>
      </c>
      <c r="BE11" s="489">
        <v>0.08240000000000003</v>
      </c>
      <c r="BF11" s="489">
        <v>0.1043</v>
      </c>
      <c r="BG11" s="489">
        <v>0.638</v>
      </c>
      <c r="BH11" s="489">
        <v>0.7722</v>
      </c>
      <c r="BI11" s="489">
        <v>1.1172999999999997</v>
      </c>
      <c r="BJ11" s="489">
        <v>52.9483</v>
      </c>
      <c r="BK11" s="281"/>
      <c r="BL11" s="489">
        <v>-1.7452500494137375</v>
      </c>
      <c r="BM11" s="489">
        <v>-0.055383737905815245</v>
      </c>
      <c r="BN11" s="489">
        <v>-0.09393799438210673</v>
      </c>
      <c r="BO11" s="489">
        <v>-0.06976327669727712</v>
      </c>
      <c r="BP11" s="489">
        <v>0.022215492667803705</v>
      </c>
      <c r="BQ11" s="489">
        <v>-0.002735402083183791</v>
      </c>
      <c r="BR11" s="489">
        <v>0.04039703214478624</v>
      </c>
      <c r="BS11" s="489">
        <v>-0.02551497069748565</v>
      </c>
      <c r="BT11" s="489">
        <v>0.21598375840150275</v>
      </c>
      <c r="BU11" s="489">
        <v>0.4895944271594477</v>
      </c>
      <c r="BV11" s="489">
        <v>53.05387225443847</v>
      </c>
      <c r="BW11" s="281"/>
      <c r="BX11" s="486">
        <f t="shared" ref="BX11:CH11" si="3">IFERROR(BL11-AZ11,"")</f>
        <v>-2.821750049</v>
      </c>
      <c r="BY11" s="486">
        <f t="shared" si="3"/>
        <v>-0.07258373791</v>
      </c>
      <c r="BZ11" s="486">
        <f t="shared" si="3"/>
        <v>-0.08263799438</v>
      </c>
      <c r="CA11" s="486">
        <f t="shared" si="3"/>
        <v>-0.0778632767</v>
      </c>
      <c r="CB11" s="486">
        <f t="shared" si="3"/>
        <v>-0.07318450733</v>
      </c>
      <c r="CC11" s="486">
        <f t="shared" si="3"/>
        <v>-0.08513540208</v>
      </c>
      <c r="CD11" s="486">
        <f t="shared" si="3"/>
        <v>-0.06390296786</v>
      </c>
      <c r="CE11" s="486">
        <f t="shared" si="3"/>
        <v>-0.6635149707</v>
      </c>
      <c r="CF11" s="486">
        <f t="shared" si="3"/>
        <v>-0.5562162416</v>
      </c>
      <c r="CG11" s="486">
        <f t="shared" si="3"/>
        <v>-0.6277055728</v>
      </c>
      <c r="CH11" s="486">
        <f t="shared" si="3"/>
        <v>0.1055722544</v>
      </c>
      <c r="CK11" s="180" t="s">
        <v>44</v>
      </c>
    </row>
    <row r="12">
      <c r="A12" s="224"/>
      <c r="B12" s="477">
        <v>4.0</v>
      </c>
      <c r="C12" s="477" t="s">
        <v>1922</v>
      </c>
      <c r="D12" s="490">
        <v>40.55451157677579</v>
      </c>
      <c r="E12" s="490">
        <v>0.40490164709139526</v>
      </c>
      <c r="F12" s="490">
        <v>0.42825233660490497</v>
      </c>
      <c r="G12" s="490">
        <v>0.26488910982727015</v>
      </c>
      <c r="H12" s="490">
        <v>0.37480410860306673</v>
      </c>
      <c r="I12" s="490">
        <v>0.37568404058974075</v>
      </c>
      <c r="J12" s="490">
        <v>0.28871583163939113</v>
      </c>
      <c r="K12" s="490">
        <v>0.4726780615044575</v>
      </c>
      <c r="L12" s="490">
        <v>0.8596604465591837</v>
      </c>
      <c r="M12" s="490">
        <v>1.1423512091185737</v>
      </c>
      <c r="N12" s="490">
        <v>24.671623171570587</v>
      </c>
      <c r="O12" s="453"/>
      <c r="P12" s="490">
        <v>19.93517254237367</v>
      </c>
      <c r="Q12" s="490">
        <v>0.16364780036420645</v>
      </c>
      <c r="R12" s="490">
        <v>0.14595003728638486</v>
      </c>
      <c r="S12" s="490">
        <v>0.07186513549304177</v>
      </c>
      <c r="T12" s="490">
        <v>0.2817368253329271</v>
      </c>
      <c r="U12" s="490">
        <v>0.30548658279918883</v>
      </c>
      <c r="V12" s="490">
        <v>0.12888006817804218</v>
      </c>
      <c r="W12" s="490">
        <v>1.057244304850162</v>
      </c>
      <c r="X12" s="490">
        <v>1.3786254821494144</v>
      </c>
      <c r="Y12" s="490">
        <v>1.7021133860961701</v>
      </c>
      <c r="Z12" s="490">
        <v>24.475821940739763</v>
      </c>
      <c r="AA12" s="487"/>
      <c r="AB12" s="491">
        <v>-20.619339034402117</v>
      </c>
      <c r="AC12" s="491">
        <v>-0.2412538467271888</v>
      </c>
      <c r="AD12" s="491">
        <v>-0.28230229931852013</v>
      </c>
      <c r="AE12" s="491">
        <v>-0.19302397433422838</v>
      </c>
      <c r="AF12" s="491">
        <v>-0.09306728327013963</v>
      </c>
      <c r="AG12" s="491">
        <v>-0.07019745779055192</v>
      </c>
      <c r="AH12" s="491">
        <v>-0.15983576346134895</v>
      </c>
      <c r="AI12" s="491">
        <v>0.5845662433457046</v>
      </c>
      <c r="AJ12" s="491">
        <v>0.5189650355902307</v>
      </c>
      <c r="AK12" s="491">
        <v>0.5597621769775964</v>
      </c>
      <c r="AL12" s="491">
        <v>-0.19580123083082412</v>
      </c>
      <c r="AM12" s="281"/>
      <c r="AN12" s="488">
        <v>49.7275</v>
      </c>
      <c r="AO12" s="488">
        <v>0.5509</v>
      </c>
      <c r="AP12" s="488">
        <v>0.5572</v>
      </c>
      <c r="AQ12" s="488">
        <v>0.2923</v>
      </c>
      <c r="AR12" s="488">
        <v>0.6733</v>
      </c>
      <c r="AS12" s="488">
        <v>0.6647</v>
      </c>
      <c r="AT12" s="488">
        <v>0.3839</v>
      </c>
      <c r="AU12" s="488">
        <v>0.5442</v>
      </c>
      <c r="AV12" s="488">
        <v>0.6429</v>
      </c>
      <c r="AW12" s="488">
        <v>0.8311</v>
      </c>
      <c r="AX12" s="488">
        <v>0.0</v>
      </c>
      <c r="AY12" s="281"/>
      <c r="AZ12" s="489">
        <v>1.6521000000000043</v>
      </c>
      <c r="BA12" s="489">
        <v>-0.014499999999999957</v>
      </c>
      <c r="BB12" s="489">
        <v>0.031100000000000017</v>
      </c>
      <c r="BC12" s="489">
        <v>0.009500000000000008</v>
      </c>
      <c r="BD12" s="489">
        <v>-0.03280000000000005</v>
      </c>
      <c r="BE12" s="489">
        <v>-0.026100000000000012</v>
      </c>
      <c r="BF12" s="489">
        <v>0.02959999999999996</v>
      </c>
      <c r="BG12" s="489">
        <v>0.5091999999999999</v>
      </c>
      <c r="BH12" s="489">
        <v>0.7562</v>
      </c>
      <c r="BI12" s="489">
        <v>1.0806</v>
      </c>
      <c r="BJ12" s="489">
        <v>38.0869</v>
      </c>
      <c r="BK12" s="281"/>
      <c r="BL12" s="489">
        <v>-18.967239034402112</v>
      </c>
      <c r="BM12" s="489">
        <v>-0.25575384672718876</v>
      </c>
      <c r="BN12" s="489">
        <v>-0.2512022993185201</v>
      </c>
      <c r="BO12" s="489">
        <v>-0.18352397433422837</v>
      </c>
      <c r="BP12" s="489">
        <v>-0.12586728327013968</v>
      </c>
      <c r="BQ12" s="489">
        <v>-0.09629745779055193</v>
      </c>
      <c r="BR12" s="489">
        <v>-0.130235763461349</v>
      </c>
      <c r="BS12" s="489">
        <v>1.0937662433457045</v>
      </c>
      <c r="BT12" s="489">
        <v>1.2751650355902306</v>
      </c>
      <c r="BU12" s="489">
        <v>1.6403621769775965</v>
      </c>
      <c r="BV12" s="489">
        <v>37.891098769169176</v>
      </c>
      <c r="BW12" s="281"/>
      <c r="BX12" s="486">
        <f t="shared" ref="BX12:CH12" si="4">IFERROR(BL12-AZ12,"")</f>
        <v>-20.61933903</v>
      </c>
      <c r="BY12" s="486">
        <f t="shared" si="4"/>
        <v>-0.2412538467</v>
      </c>
      <c r="BZ12" s="486">
        <f t="shared" si="4"/>
        <v>-0.2823022993</v>
      </c>
      <c r="CA12" s="486">
        <f t="shared" si="4"/>
        <v>-0.1930239743</v>
      </c>
      <c r="CB12" s="486">
        <f t="shared" si="4"/>
        <v>-0.09306728327</v>
      </c>
      <c r="CC12" s="486">
        <f t="shared" si="4"/>
        <v>-0.07019745779</v>
      </c>
      <c r="CD12" s="486">
        <f t="shared" si="4"/>
        <v>-0.1598357635</v>
      </c>
      <c r="CE12" s="486">
        <f t="shared" si="4"/>
        <v>0.5845662433</v>
      </c>
      <c r="CF12" s="486">
        <f t="shared" si="4"/>
        <v>0.5189650356</v>
      </c>
      <c r="CG12" s="486">
        <f t="shared" si="4"/>
        <v>0.559762177</v>
      </c>
      <c r="CH12" s="486">
        <f t="shared" si="4"/>
        <v>-0.1958012308</v>
      </c>
      <c r="CK12" s="180" t="s">
        <v>375</v>
      </c>
    </row>
    <row r="13">
      <c r="A13" s="224"/>
      <c r="B13" s="477">
        <v>5.0</v>
      </c>
      <c r="C13" s="477" t="s">
        <v>1923</v>
      </c>
      <c r="D13" s="490">
        <v>28.31281003217935</v>
      </c>
      <c r="E13" s="490">
        <v>0.3245011434831238</v>
      </c>
      <c r="F13" s="490">
        <v>0.3636082142525325</v>
      </c>
      <c r="G13" s="490">
        <v>0.1827973905814743</v>
      </c>
      <c r="H13" s="490">
        <v>0.39499295431226566</v>
      </c>
      <c r="I13" s="490">
        <v>0.3734090227334737</v>
      </c>
      <c r="J13" s="490">
        <v>0.2526047329655652</v>
      </c>
      <c r="K13" s="490">
        <v>0.4727043570699368</v>
      </c>
      <c r="L13" s="490">
        <v>0.9336002081983601</v>
      </c>
      <c r="M13" s="490">
        <v>1.3010354339551882</v>
      </c>
      <c r="N13" s="490">
        <v>26.88783533348994</v>
      </c>
      <c r="O13" s="453"/>
      <c r="P13" s="490">
        <v>21.628737430843618</v>
      </c>
      <c r="Q13" s="490">
        <v>0.18377518240655794</v>
      </c>
      <c r="R13" s="490">
        <v>0.15851327678138297</v>
      </c>
      <c r="S13" s="490">
        <v>0.07324250726602909</v>
      </c>
      <c r="T13" s="490">
        <v>0.28477502068759997</v>
      </c>
      <c r="U13" s="490">
        <v>0.30665158667881887</v>
      </c>
      <c r="V13" s="490">
        <v>0.13623497194246115</v>
      </c>
      <c r="W13" s="490">
        <v>0.9858334148943781</v>
      </c>
      <c r="X13" s="490">
        <v>1.3095607259744828</v>
      </c>
      <c r="Y13" s="490">
        <v>1.6179759607823183</v>
      </c>
      <c r="Z13" s="490">
        <v>26.907025644424365</v>
      </c>
      <c r="AA13" s="487"/>
      <c r="AB13" s="491">
        <v>-6.684072601335732</v>
      </c>
      <c r="AC13" s="491">
        <v>-0.14072596107656588</v>
      </c>
      <c r="AD13" s="491">
        <v>-0.2050949374711495</v>
      </c>
      <c r="AE13" s="491">
        <v>-0.1095548833154452</v>
      </c>
      <c r="AF13" s="491">
        <v>-0.1102179336246657</v>
      </c>
      <c r="AG13" s="491">
        <v>-0.06675743605465484</v>
      </c>
      <c r="AH13" s="491">
        <v>-0.11636976102310403</v>
      </c>
      <c r="AI13" s="491">
        <v>0.5131290578244414</v>
      </c>
      <c r="AJ13" s="491">
        <v>0.3759605177761227</v>
      </c>
      <c r="AK13" s="491">
        <v>0.31694052682713014</v>
      </c>
      <c r="AL13" s="491">
        <v>0.01919031093442669</v>
      </c>
      <c r="AM13" s="281"/>
      <c r="AN13" s="488">
        <v>51.129</v>
      </c>
      <c r="AO13" s="488">
        <v>0.572</v>
      </c>
      <c r="AP13" s="488">
        <v>0.579</v>
      </c>
      <c r="AQ13" s="488">
        <v>0.3075</v>
      </c>
      <c r="AR13" s="488">
        <v>0.7284</v>
      </c>
      <c r="AS13" s="488">
        <v>0.7168</v>
      </c>
      <c r="AT13" s="488">
        <v>0.4135</v>
      </c>
      <c r="AU13" s="488">
        <v>0.4944</v>
      </c>
      <c r="AV13" s="488">
        <v>0.7315</v>
      </c>
      <c r="AW13" s="488">
        <v>0.9201</v>
      </c>
      <c r="AX13" s="488">
        <v>0.001</v>
      </c>
      <c r="AY13" s="281"/>
      <c r="AZ13" s="489">
        <v>-7.308099999999996</v>
      </c>
      <c r="BA13" s="489">
        <v>-0.04599999999999993</v>
      </c>
      <c r="BB13" s="489">
        <v>-0.0776</v>
      </c>
      <c r="BC13" s="489">
        <v>-0.01319999999999999</v>
      </c>
      <c r="BD13" s="489">
        <v>-0.06720000000000004</v>
      </c>
      <c r="BE13" s="489">
        <v>-0.061799999999999966</v>
      </c>
      <c r="BF13" s="489">
        <v>0.025000000000000022</v>
      </c>
      <c r="BG13" s="489">
        <v>0.5031000000000001</v>
      </c>
      <c r="BH13" s="489">
        <v>0.8524</v>
      </c>
      <c r="BI13" s="489">
        <v>1.1456</v>
      </c>
      <c r="BJ13" s="489">
        <v>50.8421</v>
      </c>
      <c r="BK13" s="281"/>
      <c r="BL13" s="489">
        <v>-13.992172601335728</v>
      </c>
      <c r="BM13" s="489">
        <v>-0.1867259610765658</v>
      </c>
      <c r="BN13" s="489">
        <v>-0.2826949374711495</v>
      </c>
      <c r="BO13" s="489">
        <v>-0.12275488331544519</v>
      </c>
      <c r="BP13" s="489">
        <v>-0.17741793362466574</v>
      </c>
      <c r="BQ13" s="489">
        <v>-0.1285574360546548</v>
      </c>
      <c r="BR13" s="489">
        <v>-0.09136976102310401</v>
      </c>
      <c r="BS13" s="489">
        <v>1.0162290578244415</v>
      </c>
      <c r="BT13" s="489">
        <v>1.2283605177761228</v>
      </c>
      <c r="BU13" s="489">
        <v>1.46254052682713</v>
      </c>
      <c r="BV13" s="489">
        <v>50.86129031093443</v>
      </c>
      <c r="BW13" s="281"/>
      <c r="BX13" s="486">
        <f t="shared" ref="BX13:CH13" si="5">IFERROR(BL13-AZ13,"")</f>
        <v>-6.684072601</v>
      </c>
      <c r="BY13" s="486">
        <f t="shared" si="5"/>
        <v>-0.1407259611</v>
      </c>
      <c r="BZ13" s="486">
        <f t="shared" si="5"/>
        <v>-0.2050949375</v>
      </c>
      <c r="CA13" s="486">
        <f t="shared" si="5"/>
        <v>-0.1095548833</v>
      </c>
      <c r="CB13" s="486">
        <f t="shared" si="5"/>
        <v>-0.1102179336</v>
      </c>
      <c r="CC13" s="486">
        <f t="shared" si="5"/>
        <v>-0.06675743605</v>
      </c>
      <c r="CD13" s="486">
        <f t="shared" si="5"/>
        <v>-0.116369761</v>
      </c>
      <c r="CE13" s="486">
        <f t="shared" si="5"/>
        <v>0.5131290578</v>
      </c>
      <c r="CF13" s="486">
        <f t="shared" si="5"/>
        <v>0.3759605178</v>
      </c>
      <c r="CG13" s="486">
        <f t="shared" si="5"/>
        <v>0.3169405268</v>
      </c>
      <c r="CH13" s="486">
        <f t="shared" si="5"/>
        <v>0.01919031093</v>
      </c>
      <c r="CK13" s="180" t="s">
        <v>43</v>
      </c>
    </row>
    <row r="14">
      <c r="A14" s="224"/>
      <c r="B14" s="477">
        <v>6.0</v>
      </c>
      <c r="C14" s="477" t="s">
        <v>1924</v>
      </c>
      <c r="D14" s="478">
        <v>22.6411551409812</v>
      </c>
      <c r="E14" s="478">
        <v>0.2635999467563442</v>
      </c>
      <c r="F14" s="478">
        <v>0.270728380807022</v>
      </c>
      <c r="G14" s="478">
        <v>0.1633332570225978</v>
      </c>
      <c r="H14" s="478">
        <v>0.36821072245183467</v>
      </c>
      <c r="I14" s="478">
        <v>0.3524969625903345</v>
      </c>
      <c r="J14" s="478">
        <v>0.23307923784422965</v>
      </c>
      <c r="K14" s="478">
        <v>0.48255717096850764</v>
      </c>
      <c r="L14" s="478">
        <v>0.864185598426302</v>
      </c>
      <c r="M14" s="478">
        <v>1.1377790671793433</v>
      </c>
      <c r="N14" s="478">
        <v>24.796574009839297</v>
      </c>
      <c r="O14" s="453"/>
      <c r="P14" s="478">
        <v>26.64591112102022</v>
      </c>
      <c r="Q14" s="478">
        <v>0.441009786864974</v>
      </c>
      <c r="R14" s="478">
        <v>0.3921751477311786</v>
      </c>
      <c r="S14" s="478">
        <v>0.22174648999199936</v>
      </c>
      <c r="T14" s="478">
        <v>1.0145452993525739</v>
      </c>
      <c r="U14" s="478">
        <v>0.7842146344181387</v>
      </c>
      <c r="V14" s="478">
        <v>0.6424964171492432</v>
      </c>
      <c r="W14" s="478">
        <v>0.2553692921806288</v>
      </c>
      <c r="X14" s="478">
        <v>0.7581982105252749</v>
      </c>
      <c r="Y14" s="478">
        <v>2.462172060576677</v>
      </c>
      <c r="Z14" s="478">
        <v>37.32193107312436</v>
      </c>
      <c r="AA14" s="487"/>
      <c r="AB14" s="481">
        <v>4.004755980039018</v>
      </c>
      <c r="AC14" s="481">
        <v>0.1774098401086298</v>
      </c>
      <c r="AD14" s="481">
        <v>0.12144676692415662</v>
      </c>
      <c r="AE14" s="481">
        <v>0.05841323296940157</v>
      </c>
      <c r="AF14" s="481">
        <v>0.6463345769007391</v>
      </c>
      <c r="AG14" s="481">
        <v>0.4317176718278042</v>
      </c>
      <c r="AH14" s="481">
        <v>0.40941717930501353</v>
      </c>
      <c r="AI14" s="481">
        <v>-0.22718787878787883</v>
      </c>
      <c r="AJ14" s="481">
        <v>-0.10598738790102713</v>
      </c>
      <c r="AK14" s="481">
        <v>1.3243929933973335</v>
      </c>
      <c r="AL14" s="481">
        <v>12.525357063285064</v>
      </c>
      <c r="AM14" s="281"/>
      <c r="AN14" s="488">
        <v>68.0724</v>
      </c>
      <c r="AO14" s="488">
        <v>0.7075</v>
      </c>
      <c r="AP14" s="488">
        <v>0.7189</v>
      </c>
      <c r="AQ14" s="488">
        <v>0.479</v>
      </c>
      <c r="AR14" s="488">
        <v>0.8395</v>
      </c>
      <c r="AS14" s="488">
        <v>0.8691</v>
      </c>
      <c r="AT14" s="488">
        <v>0.472</v>
      </c>
      <c r="AU14" s="488">
        <v>0.762</v>
      </c>
      <c r="AV14" s="488">
        <v>1.5393</v>
      </c>
      <c r="AW14" s="488">
        <v>1.9138</v>
      </c>
      <c r="AX14" s="488">
        <v>0.0</v>
      </c>
      <c r="AY14" s="281"/>
      <c r="AZ14" s="489">
        <v>11.250399999999999</v>
      </c>
      <c r="BA14" s="489">
        <v>0.06679999999999997</v>
      </c>
      <c r="BB14" s="489">
        <v>0.10520000000000007</v>
      </c>
      <c r="BC14" s="489">
        <v>0.13390000000000002</v>
      </c>
      <c r="BD14" s="489">
        <v>-0.05290000000000006</v>
      </c>
      <c r="BE14" s="489">
        <v>0.039100000000000024</v>
      </c>
      <c r="BF14" s="489">
        <v>0.11509999999999998</v>
      </c>
      <c r="BG14" s="489">
        <v>0.6186</v>
      </c>
      <c r="BH14" s="489">
        <v>1.5428000000000002</v>
      </c>
      <c r="BI14" s="489">
        <v>2.1367000000000003</v>
      </c>
      <c r="BJ14" s="489">
        <v>60.8541</v>
      </c>
      <c r="BK14" s="281"/>
      <c r="BL14" s="489">
        <v>15.255155980039017</v>
      </c>
      <c r="BM14" s="489">
        <v>0.24420984010862978</v>
      </c>
      <c r="BN14" s="489">
        <v>0.2266467669241567</v>
      </c>
      <c r="BO14" s="489">
        <v>0.1923132329694016</v>
      </c>
      <c r="BP14" s="489">
        <v>0.5934345769007391</v>
      </c>
      <c r="BQ14" s="489">
        <v>0.4708176718278042</v>
      </c>
      <c r="BR14" s="489">
        <v>0.5245171793050135</v>
      </c>
      <c r="BS14" s="489">
        <v>0.3914121212121212</v>
      </c>
      <c r="BT14" s="489">
        <v>1.436812612098973</v>
      </c>
      <c r="BU14" s="489">
        <v>3.461092993397334</v>
      </c>
      <c r="BV14" s="489">
        <v>73.37945706328506</v>
      </c>
      <c r="BW14" s="281"/>
      <c r="BX14" s="486">
        <f t="shared" ref="BX14:CH14" si="6">IFERROR(BL14-AZ14,"")</f>
        <v>4.00475598</v>
      </c>
      <c r="BY14" s="486">
        <f t="shared" si="6"/>
        <v>0.1774098401</v>
      </c>
      <c r="BZ14" s="486">
        <f t="shared" si="6"/>
        <v>0.1214467669</v>
      </c>
      <c r="CA14" s="486">
        <f t="shared" si="6"/>
        <v>0.05841323297</v>
      </c>
      <c r="CB14" s="486">
        <f t="shared" si="6"/>
        <v>0.6463345769</v>
      </c>
      <c r="CC14" s="486">
        <f t="shared" si="6"/>
        <v>0.4317176718</v>
      </c>
      <c r="CD14" s="486">
        <f t="shared" si="6"/>
        <v>0.4094171793</v>
      </c>
      <c r="CE14" s="486">
        <f t="shared" si="6"/>
        <v>-0.2271878788</v>
      </c>
      <c r="CF14" s="486">
        <f t="shared" si="6"/>
        <v>-0.1059873879</v>
      </c>
      <c r="CG14" s="486">
        <f t="shared" si="6"/>
        <v>1.324392993</v>
      </c>
      <c r="CH14" s="486">
        <f t="shared" si="6"/>
        <v>12.52535706</v>
      </c>
      <c r="CK14" s="180" t="s">
        <v>50</v>
      </c>
    </row>
    <row r="15">
      <c r="A15" s="224"/>
      <c r="B15" s="477">
        <v>7.0</v>
      </c>
      <c r="C15" s="477" t="s">
        <v>1925</v>
      </c>
      <c r="D15" s="478">
        <v>22.701799442317004</v>
      </c>
      <c r="E15" s="478">
        <v>0.24000661061894957</v>
      </c>
      <c r="F15" s="478">
        <v>0.2363137758318126</v>
      </c>
      <c r="G15" s="478">
        <v>0.15288316305478775</v>
      </c>
      <c r="H15" s="478">
        <v>0.3382267734414048</v>
      </c>
      <c r="I15" s="478">
        <v>0.3524236057134386</v>
      </c>
      <c r="J15" s="478">
        <v>0.19687501465786475</v>
      </c>
      <c r="K15" s="478">
        <v>0.6544875009685077</v>
      </c>
      <c r="L15" s="478">
        <v>1.0915192183956042</v>
      </c>
      <c r="M15" s="478">
        <v>1.4187045507659939</v>
      </c>
      <c r="N15" s="478">
        <v>23.541813440292408</v>
      </c>
      <c r="O15" s="453"/>
      <c r="P15" s="478">
        <v>28.98730060413081</v>
      </c>
      <c r="Q15" s="478">
        <v>0.47509647802923033</v>
      </c>
      <c r="R15" s="478">
        <v>0.44080591585568285</v>
      </c>
      <c r="S15" s="478">
        <v>0.233471919615592</v>
      </c>
      <c r="T15" s="478">
        <v>1.0517229728130753</v>
      </c>
      <c r="U15" s="478">
        <v>0.8144957293235549</v>
      </c>
      <c r="V15" s="478">
        <v>0.6677196797083239</v>
      </c>
      <c r="W15" s="478">
        <v>0.2553692921806288</v>
      </c>
      <c r="X15" s="478">
        <v>0.8441307471839252</v>
      </c>
      <c r="Y15" s="478">
        <v>2.6465943208818388</v>
      </c>
      <c r="Z15" s="478">
        <v>40.160598108074744</v>
      </c>
      <c r="AA15" s="487"/>
      <c r="AB15" s="481">
        <v>6.285501161813805</v>
      </c>
      <c r="AC15" s="481">
        <v>0.23508986741028076</v>
      </c>
      <c r="AD15" s="481">
        <v>0.20449214002387026</v>
      </c>
      <c r="AE15" s="481">
        <v>0.08058875656080425</v>
      </c>
      <c r="AF15" s="481">
        <v>0.7134961993716704</v>
      </c>
      <c r="AG15" s="481">
        <v>0.46207212361011624</v>
      </c>
      <c r="AH15" s="481">
        <v>0.4708446650504592</v>
      </c>
      <c r="AI15" s="481">
        <v>-0.3991182087878789</v>
      </c>
      <c r="AJ15" s="481">
        <v>-0.24738847121167895</v>
      </c>
      <c r="AK15" s="481">
        <v>1.2278897701158449</v>
      </c>
      <c r="AL15" s="481">
        <v>16.618784667782336</v>
      </c>
      <c r="AM15" s="281"/>
      <c r="AN15" s="488">
        <v>58.4396</v>
      </c>
      <c r="AO15" s="488">
        <v>0.6176</v>
      </c>
      <c r="AP15" s="488">
        <v>0.642</v>
      </c>
      <c r="AQ15" s="488">
        <v>0.372</v>
      </c>
      <c r="AR15" s="488">
        <v>0.7096</v>
      </c>
      <c r="AS15" s="488">
        <v>0.7219</v>
      </c>
      <c r="AT15" s="488">
        <v>0.4068</v>
      </c>
      <c r="AU15" s="488">
        <v>1.1323</v>
      </c>
      <c r="AV15" s="488">
        <v>1.1536</v>
      </c>
      <c r="AW15" s="488">
        <v>1.3414</v>
      </c>
      <c r="AX15" s="488">
        <v>0.0</v>
      </c>
      <c r="AY15" s="281"/>
      <c r="AZ15" s="489">
        <v>3.6399000000000044</v>
      </c>
      <c r="BA15" s="489">
        <v>-0.036700000000000066</v>
      </c>
      <c r="BB15" s="489">
        <v>-0.018100000000000005</v>
      </c>
      <c r="BC15" s="489">
        <v>-0.0019000000000000128</v>
      </c>
      <c r="BD15" s="489">
        <v>-0.07710000000000006</v>
      </c>
      <c r="BE15" s="489">
        <v>-0.08709999999999996</v>
      </c>
      <c r="BF15" s="489">
        <v>-0.0474</v>
      </c>
      <c r="BG15" s="489">
        <v>0.8119999999999998</v>
      </c>
      <c r="BH15" s="489">
        <v>1.1389</v>
      </c>
      <c r="BI15" s="489">
        <v>1.5170000000000001</v>
      </c>
      <c r="BJ15" s="489">
        <v>38.8403</v>
      </c>
      <c r="BK15" s="281"/>
      <c r="BL15" s="489">
        <v>9.92540116181381</v>
      </c>
      <c r="BM15" s="489">
        <v>0.1983898674102807</v>
      </c>
      <c r="BN15" s="489">
        <v>0.18639214002387025</v>
      </c>
      <c r="BO15" s="489">
        <v>0.07868875656080423</v>
      </c>
      <c r="BP15" s="489">
        <v>0.6363961993716704</v>
      </c>
      <c r="BQ15" s="489">
        <v>0.3749721236101163</v>
      </c>
      <c r="BR15" s="489">
        <v>0.4234446650504592</v>
      </c>
      <c r="BS15" s="489">
        <v>0.41288179121212093</v>
      </c>
      <c r="BT15" s="489">
        <v>0.8915115287883211</v>
      </c>
      <c r="BU15" s="489">
        <v>2.744889770115845</v>
      </c>
      <c r="BV15" s="489">
        <v>55.459084667782335</v>
      </c>
      <c r="BW15" s="281"/>
      <c r="BX15" s="486">
        <f t="shared" ref="BX15:CH15" si="7">IFERROR(BL15-AZ15,"")</f>
        <v>6.285501162</v>
      </c>
      <c r="BY15" s="486">
        <f t="shared" si="7"/>
        <v>0.2350898674</v>
      </c>
      <c r="BZ15" s="486">
        <f t="shared" si="7"/>
        <v>0.20449214</v>
      </c>
      <c r="CA15" s="486">
        <f t="shared" si="7"/>
        <v>0.08058875656</v>
      </c>
      <c r="CB15" s="486">
        <f t="shared" si="7"/>
        <v>0.7134961994</v>
      </c>
      <c r="CC15" s="486">
        <f t="shared" si="7"/>
        <v>0.4620721236</v>
      </c>
      <c r="CD15" s="486">
        <f t="shared" si="7"/>
        <v>0.4708446651</v>
      </c>
      <c r="CE15" s="486">
        <f t="shared" si="7"/>
        <v>-0.3991182088</v>
      </c>
      <c r="CF15" s="486">
        <f t="shared" si="7"/>
        <v>-0.2473884712</v>
      </c>
      <c r="CG15" s="486">
        <f t="shared" si="7"/>
        <v>1.22788977</v>
      </c>
      <c r="CH15" s="486">
        <f t="shared" si="7"/>
        <v>16.61878467</v>
      </c>
      <c r="CK15" s="180" t="s">
        <v>377</v>
      </c>
    </row>
    <row r="16">
      <c r="A16" s="224"/>
      <c r="B16" s="477">
        <v>8.0</v>
      </c>
      <c r="C16" s="477" t="s">
        <v>1919</v>
      </c>
      <c r="D16" s="478">
        <v>23.441934642317005</v>
      </c>
      <c r="E16" s="478">
        <v>0.24000661061894957</v>
      </c>
      <c r="F16" s="478">
        <v>0.23755249583181257</v>
      </c>
      <c r="G16" s="478">
        <v>0.15288316305478775</v>
      </c>
      <c r="H16" s="478">
        <v>0.3536854934414047</v>
      </c>
      <c r="I16" s="478">
        <v>0.38059816571343863</v>
      </c>
      <c r="J16" s="478">
        <v>0.19719101465786473</v>
      </c>
      <c r="K16" s="478">
        <v>0.764773629837549</v>
      </c>
      <c r="L16" s="478">
        <v>1.3174844983956042</v>
      </c>
      <c r="M16" s="478">
        <v>1.7709307907659937</v>
      </c>
      <c r="N16" s="478">
        <v>25.385660800292406</v>
      </c>
      <c r="O16" s="453"/>
      <c r="P16" s="478">
        <v>26.576302229978687</v>
      </c>
      <c r="Q16" s="478">
        <v>0.4395078720137162</v>
      </c>
      <c r="R16" s="478">
        <v>0.38986140648310186</v>
      </c>
      <c r="S16" s="478">
        <v>0.22108125336603457</v>
      </c>
      <c r="T16" s="478">
        <v>1.011102060508923</v>
      </c>
      <c r="U16" s="478">
        <v>0.7814132210576871</v>
      </c>
      <c r="V16" s="478">
        <v>0.6401603452726825</v>
      </c>
      <c r="W16" s="478">
        <v>0.2553692921806288</v>
      </c>
      <c r="X16" s="478">
        <v>0.7502395024993174</v>
      </c>
      <c r="Y16" s="478">
        <v>2.4450916509864613</v>
      </c>
      <c r="Z16" s="478">
        <v>37.05902574072596</v>
      </c>
      <c r="AA16" s="487"/>
      <c r="AB16" s="481">
        <v>3.134367587661682</v>
      </c>
      <c r="AC16" s="481">
        <v>0.19950126139476665</v>
      </c>
      <c r="AD16" s="481">
        <v>0.1523089106512893</v>
      </c>
      <c r="AE16" s="481">
        <v>0.06819809031124682</v>
      </c>
      <c r="AF16" s="481">
        <v>0.6574165670675183</v>
      </c>
      <c r="AG16" s="481">
        <v>0.40081505534424844</v>
      </c>
      <c r="AH16" s="481">
        <v>0.4429693306148178</v>
      </c>
      <c r="AI16" s="481">
        <v>-0.5094043376569202</v>
      </c>
      <c r="AJ16" s="481">
        <v>-0.5672449958962869</v>
      </c>
      <c r="AK16" s="481">
        <v>0.6741608602204676</v>
      </c>
      <c r="AL16" s="481">
        <v>11.67336494043355</v>
      </c>
      <c r="AM16" s="281"/>
      <c r="AN16" s="488">
        <v>47.1254</v>
      </c>
      <c r="AO16" s="488">
        <v>0.5298</v>
      </c>
      <c r="AP16" s="488">
        <v>0.5299</v>
      </c>
      <c r="AQ16" s="488">
        <v>0.2959</v>
      </c>
      <c r="AR16" s="488">
        <v>0.6634</v>
      </c>
      <c r="AS16" s="488">
        <v>0.6493</v>
      </c>
      <c r="AT16" s="488">
        <v>0.3823</v>
      </c>
      <c r="AU16" s="488">
        <v>1.0183</v>
      </c>
      <c r="AV16" s="488">
        <v>0.8217</v>
      </c>
      <c r="AW16" s="488">
        <v>0.9927</v>
      </c>
      <c r="AX16" s="488">
        <v>2.0E-4</v>
      </c>
      <c r="AY16" s="281"/>
      <c r="AZ16" s="489">
        <v>-6.434100000000001</v>
      </c>
      <c r="BA16" s="489">
        <v>-0.06170000000000003</v>
      </c>
      <c r="BB16" s="489">
        <v>-0.11250000000000004</v>
      </c>
      <c r="BC16" s="489">
        <v>-0.04059999999999997</v>
      </c>
      <c r="BD16" s="489">
        <v>-0.06040000000000001</v>
      </c>
      <c r="BE16" s="489">
        <v>-0.07999999999999996</v>
      </c>
      <c r="BF16" s="489">
        <v>-0.049199999999999966</v>
      </c>
      <c r="BG16" s="489">
        <v>0.8427</v>
      </c>
      <c r="BH16" s="489">
        <v>0.8986</v>
      </c>
      <c r="BI16" s="489">
        <v>1.2203999999999997</v>
      </c>
      <c r="BJ16" s="489">
        <v>54.6353</v>
      </c>
      <c r="BK16" s="281"/>
      <c r="BL16" s="489">
        <v>-3.2997324123383187</v>
      </c>
      <c r="BM16" s="489">
        <v>0.13780126139476662</v>
      </c>
      <c r="BN16" s="489">
        <v>0.03980891065128925</v>
      </c>
      <c r="BO16" s="489">
        <v>0.027598090311246853</v>
      </c>
      <c r="BP16" s="489">
        <v>0.5970165670675183</v>
      </c>
      <c r="BQ16" s="489">
        <v>0.3208150553442485</v>
      </c>
      <c r="BR16" s="489">
        <v>0.39376933061481784</v>
      </c>
      <c r="BS16" s="489">
        <v>0.33329566234307983</v>
      </c>
      <c r="BT16" s="489">
        <v>0.3313550041037131</v>
      </c>
      <c r="BU16" s="489">
        <v>1.8945608602204673</v>
      </c>
      <c r="BV16" s="489">
        <v>66.30866494043354</v>
      </c>
      <c r="BW16" s="281"/>
      <c r="BX16" s="486">
        <f t="shared" ref="BX16:CH16" si="8">IFERROR(BL16-AZ16,"")</f>
        <v>3.134367588</v>
      </c>
      <c r="BY16" s="486">
        <f t="shared" si="8"/>
        <v>0.1995012614</v>
      </c>
      <c r="BZ16" s="486">
        <f t="shared" si="8"/>
        <v>0.1523089107</v>
      </c>
      <c r="CA16" s="486">
        <f t="shared" si="8"/>
        <v>0.06819809031</v>
      </c>
      <c r="CB16" s="486">
        <f t="shared" si="8"/>
        <v>0.6574165671</v>
      </c>
      <c r="CC16" s="486">
        <f t="shared" si="8"/>
        <v>0.4008150553</v>
      </c>
      <c r="CD16" s="486">
        <f t="shared" si="8"/>
        <v>0.4429693306</v>
      </c>
      <c r="CE16" s="486">
        <f t="shared" si="8"/>
        <v>-0.5094043377</v>
      </c>
      <c r="CF16" s="486">
        <f t="shared" si="8"/>
        <v>-0.5672449959</v>
      </c>
      <c r="CG16" s="486">
        <f t="shared" si="8"/>
        <v>0.6741608602</v>
      </c>
      <c r="CH16" s="486">
        <f t="shared" si="8"/>
        <v>11.67336494</v>
      </c>
      <c r="CK16" s="180" t="s">
        <v>35</v>
      </c>
    </row>
    <row r="17">
      <c r="A17" s="224"/>
      <c r="B17" s="477">
        <v>9.0</v>
      </c>
      <c r="C17" s="477" t="s">
        <v>1920</v>
      </c>
      <c r="D17" s="478">
        <v>26.734264303870393</v>
      </c>
      <c r="E17" s="478">
        <v>0.2785340004525976</v>
      </c>
      <c r="F17" s="478">
        <v>0.26876625608431354</v>
      </c>
      <c r="G17" s="478">
        <v>0.1575463141235405</v>
      </c>
      <c r="H17" s="478">
        <v>0.359036370310402</v>
      </c>
      <c r="I17" s="478">
        <v>0.3843891774535453</v>
      </c>
      <c r="J17" s="478">
        <v>0.20729197873417635</v>
      </c>
      <c r="K17" s="478">
        <v>0.7456428509685077</v>
      </c>
      <c r="L17" s="478">
        <v>1.2783338683956045</v>
      </c>
      <c r="M17" s="478">
        <v>1.7099042507659943</v>
      </c>
      <c r="N17" s="478">
        <v>28.744618376669095</v>
      </c>
      <c r="O17" s="453"/>
      <c r="P17" s="478">
        <v>26.895271230125864</v>
      </c>
      <c r="Q17" s="478">
        <v>0.42995784790494246</v>
      </c>
      <c r="R17" s="478">
        <v>0.3712686113188902</v>
      </c>
      <c r="S17" s="478">
        <v>0.21347886210011008</v>
      </c>
      <c r="T17" s="478">
        <v>0.9482396864849716</v>
      </c>
      <c r="U17" s="478">
        <v>0.7303019007607944</v>
      </c>
      <c r="V17" s="478">
        <v>0.5975112492560143</v>
      </c>
      <c r="W17" s="478">
        <v>0.2553692921806288</v>
      </c>
      <c r="X17" s="478">
        <v>0.6049393059713618</v>
      </c>
      <c r="Y17" s="478">
        <v>2.133258767792126</v>
      </c>
      <c r="Z17" s="478">
        <v>32.25922703707394</v>
      </c>
      <c r="AA17" s="487"/>
      <c r="AB17" s="481">
        <v>0.16100692625547097</v>
      </c>
      <c r="AC17" s="481">
        <v>0.15142384745234488</v>
      </c>
      <c r="AD17" s="481">
        <v>0.10250235523457668</v>
      </c>
      <c r="AE17" s="481">
        <v>0.055932547976569574</v>
      </c>
      <c r="AF17" s="481">
        <v>0.5892033161745696</v>
      </c>
      <c r="AG17" s="481">
        <v>0.3459127233072491</v>
      </c>
      <c r="AH17" s="481">
        <v>0.3902192705218379</v>
      </c>
      <c r="AI17" s="481">
        <v>-0.49027355878787887</v>
      </c>
      <c r="AJ17" s="481">
        <v>-0.6733945624242427</v>
      </c>
      <c r="AK17" s="481">
        <v>0.4233545170261317</v>
      </c>
      <c r="AL17" s="481">
        <v>3.5146086604048463</v>
      </c>
      <c r="AM17" s="281"/>
      <c r="AN17" s="488">
        <v>47.6926</v>
      </c>
      <c r="AO17" s="488">
        <v>0.5143</v>
      </c>
      <c r="AP17" s="488">
        <v>0.5243</v>
      </c>
      <c r="AQ17" s="488">
        <v>0.2822</v>
      </c>
      <c r="AR17" s="488">
        <v>0.6073</v>
      </c>
      <c r="AS17" s="488">
        <v>0.5822</v>
      </c>
      <c r="AT17" s="488">
        <v>0.3472</v>
      </c>
      <c r="AU17" s="488">
        <v>0.7763</v>
      </c>
      <c r="AV17" s="488">
        <v>0.633</v>
      </c>
      <c r="AW17" s="488">
        <v>0.8816</v>
      </c>
      <c r="AX17" s="488">
        <v>5.0E-4</v>
      </c>
      <c r="AY17" s="281"/>
      <c r="AZ17" s="489">
        <v>0.37890000000000157</v>
      </c>
      <c r="BA17" s="489">
        <v>-0.04899999999999999</v>
      </c>
      <c r="BB17" s="489">
        <v>-0.025499999999999967</v>
      </c>
      <c r="BC17" s="489">
        <v>-0.021600000000000008</v>
      </c>
      <c r="BD17" s="489">
        <v>-0.09099999999999997</v>
      </c>
      <c r="BE17" s="489">
        <v>-0.09440000000000004</v>
      </c>
      <c r="BF17" s="489">
        <v>-0.062</v>
      </c>
      <c r="BG17" s="489">
        <v>0.6724000000000001</v>
      </c>
      <c r="BH17" s="489">
        <v>0.7779</v>
      </c>
      <c r="BI17" s="489">
        <v>1.1424999999999996</v>
      </c>
      <c r="BJ17" s="489">
        <v>36.8598</v>
      </c>
      <c r="BK17" s="281"/>
      <c r="BL17" s="489">
        <v>0.5399069262554725</v>
      </c>
      <c r="BM17" s="489">
        <v>0.1024238474523449</v>
      </c>
      <c r="BN17" s="489">
        <v>0.07700235523457671</v>
      </c>
      <c r="BO17" s="489">
        <v>0.034332547976569566</v>
      </c>
      <c r="BP17" s="489">
        <v>0.4982033161745696</v>
      </c>
      <c r="BQ17" s="489">
        <v>0.25151272330724905</v>
      </c>
      <c r="BR17" s="489">
        <v>0.3282192705218379</v>
      </c>
      <c r="BS17" s="489">
        <v>0.18212644121212124</v>
      </c>
      <c r="BT17" s="489">
        <v>0.10450543757575737</v>
      </c>
      <c r="BU17" s="489">
        <v>1.5658545170261313</v>
      </c>
      <c r="BV17" s="489">
        <v>40.374408660404846</v>
      </c>
      <c r="BW17" s="281"/>
      <c r="BX17" s="486">
        <f t="shared" ref="BX17:CH17" si="9">IFERROR(BL17-AZ17,"")</f>
        <v>0.1610069263</v>
      </c>
      <c r="BY17" s="486">
        <f t="shared" si="9"/>
        <v>0.1514238475</v>
      </c>
      <c r="BZ17" s="486">
        <f t="shared" si="9"/>
        <v>0.1025023552</v>
      </c>
      <c r="CA17" s="486">
        <f t="shared" si="9"/>
        <v>0.05593254798</v>
      </c>
      <c r="CB17" s="486">
        <f t="shared" si="9"/>
        <v>0.5892033162</v>
      </c>
      <c r="CC17" s="486">
        <f t="shared" si="9"/>
        <v>0.3459127233</v>
      </c>
      <c r="CD17" s="486">
        <f t="shared" si="9"/>
        <v>0.3902192705</v>
      </c>
      <c r="CE17" s="486">
        <f t="shared" si="9"/>
        <v>-0.4902735588</v>
      </c>
      <c r="CF17" s="486">
        <f t="shared" si="9"/>
        <v>-0.6733945624</v>
      </c>
      <c r="CG17" s="486">
        <f t="shared" si="9"/>
        <v>0.423354517</v>
      </c>
      <c r="CH17" s="486">
        <f t="shared" si="9"/>
        <v>3.51460866</v>
      </c>
      <c r="CK17" s="180" t="s">
        <v>310</v>
      </c>
    </row>
    <row r="18">
      <c r="A18" s="224"/>
      <c r="B18" s="477">
        <v>10.0</v>
      </c>
      <c r="C18" s="477" t="s">
        <v>1921</v>
      </c>
      <c r="D18" s="490">
        <v>22.00759142921959</v>
      </c>
      <c r="E18" s="490">
        <v>0.23417206725726059</v>
      </c>
      <c r="F18" s="490">
        <v>0.2303304716684915</v>
      </c>
      <c r="G18" s="490">
        <v>0.149093537667588</v>
      </c>
      <c r="H18" s="490">
        <v>0.32767254120364775</v>
      </c>
      <c r="I18" s="490">
        <v>0.34059693447720696</v>
      </c>
      <c r="J18" s="490">
        <v>0.1926391157438956</v>
      </c>
      <c r="K18" s="490">
        <v>0.6277992970699369</v>
      </c>
      <c r="L18" s="490">
        <v>1.0456434685919413</v>
      </c>
      <c r="M18" s="490">
        <v>1.354798651080807</v>
      </c>
      <c r="N18" s="490">
        <v>22.682822106315783</v>
      </c>
      <c r="O18" s="453"/>
      <c r="P18" s="490">
        <v>19.559738070931516</v>
      </c>
      <c r="Q18" s="490">
        <v>0.16257080864292844</v>
      </c>
      <c r="R18" s="490">
        <v>0.14600253259076895</v>
      </c>
      <c r="S18" s="490">
        <v>0.07150471201568798</v>
      </c>
      <c r="T18" s="490">
        <v>0.26904986534551334</v>
      </c>
      <c r="U18" s="490">
        <v>0.2860909128493767</v>
      </c>
      <c r="V18" s="490">
        <v>0.12854985827008386</v>
      </c>
      <c r="W18" s="490">
        <v>0.871155515931827</v>
      </c>
      <c r="X18" s="490">
        <v>1.1168043633988731</v>
      </c>
      <c r="Y18" s="490">
        <v>1.3483340867225668</v>
      </c>
      <c r="Z18" s="490">
        <v>23.40254204198729</v>
      </c>
      <c r="AA18" s="487"/>
      <c r="AB18" s="491">
        <v>-2.447853358288075</v>
      </c>
      <c r="AC18" s="491">
        <v>-0.07160125861433214</v>
      </c>
      <c r="AD18" s="491">
        <v>-0.08432793907772254</v>
      </c>
      <c r="AE18" s="491">
        <v>-0.07758882565190003</v>
      </c>
      <c r="AF18" s="491">
        <v>-0.05862267585813441</v>
      </c>
      <c r="AG18" s="491">
        <v>-0.05450602162783025</v>
      </c>
      <c r="AH18" s="491">
        <v>-0.06408925747381175</v>
      </c>
      <c r="AI18" s="491">
        <v>0.24335621886189018</v>
      </c>
      <c r="AJ18" s="491">
        <v>0.07116089480693177</v>
      </c>
      <c r="AK18" s="491">
        <v>-0.006464564358240166</v>
      </c>
      <c r="AL18" s="491">
        <v>0.719719935671506</v>
      </c>
      <c r="AM18" s="281"/>
      <c r="AN18" s="488">
        <v>50.3493</v>
      </c>
      <c r="AO18" s="488">
        <v>0.5734</v>
      </c>
      <c r="AP18" s="488">
        <v>0.5331</v>
      </c>
      <c r="AQ18" s="488">
        <v>0.2852</v>
      </c>
      <c r="AR18" s="488">
        <v>0.75</v>
      </c>
      <c r="AS18" s="488">
        <v>0.7229</v>
      </c>
      <c r="AT18" s="488">
        <v>0.4467</v>
      </c>
      <c r="AU18" s="488">
        <v>0.7248</v>
      </c>
      <c r="AV18" s="488">
        <v>0.7643</v>
      </c>
      <c r="AW18" s="488">
        <v>0.9436</v>
      </c>
      <c r="AX18" s="488">
        <v>2.0E-4</v>
      </c>
      <c r="AY18" s="281"/>
      <c r="AZ18" s="489">
        <v>0.502600000000001</v>
      </c>
      <c r="BA18" s="489">
        <v>0.007099999999999995</v>
      </c>
      <c r="BB18" s="489">
        <v>-0.050500000000000045</v>
      </c>
      <c r="BC18" s="489">
        <v>-0.026600000000000013</v>
      </c>
      <c r="BD18" s="489">
        <v>0.13749999999999996</v>
      </c>
      <c r="BE18" s="489">
        <v>0.119</v>
      </c>
      <c r="BF18" s="489">
        <v>0.10060000000000002</v>
      </c>
      <c r="BG18" s="489">
        <v>0.9235000000000001</v>
      </c>
      <c r="BH18" s="489">
        <v>1.1362</v>
      </c>
      <c r="BI18" s="489">
        <v>1.4910999999999999</v>
      </c>
      <c r="BJ18" s="489">
        <v>58.5468</v>
      </c>
      <c r="BK18" s="281"/>
      <c r="BL18" s="489">
        <v>-1.945253358288074</v>
      </c>
      <c r="BM18" s="489">
        <v>-0.06450125861433215</v>
      </c>
      <c r="BN18" s="489">
        <v>-0.1348279390777226</v>
      </c>
      <c r="BO18" s="489">
        <v>-0.10418882565190005</v>
      </c>
      <c r="BP18" s="489">
        <v>0.07887732414186555</v>
      </c>
      <c r="BQ18" s="489">
        <v>0.06449397837216975</v>
      </c>
      <c r="BR18" s="489">
        <v>0.03651074252618827</v>
      </c>
      <c r="BS18" s="489">
        <v>1.1668562188618903</v>
      </c>
      <c r="BT18" s="489">
        <v>1.2073608948069319</v>
      </c>
      <c r="BU18" s="489">
        <v>1.4846354356417597</v>
      </c>
      <c r="BV18" s="489">
        <v>59.266519935671504</v>
      </c>
      <c r="BW18" s="281"/>
      <c r="BX18" s="486">
        <f t="shared" ref="BX18:CH18" si="10">IFERROR(BL18-AZ18,"")</f>
        <v>-2.447853358</v>
      </c>
      <c r="BY18" s="486">
        <f t="shared" si="10"/>
        <v>-0.07160125861</v>
      </c>
      <c r="BZ18" s="486">
        <f t="shared" si="10"/>
        <v>-0.08432793908</v>
      </c>
      <c r="CA18" s="486">
        <f t="shared" si="10"/>
        <v>-0.07758882565</v>
      </c>
      <c r="CB18" s="486">
        <f t="shared" si="10"/>
        <v>-0.05862267586</v>
      </c>
      <c r="CC18" s="486">
        <f t="shared" si="10"/>
        <v>-0.05450602163</v>
      </c>
      <c r="CD18" s="486">
        <f t="shared" si="10"/>
        <v>-0.06408925747</v>
      </c>
      <c r="CE18" s="486">
        <f t="shared" si="10"/>
        <v>0.2433562189</v>
      </c>
      <c r="CF18" s="486">
        <f t="shared" si="10"/>
        <v>0.07116089481</v>
      </c>
      <c r="CG18" s="486">
        <f t="shared" si="10"/>
        <v>-0.006464564358</v>
      </c>
      <c r="CH18" s="486">
        <f t="shared" si="10"/>
        <v>0.7197199357</v>
      </c>
      <c r="CK18" s="180" t="s">
        <v>134</v>
      </c>
    </row>
    <row r="19">
      <c r="A19" s="224"/>
      <c r="B19" s="477">
        <v>11.0</v>
      </c>
      <c r="C19" s="477" t="s">
        <v>1922</v>
      </c>
      <c r="D19" s="490">
        <v>22.119852527625575</v>
      </c>
      <c r="E19" s="490">
        <v>0.2590577104813815</v>
      </c>
      <c r="F19" s="490">
        <v>0.266925051349967</v>
      </c>
      <c r="G19" s="490">
        <v>0.16011602760402718</v>
      </c>
      <c r="H19" s="490">
        <v>0.3629795794344861</v>
      </c>
      <c r="I19" s="490">
        <v>0.3473827084813347</v>
      </c>
      <c r="J19" s="490">
        <v>0.2309016377946506</v>
      </c>
      <c r="K19" s="490">
        <v>0.4726780615044575</v>
      </c>
      <c r="L19" s="490">
        <v>0.8596604465591837</v>
      </c>
      <c r="M19" s="490">
        <v>1.1423512091185737</v>
      </c>
      <c r="N19" s="490">
        <v>24.44533366766613</v>
      </c>
      <c r="O19" s="453"/>
      <c r="P19" s="490">
        <v>20.087965695764996</v>
      </c>
      <c r="Q19" s="490">
        <v>0.16274652137822004</v>
      </c>
      <c r="R19" s="490">
        <v>0.14603767513782728</v>
      </c>
      <c r="S19" s="490">
        <v>0.0715398545627463</v>
      </c>
      <c r="T19" s="490">
        <v>0.2818886092041498</v>
      </c>
      <c r="U19" s="490">
        <v>0.31214325440193835</v>
      </c>
      <c r="V19" s="490">
        <v>0.12858500081714216</v>
      </c>
      <c r="W19" s="490">
        <v>1.289984391772784</v>
      </c>
      <c r="X19" s="490">
        <v>1.4670818441114173</v>
      </c>
      <c r="Y19" s="490">
        <v>1.751747098587278</v>
      </c>
      <c r="Z19" s="490">
        <v>24.548025077535307</v>
      </c>
      <c r="AA19" s="487"/>
      <c r="AB19" s="491">
        <v>-2.0318868318605787</v>
      </c>
      <c r="AC19" s="491">
        <v>-0.09631118910316144</v>
      </c>
      <c r="AD19" s="491">
        <v>-0.12088737621213974</v>
      </c>
      <c r="AE19" s="491">
        <v>-0.08857617304128089</v>
      </c>
      <c r="AF19" s="491">
        <v>-0.08109097023033629</v>
      </c>
      <c r="AG19" s="491">
        <v>-0.035239454079396326</v>
      </c>
      <c r="AH19" s="491">
        <v>-0.10231663697750842</v>
      </c>
      <c r="AI19" s="491">
        <v>0.8173063302683266</v>
      </c>
      <c r="AJ19" s="491">
        <v>0.6074213975522336</v>
      </c>
      <c r="AK19" s="491">
        <v>0.6093958894687044</v>
      </c>
      <c r="AL19" s="491">
        <v>0.10269140986917691</v>
      </c>
      <c r="AM19" s="281"/>
      <c r="AN19" s="488">
        <v>49.3298</v>
      </c>
      <c r="AO19" s="488">
        <v>0.5484</v>
      </c>
      <c r="AP19" s="488">
        <v>0.5456</v>
      </c>
      <c r="AQ19" s="488">
        <v>0.2852</v>
      </c>
      <c r="AR19" s="488">
        <v>0.6682</v>
      </c>
      <c r="AS19" s="488">
        <v>0.6559</v>
      </c>
      <c r="AT19" s="488">
        <v>0.3897</v>
      </c>
      <c r="AU19" s="488">
        <v>0.2803</v>
      </c>
      <c r="AV19" s="488">
        <v>0.4588</v>
      </c>
      <c r="AW19" s="488">
        <v>0.6776</v>
      </c>
      <c r="AX19" s="488">
        <v>0.0</v>
      </c>
      <c r="AY19" s="281"/>
      <c r="AZ19" s="489">
        <v>-0.164200000000001</v>
      </c>
      <c r="BA19" s="489">
        <v>-0.03369999999999995</v>
      </c>
      <c r="BB19" s="489">
        <v>-0.011900000000000022</v>
      </c>
      <c r="BC19" s="489">
        <v>-0.015300000000000036</v>
      </c>
      <c r="BD19" s="489">
        <v>-0.06400000000000006</v>
      </c>
      <c r="BE19" s="489">
        <v>-0.04760000000000009</v>
      </c>
      <c r="BF19" s="489">
        <v>0.016199999999999992</v>
      </c>
      <c r="BG19" s="489">
        <v>0.32789999999999997</v>
      </c>
      <c r="BH19" s="489">
        <v>0.6663</v>
      </c>
      <c r="BI19" s="489">
        <v>0.9643999999999999</v>
      </c>
      <c r="BJ19" s="489">
        <v>39.6037</v>
      </c>
      <c r="BK19" s="281"/>
      <c r="BL19" s="489">
        <v>-2.1960868318605797</v>
      </c>
      <c r="BM19" s="489">
        <v>-0.1300111891031614</v>
      </c>
      <c r="BN19" s="489">
        <v>-0.13278737621213976</v>
      </c>
      <c r="BO19" s="489">
        <v>-0.10387617304128093</v>
      </c>
      <c r="BP19" s="489">
        <v>-0.14509097023033635</v>
      </c>
      <c r="BQ19" s="489">
        <v>-0.08283945407939641</v>
      </c>
      <c r="BR19" s="489">
        <v>-0.08611663697750843</v>
      </c>
      <c r="BS19" s="489">
        <v>1.1452063302683264</v>
      </c>
      <c r="BT19" s="489">
        <v>1.2737213975522335</v>
      </c>
      <c r="BU19" s="489">
        <v>1.5737958894687043</v>
      </c>
      <c r="BV19" s="489">
        <v>39.706391409869184</v>
      </c>
      <c r="BW19" s="281"/>
      <c r="BX19" s="486">
        <f t="shared" ref="BX19:CH19" si="11">IFERROR(BL19-AZ19,"")</f>
        <v>-2.031886832</v>
      </c>
      <c r="BY19" s="486">
        <f t="shared" si="11"/>
        <v>-0.0963111891</v>
      </c>
      <c r="BZ19" s="486">
        <f t="shared" si="11"/>
        <v>-0.1208873762</v>
      </c>
      <c r="CA19" s="486">
        <f t="shared" si="11"/>
        <v>-0.08857617304</v>
      </c>
      <c r="CB19" s="486">
        <f t="shared" si="11"/>
        <v>-0.08109097023</v>
      </c>
      <c r="CC19" s="486">
        <f t="shared" si="11"/>
        <v>-0.03523945408</v>
      </c>
      <c r="CD19" s="486">
        <f t="shared" si="11"/>
        <v>-0.102316637</v>
      </c>
      <c r="CE19" s="486">
        <f t="shared" si="11"/>
        <v>0.8173063303</v>
      </c>
      <c r="CF19" s="486">
        <f t="shared" si="11"/>
        <v>0.6074213976</v>
      </c>
      <c r="CG19" s="486">
        <f t="shared" si="11"/>
        <v>0.6093958895</v>
      </c>
      <c r="CH19" s="486">
        <f t="shared" si="11"/>
        <v>0.1026914099</v>
      </c>
      <c r="CK19" s="180" t="s">
        <v>379</v>
      </c>
    </row>
    <row r="20">
      <c r="A20" s="224"/>
      <c r="B20" s="477">
        <v>12.0</v>
      </c>
      <c r="C20" s="477" t="s">
        <v>1923</v>
      </c>
      <c r="D20" s="490">
        <v>22.766548548486192</v>
      </c>
      <c r="E20" s="490">
        <v>0.2730111342961693</v>
      </c>
      <c r="F20" s="490">
        <v>0.28842068554329964</v>
      </c>
      <c r="G20" s="490">
        <v>0.16629635704909027</v>
      </c>
      <c r="H20" s="490">
        <v>0.3949687237197071</v>
      </c>
      <c r="I20" s="490">
        <v>0.3734090227334737</v>
      </c>
      <c r="J20" s="490">
        <v>0.2526047329655652</v>
      </c>
      <c r="K20" s="490">
        <v>0.4727043570699368</v>
      </c>
      <c r="L20" s="490">
        <v>0.9336002081983601</v>
      </c>
      <c r="M20" s="490">
        <v>1.3010354339551882</v>
      </c>
      <c r="N20" s="490">
        <v>26.88783533348994</v>
      </c>
      <c r="O20" s="453"/>
      <c r="P20" s="490">
        <v>21.781575823367163</v>
      </c>
      <c r="Q20" s="490">
        <v>0.18295767889098818</v>
      </c>
      <c r="R20" s="490">
        <v>0.15859410206883823</v>
      </c>
      <c r="S20" s="490">
        <v>0.0729467398612536</v>
      </c>
      <c r="T20" s="490">
        <v>0.28524125875617823</v>
      </c>
      <c r="U20" s="490">
        <v>0.31338783015257454</v>
      </c>
      <c r="V20" s="490">
        <v>0.13596676010053182</v>
      </c>
      <c r="W20" s="490">
        <v>1.208792254173769</v>
      </c>
      <c r="X20" s="490">
        <v>1.3991787479966957</v>
      </c>
      <c r="Y20" s="490">
        <v>1.6735434057239653</v>
      </c>
      <c r="Z20" s="490">
        <v>27.002124010765677</v>
      </c>
      <c r="AA20" s="487"/>
      <c r="AB20" s="491">
        <v>-0.9849727251190288</v>
      </c>
      <c r="AC20" s="491">
        <v>-0.09005345540518112</v>
      </c>
      <c r="AD20" s="491">
        <v>-0.1298265834744614</v>
      </c>
      <c r="AE20" s="491">
        <v>-0.09334961718783666</v>
      </c>
      <c r="AF20" s="491">
        <v>-0.10972746496352886</v>
      </c>
      <c r="AG20" s="491">
        <v>-0.06002119258089916</v>
      </c>
      <c r="AH20" s="491">
        <v>-0.11663797286503336</v>
      </c>
      <c r="AI20" s="491">
        <v>0.7360878971038323</v>
      </c>
      <c r="AJ20" s="491">
        <v>0.46557853979833563</v>
      </c>
      <c r="AK20" s="491">
        <v>0.37250797176877715</v>
      </c>
      <c r="AL20" s="491">
        <v>0.11428867727573788</v>
      </c>
      <c r="AM20" s="281"/>
      <c r="AN20" s="488">
        <v>48.8573</v>
      </c>
      <c r="AO20" s="488">
        <v>0.5666</v>
      </c>
      <c r="AP20" s="488">
        <v>0.5638</v>
      </c>
      <c r="AQ20" s="488">
        <v>0.3053</v>
      </c>
      <c r="AR20" s="488">
        <v>0.7156</v>
      </c>
      <c r="AS20" s="488">
        <v>0.6987</v>
      </c>
      <c r="AT20" s="488">
        <v>0.4175</v>
      </c>
      <c r="AU20" s="488">
        <v>0.2328</v>
      </c>
      <c r="AV20" s="488">
        <v>0.5302</v>
      </c>
      <c r="AW20" s="488">
        <v>0.7319</v>
      </c>
      <c r="AX20" s="488">
        <v>2.0E-4</v>
      </c>
      <c r="AY20" s="281"/>
      <c r="AZ20" s="489">
        <v>-7.764800000000001</v>
      </c>
      <c r="BA20" s="489">
        <v>-0.06790000000000002</v>
      </c>
      <c r="BB20" s="489">
        <v>-0.10289999999999999</v>
      </c>
      <c r="BC20" s="489">
        <v>-0.04300000000000004</v>
      </c>
      <c r="BD20" s="489">
        <v>-0.09699999999999998</v>
      </c>
      <c r="BE20" s="489">
        <v>-0.0806</v>
      </c>
      <c r="BF20" s="489">
        <v>0.0029000000000000137</v>
      </c>
      <c r="BG20" s="489">
        <v>0.28600000000000003</v>
      </c>
      <c r="BH20" s="489">
        <v>0.6729</v>
      </c>
      <c r="BI20" s="489">
        <v>0.9438</v>
      </c>
      <c r="BJ20" s="489">
        <v>52.5612</v>
      </c>
      <c r="BK20" s="281"/>
      <c r="BL20" s="489">
        <v>-8.74977272511903</v>
      </c>
      <c r="BM20" s="489">
        <v>-0.15795345540518113</v>
      </c>
      <c r="BN20" s="489">
        <v>-0.2327265834744614</v>
      </c>
      <c r="BO20" s="489">
        <v>-0.1363496171878367</v>
      </c>
      <c r="BP20" s="489">
        <v>-0.20672746496352884</v>
      </c>
      <c r="BQ20" s="489">
        <v>-0.14062119258089917</v>
      </c>
      <c r="BR20" s="489">
        <v>-0.11373797286503334</v>
      </c>
      <c r="BS20" s="489">
        <v>1.0220878971038323</v>
      </c>
      <c r="BT20" s="489">
        <v>1.1384785397983357</v>
      </c>
      <c r="BU20" s="489">
        <v>1.3163079717687771</v>
      </c>
      <c r="BV20" s="489">
        <v>52.67548867727574</v>
      </c>
      <c r="BW20" s="281"/>
      <c r="BX20" s="486">
        <f t="shared" ref="BX20:CH20" si="12">IFERROR(BL20-AZ20,"")</f>
        <v>-0.9849727251</v>
      </c>
      <c r="BY20" s="486">
        <f t="shared" si="12"/>
        <v>-0.09005345541</v>
      </c>
      <c r="BZ20" s="486">
        <f t="shared" si="12"/>
        <v>-0.1298265835</v>
      </c>
      <c r="CA20" s="486">
        <f t="shared" si="12"/>
        <v>-0.09334961719</v>
      </c>
      <c r="CB20" s="486">
        <f t="shared" si="12"/>
        <v>-0.109727465</v>
      </c>
      <c r="CC20" s="486">
        <f t="shared" si="12"/>
        <v>-0.06002119258</v>
      </c>
      <c r="CD20" s="486">
        <f t="shared" si="12"/>
        <v>-0.1166379729</v>
      </c>
      <c r="CE20" s="486">
        <f t="shared" si="12"/>
        <v>0.7360878971</v>
      </c>
      <c r="CF20" s="486">
        <f t="shared" si="12"/>
        <v>0.4655785398</v>
      </c>
      <c r="CG20" s="486">
        <f t="shared" si="12"/>
        <v>0.3725079718</v>
      </c>
      <c r="CH20" s="486">
        <f t="shared" si="12"/>
        <v>0.1142886773</v>
      </c>
      <c r="CK20" s="180" t="s">
        <v>380</v>
      </c>
    </row>
    <row r="21" ht="15.75" customHeight="1">
      <c r="A21" s="224"/>
      <c r="B21" s="477">
        <v>13.0</v>
      </c>
      <c r="C21" s="477" t="s">
        <v>1924</v>
      </c>
      <c r="D21" s="478">
        <v>41.85630212459781</v>
      </c>
      <c r="E21" s="478">
        <v>0.4156186345530063</v>
      </c>
      <c r="F21" s="478">
        <v>0.43888595238870926</v>
      </c>
      <c r="G21" s="478">
        <v>0.27254222961485014</v>
      </c>
      <c r="H21" s="478">
        <v>0.3805358793956411</v>
      </c>
      <c r="I21" s="478">
        <v>0.3819965185541991</v>
      </c>
      <c r="J21" s="478">
        <v>0.2933411732293162</v>
      </c>
      <c r="K21" s="478">
        <v>0.48255717096850764</v>
      </c>
      <c r="L21" s="478">
        <v>0.864185598426302</v>
      </c>
      <c r="M21" s="478">
        <v>1.1377790671793433</v>
      </c>
      <c r="N21" s="478">
        <v>25.03244417520448</v>
      </c>
      <c r="O21" s="453"/>
      <c r="P21" s="478">
        <v>26.64591112102022</v>
      </c>
      <c r="Q21" s="478">
        <v>0.441009786864974</v>
      </c>
      <c r="R21" s="478">
        <v>0.3921751477311786</v>
      </c>
      <c r="S21" s="478">
        <v>0.22174648999199936</v>
      </c>
      <c r="T21" s="478">
        <v>1.0145452993525739</v>
      </c>
      <c r="U21" s="478">
        <v>0.7842146344181387</v>
      </c>
      <c r="V21" s="478">
        <v>0.6424964171492432</v>
      </c>
      <c r="W21" s="478">
        <v>0.2553692921806288</v>
      </c>
      <c r="X21" s="478">
        <v>0.7581982105252749</v>
      </c>
      <c r="Y21" s="478">
        <v>2.462172060576677</v>
      </c>
      <c r="Z21" s="478">
        <v>37.32193107312436</v>
      </c>
      <c r="AA21" s="487"/>
      <c r="AB21" s="481">
        <v>-15.210391003577591</v>
      </c>
      <c r="AC21" s="481">
        <v>0.025391152311967702</v>
      </c>
      <c r="AD21" s="481">
        <v>-0.046710804657530636</v>
      </c>
      <c r="AE21" s="481">
        <v>-0.05079573962285078</v>
      </c>
      <c r="AF21" s="481">
        <v>0.6340094199569328</v>
      </c>
      <c r="AG21" s="481">
        <v>0.4022181158639396</v>
      </c>
      <c r="AH21" s="481">
        <v>0.349155243919927</v>
      </c>
      <c r="AI21" s="481">
        <v>-0.22718787878787883</v>
      </c>
      <c r="AJ21" s="481">
        <v>-0.10598738790102713</v>
      </c>
      <c r="AK21" s="481">
        <v>1.3243929933973335</v>
      </c>
      <c r="AL21" s="481">
        <v>12.289486897919883</v>
      </c>
      <c r="AM21" s="281"/>
      <c r="AN21" s="488">
        <v>67.5263</v>
      </c>
      <c r="AO21" s="488">
        <v>0.7075</v>
      </c>
      <c r="AP21" s="488">
        <v>0.7025</v>
      </c>
      <c r="AQ21" s="488">
        <v>0.4679</v>
      </c>
      <c r="AR21" s="488">
        <v>0.8216</v>
      </c>
      <c r="AS21" s="488">
        <v>0.8641</v>
      </c>
      <c r="AT21" s="488">
        <v>0.4764</v>
      </c>
      <c r="AU21" s="488">
        <v>0.5738</v>
      </c>
      <c r="AV21" s="488">
        <v>1.3101</v>
      </c>
      <c r="AW21" s="488">
        <v>1.7014</v>
      </c>
      <c r="AX21" s="488">
        <v>0.0</v>
      </c>
      <c r="AY21" s="281"/>
      <c r="AZ21" s="489">
        <v>8.328199999999995</v>
      </c>
      <c r="BA21" s="489">
        <v>0.036599999999999966</v>
      </c>
      <c r="BB21" s="489">
        <v>0.08709999999999996</v>
      </c>
      <c r="BC21" s="489">
        <v>0.09940000000000004</v>
      </c>
      <c r="BD21" s="489">
        <v>-0.09760000000000002</v>
      </c>
      <c r="BE21" s="489">
        <v>0.023900000000000032</v>
      </c>
      <c r="BF21" s="489">
        <v>0.08810000000000001</v>
      </c>
      <c r="BG21" s="489">
        <v>0.4718000000000001</v>
      </c>
      <c r="BH21" s="489">
        <v>1.3355</v>
      </c>
      <c r="BI21" s="489">
        <v>1.8327</v>
      </c>
      <c r="BJ21" s="489">
        <v>62.0372</v>
      </c>
      <c r="BK21" s="281"/>
      <c r="BL21" s="489">
        <v>-6.882191003577596</v>
      </c>
      <c r="BM21" s="489">
        <v>0.06199115231196767</v>
      </c>
      <c r="BN21" s="489">
        <v>0.04038919534246932</v>
      </c>
      <c r="BO21" s="489">
        <v>0.048604260377149267</v>
      </c>
      <c r="BP21" s="489">
        <v>0.5364094199569328</v>
      </c>
      <c r="BQ21" s="489">
        <v>0.4261181158639396</v>
      </c>
      <c r="BR21" s="489">
        <v>0.43725524391992704</v>
      </c>
      <c r="BS21" s="489">
        <v>0.24461212121212128</v>
      </c>
      <c r="BT21" s="489">
        <v>1.2295126120989728</v>
      </c>
      <c r="BU21" s="489">
        <v>3.1570929933973337</v>
      </c>
      <c r="BV21" s="489">
        <v>74.32668689791988</v>
      </c>
      <c r="BW21" s="281"/>
      <c r="BX21" s="486">
        <f t="shared" ref="BX21:CH21" si="13">IFERROR(BL21-AZ21,"")</f>
        <v>-15.210391</v>
      </c>
      <c r="BY21" s="486">
        <f t="shared" si="13"/>
        <v>0.02539115231</v>
      </c>
      <c r="BZ21" s="486">
        <f t="shared" si="13"/>
        <v>-0.04671080466</v>
      </c>
      <c r="CA21" s="486">
        <f t="shared" si="13"/>
        <v>-0.05079573962</v>
      </c>
      <c r="CB21" s="486">
        <f t="shared" si="13"/>
        <v>0.63400942</v>
      </c>
      <c r="CC21" s="486">
        <f t="shared" si="13"/>
        <v>0.4022181159</v>
      </c>
      <c r="CD21" s="486">
        <f t="shared" si="13"/>
        <v>0.3491552439</v>
      </c>
      <c r="CE21" s="486">
        <f t="shared" si="13"/>
        <v>-0.2271878788</v>
      </c>
      <c r="CF21" s="486">
        <f t="shared" si="13"/>
        <v>-0.1059873879</v>
      </c>
      <c r="CG21" s="486">
        <f t="shared" si="13"/>
        <v>1.324392993</v>
      </c>
      <c r="CH21" s="486">
        <f t="shared" si="13"/>
        <v>12.2894869</v>
      </c>
      <c r="CK21" s="180" t="s">
        <v>32</v>
      </c>
    </row>
    <row r="22" ht="15.75" customHeight="1">
      <c r="A22" s="224"/>
      <c r="B22" s="477">
        <v>14.0</v>
      </c>
      <c r="C22" s="477" t="s">
        <v>1925</v>
      </c>
      <c r="D22" s="478">
        <v>28.104018620717294</v>
      </c>
      <c r="E22" s="478">
        <v>0.29456835690499855</v>
      </c>
      <c r="F22" s="478">
        <v>0.31275301959540164</v>
      </c>
      <c r="G22" s="478">
        <v>0.1703577187190536</v>
      </c>
      <c r="H22" s="478">
        <v>0.3353609475664444</v>
      </c>
      <c r="I22" s="478">
        <v>0.3473112843378437</v>
      </c>
      <c r="J22" s="478">
        <v>0.19663705018596964</v>
      </c>
      <c r="K22" s="478">
        <v>1.022963980961327</v>
      </c>
      <c r="L22" s="478">
        <v>1.261815830008903</v>
      </c>
      <c r="M22" s="478">
        <v>1.506181430382467</v>
      </c>
      <c r="N22" s="478">
        <v>22.520335714901954</v>
      </c>
      <c r="O22" s="453"/>
      <c r="P22" s="478">
        <v>34.86337922435175</v>
      </c>
      <c r="Q22" s="478">
        <v>0.5613286943039202</v>
      </c>
      <c r="R22" s="478">
        <v>0.5279241571317508</v>
      </c>
      <c r="S22" s="478">
        <v>0.2506945554428773</v>
      </c>
      <c r="T22" s="478">
        <v>1.0517229728130753</v>
      </c>
      <c r="U22" s="478">
        <v>0.8144623273235547</v>
      </c>
      <c r="V22" s="478">
        <v>0.6677196797083239</v>
      </c>
      <c r="W22" s="478">
        <v>0.2553692921806288</v>
      </c>
      <c r="X22" s="478">
        <v>0.8441307471839252</v>
      </c>
      <c r="Y22" s="478">
        <v>2.6465943208818388</v>
      </c>
      <c r="Z22" s="478">
        <v>40.160598108074744</v>
      </c>
      <c r="AA22" s="487"/>
      <c r="AB22" s="481">
        <v>6.759360603634459</v>
      </c>
      <c r="AC22" s="481">
        <v>0.26676033739892163</v>
      </c>
      <c r="AD22" s="481">
        <v>0.21517113753634914</v>
      </c>
      <c r="AE22" s="481">
        <v>0.08033683672382366</v>
      </c>
      <c r="AF22" s="481">
        <v>0.7163620252466308</v>
      </c>
      <c r="AG22" s="481">
        <v>0.46715104298571103</v>
      </c>
      <c r="AH22" s="481">
        <v>0.47108262952235425</v>
      </c>
      <c r="AI22" s="481">
        <v>-0.7675946887806981</v>
      </c>
      <c r="AJ22" s="481">
        <v>-0.41768508282497785</v>
      </c>
      <c r="AK22" s="481">
        <v>1.1404128904993718</v>
      </c>
      <c r="AL22" s="481">
        <v>17.64026239317279</v>
      </c>
      <c r="AM22" s="281"/>
      <c r="AN22" s="488">
        <v>57.8405</v>
      </c>
      <c r="AO22" s="488">
        <v>0.5965</v>
      </c>
      <c r="AP22" s="488">
        <v>0.6127</v>
      </c>
      <c r="AQ22" s="488">
        <v>0.3672</v>
      </c>
      <c r="AR22" s="488">
        <v>0.691</v>
      </c>
      <c r="AS22" s="488">
        <v>0.7186</v>
      </c>
      <c r="AT22" s="488">
        <v>0.4209</v>
      </c>
      <c r="AU22" s="488">
        <v>1.0652</v>
      </c>
      <c r="AV22" s="488">
        <v>0.9648</v>
      </c>
      <c r="AW22" s="488">
        <v>1.0515</v>
      </c>
      <c r="AX22" s="488">
        <v>8.0E-4</v>
      </c>
      <c r="AY22" s="281"/>
      <c r="AZ22" s="489">
        <v>0.9278000000000048</v>
      </c>
      <c r="BA22" s="489">
        <v>-0.04920000000000002</v>
      </c>
      <c r="BB22" s="489">
        <v>-0.023500000000000076</v>
      </c>
      <c r="BC22" s="489">
        <v>-0.02130000000000004</v>
      </c>
      <c r="BD22" s="489">
        <v>-0.1188999999999999</v>
      </c>
      <c r="BE22" s="489">
        <v>-0.11950000000000005</v>
      </c>
      <c r="BF22" s="489">
        <v>-0.08029999999999998</v>
      </c>
      <c r="BG22" s="489">
        <v>0.7519</v>
      </c>
      <c r="BH22" s="489">
        <v>0.9692999999999999</v>
      </c>
      <c r="BI22" s="489">
        <v>1.1986</v>
      </c>
      <c r="BJ22" s="489">
        <v>39.6443</v>
      </c>
      <c r="BK22" s="281"/>
      <c r="BL22" s="489">
        <v>7.687160603634464</v>
      </c>
      <c r="BM22" s="489">
        <v>0.2175603373989216</v>
      </c>
      <c r="BN22" s="489">
        <v>0.19167113753634907</v>
      </c>
      <c r="BO22" s="489">
        <v>0.05903683672382362</v>
      </c>
      <c r="BP22" s="489">
        <v>0.597462025246631</v>
      </c>
      <c r="BQ22" s="489">
        <v>0.347651042985711</v>
      </c>
      <c r="BR22" s="489">
        <v>0.39078262952235426</v>
      </c>
      <c r="BS22" s="489">
        <v>-0.01569468878069813</v>
      </c>
      <c r="BT22" s="489">
        <v>0.5516149171750221</v>
      </c>
      <c r="BU22" s="489">
        <v>2.339012890499372</v>
      </c>
      <c r="BV22" s="489">
        <v>57.28456239317279</v>
      </c>
      <c r="BW22" s="281"/>
      <c r="BX22" s="486">
        <f t="shared" ref="BX22:CH22" si="14">IFERROR(BL22-AZ22,"")</f>
        <v>6.759360604</v>
      </c>
      <c r="BY22" s="486">
        <f t="shared" si="14"/>
        <v>0.2667603374</v>
      </c>
      <c r="BZ22" s="486">
        <f t="shared" si="14"/>
        <v>0.2151711375</v>
      </c>
      <c r="CA22" s="486">
        <f t="shared" si="14"/>
        <v>0.08033683672</v>
      </c>
      <c r="CB22" s="486">
        <f t="shared" si="14"/>
        <v>0.7163620252</v>
      </c>
      <c r="CC22" s="486">
        <f t="shared" si="14"/>
        <v>0.467151043</v>
      </c>
      <c r="CD22" s="486">
        <f t="shared" si="14"/>
        <v>0.4710826295</v>
      </c>
      <c r="CE22" s="486">
        <f t="shared" si="14"/>
        <v>-0.7675946888</v>
      </c>
      <c r="CF22" s="486">
        <f t="shared" si="14"/>
        <v>-0.4176850828</v>
      </c>
      <c r="CG22" s="486">
        <f t="shared" si="14"/>
        <v>1.14041289</v>
      </c>
      <c r="CH22" s="486">
        <f t="shared" si="14"/>
        <v>17.64026239</v>
      </c>
      <c r="CK22" s="180" t="s">
        <v>40</v>
      </c>
    </row>
    <row r="23" ht="15.75" customHeight="1">
      <c r="A23" s="224"/>
      <c r="B23" s="477">
        <v>15.0</v>
      </c>
      <c r="C23" s="477" t="s">
        <v>1919</v>
      </c>
      <c r="D23" s="478">
        <v>22.906597032363077</v>
      </c>
      <c r="E23" s="478">
        <v>0.24156971851099918</v>
      </c>
      <c r="F23" s="478">
        <v>0.23438219583181258</v>
      </c>
      <c r="G23" s="478">
        <v>0.15336502338241206</v>
      </c>
      <c r="H23" s="478">
        <v>0.35130695750490065</v>
      </c>
      <c r="I23" s="478">
        <v>0.376538096126726</v>
      </c>
      <c r="J23" s="478">
        <v>0.19682886691273607</v>
      </c>
      <c r="K23" s="478">
        <v>1.4298397151105284</v>
      </c>
      <c r="L23" s="478">
        <v>1.6552975581186034</v>
      </c>
      <c r="M23" s="478">
        <v>1.9855364783803309</v>
      </c>
      <c r="N23" s="478">
        <v>23.915903358299584</v>
      </c>
      <c r="O23" s="453"/>
      <c r="P23" s="478">
        <v>26.576302229978687</v>
      </c>
      <c r="Q23" s="478">
        <v>0.4395078720137162</v>
      </c>
      <c r="R23" s="478">
        <v>0.38986140648310186</v>
      </c>
      <c r="S23" s="478">
        <v>0.22108125336603457</v>
      </c>
      <c r="T23" s="478">
        <v>1.011102060508923</v>
      </c>
      <c r="U23" s="478">
        <v>0.7814132210576871</v>
      </c>
      <c r="V23" s="478">
        <v>0.6401603452726825</v>
      </c>
      <c r="W23" s="478">
        <v>0.2553692921806288</v>
      </c>
      <c r="X23" s="478">
        <v>0.7502395024993174</v>
      </c>
      <c r="Y23" s="478">
        <v>2.4450916509864613</v>
      </c>
      <c r="Z23" s="478">
        <v>37.05902574072596</v>
      </c>
      <c r="AA23" s="487"/>
      <c r="AB23" s="481">
        <v>3.6697051976156096</v>
      </c>
      <c r="AC23" s="481">
        <v>0.19793815350271704</v>
      </c>
      <c r="AD23" s="481">
        <v>0.15547921065128928</v>
      </c>
      <c r="AE23" s="481">
        <v>0.0677162299836225</v>
      </c>
      <c r="AF23" s="481">
        <v>0.6597951030040223</v>
      </c>
      <c r="AG23" s="481">
        <v>0.40487512493096106</v>
      </c>
      <c r="AH23" s="481">
        <v>0.44333147835994646</v>
      </c>
      <c r="AI23" s="481">
        <v>-1.1744704229298997</v>
      </c>
      <c r="AJ23" s="481">
        <v>-0.905058055619286</v>
      </c>
      <c r="AK23" s="481">
        <v>0.45955517260613044</v>
      </c>
      <c r="AL23" s="481">
        <v>13.143122382426373</v>
      </c>
      <c r="AM23" s="281"/>
      <c r="AN23" s="488">
        <v>46.5983</v>
      </c>
      <c r="AO23" s="488">
        <v>0.5212</v>
      </c>
      <c r="AP23" s="488">
        <v>0.519</v>
      </c>
      <c r="AQ23" s="488">
        <v>0.2959</v>
      </c>
      <c r="AR23" s="488">
        <v>0.6466</v>
      </c>
      <c r="AS23" s="488">
        <v>0.6421</v>
      </c>
      <c r="AT23" s="488">
        <v>0.3863</v>
      </c>
      <c r="AU23" s="488">
        <v>0.9165</v>
      </c>
      <c r="AV23" s="488">
        <v>0.6623</v>
      </c>
      <c r="AW23" s="488">
        <v>0.7978</v>
      </c>
      <c r="AX23" s="488">
        <v>0.0</v>
      </c>
      <c r="AY23" s="281"/>
      <c r="AZ23" s="489">
        <v>-8.5139</v>
      </c>
      <c r="BA23" s="489">
        <v>-0.09360000000000002</v>
      </c>
      <c r="BB23" s="489">
        <v>-0.13180000000000003</v>
      </c>
      <c r="BC23" s="489">
        <v>-0.061</v>
      </c>
      <c r="BD23" s="489">
        <v>-0.08849999999999991</v>
      </c>
      <c r="BE23" s="489">
        <v>-0.10770000000000002</v>
      </c>
      <c r="BF23" s="489">
        <v>-0.06929999999999997</v>
      </c>
      <c r="BG23" s="489">
        <v>0.7099000000000001</v>
      </c>
      <c r="BH23" s="489">
        <v>0.7343000000000001</v>
      </c>
      <c r="BI23" s="489">
        <v>1.0163000000000002</v>
      </c>
      <c r="BJ23" s="489">
        <v>55.9059</v>
      </c>
      <c r="BK23" s="281"/>
      <c r="BL23" s="489">
        <v>-4.84419480238439</v>
      </c>
      <c r="BM23" s="489">
        <v>0.10433815350271702</v>
      </c>
      <c r="BN23" s="489">
        <v>0.02367921065128925</v>
      </c>
      <c r="BO23" s="489">
        <v>0.006716229983622507</v>
      </c>
      <c r="BP23" s="489">
        <v>0.5712951030040224</v>
      </c>
      <c r="BQ23" s="489">
        <v>0.29717512493096104</v>
      </c>
      <c r="BR23" s="489">
        <v>0.3740314783599465</v>
      </c>
      <c r="BS23" s="489">
        <v>-0.4645704229298996</v>
      </c>
      <c r="BT23" s="489">
        <v>-0.17075805561928592</v>
      </c>
      <c r="BU23" s="489">
        <v>1.4758551726061306</v>
      </c>
      <c r="BV23" s="489">
        <v>69.04902238242637</v>
      </c>
      <c r="BW23" s="281"/>
      <c r="BX23" s="486">
        <f t="shared" ref="BX23:CH23" si="15">IFERROR(BL23-AZ23,"")</f>
        <v>3.669705198</v>
      </c>
      <c r="BY23" s="486">
        <f t="shared" si="15"/>
        <v>0.1979381535</v>
      </c>
      <c r="BZ23" s="486">
        <f t="shared" si="15"/>
        <v>0.1554792107</v>
      </c>
      <c r="CA23" s="486">
        <f t="shared" si="15"/>
        <v>0.06771622998</v>
      </c>
      <c r="CB23" s="486">
        <f t="shared" si="15"/>
        <v>0.659795103</v>
      </c>
      <c r="CC23" s="486">
        <f t="shared" si="15"/>
        <v>0.4048751249</v>
      </c>
      <c r="CD23" s="486">
        <f t="shared" si="15"/>
        <v>0.4433314784</v>
      </c>
      <c r="CE23" s="486">
        <f t="shared" si="15"/>
        <v>-1.174470423</v>
      </c>
      <c r="CF23" s="486">
        <f t="shared" si="15"/>
        <v>-0.9050580556</v>
      </c>
      <c r="CG23" s="486">
        <f t="shared" si="15"/>
        <v>0.4595551726</v>
      </c>
      <c r="CH23" s="486">
        <f t="shared" si="15"/>
        <v>13.14312238</v>
      </c>
      <c r="CK23" s="180" t="s">
        <v>42</v>
      </c>
    </row>
    <row r="24" ht="15.75" customHeight="1">
      <c r="A24" s="224"/>
      <c r="B24" s="477">
        <v>16.0</v>
      </c>
      <c r="C24" s="477" t="s">
        <v>1920</v>
      </c>
      <c r="D24" s="478">
        <v>31.401045292417685</v>
      </c>
      <c r="E24" s="478">
        <v>0.31775903789895305</v>
      </c>
      <c r="F24" s="478">
        <v>0.3497828827261796</v>
      </c>
      <c r="G24" s="478">
        <v>0.17879378239827937</v>
      </c>
      <c r="H24" s="478">
        <v>0.34819010852003085</v>
      </c>
      <c r="I24" s="478">
        <v>0.3706488922965194</v>
      </c>
      <c r="J24" s="478">
        <v>0.19686683103663186</v>
      </c>
      <c r="K24" s="478">
        <v>1.3464785458220332</v>
      </c>
      <c r="L24" s="478">
        <v>1.5747016455333749</v>
      </c>
      <c r="M24" s="478">
        <v>1.887351340962837</v>
      </c>
      <c r="N24" s="478">
        <v>28.512897501975207</v>
      </c>
      <c r="O24" s="453"/>
      <c r="P24" s="478">
        <v>32.771349850346816</v>
      </c>
      <c r="Q24" s="478">
        <v>0.5161900641796324</v>
      </c>
      <c r="R24" s="478">
        <v>0.45838685259495815</v>
      </c>
      <c r="S24" s="478">
        <v>0.2307014979273953</v>
      </c>
      <c r="T24" s="478">
        <v>0.9482396864849716</v>
      </c>
      <c r="U24" s="478">
        <v>0.7302684987607944</v>
      </c>
      <c r="V24" s="478">
        <v>0.5975112492560143</v>
      </c>
      <c r="W24" s="478">
        <v>0.2553692921806288</v>
      </c>
      <c r="X24" s="478">
        <v>0.6049393059713618</v>
      </c>
      <c r="Y24" s="478">
        <v>2.133258767792126</v>
      </c>
      <c r="Z24" s="478">
        <v>32.25922703707394</v>
      </c>
      <c r="AA24" s="487"/>
      <c r="AB24" s="481">
        <v>1.3703045579291313</v>
      </c>
      <c r="AC24" s="481">
        <v>0.19843102628067938</v>
      </c>
      <c r="AD24" s="481">
        <v>0.10860396986877857</v>
      </c>
      <c r="AE24" s="481">
        <v>0.05190771552911594</v>
      </c>
      <c r="AF24" s="481">
        <v>0.6000495779649407</v>
      </c>
      <c r="AG24" s="481">
        <v>0.35961960646427493</v>
      </c>
      <c r="AH24" s="481">
        <v>0.40064441821938246</v>
      </c>
      <c r="AI24" s="481">
        <v>-1.0911092536414044</v>
      </c>
      <c r="AJ24" s="481">
        <v>-0.9697623395620131</v>
      </c>
      <c r="AK24" s="481">
        <v>0.2459074268292889</v>
      </c>
      <c r="AL24" s="481">
        <v>3.7463295350987345</v>
      </c>
      <c r="AM24" s="281"/>
      <c r="AN24" s="488">
        <v>47.7904</v>
      </c>
      <c r="AO24" s="488">
        <v>0.505</v>
      </c>
      <c r="AP24" s="488">
        <v>0.5223</v>
      </c>
      <c r="AQ24" s="488">
        <v>0.2971</v>
      </c>
      <c r="AR24" s="488">
        <v>0.5935</v>
      </c>
      <c r="AS24" s="488">
        <v>0.5841</v>
      </c>
      <c r="AT24" s="488">
        <v>0.3539</v>
      </c>
      <c r="AU24" s="488">
        <v>1.1817</v>
      </c>
      <c r="AV24" s="488">
        <v>0.8738</v>
      </c>
      <c r="AW24" s="488">
        <v>0.9154</v>
      </c>
      <c r="AX24" s="488">
        <v>0.0</v>
      </c>
      <c r="AY24" s="281"/>
      <c r="AZ24" s="489">
        <v>4.273400000000002</v>
      </c>
      <c r="BA24" s="489">
        <v>-0.01469999999999999</v>
      </c>
      <c r="BB24" s="489">
        <v>0.04280000000000006</v>
      </c>
      <c r="BC24" s="489">
        <v>0.014500000000000013</v>
      </c>
      <c r="BD24" s="489">
        <v>-0.06390000000000007</v>
      </c>
      <c r="BE24" s="489">
        <v>-0.07139999999999991</v>
      </c>
      <c r="BF24" s="489">
        <v>-0.049199999999999966</v>
      </c>
      <c r="BG24" s="489">
        <v>0.9879</v>
      </c>
      <c r="BH24" s="489">
        <v>0.9547</v>
      </c>
      <c r="BI24" s="489">
        <v>1.1602000000000001</v>
      </c>
      <c r="BJ24" s="489">
        <v>34.5666</v>
      </c>
      <c r="BK24" s="281"/>
      <c r="BL24" s="489">
        <v>5.643704557929134</v>
      </c>
      <c r="BM24" s="489">
        <v>0.1837310262806794</v>
      </c>
      <c r="BN24" s="489">
        <v>0.15140396986877863</v>
      </c>
      <c r="BO24" s="489">
        <v>0.06640771552911595</v>
      </c>
      <c r="BP24" s="489">
        <v>0.5361495779649407</v>
      </c>
      <c r="BQ24" s="489">
        <v>0.288219606464275</v>
      </c>
      <c r="BR24" s="489">
        <v>0.3514444182193825</v>
      </c>
      <c r="BS24" s="489">
        <v>-0.10320925364140443</v>
      </c>
      <c r="BT24" s="489">
        <v>-0.015062339562013083</v>
      </c>
      <c r="BU24" s="489">
        <v>1.406107426829289</v>
      </c>
      <c r="BV24" s="489">
        <v>38.31292953509873</v>
      </c>
      <c r="BW24" s="281"/>
      <c r="BX24" s="486">
        <f t="shared" ref="BX24:CH24" si="16">IFERROR(BL24-AZ24,"")</f>
        <v>1.370304558</v>
      </c>
      <c r="BY24" s="486">
        <f t="shared" si="16"/>
        <v>0.1984310263</v>
      </c>
      <c r="BZ24" s="486">
        <f t="shared" si="16"/>
        <v>0.1086039699</v>
      </c>
      <c r="CA24" s="486">
        <f t="shared" si="16"/>
        <v>0.05190771553</v>
      </c>
      <c r="CB24" s="486">
        <f t="shared" si="16"/>
        <v>0.600049578</v>
      </c>
      <c r="CC24" s="486">
        <f t="shared" si="16"/>
        <v>0.3596196065</v>
      </c>
      <c r="CD24" s="486">
        <f t="shared" si="16"/>
        <v>0.4006444182</v>
      </c>
      <c r="CE24" s="486">
        <f t="shared" si="16"/>
        <v>-1.091109254</v>
      </c>
      <c r="CF24" s="486">
        <f t="shared" si="16"/>
        <v>-0.9697623396</v>
      </c>
      <c r="CG24" s="486">
        <f t="shared" si="16"/>
        <v>0.2459074268</v>
      </c>
      <c r="CH24" s="486">
        <f t="shared" si="16"/>
        <v>3.746329535</v>
      </c>
      <c r="CK24" s="180" t="s">
        <v>46</v>
      </c>
    </row>
    <row r="25" ht="15.75" customHeight="1">
      <c r="A25" s="224"/>
      <c r="B25" s="477">
        <v>17.0</v>
      </c>
      <c r="C25" s="477" t="s">
        <v>1921</v>
      </c>
      <c r="D25" s="490">
        <v>21.61816778284358</v>
      </c>
      <c r="E25" s="490">
        <v>0.23492167379672396</v>
      </c>
      <c r="F25" s="490">
        <v>0.2285880316684915</v>
      </c>
      <c r="G25" s="490">
        <v>0.14932461938276093</v>
      </c>
      <c r="H25" s="490">
        <v>0.32376034624772354</v>
      </c>
      <c r="I25" s="490">
        <v>0.3335985615711384</v>
      </c>
      <c r="J25" s="490">
        <v>0.19240878904088513</v>
      </c>
      <c r="K25" s="490">
        <v>0.9269715561241294</v>
      </c>
      <c r="L25" s="490">
        <v>1.1671331105296003</v>
      </c>
      <c r="M25" s="490">
        <v>1.3945658763970428</v>
      </c>
      <c r="N25" s="490">
        <v>21.64740584470252</v>
      </c>
      <c r="O25" s="453"/>
      <c r="P25" s="490">
        <v>19.43502073020617</v>
      </c>
      <c r="Q25" s="490">
        <v>0.16307249557965736</v>
      </c>
      <c r="R25" s="490">
        <v>0.14595003728638486</v>
      </c>
      <c r="S25" s="490">
        <v>0.07168778589780482</v>
      </c>
      <c r="T25" s="490">
        <v>0.26805062730049517</v>
      </c>
      <c r="U25" s="490">
        <v>0.2804413594718245</v>
      </c>
      <c r="V25" s="490">
        <v>0.12871569538245672</v>
      </c>
      <c r="W25" s="490">
        <v>0.7086052798135061</v>
      </c>
      <c r="X25" s="490">
        <v>1.041440645605135</v>
      </c>
      <c r="Y25" s="490">
        <v>1.2913414443282079</v>
      </c>
      <c r="Z25" s="490">
        <v>23.279923340857827</v>
      </c>
      <c r="AA25" s="487"/>
      <c r="AB25" s="491">
        <v>-2.1831470526374126</v>
      </c>
      <c r="AC25" s="491">
        <v>-0.0718491782170666</v>
      </c>
      <c r="AD25" s="491">
        <v>-0.08263799438210664</v>
      </c>
      <c r="AE25" s="491">
        <v>-0.0776368334849561</v>
      </c>
      <c r="AF25" s="491">
        <v>-0.05570971894722837</v>
      </c>
      <c r="AG25" s="491">
        <v>-0.05315720209931385</v>
      </c>
      <c r="AH25" s="491">
        <v>-0.0636930936584284</v>
      </c>
      <c r="AI25" s="491">
        <v>-0.21836627631062333</v>
      </c>
      <c r="AJ25" s="491">
        <v>-0.12569246492446529</v>
      </c>
      <c r="AK25" s="491">
        <v>-0.10322443206883491</v>
      </c>
      <c r="AL25" s="491">
        <v>1.6325174961553088</v>
      </c>
      <c r="AM25" s="281"/>
      <c r="AN25" s="488">
        <v>52.3316</v>
      </c>
      <c r="AO25" s="488">
        <v>0.5595</v>
      </c>
      <c r="AP25" s="488">
        <v>0.5427</v>
      </c>
      <c r="AQ25" s="488">
        <v>0.2936</v>
      </c>
      <c r="AR25" s="488">
        <v>0.74</v>
      </c>
      <c r="AS25" s="488">
        <v>0.7214</v>
      </c>
      <c r="AT25" s="488">
        <v>0.4512</v>
      </c>
      <c r="AU25" s="488">
        <v>1.0196</v>
      </c>
      <c r="AV25" s="488">
        <v>0.8354</v>
      </c>
      <c r="AW25" s="488">
        <v>0.9328</v>
      </c>
      <c r="AX25" s="488">
        <v>0.0</v>
      </c>
      <c r="AY25" s="281"/>
      <c r="AZ25" s="489">
        <v>-1.181200000000004</v>
      </c>
      <c r="BA25" s="489">
        <v>0.016900000000000026</v>
      </c>
      <c r="BB25" s="489">
        <v>-0.02189999999999992</v>
      </c>
      <c r="BC25" s="489">
        <v>0.005199999999999982</v>
      </c>
      <c r="BD25" s="489">
        <v>0.10740000000000005</v>
      </c>
      <c r="BE25" s="489">
        <v>0.07809999999999995</v>
      </c>
      <c r="BF25" s="489">
        <v>0.07300000000000001</v>
      </c>
      <c r="BG25" s="489">
        <v>0.9105999999999999</v>
      </c>
      <c r="BH25" s="489">
        <v>0.9163</v>
      </c>
      <c r="BI25" s="489">
        <v>1.1466000000000003</v>
      </c>
      <c r="BJ25" s="489">
        <v>54.1984</v>
      </c>
      <c r="BK25" s="281"/>
      <c r="BL25" s="489">
        <v>-3.3643470526374166</v>
      </c>
      <c r="BM25" s="489">
        <v>-0.054949178217066574</v>
      </c>
      <c r="BN25" s="489">
        <v>-0.10453799438210656</v>
      </c>
      <c r="BO25" s="489">
        <v>-0.07243683348495612</v>
      </c>
      <c r="BP25" s="489">
        <v>0.05169028105277168</v>
      </c>
      <c r="BQ25" s="489">
        <v>0.024942797900686098</v>
      </c>
      <c r="BR25" s="489">
        <v>0.009306906341571608</v>
      </c>
      <c r="BS25" s="489">
        <v>0.6922337236893765</v>
      </c>
      <c r="BT25" s="489">
        <v>0.7906075350755347</v>
      </c>
      <c r="BU25" s="489">
        <v>1.0433755679311654</v>
      </c>
      <c r="BV25" s="489">
        <v>55.83091749615531</v>
      </c>
      <c r="BW25" s="281"/>
      <c r="BX25" s="486">
        <f t="shared" ref="BX25:CH25" si="17">IFERROR(BL25-AZ25,"")</f>
        <v>-2.183147053</v>
      </c>
      <c r="BY25" s="486">
        <f t="shared" si="17"/>
        <v>-0.07184917822</v>
      </c>
      <c r="BZ25" s="486">
        <f t="shared" si="17"/>
        <v>-0.08263799438</v>
      </c>
      <c r="CA25" s="486">
        <f t="shared" si="17"/>
        <v>-0.07763683348</v>
      </c>
      <c r="CB25" s="486">
        <f t="shared" si="17"/>
        <v>-0.05570971895</v>
      </c>
      <c r="CC25" s="486">
        <f t="shared" si="17"/>
        <v>-0.0531572021</v>
      </c>
      <c r="CD25" s="486">
        <f t="shared" si="17"/>
        <v>-0.06369309366</v>
      </c>
      <c r="CE25" s="486">
        <f t="shared" si="17"/>
        <v>-0.2183662763</v>
      </c>
      <c r="CF25" s="486">
        <f t="shared" si="17"/>
        <v>-0.1256924649</v>
      </c>
      <c r="CG25" s="486">
        <f t="shared" si="17"/>
        <v>-0.1032244321</v>
      </c>
      <c r="CH25" s="486">
        <f t="shared" si="17"/>
        <v>1.632517496</v>
      </c>
      <c r="CK25" s="180" t="s">
        <v>382</v>
      </c>
    </row>
    <row r="26" ht="15.75" customHeight="1">
      <c r="A26" s="224"/>
      <c r="B26" s="477">
        <v>18.0</v>
      </c>
      <c r="C26" s="477" t="s">
        <v>1922</v>
      </c>
      <c r="D26" s="490">
        <v>22.119852527625575</v>
      </c>
      <c r="E26" s="490">
        <v>0.2590577104813815</v>
      </c>
      <c r="F26" s="490">
        <v>0.266925051349967</v>
      </c>
      <c r="G26" s="490">
        <v>0.16011602760402718</v>
      </c>
      <c r="H26" s="490">
        <v>0.3629795794344861</v>
      </c>
      <c r="I26" s="490">
        <v>0.3473827084813347</v>
      </c>
      <c r="J26" s="490">
        <v>0.2309016377946506</v>
      </c>
      <c r="K26" s="490">
        <v>0.4726780615044575</v>
      </c>
      <c r="L26" s="490">
        <v>0.8596604465591837</v>
      </c>
      <c r="M26" s="490">
        <v>1.1423512091185737</v>
      </c>
      <c r="N26" s="490">
        <v>24.44533366766613</v>
      </c>
      <c r="O26" s="453"/>
      <c r="P26" s="490">
        <v>19.93517254237367</v>
      </c>
      <c r="Q26" s="490">
        <v>0.16364780036420645</v>
      </c>
      <c r="R26" s="490">
        <v>0.14595003728638486</v>
      </c>
      <c r="S26" s="490">
        <v>0.07186513549304177</v>
      </c>
      <c r="T26" s="490">
        <v>0.2817368253329271</v>
      </c>
      <c r="U26" s="490">
        <v>0.30548658279918883</v>
      </c>
      <c r="V26" s="490">
        <v>0.12888006817804218</v>
      </c>
      <c r="W26" s="490">
        <v>1.057244304850162</v>
      </c>
      <c r="X26" s="490">
        <v>1.3786254821494144</v>
      </c>
      <c r="Y26" s="490">
        <v>1.7021133860961701</v>
      </c>
      <c r="Z26" s="490">
        <v>24.475821940739763</v>
      </c>
      <c r="AA26" s="487"/>
      <c r="AB26" s="491">
        <v>-2.184679985251904</v>
      </c>
      <c r="AC26" s="491">
        <v>-0.09540991011717503</v>
      </c>
      <c r="AD26" s="491">
        <v>-0.12097501406358216</v>
      </c>
      <c r="AE26" s="491">
        <v>-0.08825089211098541</v>
      </c>
      <c r="AF26" s="491">
        <v>-0.08124275410155901</v>
      </c>
      <c r="AG26" s="491">
        <v>-0.041896125682145846</v>
      </c>
      <c r="AH26" s="491">
        <v>-0.10202156961660841</v>
      </c>
      <c r="AI26" s="491">
        <v>0.5845662433457046</v>
      </c>
      <c r="AJ26" s="491">
        <v>0.5189650355902307</v>
      </c>
      <c r="AK26" s="491">
        <v>0.5597621769775964</v>
      </c>
      <c r="AL26" s="491">
        <v>0.03048827307363311</v>
      </c>
      <c r="AM26" s="281"/>
      <c r="AN26" s="488">
        <v>49.7243</v>
      </c>
      <c r="AO26" s="488">
        <v>0.5507</v>
      </c>
      <c r="AP26" s="488">
        <v>0.5534</v>
      </c>
      <c r="AQ26" s="488">
        <v>0.3054</v>
      </c>
      <c r="AR26" s="488">
        <v>0.6678</v>
      </c>
      <c r="AS26" s="488">
        <v>0.6535</v>
      </c>
      <c r="AT26" s="488">
        <v>0.3975</v>
      </c>
      <c r="AU26" s="488">
        <v>0.5817</v>
      </c>
      <c r="AV26" s="488">
        <v>0.6006</v>
      </c>
      <c r="AW26" s="488">
        <v>0.7389</v>
      </c>
      <c r="AX26" s="488">
        <v>0.0</v>
      </c>
      <c r="AY26" s="281"/>
      <c r="AZ26" s="489">
        <v>-0.4609000000000023</v>
      </c>
      <c r="BA26" s="489">
        <v>-0.026499999999999968</v>
      </c>
      <c r="BB26" s="489">
        <v>0.012499999999999956</v>
      </c>
      <c r="BC26" s="489">
        <v>-0.0040000000000000036</v>
      </c>
      <c r="BD26" s="489">
        <v>-0.04679999999999995</v>
      </c>
      <c r="BE26" s="489">
        <v>-0.047699999999999965</v>
      </c>
      <c r="BF26" s="489">
        <v>0.007500000000000007</v>
      </c>
      <c r="BG26" s="489">
        <v>0.5356</v>
      </c>
      <c r="BH26" s="489">
        <v>0.7577</v>
      </c>
      <c r="BI26" s="489">
        <v>0.9409</v>
      </c>
      <c r="BJ26" s="489">
        <v>38.1869</v>
      </c>
      <c r="BK26" s="281"/>
      <c r="BL26" s="489">
        <v>-2.6455799852519064</v>
      </c>
      <c r="BM26" s="489">
        <v>-0.121909910117175</v>
      </c>
      <c r="BN26" s="489">
        <v>-0.1084750140635822</v>
      </c>
      <c r="BO26" s="489">
        <v>-0.09225089211098542</v>
      </c>
      <c r="BP26" s="489">
        <v>-0.12804275410155896</v>
      </c>
      <c r="BQ26" s="489">
        <v>-0.08959612568214581</v>
      </c>
      <c r="BR26" s="489">
        <v>-0.0945215696166084</v>
      </c>
      <c r="BS26" s="489">
        <v>1.1201662433457047</v>
      </c>
      <c r="BT26" s="489">
        <v>1.2766650355902307</v>
      </c>
      <c r="BU26" s="489">
        <v>1.5006621769775963</v>
      </c>
      <c r="BV26" s="489">
        <v>38.21738827307364</v>
      </c>
      <c r="BW26" s="281"/>
      <c r="BX26" s="486">
        <f t="shared" ref="BX26:CH26" si="18">IFERROR(BL26-AZ26,"")</f>
        <v>-2.184679985</v>
      </c>
      <c r="BY26" s="486">
        <f t="shared" si="18"/>
        <v>-0.09540991012</v>
      </c>
      <c r="BZ26" s="486">
        <f t="shared" si="18"/>
        <v>-0.1209750141</v>
      </c>
      <c r="CA26" s="486">
        <f t="shared" si="18"/>
        <v>-0.08825089211</v>
      </c>
      <c r="CB26" s="486">
        <f t="shared" si="18"/>
        <v>-0.0812427541</v>
      </c>
      <c r="CC26" s="486">
        <f t="shared" si="18"/>
        <v>-0.04189612568</v>
      </c>
      <c r="CD26" s="486">
        <f t="shared" si="18"/>
        <v>-0.1020215696</v>
      </c>
      <c r="CE26" s="486">
        <f t="shared" si="18"/>
        <v>0.5845662433</v>
      </c>
      <c r="CF26" s="486">
        <f t="shared" si="18"/>
        <v>0.5189650356</v>
      </c>
      <c r="CG26" s="486">
        <f t="shared" si="18"/>
        <v>0.559762177</v>
      </c>
      <c r="CH26" s="486">
        <f t="shared" si="18"/>
        <v>0.03048827307</v>
      </c>
      <c r="CK26" s="180" t="s">
        <v>54</v>
      </c>
    </row>
    <row r="27" ht="15.75" customHeight="1">
      <c r="A27" s="224"/>
      <c r="B27" s="477">
        <v>19.0</v>
      </c>
      <c r="C27" s="477" t="s">
        <v>1923</v>
      </c>
      <c r="D27" s="490">
        <v>22.766548548486192</v>
      </c>
      <c r="E27" s="490">
        <v>0.2730111342961693</v>
      </c>
      <c r="F27" s="490">
        <v>0.28842068554329964</v>
      </c>
      <c r="G27" s="490">
        <v>0.16629635704909027</v>
      </c>
      <c r="H27" s="490">
        <v>0.3949687237197071</v>
      </c>
      <c r="I27" s="490">
        <v>0.3734090227334737</v>
      </c>
      <c r="J27" s="490">
        <v>0.2526047329655652</v>
      </c>
      <c r="K27" s="490">
        <v>0.4727043570699368</v>
      </c>
      <c r="L27" s="490">
        <v>0.9336002081983601</v>
      </c>
      <c r="M27" s="490">
        <v>1.3010354339551882</v>
      </c>
      <c r="N27" s="490">
        <v>26.88783533348994</v>
      </c>
      <c r="O27" s="453"/>
      <c r="P27" s="490">
        <v>21.628737430843618</v>
      </c>
      <c r="Q27" s="490">
        <v>0.18377518240655794</v>
      </c>
      <c r="R27" s="490">
        <v>0.15851327678138297</v>
      </c>
      <c r="S27" s="490">
        <v>0.07324250726602909</v>
      </c>
      <c r="T27" s="490">
        <v>0.28477502068759997</v>
      </c>
      <c r="U27" s="490">
        <v>0.30665158667881887</v>
      </c>
      <c r="V27" s="490">
        <v>0.13623497194246115</v>
      </c>
      <c r="W27" s="490">
        <v>0.9858334148943781</v>
      </c>
      <c r="X27" s="490">
        <v>1.3095607259744828</v>
      </c>
      <c r="Y27" s="490">
        <v>1.6179759607823183</v>
      </c>
      <c r="Z27" s="490">
        <v>26.907025644424365</v>
      </c>
      <c r="AA27" s="487"/>
      <c r="AB27" s="491">
        <v>-1.137811117642574</v>
      </c>
      <c r="AC27" s="491">
        <v>-0.08923595188961136</v>
      </c>
      <c r="AD27" s="491">
        <v>-0.12990740876191667</v>
      </c>
      <c r="AE27" s="491">
        <v>-0.09305384978306118</v>
      </c>
      <c r="AF27" s="491">
        <v>-0.11019370303210713</v>
      </c>
      <c r="AG27" s="491">
        <v>-0.06675743605465484</v>
      </c>
      <c r="AH27" s="491">
        <v>-0.11636976102310403</v>
      </c>
      <c r="AI27" s="491">
        <v>0.5131290578244414</v>
      </c>
      <c r="AJ27" s="491">
        <v>0.3759605177761227</v>
      </c>
      <c r="AK27" s="491">
        <v>0.31694052682713014</v>
      </c>
      <c r="AL27" s="491">
        <v>0.01919031093442669</v>
      </c>
      <c r="AM27" s="281"/>
      <c r="AN27" s="488">
        <v>49.4928</v>
      </c>
      <c r="AO27" s="488">
        <v>0.5534</v>
      </c>
      <c r="AP27" s="488">
        <v>0.5591</v>
      </c>
      <c r="AQ27" s="488">
        <v>0.3072</v>
      </c>
      <c r="AR27" s="488">
        <v>0.6999</v>
      </c>
      <c r="AS27" s="488">
        <v>0.6825</v>
      </c>
      <c r="AT27" s="488">
        <v>0.4166</v>
      </c>
      <c r="AU27" s="488">
        <v>0.5233</v>
      </c>
      <c r="AV27" s="488">
        <v>0.6565</v>
      </c>
      <c r="AW27" s="488">
        <v>0.8004</v>
      </c>
      <c r="AX27" s="488">
        <v>5.0E-4</v>
      </c>
      <c r="AY27" s="281"/>
      <c r="AZ27" s="489">
        <v>-7.675000000000004</v>
      </c>
      <c r="BA27" s="489">
        <v>-0.05720000000000003</v>
      </c>
      <c r="BB27" s="489">
        <v>-0.08210000000000006</v>
      </c>
      <c r="BC27" s="489">
        <v>-0.01699999999999996</v>
      </c>
      <c r="BD27" s="489">
        <v>-0.0776</v>
      </c>
      <c r="BE27" s="489">
        <v>-0.07879999999999998</v>
      </c>
      <c r="BF27" s="489">
        <v>0.0034999999999999476</v>
      </c>
      <c r="BG27" s="489">
        <v>0.5136</v>
      </c>
      <c r="BH27" s="489">
        <v>0.7762000000000001</v>
      </c>
      <c r="BI27" s="489">
        <v>1.0489</v>
      </c>
      <c r="BJ27" s="489">
        <v>50.900999999999996</v>
      </c>
      <c r="BK27" s="281"/>
      <c r="BL27" s="489">
        <v>-8.812811117642578</v>
      </c>
      <c r="BM27" s="489">
        <v>-0.1464359518896114</v>
      </c>
      <c r="BN27" s="489">
        <v>-0.21200740876191673</v>
      </c>
      <c r="BO27" s="489">
        <v>-0.11005384978306114</v>
      </c>
      <c r="BP27" s="489">
        <v>-0.18779370303210713</v>
      </c>
      <c r="BQ27" s="489">
        <v>-0.14555743605465482</v>
      </c>
      <c r="BR27" s="489">
        <v>-0.11286976102310409</v>
      </c>
      <c r="BS27" s="489">
        <v>1.0267290578244412</v>
      </c>
      <c r="BT27" s="489">
        <v>1.1521605177761227</v>
      </c>
      <c r="BU27" s="489">
        <v>1.36584052682713</v>
      </c>
      <c r="BV27" s="489">
        <v>50.92019031093442</v>
      </c>
      <c r="BW27" s="281"/>
      <c r="BX27" s="486">
        <f t="shared" ref="BX27:CH27" si="19">IFERROR(BL27-AZ27,"")</f>
        <v>-1.137811118</v>
      </c>
      <c r="BY27" s="486">
        <f t="shared" si="19"/>
        <v>-0.08923595189</v>
      </c>
      <c r="BZ27" s="486">
        <f t="shared" si="19"/>
        <v>-0.1299074088</v>
      </c>
      <c r="CA27" s="486">
        <f t="shared" si="19"/>
        <v>-0.09305384978</v>
      </c>
      <c r="CB27" s="486">
        <f t="shared" si="19"/>
        <v>-0.110193703</v>
      </c>
      <c r="CC27" s="486">
        <f t="shared" si="19"/>
        <v>-0.06675743605</v>
      </c>
      <c r="CD27" s="486">
        <f t="shared" si="19"/>
        <v>-0.116369761</v>
      </c>
      <c r="CE27" s="486">
        <f t="shared" si="19"/>
        <v>0.5131290578</v>
      </c>
      <c r="CF27" s="486">
        <f t="shared" si="19"/>
        <v>0.3759605178</v>
      </c>
      <c r="CG27" s="486">
        <f t="shared" si="19"/>
        <v>0.3169405268</v>
      </c>
      <c r="CH27" s="486">
        <f t="shared" si="19"/>
        <v>0.01919031093</v>
      </c>
      <c r="CK27" s="180" t="s">
        <v>383</v>
      </c>
    </row>
    <row r="28" ht="15.75" customHeight="1">
      <c r="A28" s="224"/>
      <c r="B28" s="477">
        <v>20.0</v>
      </c>
      <c r="C28" s="477" t="s">
        <v>1924</v>
      </c>
      <c r="D28" s="478">
        <v>41.85630212459781</v>
      </c>
      <c r="E28" s="478">
        <v>0.4156186345530063</v>
      </c>
      <c r="F28" s="478">
        <v>0.43888595238870926</v>
      </c>
      <c r="G28" s="478">
        <v>0.27254222961485014</v>
      </c>
      <c r="H28" s="478">
        <v>0.3805358793956411</v>
      </c>
      <c r="I28" s="478">
        <v>0.3819965185541991</v>
      </c>
      <c r="J28" s="478">
        <v>0.2933411732293162</v>
      </c>
      <c r="K28" s="478">
        <v>0.48255717096850764</v>
      </c>
      <c r="L28" s="478">
        <v>0.864185598426302</v>
      </c>
      <c r="M28" s="478">
        <v>1.1377790671793433</v>
      </c>
      <c r="N28" s="478">
        <v>25.03244417520448</v>
      </c>
      <c r="O28" s="453"/>
      <c r="P28" s="478">
        <v>26.64591112102022</v>
      </c>
      <c r="Q28" s="478">
        <v>0.441009786864974</v>
      </c>
      <c r="R28" s="478">
        <v>0.3921751477311786</v>
      </c>
      <c r="S28" s="478">
        <v>0.22174648999199936</v>
      </c>
      <c r="T28" s="478">
        <v>1.0145452993525739</v>
      </c>
      <c r="U28" s="478">
        <v>0.7842146344181387</v>
      </c>
      <c r="V28" s="478">
        <v>0.6424964171492432</v>
      </c>
      <c r="W28" s="478">
        <v>0.2553692921806288</v>
      </c>
      <c r="X28" s="478">
        <v>0.7581982105252749</v>
      </c>
      <c r="Y28" s="478">
        <v>2.462172060576677</v>
      </c>
      <c r="Z28" s="478">
        <v>37.32193107312436</v>
      </c>
      <c r="AA28" s="487"/>
      <c r="AB28" s="481">
        <v>-15.210391003577591</v>
      </c>
      <c r="AC28" s="481">
        <v>0.025391152311967702</v>
      </c>
      <c r="AD28" s="481">
        <v>-0.046710804657530636</v>
      </c>
      <c r="AE28" s="481">
        <v>-0.05079573962285078</v>
      </c>
      <c r="AF28" s="481">
        <v>0.6340094199569328</v>
      </c>
      <c r="AG28" s="481">
        <v>0.4022181158639396</v>
      </c>
      <c r="AH28" s="481">
        <v>0.349155243919927</v>
      </c>
      <c r="AI28" s="481">
        <v>-0.22718787878787883</v>
      </c>
      <c r="AJ28" s="481">
        <v>-0.10598738790102713</v>
      </c>
      <c r="AK28" s="481">
        <v>1.3243929933973335</v>
      </c>
      <c r="AL28" s="481">
        <v>12.289486897919883</v>
      </c>
      <c r="AM28" s="281"/>
      <c r="AN28" s="488">
        <v>68.2607</v>
      </c>
      <c r="AO28" s="488">
        <v>0.7081</v>
      </c>
      <c r="AP28" s="488">
        <v>0.6936</v>
      </c>
      <c r="AQ28" s="488">
        <v>0.4845</v>
      </c>
      <c r="AR28" s="488">
        <v>0.8253</v>
      </c>
      <c r="AS28" s="488">
        <v>0.863</v>
      </c>
      <c r="AT28" s="488">
        <v>0.4735</v>
      </c>
      <c r="AU28" s="488">
        <v>0.6825</v>
      </c>
      <c r="AV28" s="488">
        <v>1.4609</v>
      </c>
      <c r="AW28" s="488">
        <v>1.7768</v>
      </c>
      <c r="AX28" s="488">
        <v>0.0</v>
      </c>
      <c r="AY28" s="281"/>
      <c r="AZ28" s="489">
        <v>11.044600000000003</v>
      </c>
      <c r="BA28" s="489">
        <v>0.08000000000000007</v>
      </c>
      <c r="BB28" s="489">
        <v>0.13929999999999998</v>
      </c>
      <c r="BC28" s="489">
        <v>0.13300000000000006</v>
      </c>
      <c r="BD28" s="489">
        <v>-0.052200000000000024</v>
      </c>
      <c r="BE28" s="489">
        <v>0.05149999999999999</v>
      </c>
      <c r="BF28" s="489">
        <v>0.11270000000000008</v>
      </c>
      <c r="BG28" s="489">
        <v>0.5759</v>
      </c>
      <c r="BH28" s="489">
        <v>1.4800999999999997</v>
      </c>
      <c r="BI28" s="489">
        <v>2.0693</v>
      </c>
      <c r="BJ28" s="489">
        <v>61.1296</v>
      </c>
      <c r="BK28" s="281"/>
      <c r="BL28" s="489">
        <v>-4.1657910035775885</v>
      </c>
      <c r="BM28" s="489">
        <v>0.10539115231196777</v>
      </c>
      <c r="BN28" s="489">
        <v>0.09258919534246934</v>
      </c>
      <c r="BO28" s="489">
        <v>0.08220426037714929</v>
      </c>
      <c r="BP28" s="489">
        <v>0.5818094199569328</v>
      </c>
      <c r="BQ28" s="489">
        <v>0.45371811586393956</v>
      </c>
      <c r="BR28" s="489">
        <v>0.4618552439199271</v>
      </c>
      <c r="BS28" s="489">
        <v>0.34871212121212114</v>
      </c>
      <c r="BT28" s="489">
        <v>1.3741126120989726</v>
      </c>
      <c r="BU28" s="489">
        <v>3.393692993397334</v>
      </c>
      <c r="BV28" s="489">
        <v>73.41908689791988</v>
      </c>
      <c r="BW28" s="281"/>
      <c r="BX28" s="486">
        <f t="shared" ref="BX28:CH28" si="20">IFERROR(BL28-AZ28,"")</f>
        <v>-15.210391</v>
      </c>
      <c r="BY28" s="486">
        <f t="shared" si="20"/>
        <v>0.02539115231</v>
      </c>
      <c r="BZ28" s="486">
        <f t="shared" si="20"/>
        <v>-0.04671080466</v>
      </c>
      <c r="CA28" s="486">
        <f t="shared" si="20"/>
        <v>-0.05079573962</v>
      </c>
      <c r="CB28" s="486">
        <f t="shared" si="20"/>
        <v>0.63400942</v>
      </c>
      <c r="CC28" s="486">
        <f t="shared" si="20"/>
        <v>0.4022181159</v>
      </c>
      <c r="CD28" s="486">
        <f t="shared" si="20"/>
        <v>0.3491552439</v>
      </c>
      <c r="CE28" s="486">
        <f t="shared" si="20"/>
        <v>-0.2271878788</v>
      </c>
      <c r="CF28" s="486">
        <f t="shared" si="20"/>
        <v>-0.1059873879</v>
      </c>
      <c r="CG28" s="486">
        <f t="shared" si="20"/>
        <v>1.324392993</v>
      </c>
      <c r="CH28" s="486">
        <f t="shared" si="20"/>
        <v>12.2894869</v>
      </c>
    </row>
    <row r="29" ht="15.75" customHeight="1">
      <c r="A29" s="224"/>
      <c r="B29" s="477">
        <v>21.0</v>
      </c>
      <c r="C29" s="477" t="s">
        <v>1925</v>
      </c>
      <c r="D29" s="478">
        <v>28.249558957752622</v>
      </c>
      <c r="E29" s="478">
        <v>0.29398290755663137</v>
      </c>
      <c r="F29" s="478">
        <v>0.3128142795954017</v>
      </c>
      <c r="G29" s="478">
        <v>0.17014407854399308</v>
      </c>
      <c r="H29" s="478">
        <v>0.3365270199105519</v>
      </c>
      <c r="I29" s="478">
        <v>0.3539040957134386</v>
      </c>
      <c r="J29" s="478">
        <v>0.19644352465786477</v>
      </c>
      <c r="K29" s="478">
        <v>1.2126538509685074</v>
      </c>
      <c r="L29" s="478">
        <v>1.3497623883956043</v>
      </c>
      <c r="M29" s="478">
        <v>1.5726896507659938</v>
      </c>
      <c r="N29" s="478">
        <v>22.663427020292406</v>
      </c>
      <c r="O29" s="453"/>
      <c r="P29" s="478">
        <v>52.02283577724796</v>
      </c>
      <c r="Q29" s="478">
        <v>0.6070105322437458</v>
      </c>
      <c r="R29" s="478">
        <v>0.5872304028781908</v>
      </c>
      <c r="S29" s="478">
        <v>0.3895538449146274</v>
      </c>
      <c r="T29" s="478">
        <v>1.0723072174249264</v>
      </c>
      <c r="U29" s="478">
        <v>0.8637295357388051</v>
      </c>
      <c r="V29" s="478">
        <v>0.7683631379949569</v>
      </c>
      <c r="W29" s="478">
        <v>0.2553692921806288</v>
      </c>
      <c r="X29" s="478">
        <v>0.8441307471839252</v>
      </c>
      <c r="Y29" s="478">
        <v>2.6465943208818388</v>
      </c>
      <c r="Z29" s="478">
        <v>40.55452487125113</v>
      </c>
      <c r="AA29" s="487"/>
      <c r="AB29" s="481">
        <v>23.77327681949534</v>
      </c>
      <c r="AC29" s="481">
        <v>0.3130276246871144</v>
      </c>
      <c r="AD29" s="481">
        <v>0.27441612328278914</v>
      </c>
      <c r="AE29" s="481">
        <v>0.21940976637063433</v>
      </c>
      <c r="AF29" s="481">
        <v>0.7357801975143745</v>
      </c>
      <c r="AG29" s="481">
        <v>0.5098254400253664</v>
      </c>
      <c r="AH29" s="481">
        <v>0.5719196133370922</v>
      </c>
      <c r="AI29" s="481">
        <v>-0.9572845587878787</v>
      </c>
      <c r="AJ29" s="481">
        <v>-0.505631641211679</v>
      </c>
      <c r="AK29" s="481">
        <v>1.073904670115845</v>
      </c>
      <c r="AL29" s="481">
        <v>17.891097850958726</v>
      </c>
      <c r="AM29" s="281"/>
      <c r="AN29" s="488">
        <v>67.0928</v>
      </c>
      <c r="AO29" s="488">
        <v>0.6781</v>
      </c>
      <c r="AP29" s="488">
        <v>0.7002</v>
      </c>
      <c r="AQ29" s="488">
        <v>0.397</v>
      </c>
      <c r="AR29" s="488">
        <v>0.891</v>
      </c>
      <c r="AS29" s="488">
        <v>0.9293</v>
      </c>
      <c r="AT29" s="488">
        <v>0.4205</v>
      </c>
      <c r="AU29" s="488">
        <v>1.2646</v>
      </c>
      <c r="AV29" s="488">
        <v>2.9351</v>
      </c>
      <c r="AW29" s="488">
        <v>3.4509</v>
      </c>
      <c r="AX29" s="488">
        <v>0.0</v>
      </c>
      <c r="AY29" s="281"/>
      <c r="AZ29" s="489">
        <v>19.527500000000003</v>
      </c>
      <c r="BA29" s="489">
        <v>0.07009999999999994</v>
      </c>
      <c r="BB29" s="489">
        <v>0.1985</v>
      </c>
      <c r="BC29" s="489">
        <v>0.00269999999999998</v>
      </c>
      <c r="BD29" s="489">
        <v>0.25750000000000006</v>
      </c>
      <c r="BE29" s="489">
        <v>0.41070000000000007</v>
      </c>
      <c r="BF29" s="489">
        <v>0.12440000000000007</v>
      </c>
      <c r="BG29" s="489">
        <v>0.8964000000000001</v>
      </c>
      <c r="BH29" s="489">
        <v>3.7337000000000002</v>
      </c>
      <c r="BI29" s="489">
        <v>5.8326</v>
      </c>
      <c r="BJ29" s="489">
        <v>79.8018</v>
      </c>
      <c r="BK29" s="281"/>
      <c r="BL29" s="489">
        <v>43.30077681949534</v>
      </c>
      <c r="BM29" s="489">
        <v>0.38312762468711437</v>
      </c>
      <c r="BN29" s="489">
        <v>0.47291612328278915</v>
      </c>
      <c r="BO29" s="489">
        <v>0.22210976637063432</v>
      </c>
      <c r="BP29" s="489">
        <v>0.9932801975143746</v>
      </c>
      <c r="BQ29" s="489">
        <v>0.9205254400253665</v>
      </c>
      <c r="BR29" s="489">
        <v>0.6963196133370922</v>
      </c>
      <c r="BS29" s="489">
        <v>-0.06088455878787857</v>
      </c>
      <c r="BT29" s="489">
        <v>3.228068358788321</v>
      </c>
      <c r="BU29" s="489">
        <v>6.9065046701158455</v>
      </c>
      <c r="BV29" s="489">
        <v>97.69289785095873</v>
      </c>
      <c r="BW29" s="281"/>
      <c r="BX29" s="486">
        <f t="shared" ref="BX29:CH29" si="21">IFERROR(BL29-AZ29,"")</f>
        <v>23.77327682</v>
      </c>
      <c r="BY29" s="486">
        <f t="shared" si="21"/>
        <v>0.3130276247</v>
      </c>
      <c r="BZ29" s="486">
        <f t="shared" si="21"/>
        <v>0.2744161233</v>
      </c>
      <c r="CA29" s="486">
        <f t="shared" si="21"/>
        <v>0.2194097664</v>
      </c>
      <c r="CB29" s="486">
        <f t="shared" si="21"/>
        <v>0.7357801975</v>
      </c>
      <c r="CC29" s="486">
        <f t="shared" si="21"/>
        <v>0.50982544</v>
      </c>
      <c r="CD29" s="486">
        <f t="shared" si="21"/>
        <v>0.5719196133</v>
      </c>
      <c r="CE29" s="486">
        <f t="shared" si="21"/>
        <v>-0.9572845588</v>
      </c>
      <c r="CF29" s="486">
        <f t="shared" si="21"/>
        <v>-0.5056316412</v>
      </c>
      <c r="CG29" s="486">
        <f t="shared" si="21"/>
        <v>1.07390467</v>
      </c>
      <c r="CH29" s="486">
        <f t="shared" si="21"/>
        <v>17.89109785</v>
      </c>
    </row>
    <row r="30" ht="15.75" customHeight="1">
      <c r="A30" s="224"/>
      <c r="B30" s="477">
        <v>22.0</v>
      </c>
      <c r="C30" s="477" t="s">
        <v>1919</v>
      </c>
      <c r="D30" s="478">
        <v>23.084900762317</v>
      </c>
      <c r="E30" s="478">
        <v>0.24051796061894953</v>
      </c>
      <c r="F30" s="478">
        <v>0.2344844658318126</v>
      </c>
      <c r="G30" s="478">
        <v>0.15298543305478773</v>
      </c>
      <c r="H30" s="478">
        <v>0.35148408344140475</v>
      </c>
      <c r="I30" s="478">
        <v>0.3843061757134386</v>
      </c>
      <c r="J30" s="478">
        <v>0.19648453465786472</v>
      </c>
      <c r="K30" s="478">
        <v>1.701438439837549</v>
      </c>
      <c r="L30" s="478">
        <v>1.7585227283956044</v>
      </c>
      <c r="M30" s="478">
        <v>2.043457110765994</v>
      </c>
      <c r="N30" s="478">
        <v>24.000161640292404</v>
      </c>
      <c r="O30" s="453"/>
      <c r="P30" s="478">
        <v>26.576302229978687</v>
      </c>
      <c r="Q30" s="478">
        <v>0.4395078720137162</v>
      </c>
      <c r="R30" s="478">
        <v>0.38986140648310186</v>
      </c>
      <c r="S30" s="478">
        <v>0.22108125336603457</v>
      </c>
      <c r="T30" s="478">
        <v>1.011102060508923</v>
      </c>
      <c r="U30" s="478">
        <v>0.7814132210576871</v>
      </c>
      <c r="V30" s="478">
        <v>0.6401603452726825</v>
      </c>
      <c r="W30" s="478">
        <v>0.2553692921806288</v>
      </c>
      <c r="X30" s="478">
        <v>0.7502395024993174</v>
      </c>
      <c r="Y30" s="478">
        <v>2.4450916509864613</v>
      </c>
      <c r="Z30" s="478">
        <v>37.05902574072596</v>
      </c>
      <c r="AA30" s="487"/>
      <c r="AB30" s="481">
        <v>3.491401467661685</v>
      </c>
      <c r="AC30" s="481">
        <v>0.19898991139476668</v>
      </c>
      <c r="AD30" s="481">
        <v>0.15537694065128926</v>
      </c>
      <c r="AE30" s="481">
        <v>0.06809582031124684</v>
      </c>
      <c r="AF30" s="481">
        <v>0.6596179770675181</v>
      </c>
      <c r="AG30" s="481">
        <v>0.39710704534424845</v>
      </c>
      <c r="AH30" s="481">
        <v>0.44367581061481776</v>
      </c>
      <c r="AI30" s="481">
        <v>-1.4460691476569203</v>
      </c>
      <c r="AJ30" s="481">
        <v>-1.008283225896287</v>
      </c>
      <c r="AK30" s="481">
        <v>0.4016345402204675</v>
      </c>
      <c r="AL30" s="481">
        <v>13.058864100433553</v>
      </c>
      <c r="AM30" s="281"/>
      <c r="AN30" s="488">
        <v>53.388</v>
      </c>
      <c r="AO30" s="488">
        <v>0.5657</v>
      </c>
      <c r="AP30" s="488">
        <v>0.581</v>
      </c>
      <c r="AQ30" s="488">
        <v>0.3207</v>
      </c>
      <c r="AR30" s="488">
        <v>0.848</v>
      </c>
      <c r="AS30" s="488">
        <v>0.8142</v>
      </c>
      <c r="AT30" s="488">
        <v>0.3932</v>
      </c>
      <c r="AU30" s="488">
        <v>1.0739</v>
      </c>
      <c r="AV30" s="488">
        <v>1.73</v>
      </c>
      <c r="AW30" s="488">
        <v>2.0916</v>
      </c>
      <c r="AX30" s="488">
        <v>9.0E-4</v>
      </c>
      <c r="AY30" s="281"/>
      <c r="AZ30" s="489">
        <v>-4.622199999999999</v>
      </c>
      <c r="BA30" s="489">
        <v>-0.06530000000000002</v>
      </c>
      <c r="BB30" s="489">
        <v>-0.06319999999999992</v>
      </c>
      <c r="BC30" s="489">
        <v>-0.04089999999999999</v>
      </c>
      <c r="BD30" s="489">
        <v>0.051000000000000045</v>
      </c>
      <c r="BE30" s="489">
        <v>0.040200000000000014</v>
      </c>
      <c r="BF30" s="489">
        <v>-0.00990000000000002</v>
      </c>
      <c r="BG30" s="489">
        <v>0.8712</v>
      </c>
      <c r="BH30" s="489">
        <v>2.0171</v>
      </c>
      <c r="BI30" s="489">
        <v>2.8387999999999995</v>
      </c>
      <c r="BJ30" s="489">
        <v>64.1254</v>
      </c>
      <c r="BK30" s="281"/>
      <c r="BL30" s="489">
        <v>-1.1307985323383143</v>
      </c>
      <c r="BM30" s="489">
        <v>0.13368991139476666</v>
      </c>
      <c r="BN30" s="489">
        <v>0.09217694065128934</v>
      </c>
      <c r="BO30" s="489">
        <v>0.027195820311246843</v>
      </c>
      <c r="BP30" s="489">
        <v>0.7106179770675182</v>
      </c>
      <c r="BQ30" s="489">
        <v>0.43730704534424847</v>
      </c>
      <c r="BR30" s="489">
        <v>0.43377581061481774</v>
      </c>
      <c r="BS30" s="489">
        <v>-0.5748691476569203</v>
      </c>
      <c r="BT30" s="489">
        <v>1.008816774103713</v>
      </c>
      <c r="BU30" s="489">
        <v>3.240434540220467</v>
      </c>
      <c r="BV30" s="489">
        <v>77.18426410043355</v>
      </c>
      <c r="BW30" s="281"/>
      <c r="BX30" s="486">
        <f t="shared" ref="BX30:CH30" si="22">IFERROR(BL30-AZ30,"")</f>
        <v>3.491401468</v>
      </c>
      <c r="BY30" s="486">
        <f t="shared" si="22"/>
        <v>0.1989899114</v>
      </c>
      <c r="BZ30" s="486">
        <f t="shared" si="22"/>
        <v>0.1553769407</v>
      </c>
      <c r="CA30" s="486">
        <f t="shared" si="22"/>
        <v>0.06809582031</v>
      </c>
      <c r="CB30" s="486">
        <f t="shared" si="22"/>
        <v>0.6596179771</v>
      </c>
      <c r="CC30" s="486">
        <f t="shared" si="22"/>
        <v>0.3971070453</v>
      </c>
      <c r="CD30" s="486">
        <f t="shared" si="22"/>
        <v>0.4436758106</v>
      </c>
      <c r="CE30" s="486">
        <f t="shared" si="22"/>
        <v>-1.446069148</v>
      </c>
      <c r="CF30" s="486">
        <f t="shared" si="22"/>
        <v>-1.008283226</v>
      </c>
      <c r="CG30" s="486">
        <f t="shared" si="22"/>
        <v>0.4016345402</v>
      </c>
      <c r="CH30" s="486">
        <f t="shared" si="22"/>
        <v>13.0588641</v>
      </c>
    </row>
    <row r="31" ht="15.75" customHeight="1">
      <c r="A31" s="224"/>
      <c r="B31" s="477">
        <v>23.0</v>
      </c>
      <c r="C31" s="477" t="s">
        <v>1920</v>
      </c>
      <c r="D31" s="478">
        <v>26.385969423870396</v>
      </c>
      <c r="E31" s="478">
        <v>0.2790056004525976</v>
      </c>
      <c r="F31" s="478">
        <v>0.26590489608431356</v>
      </c>
      <c r="G31" s="478">
        <v>0.15764063412354049</v>
      </c>
      <c r="H31" s="478">
        <v>0.35660893031040203</v>
      </c>
      <c r="I31" s="478">
        <v>0.38708509745354525</v>
      </c>
      <c r="J31" s="478">
        <v>0.20663229873417635</v>
      </c>
      <c r="K31" s="478">
        <v>1.6066629309685077</v>
      </c>
      <c r="L31" s="478">
        <v>1.6792824283956043</v>
      </c>
      <c r="M31" s="478">
        <v>1.9521964107659937</v>
      </c>
      <c r="N31" s="478">
        <v>27.419450376669097</v>
      </c>
      <c r="O31" s="453"/>
      <c r="P31" s="478">
        <v>49.93080640324301</v>
      </c>
      <c r="Q31" s="478">
        <v>0.5618719021194578</v>
      </c>
      <c r="R31" s="478">
        <v>0.5176930983413982</v>
      </c>
      <c r="S31" s="478">
        <v>0.36956078739914544</v>
      </c>
      <c r="T31" s="478">
        <v>0.9688239310968227</v>
      </c>
      <c r="U31" s="478">
        <v>0.7795357071760447</v>
      </c>
      <c r="V31" s="478">
        <v>0.6981547075426472</v>
      </c>
      <c r="W31" s="478">
        <v>0.2553692921806288</v>
      </c>
      <c r="X31" s="478">
        <v>0.6049393059713618</v>
      </c>
      <c r="Y31" s="478">
        <v>2.133258767792126</v>
      </c>
      <c r="Z31" s="478">
        <v>32.65315380025034</v>
      </c>
      <c r="AA31" s="487"/>
      <c r="AB31" s="481">
        <v>23.544836979372615</v>
      </c>
      <c r="AC31" s="481">
        <v>0.2828663016668602</v>
      </c>
      <c r="AD31" s="481">
        <v>0.25178820225708465</v>
      </c>
      <c r="AE31" s="481">
        <v>0.21192015327560496</v>
      </c>
      <c r="AF31" s="481">
        <v>0.6122150007864207</v>
      </c>
      <c r="AG31" s="481">
        <v>0.39245060972249945</v>
      </c>
      <c r="AH31" s="481">
        <v>0.49152240880847087</v>
      </c>
      <c r="AI31" s="481">
        <v>-1.351293638787879</v>
      </c>
      <c r="AJ31" s="481">
        <v>-1.0743431224242426</v>
      </c>
      <c r="AK31" s="481">
        <v>0.18106235702613227</v>
      </c>
      <c r="AL31" s="481">
        <v>5.23370342358124</v>
      </c>
      <c r="AM31" s="281"/>
      <c r="AN31" s="488">
        <v>51.5772</v>
      </c>
      <c r="AO31" s="488">
        <v>0.5375</v>
      </c>
      <c r="AP31" s="488">
        <v>0.57</v>
      </c>
      <c r="AQ31" s="488">
        <v>0.2951</v>
      </c>
      <c r="AR31" s="488">
        <v>0.7945</v>
      </c>
      <c r="AS31" s="488">
        <v>0.7095</v>
      </c>
      <c r="AT31" s="488">
        <v>0.3731</v>
      </c>
      <c r="AU31" s="488">
        <v>0.8203</v>
      </c>
      <c r="AV31" s="488">
        <v>1.0798</v>
      </c>
      <c r="AW31" s="488">
        <v>1.4547</v>
      </c>
      <c r="AX31" s="488">
        <v>0.0</v>
      </c>
      <c r="AY31" s="281"/>
      <c r="AZ31" s="489">
        <v>0.04360000000000497</v>
      </c>
      <c r="BA31" s="489">
        <v>-0.05149999999999999</v>
      </c>
      <c r="BB31" s="489">
        <v>0.005300000000000082</v>
      </c>
      <c r="BC31" s="489">
        <v>-0.02589999999999998</v>
      </c>
      <c r="BD31" s="489">
        <v>-0.050899999999999945</v>
      </c>
      <c r="BE31" s="489">
        <v>-0.05920000000000003</v>
      </c>
      <c r="BF31" s="489">
        <v>-0.06169999999999998</v>
      </c>
      <c r="BG31" s="489">
        <v>0.7141</v>
      </c>
      <c r="BH31" s="489">
        <v>1.2807</v>
      </c>
      <c r="BI31" s="489">
        <v>1.8879999999999997</v>
      </c>
      <c r="BJ31" s="489">
        <v>45.1206</v>
      </c>
      <c r="BK31" s="281"/>
      <c r="BL31" s="489">
        <v>23.58843697937262</v>
      </c>
      <c r="BM31" s="489">
        <v>0.23136630166686023</v>
      </c>
      <c r="BN31" s="489">
        <v>0.25708820225708473</v>
      </c>
      <c r="BO31" s="489">
        <v>0.18602015327560498</v>
      </c>
      <c r="BP31" s="489">
        <v>0.5613150007864207</v>
      </c>
      <c r="BQ31" s="489">
        <v>0.3332506097224994</v>
      </c>
      <c r="BR31" s="489">
        <v>0.4298224088084709</v>
      </c>
      <c r="BS31" s="489">
        <v>-0.6371936387878789</v>
      </c>
      <c r="BT31" s="489">
        <v>0.20635687757575738</v>
      </c>
      <c r="BU31" s="489">
        <v>2.069062357026132</v>
      </c>
      <c r="BV31" s="489">
        <v>50.35430342358124</v>
      </c>
      <c r="BW31" s="281"/>
      <c r="BX31" s="486">
        <f t="shared" ref="BX31:CH31" si="23">IFERROR(BL31-AZ31,"")</f>
        <v>23.54483698</v>
      </c>
      <c r="BY31" s="486">
        <f t="shared" si="23"/>
        <v>0.2828663017</v>
      </c>
      <c r="BZ31" s="486">
        <f t="shared" si="23"/>
        <v>0.2517882023</v>
      </c>
      <c r="CA31" s="486">
        <f t="shared" si="23"/>
        <v>0.2119201533</v>
      </c>
      <c r="CB31" s="486">
        <f t="shared" si="23"/>
        <v>0.6122150008</v>
      </c>
      <c r="CC31" s="486">
        <f t="shared" si="23"/>
        <v>0.3924506097</v>
      </c>
      <c r="CD31" s="486">
        <f t="shared" si="23"/>
        <v>0.4915224088</v>
      </c>
      <c r="CE31" s="486">
        <f t="shared" si="23"/>
        <v>-1.351293639</v>
      </c>
      <c r="CF31" s="486">
        <f t="shared" si="23"/>
        <v>-1.074343122</v>
      </c>
      <c r="CG31" s="486">
        <f t="shared" si="23"/>
        <v>0.181062357</v>
      </c>
      <c r="CH31" s="486">
        <f t="shared" si="23"/>
        <v>5.233703424</v>
      </c>
    </row>
    <row r="32" ht="15.75" customHeight="1">
      <c r="A32" s="224"/>
      <c r="B32" s="477">
        <v>24.0</v>
      </c>
      <c r="C32" s="477" t="s">
        <v>1921</v>
      </c>
      <c r="D32" s="490">
        <v>21.60004017921959</v>
      </c>
      <c r="E32" s="490">
        <v>0.23438281725726057</v>
      </c>
      <c r="F32" s="490">
        <v>0.2286301816684915</v>
      </c>
      <c r="G32" s="490">
        <v>0.149135687667588</v>
      </c>
      <c r="H32" s="490">
        <v>0.32132640120364775</v>
      </c>
      <c r="I32" s="490">
        <v>0.332212514477207</v>
      </c>
      <c r="J32" s="490">
        <v>0.19223676574389562</v>
      </c>
      <c r="K32" s="490">
        <v>0.9750480570699367</v>
      </c>
      <c r="L32" s="490">
        <v>1.1479135085919414</v>
      </c>
      <c r="M32" s="490">
        <v>1.343195071080807</v>
      </c>
      <c r="N32" s="490">
        <v>21.463075686315783</v>
      </c>
      <c r="O32" s="453"/>
      <c r="P32" s="490">
        <v>19.759676103806907</v>
      </c>
      <c r="Q32" s="490">
        <v>0.16230833212100793</v>
      </c>
      <c r="R32" s="490">
        <v>0.14760525896516793</v>
      </c>
      <c r="S32" s="490">
        <v>0.07145221671130388</v>
      </c>
      <c r="T32" s="490">
        <v>0.27052807176104754</v>
      </c>
      <c r="U32" s="490">
        <v>0.28482224204970935</v>
      </c>
      <c r="V32" s="490">
        <v>0.12891961339396074</v>
      </c>
      <c r="W32" s="490">
        <v>0.3928480977108811</v>
      </c>
      <c r="X32" s="490">
        <v>0.8955090024085646</v>
      </c>
      <c r="Y32" s="490">
        <v>1.2163802066194502</v>
      </c>
      <c r="Z32" s="490">
        <v>24.1552544560383</v>
      </c>
      <c r="AA32" s="487"/>
      <c r="AB32" s="491">
        <v>-1.8403640754126833</v>
      </c>
      <c r="AC32" s="491">
        <v>-0.07207448513625264</v>
      </c>
      <c r="AD32" s="491">
        <v>-0.08102492270332357</v>
      </c>
      <c r="AE32" s="491">
        <v>-0.07768347095628413</v>
      </c>
      <c r="AF32" s="491">
        <v>-0.05079832944260021</v>
      </c>
      <c r="AG32" s="491">
        <v>-0.04739027242749766</v>
      </c>
      <c r="AH32" s="491">
        <v>-0.06331715234993487</v>
      </c>
      <c r="AI32" s="491">
        <v>-0.5821999593590557</v>
      </c>
      <c r="AJ32" s="491">
        <v>-0.25240450618337684</v>
      </c>
      <c r="AK32" s="491">
        <v>-0.1268148644613567</v>
      </c>
      <c r="AL32" s="491">
        <v>2.692178769722517</v>
      </c>
      <c r="AM32" s="281"/>
      <c r="AN32" s="488">
        <v>53.326</v>
      </c>
      <c r="AO32" s="488">
        <v>0.5708</v>
      </c>
      <c r="AP32" s="488">
        <v>0.5664</v>
      </c>
      <c r="AQ32" s="488">
        <v>0.2881</v>
      </c>
      <c r="AR32" s="488">
        <v>0.8933</v>
      </c>
      <c r="AS32" s="488">
        <v>0.8025</v>
      </c>
      <c r="AT32" s="488">
        <v>0.465</v>
      </c>
      <c r="AU32" s="488">
        <v>0.8042</v>
      </c>
      <c r="AV32" s="488">
        <v>1.1185</v>
      </c>
      <c r="AW32" s="488">
        <v>1.4457</v>
      </c>
      <c r="AX32" s="488">
        <v>0.0</v>
      </c>
      <c r="AY32" s="281"/>
      <c r="AZ32" s="489">
        <v>0.8235000000000028</v>
      </c>
      <c r="BA32" s="489">
        <v>0.018500000000000072</v>
      </c>
      <c r="BB32" s="489">
        <v>-0.028200000000000003</v>
      </c>
      <c r="BC32" s="489">
        <v>-0.028400000000000036</v>
      </c>
      <c r="BD32" s="489">
        <v>0.1774</v>
      </c>
      <c r="BE32" s="489">
        <v>0.16400000000000003</v>
      </c>
      <c r="BF32" s="489">
        <v>0.08979999999999994</v>
      </c>
      <c r="BG32" s="489">
        <v>1.0606</v>
      </c>
      <c r="BH32" s="489">
        <v>1.5733000000000001</v>
      </c>
      <c r="BI32" s="489">
        <v>2.2322</v>
      </c>
      <c r="BJ32" s="489">
        <v>64.5796</v>
      </c>
      <c r="BK32" s="281"/>
      <c r="BL32" s="489">
        <v>-1.0168640754126805</v>
      </c>
      <c r="BM32" s="489">
        <v>-0.05357448513625257</v>
      </c>
      <c r="BN32" s="489">
        <v>-0.10922492270332357</v>
      </c>
      <c r="BO32" s="489">
        <v>-0.10608347095628416</v>
      </c>
      <c r="BP32" s="489">
        <v>0.1266016705573998</v>
      </c>
      <c r="BQ32" s="489">
        <v>0.11660972757250238</v>
      </c>
      <c r="BR32" s="489">
        <v>0.02648284765006506</v>
      </c>
      <c r="BS32" s="489">
        <v>0.4784000406409443</v>
      </c>
      <c r="BT32" s="489">
        <v>1.3208954938166233</v>
      </c>
      <c r="BU32" s="489">
        <v>2.1053851355386435</v>
      </c>
      <c r="BV32" s="489">
        <v>67.27177876972252</v>
      </c>
      <c r="BW32" s="281"/>
      <c r="BX32" s="486">
        <f t="shared" ref="BX32:CH32" si="24">IFERROR(BL32-AZ32,"")</f>
        <v>-1.840364075</v>
      </c>
      <c r="BY32" s="486">
        <f t="shared" si="24"/>
        <v>-0.07207448514</v>
      </c>
      <c r="BZ32" s="486">
        <f t="shared" si="24"/>
        <v>-0.0810249227</v>
      </c>
      <c r="CA32" s="486">
        <f t="shared" si="24"/>
        <v>-0.07768347096</v>
      </c>
      <c r="CB32" s="486">
        <f t="shared" si="24"/>
        <v>-0.05079832944</v>
      </c>
      <c r="CC32" s="486">
        <f t="shared" si="24"/>
        <v>-0.04739027243</v>
      </c>
      <c r="CD32" s="486">
        <f t="shared" si="24"/>
        <v>-0.06331715235</v>
      </c>
      <c r="CE32" s="486">
        <f t="shared" si="24"/>
        <v>-0.5821999594</v>
      </c>
      <c r="CF32" s="486">
        <f t="shared" si="24"/>
        <v>-0.2524045062</v>
      </c>
      <c r="CG32" s="486">
        <f t="shared" si="24"/>
        <v>-0.1268148645</v>
      </c>
      <c r="CH32" s="486">
        <f t="shared" si="24"/>
        <v>2.69217877</v>
      </c>
    </row>
    <row r="33" ht="15.75" customHeight="1">
      <c r="A33" s="224"/>
      <c r="B33" s="477">
        <v>25.0</v>
      </c>
      <c r="C33" s="477" t="s">
        <v>1922</v>
      </c>
      <c r="D33" s="490">
        <v>22.119852527625575</v>
      </c>
      <c r="E33" s="490">
        <v>0.2590577104813815</v>
      </c>
      <c r="F33" s="490">
        <v>0.266925051349967</v>
      </c>
      <c r="G33" s="490">
        <v>0.16011602760402718</v>
      </c>
      <c r="H33" s="490">
        <v>0.3629795794344861</v>
      </c>
      <c r="I33" s="490">
        <v>0.3473827084813347</v>
      </c>
      <c r="J33" s="490">
        <v>0.2309016377946506</v>
      </c>
      <c r="K33" s="490">
        <v>0.4726780615044575</v>
      </c>
      <c r="L33" s="490">
        <v>0.8596604465591837</v>
      </c>
      <c r="M33" s="490">
        <v>1.1423512091185737</v>
      </c>
      <c r="N33" s="490">
        <v>24.44533366766613</v>
      </c>
      <c r="O33" s="453"/>
      <c r="P33" s="490">
        <v>20.39391741313421</v>
      </c>
      <c r="Q33" s="490">
        <v>0.16230833212100793</v>
      </c>
      <c r="R33" s="490">
        <v>0.14866675069625965</v>
      </c>
      <c r="S33" s="490">
        <v>0.07145221671130388</v>
      </c>
      <c r="T33" s="490">
        <v>0.28377505530314123</v>
      </c>
      <c r="U33" s="490">
        <v>0.30896576315790786</v>
      </c>
      <c r="V33" s="490">
        <v>0.1291904021008719</v>
      </c>
      <c r="W33" s="490">
        <v>0.48733169332632115</v>
      </c>
      <c r="X33" s="490">
        <v>1.0891445909465929</v>
      </c>
      <c r="Y33" s="490">
        <v>1.5182121308908998</v>
      </c>
      <c r="Z33" s="490">
        <v>25.73529572931661</v>
      </c>
      <c r="AA33" s="487"/>
      <c r="AB33" s="491">
        <v>-1.7259351144913637</v>
      </c>
      <c r="AC33" s="491">
        <v>-0.09674937836037356</v>
      </c>
      <c r="AD33" s="491">
        <v>-0.11825830065370738</v>
      </c>
      <c r="AE33" s="491">
        <v>-0.08866381089272331</v>
      </c>
      <c r="AF33" s="491">
        <v>-0.07920452413134488</v>
      </c>
      <c r="AG33" s="491">
        <v>-0.03841694532342682</v>
      </c>
      <c r="AH33" s="491">
        <v>-0.10171123569377868</v>
      </c>
      <c r="AI33" s="491">
        <v>0.014653631821863633</v>
      </c>
      <c r="AJ33" s="491">
        <v>0.22948414438740916</v>
      </c>
      <c r="AK33" s="491">
        <v>0.3758609217723261</v>
      </c>
      <c r="AL33" s="491">
        <v>1.2899620616504812</v>
      </c>
      <c r="AM33" s="281"/>
      <c r="AN33" s="488">
        <v>52.1117</v>
      </c>
      <c r="AO33" s="488">
        <v>0.5631</v>
      </c>
      <c r="AP33" s="488">
        <v>0.5868</v>
      </c>
      <c r="AQ33" s="488">
        <v>0.2945</v>
      </c>
      <c r="AR33" s="488">
        <v>0.8223</v>
      </c>
      <c r="AS33" s="488">
        <v>0.7742</v>
      </c>
      <c r="AT33" s="488">
        <v>0.4304</v>
      </c>
      <c r="AU33" s="488">
        <v>0.267</v>
      </c>
      <c r="AV33" s="488">
        <v>0.7138</v>
      </c>
      <c r="AW33" s="488">
        <v>1.092</v>
      </c>
      <c r="AX33" s="488">
        <v>1.0E-4</v>
      </c>
      <c r="AY33" s="281"/>
      <c r="AZ33" s="489">
        <v>-0.18599999999999994</v>
      </c>
      <c r="BA33" s="489">
        <v>-0.032299999999999995</v>
      </c>
      <c r="BB33" s="489">
        <v>-0.0012999999999999678</v>
      </c>
      <c r="BC33" s="489">
        <v>-0.014999999999999958</v>
      </c>
      <c r="BD33" s="489">
        <v>-0.036700000000000066</v>
      </c>
      <c r="BE33" s="489">
        <v>-0.0041999999999999815</v>
      </c>
      <c r="BF33" s="489">
        <v>0.018699999999999994</v>
      </c>
      <c r="BG33" s="489">
        <v>0.3476</v>
      </c>
      <c r="BH33" s="489">
        <v>1.0084</v>
      </c>
      <c r="BI33" s="489">
        <v>1.5206</v>
      </c>
      <c r="BJ33" s="489">
        <v>44.9323</v>
      </c>
      <c r="BK33" s="281"/>
      <c r="BL33" s="489">
        <v>-1.9119351144913637</v>
      </c>
      <c r="BM33" s="489">
        <v>-0.12904937836037356</v>
      </c>
      <c r="BN33" s="489">
        <v>-0.11955830065370734</v>
      </c>
      <c r="BO33" s="489">
        <v>-0.10366381089272327</v>
      </c>
      <c r="BP33" s="489">
        <v>-0.11590452413134494</v>
      </c>
      <c r="BQ33" s="489">
        <v>-0.0426169453234268</v>
      </c>
      <c r="BR33" s="489">
        <v>-0.08301123569377869</v>
      </c>
      <c r="BS33" s="489">
        <v>0.36225363182186365</v>
      </c>
      <c r="BT33" s="489">
        <v>1.2378841443874091</v>
      </c>
      <c r="BU33" s="489">
        <v>1.896460921772326</v>
      </c>
      <c r="BV33" s="489">
        <v>46.22226206165048</v>
      </c>
      <c r="BW33" s="281"/>
      <c r="BX33" s="486">
        <f t="shared" ref="BX33:CH33" si="25">IFERROR(BL33-AZ33,"")</f>
        <v>-1.725935114</v>
      </c>
      <c r="BY33" s="486">
        <f t="shared" si="25"/>
        <v>-0.09674937836</v>
      </c>
      <c r="BZ33" s="486">
        <f t="shared" si="25"/>
        <v>-0.1182583007</v>
      </c>
      <c r="CA33" s="486">
        <f t="shared" si="25"/>
        <v>-0.08866381089</v>
      </c>
      <c r="CB33" s="486">
        <f t="shared" si="25"/>
        <v>-0.07920452413</v>
      </c>
      <c r="CC33" s="486">
        <f t="shared" si="25"/>
        <v>-0.03841694532</v>
      </c>
      <c r="CD33" s="486">
        <f t="shared" si="25"/>
        <v>-0.1017112357</v>
      </c>
      <c r="CE33" s="486">
        <f t="shared" si="25"/>
        <v>0.01465363182</v>
      </c>
      <c r="CF33" s="486">
        <f t="shared" si="25"/>
        <v>0.2294841444</v>
      </c>
      <c r="CG33" s="486">
        <f t="shared" si="25"/>
        <v>0.3758609218</v>
      </c>
      <c r="CH33" s="486">
        <f t="shared" si="25"/>
        <v>1.289962062</v>
      </c>
    </row>
    <row r="34" ht="15.75" customHeight="1">
      <c r="A34" s="224"/>
      <c r="B34" s="477">
        <v>26.0</v>
      </c>
      <c r="C34" s="477" t="s">
        <v>1923</v>
      </c>
      <c r="D34" s="490">
        <v>22.766548548486192</v>
      </c>
      <c r="E34" s="490">
        <v>0.2730111342961693</v>
      </c>
      <c r="F34" s="490">
        <v>0.28842068554329964</v>
      </c>
      <c r="G34" s="490">
        <v>0.16629635704909027</v>
      </c>
      <c r="H34" s="490">
        <v>0.3949687237197071</v>
      </c>
      <c r="I34" s="490">
        <v>0.3734090227334737</v>
      </c>
      <c r="J34" s="490">
        <v>0.2526047329655652</v>
      </c>
      <c r="K34" s="490">
        <v>0.4727043570699368</v>
      </c>
      <c r="L34" s="490">
        <v>0.9336002081983601</v>
      </c>
      <c r="M34" s="490">
        <v>1.3010354339551882</v>
      </c>
      <c r="N34" s="490">
        <v>26.88783533348994</v>
      </c>
      <c r="O34" s="453"/>
      <c r="P34" s="490">
        <v>22.080038861908225</v>
      </c>
      <c r="Q34" s="490">
        <v>0.1825535524537119</v>
      </c>
      <c r="R34" s="490">
        <v>0.16104607667139295</v>
      </c>
      <c r="S34" s="490">
        <v>0.07286591457379836</v>
      </c>
      <c r="T34" s="490">
        <v>0.287321395903977</v>
      </c>
      <c r="U34" s="490">
        <v>0.3110776254350558</v>
      </c>
      <c r="V34" s="490">
        <v>0.1365320572339975</v>
      </c>
      <c r="W34" s="490">
        <v>0.47096151338978537</v>
      </c>
      <c r="X34" s="490">
        <v>1.0555953869198302</v>
      </c>
      <c r="Y34" s="490">
        <v>1.4659168845179196</v>
      </c>
      <c r="Z34" s="490">
        <v>28.13769530557593</v>
      </c>
      <c r="AA34" s="487"/>
      <c r="AB34" s="491">
        <v>-0.686509686577967</v>
      </c>
      <c r="AC34" s="491">
        <v>-0.09045758184245739</v>
      </c>
      <c r="AD34" s="491">
        <v>-0.12737460887190669</v>
      </c>
      <c r="AE34" s="491">
        <v>-0.0934304424752919</v>
      </c>
      <c r="AF34" s="491">
        <v>-0.10764732781573011</v>
      </c>
      <c r="AG34" s="491">
        <v>-0.06233139729841791</v>
      </c>
      <c r="AH34" s="491">
        <v>-0.11607267573156768</v>
      </c>
      <c r="AI34" s="491">
        <v>-0.001742843680151429</v>
      </c>
      <c r="AJ34" s="491">
        <v>0.12199517872147014</v>
      </c>
      <c r="AK34" s="491">
        <v>0.1648814505627314</v>
      </c>
      <c r="AL34" s="491">
        <v>1.2498599720859929</v>
      </c>
      <c r="AM34" s="281"/>
      <c r="AN34" s="488">
        <v>50.9112</v>
      </c>
      <c r="AO34" s="488">
        <v>0.57</v>
      </c>
      <c r="AP34" s="488">
        <v>0.5802</v>
      </c>
      <c r="AQ34" s="488">
        <v>0.308</v>
      </c>
      <c r="AR34" s="488">
        <v>0.8344</v>
      </c>
      <c r="AS34" s="488">
        <v>0.8011</v>
      </c>
      <c r="AT34" s="488">
        <v>0.4469</v>
      </c>
      <c r="AU34" s="488">
        <v>0.2098</v>
      </c>
      <c r="AV34" s="488">
        <v>0.7649</v>
      </c>
      <c r="AW34" s="488">
        <v>1.1639</v>
      </c>
      <c r="AX34" s="488">
        <v>6.0E-4</v>
      </c>
      <c r="AY34" s="281"/>
      <c r="AZ34" s="489">
        <v>-7.5396</v>
      </c>
      <c r="BA34" s="489">
        <v>-0.06469999999999998</v>
      </c>
      <c r="BB34" s="489">
        <v>-0.09340000000000004</v>
      </c>
      <c r="BC34" s="489">
        <v>-0.03810000000000002</v>
      </c>
      <c r="BD34" s="489">
        <v>-0.09430000000000005</v>
      </c>
      <c r="BE34" s="489">
        <v>-0.05149999999999999</v>
      </c>
      <c r="BF34" s="489">
        <v>0.008699999999999986</v>
      </c>
      <c r="BG34" s="489">
        <v>0.2596</v>
      </c>
      <c r="BH34" s="489">
        <v>0.9418000000000001</v>
      </c>
      <c r="BI34" s="489">
        <v>1.4605000000000001</v>
      </c>
      <c r="BJ34" s="489">
        <v>56.5691</v>
      </c>
      <c r="BK34" s="281"/>
      <c r="BL34" s="489">
        <v>-8.226109686577967</v>
      </c>
      <c r="BM34" s="489">
        <v>-0.15515758184245737</v>
      </c>
      <c r="BN34" s="489">
        <v>-0.22077460887190672</v>
      </c>
      <c r="BO34" s="489">
        <v>-0.13153044247529194</v>
      </c>
      <c r="BP34" s="489">
        <v>-0.20194732781573016</v>
      </c>
      <c r="BQ34" s="489">
        <v>-0.1138313972984179</v>
      </c>
      <c r="BR34" s="489">
        <v>-0.1073726757315677</v>
      </c>
      <c r="BS34" s="489">
        <v>0.25785715631984857</v>
      </c>
      <c r="BT34" s="489">
        <v>1.0637951787214703</v>
      </c>
      <c r="BU34" s="489">
        <v>1.6253814505627315</v>
      </c>
      <c r="BV34" s="489">
        <v>57.81895997208599</v>
      </c>
      <c r="BW34" s="281"/>
      <c r="BX34" s="486">
        <f t="shared" ref="BX34:CH34" si="26">IFERROR(BL34-AZ34,"")</f>
        <v>-0.6865096866</v>
      </c>
      <c r="BY34" s="486">
        <f t="shared" si="26"/>
        <v>-0.09045758184</v>
      </c>
      <c r="BZ34" s="486">
        <f t="shared" si="26"/>
        <v>-0.1273746089</v>
      </c>
      <c r="CA34" s="486">
        <f t="shared" si="26"/>
        <v>-0.09343044248</v>
      </c>
      <c r="CB34" s="486">
        <f t="shared" si="26"/>
        <v>-0.1076473278</v>
      </c>
      <c r="CC34" s="486">
        <f t="shared" si="26"/>
        <v>-0.0623313973</v>
      </c>
      <c r="CD34" s="486">
        <f t="shared" si="26"/>
        <v>-0.1160726757</v>
      </c>
      <c r="CE34" s="486">
        <f t="shared" si="26"/>
        <v>-0.00174284368</v>
      </c>
      <c r="CF34" s="486">
        <f t="shared" si="26"/>
        <v>0.1219951787</v>
      </c>
      <c r="CG34" s="486">
        <f t="shared" si="26"/>
        <v>0.1648814506</v>
      </c>
      <c r="CH34" s="486">
        <f t="shared" si="26"/>
        <v>1.249859972</v>
      </c>
    </row>
    <row r="35" ht="15.75" customHeight="1">
      <c r="A35" s="224"/>
      <c r="B35" s="477">
        <v>27.0</v>
      </c>
      <c r="C35" s="477" t="s">
        <v>1924</v>
      </c>
      <c r="D35" s="478">
        <v>41.85630212459781</v>
      </c>
      <c r="E35" s="478">
        <v>0.4156186345530063</v>
      </c>
      <c r="F35" s="478">
        <v>0.43888595238870926</v>
      </c>
      <c r="G35" s="478">
        <v>0.27254222961485014</v>
      </c>
      <c r="H35" s="478">
        <v>0.3805358793956411</v>
      </c>
      <c r="I35" s="478">
        <v>0.3819965185541991</v>
      </c>
      <c r="J35" s="478">
        <v>0.2933411732293162</v>
      </c>
      <c r="K35" s="478">
        <v>0.48255717096850764</v>
      </c>
      <c r="L35" s="478">
        <v>0.864185598426302</v>
      </c>
      <c r="M35" s="478">
        <v>1.1377790671793433</v>
      </c>
      <c r="N35" s="478">
        <v>25.03244417520448</v>
      </c>
      <c r="O35" s="453"/>
      <c r="P35" s="478">
        <v>26.64591112102022</v>
      </c>
      <c r="Q35" s="478">
        <v>0.441009786864974</v>
      </c>
      <c r="R35" s="478">
        <v>0.3921751477311786</v>
      </c>
      <c r="S35" s="478">
        <v>0.22174648999199936</v>
      </c>
      <c r="T35" s="478">
        <v>1.0145452993525739</v>
      </c>
      <c r="U35" s="478">
        <v>0.7842146344181387</v>
      </c>
      <c r="V35" s="478">
        <v>0.6424964171492432</v>
      </c>
      <c r="W35" s="478">
        <v>0.2553692921806288</v>
      </c>
      <c r="X35" s="478">
        <v>0.7581982105252749</v>
      </c>
      <c r="Y35" s="478">
        <v>2.462172060576677</v>
      </c>
      <c r="Z35" s="478">
        <v>37.32193107312436</v>
      </c>
      <c r="AA35" s="487"/>
      <c r="AB35" s="481">
        <v>-15.210391003577591</v>
      </c>
      <c r="AC35" s="481">
        <v>0.025391152311967702</v>
      </c>
      <c r="AD35" s="481">
        <v>-0.046710804657530636</v>
      </c>
      <c r="AE35" s="481">
        <v>-0.05079573962285078</v>
      </c>
      <c r="AF35" s="481">
        <v>0.6340094199569328</v>
      </c>
      <c r="AG35" s="481">
        <v>0.4022181158639396</v>
      </c>
      <c r="AH35" s="481">
        <v>0.349155243919927</v>
      </c>
      <c r="AI35" s="481">
        <v>-0.22718787878787883</v>
      </c>
      <c r="AJ35" s="481">
        <v>-0.10598738790102713</v>
      </c>
      <c r="AK35" s="481">
        <v>1.3243929933973335</v>
      </c>
      <c r="AL35" s="481">
        <v>12.289486897919883</v>
      </c>
      <c r="AM35" s="281"/>
      <c r="AN35" s="488">
        <v>69.6665</v>
      </c>
      <c r="AO35" s="488">
        <v>0.7173</v>
      </c>
      <c r="AP35" s="488">
        <v>0.7096</v>
      </c>
      <c r="AQ35" s="488">
        <v>0.4725</v>
      </c>
      <c r="AR35" s="488">
        <v>0.8443</v>
      </c>
      <c r="AS35" s="488">
        <v>0.8619</v>
      </c>
      <c r="AT35" s="488">
        <v>0.5004</v>
      </c>
      <c r="AU35" s="488">
        <v>0.2226</v>
      </c>
      <c r="AV35" s="488">
        <v>0.6443</v>
      </c>
      <c r="AW35" s="488">
        <v>1.1937</v>
      </c>
      <c r="AX35" s="488">
        <v>0.0</v>
      </c>
      <c r="AY35" s="281"/>
      <c r="AZ35" s="489">
        <v>8.694100000000006</v>
      </c>
      <c r="BA35" s="489">
        <v>0.05879999999999996</v>
      </c>
      <c r="BB35" s="489">
        <v>0.11480000000000001</v>
      </c>
      <c r="BC35" s="489">
        <v>0.1063</v>
      </c>
      <c r="BD35" s="489">
        <v>-0.00880000000000003</v>
      </c>
      <c r="BE35" s="489">
        <v>0.09550000000000003</v>
      </c>
      <c r="BF35" s="489">
        <v>0.11280000000000001</v>
      </c>
      <c r="BG35" s="489">
        <v>0.2468</v>
      </c>
      <c r="BH35" s="489">
        <v>0.7911</v>
      </c>
      <c r="BI35" s="489">
        <v>1.5325</v>
      </c>
      <c r="BJ35" s="489">
        <v>64.5507</v>
      </c>
      <c r="BK35" s="281"/>
      <c r="BL35" s="489">
        <v>-6.516291003577585</v>
      </c>
      <c r="BM35" s="489">
        <v>0.08419115231196767</v>
      </c>
      <c r="BN35" s="489">
        <v>0.06808919534246938</v>
      </c>
      <c r="BO35" s="489">
        <v>0.05550426037714923</v>
      </c>
      <c r="BP35" s="489">
        <v>0.6252094199569328</v>
      </c>
      <c r="BQ35" s="489">
        <v>0.4977181158639396</v>
      </c>
      <c r="BR35" s="489">
        <v>0.46195524391992704</v>
      </c>
      <c r="BS35" s="489">
        <v>0.019612121212121164</v>
      </c>
      <c r="BT35" s="489">
        <v>0.6851126120989729</v>
      </c>
      <c r="BU35" s="489">
        <v>2.8568929933973335</v>
      </c>
      <c r="BV35" s="489">
        <v>76.84018689791989</v>
      </c>
      <c r="BW35" s="281"/>
      <c r="BX35" s="486">
        <f t="shared" ref="BX35:CH35" si="27">IFERROR(BL35-AZ35,"")</f>
        <v>-15.210391</v>
      </c>
      <c r="BY35" s="486">
        <f t="shared" si="27"/>
        <v>0.02539115231</v>
      </c>
      <c r="BZ35" s="486">
        <f t="shared" si="27"/>
        <v>-0.04671080466</v>
      </c>
      <c r="CA35" s="486">
        <f t="shared" si="27"/>
        <v>-0.05079573962</v>
      </c>
      <c r="CB35" s="486">
        <f t="shared" si="27"/>
        <v>0.63400942</v>
      </c>
      <c r="CC35" s="486">
        <f t="shared" si="27"/>
        <v>0.4022181159</v>
      </c>
      <c r="CD35" s="486">
        <f t="shared" si="27"/>
        <v>0.3491552439</v>
      </c>
      <c r="CE35" s="486">
        <f t="shared" si="27"/>
        <v>-0.2271878788</v>
      </c>
      <c r="CF35" s="486">
        <f t="shared" si="27"/>
        <v>-0.1059873879</v>
      </c>
      <c r="CG35" s="486">
        <f t="shared" si="27"/>
        <v>1.324392993</v>
      </c>
      <c r="CH35" s="486">
        <f t="shared" si="27"/>
        <v>12.2894869</v>
      </c>
    </row>
    <row r="36" ht="15.75" customHeight="1">
      <c r="A36" s="224"/>
      <c r="B36" s="477">
        <v>28.0</v>
      </c>
      <c r="C36" s="477" t="s">
        <v>1925</v>
      </c>
      <c r="D36" s="478">
        <v>28.104018620717294</v>
      </c>
      <c r="E36" s="478">
        <v>0.29456835690499855</v>
      </c>
      <c r="F36" s="478">
        <v>0.31275301959540164</v>
      </c>
      <c r="G36" s="478">
        <v>0.1703577187190536</v>
      </c>
      <c r="H36" s="478">
        <v>0.3353609475664444</v>
      </c>
      <c r="I36" s="478">
        <v>0.3473112843378437</v>
      </c>
      <c r="J36" s="478">
        <v>0.19663705018596964</v>
      </c>
      <c r="K36" s="478">
        <v>1.022963980961327</v>
      </c>
      <c r="L36" s="478">
        <v>1.261815830008903</v>
      </c>
      <c r="M36" s="478">
        <v>1.506181430382467</v>
      </c>
      <c r="N36" s="478">
        <v>22.520335714901954</v>
      </c>
      <c r="O36" s="453"/>
      <c r="P36" s="478">
        <v>37.052479894158836</v>
      </c>
      <c r="Q36" s="478">
        <v>0.5468606699148527</v>
      </c>
      <c r="R36" s="478">
        <v>0.5480444126232529</v>
      </c>
      <c r="S36" s="478">
        <v>0.2576543922481138</v>
      </c>
      <c r="T36" s="478">
        <v>1.0517651536421977</v>
      </c>
      <c r="U36" s="478">
        <v>0.8144623273235547</v>
      </c>
      <c r="V36" s="478">
        <v>0.6677196797083239</v>
      </c>
      <c r="W36" s="478">
        <v>0.2553692921806288</v>
      </c>
      <c r="X36" s="478">
        <v>0.8441307471839252</v>
      </c>
      <c r="Y36" s="478">
        <v>2.6465943208818388</v>
      </c>
      <c r="Z36" s="478">
        <v>40.160598108074744</v>
      </c>
      <c r="AA36" s="487"/>
      <c r="AB36" s="481">
        <v>8.948461273441541</v>
      </c>
      <c r="AC36" s="481">
        <v>0.25229231300985416</v>
      </c>
      <c r="AD36" s="481">
        <v>0.23529139302785124</v>
      </c>
      <c r="AE36" s="481">
        <v>0.0872966735290602</v>
      </c>
      <c r="AF36" s="481">
        <v>0.7164042060757533</v>
      </c>
      <c r="AG36" s="481">
        <v>0.46715104298571103</v>
      </c>
      <c r="AH36" s="481">
        <v>0.47108262952235425</v>
      </c>
      <c r="AI36" s="481">
        <v>-0.7675946887806981</v>
      </c>
      <c r="AJ36" s="481">
        <v>-0.41768508282497785</v>
      </c>
      <c r="AK36" s="481">
        <v>1.1404128904993718</v>
      </c>
      <c r="AL36" s="481">
        <v>17.64026239317279</v>
      </c>
      <c r="AM36" s="281"/>
      <c r="AN36" s="488">
        <v>56.4878</v>
      </c>
      <c r="AO36" s="488">
        <v>0.5862</v>
      </c>
      <c r="AP36" s="488">
        <v>0.6102</v>
      </c>
      <c r="AQ36" s="488">
        <v>0.3479</v>
      </c>
      <c r="AR36" s="488">
        <v>0.6967</v>
      </c>
      <c r="AS36" s="488">
        <v>0.7066</v>
      </c>
      <c r="AT36" s="488">
        <v>0.3888</v>
      </c>
      <c r="AU36" s="488">
        <v>0.2426</v>
      </c>
      <c r="AV36" s="488">
        <v>0.552</v>
      </c>
      <c r="AW36" s="488">
        <v>1.0369</v>
      </c>
      <c r="AX36" s="488">
        <v>1.0E-4</v>
      </c>
      <c r="AY36" s="281"/>
      <c r="AZ36" s="489">
        <v>-0.23510000000000275</v>
      </c>
      <c r="BA36" s="489">
        <v>-0.0404000000000001</v>
      </c>
      <c r="BB36" s="489">
        <v>-0.026799999999999935</v>
      </c>
      <c r="BC36" s="489">
        <v>-0.03259999999999996</v>
      </c>
      <c r="BD36" s="489">
        <v>-0.10599999999999998</v>
      </c>
      <c r="BE36" s="489">
        <v>-0.050900000000000056</v>
      </c>
      <c r="BF36" s="489">
        <v>-0.042899999999999994</v>
      </c>
      <c r="BG36" s="489">
        <v>0.24899999999999997</v>
      </c>
      <c r="BH36" s="489">
        <v>0.7162</v>
      </c>
      <c r="BI36" s="489">
        <v>1.3876000000000002</v>
      </c>
      <c r="BJ36" s="489">
        <v>39.543299999999995</v>
      </c>
      <c r="BK36" s="281"/>
      <c r="BL36" s="489">
        <v>8.713361273441539</v>
      </c>
      <c r="BM36" s="489">
        <v>0.21189231300985406</v>
      </c>
      <c r="BN36" s="489">
        <v>0.2084913930278513</v>
      </c>
      <c r="BO36" s="489">
        <v>0.05469667352906024</v>
      </c>
      <c r="BP36" s="489">
        <v>0.6104042060757533</v>
      </c>
      <c r="BQ36" s="489">
        <v>0.416251042985711</v>
      </c>
      <c r="BR36" s="489">
        <v>0.42818262952235425</v>
      </c>
      <c r="BS36" s="489">
        <v>-0.5185946887806981</v>
      </c>
      <c r="BT36" s="489">
        <v>0.2985149171750221</v>
      </c>
      <c r="BU36" s="489">
        <v>2.528012890499372</v>
      </c>
      <c r="BV36" s="489">
        <v>57.183562393172785</v>
      </c>
      <c r="BW36" s="281"/>
      <c r="BX36" s="486">
        <f t="shared" ref="BX36:CH36" si="28">IFERROR(BL36-AZ36,"")</f>
        <v>8.948461273</v>
      </c>
      <c r="BY36" s="486">
        <f t="shared" si="28"/>
        <v>0.252292313</v>
      </c>
      <c r="BZ36" s="486">
        <f t="shared" si="28"/>
        <v>0.235291393</v>
      </c>
      <c r="CA36" s="486">
        <f t="shared" si="28"/>
        <v>0.08729667353</v>
      </c>
      <c r="CB36" s="486">
        <f t="shared" si="28"/>
        <v>0.7164042061</v>
      </c>
      <c r="CC36" s="486">
        <f t="shared" si="28"/>
        <v>0.467151043</v>
      </c>
      <c r="CD36" s="486">
        <f t="shared" si="28"/>
        <v>0.4710826295</v>
      </c>
      <c r="CE36" s="486">
        <f t="shared" si="28"/>
        <v>-0.7675946888</v>
      </c>
      <c r="CF36" s="486">
        <f t="shared" si="28"/>
        <v>-0.4176850828</v>
      </c>
      <c r="CG36" s="486">
        <f t="shared" si="28"/>
        <v>1.14041289</v>
      </c>
      <c r="CH36" s="486">
        <f t="shared" si="28"/>
        <v>17.64026239</v>
      </c>
    </row>
    <row r="37" ht="15.75" customHeight="1">
      <c r="A37" s="224"/>
      <c r="B37" s="477">
        <v>29.0</v>
      </c>
      <c r="C37" s="477" t="s">
        <v>1919</v>
      </c>
      <c r="D37" s="478">
        <v>22.906597032363077</v>
      </c>
      <c r="E37" s="478">
        <v>0.24156971851099918</v>
      </c>
      <c r="F37" s="478">
        <v>0.23438219583181258</v>
      </c>
      <c r="G37" s="478">
        <v>0.15336502338241206</v>
      </c>
      <c r="H37" s="478">
        <v>0.35130695750490065</v>
      </c>
      <c r="I37" s="478">
        <v>0.376538096126726</v>
      </c>
      <c r="J37" s="478">
        <v>0.19682886691273607</v>
      </c>
      <c r="K37" s="478">
        <v>1.4298397151105284</v>
      </c>
      <c r="L37" s="478">
        <v>1.6552975581186034</v>
      </c>
      <c r="M37" s="478">
        <v>1.9855364783803309</v>
      </c>
      <c r="N37" s="478">
        <v>23.915903358299584</v>
      </c>
      <c r="O37" s="453"/>
      <c r="P37" s="478">
        <v>26.576302229978687</v>
      </c>
      <c r="Q37" s="478">
        <v>0.4395078720137162</v>
      </c>
      <c r="R37" s="478">
        <v>0.38986140648310186</v>
      </c>
      <c r="S37" s="478">
        <v>0.22108125336603457</v>
      </c>
      <c r="T37" s="478">
        <v>1.011102060508923</v>
      </c>
      <c r="U37" s="478">
        <v>0.7814132210576871</v>
      </c>
      <c r="V37" s="478">
        <v>0.6401603452726825</v>
      </c>
      <c r="W37" s="478">
        <v>0.2553692921806288</v>
      </c>
      <c r="X37" s="478">
        <v>0.7502395024993174</v>
      </c>
      <c r="Y37" s="478">
        <v>2.4450916509864613</v>
      </c>
      <c r="Z37" s="478">
        <v>37.05902574072596</v>
      </c>
      <c r="AA37" s="487"/>
      <c r="AB37" s="481">
        <v>3.6697051976156096</v>
      </c>
      <c r="AC37" s="481">
        <v>0.19793815350271704</v>
      </c>
      <c r="AD37" s="481">
        <v>0.15547921065128928</v>
      </c>
      <c r="AE37" s="481">
        <v>0.0677162299836225</v>
      </c>
      <c r="AF37" s="481">
        <v>0.6597951030040223</v>
      </c>
      <c r="AG37" s="481">
        <v>0.40487512493096106</v>
      </c>
      <c r="AH37" s="481">
        <v>0.44333147835994646</v>
      </c>
      <c r="AI37" s="481">
        <v>-1.1744704229298997</v>
      </c>
      <c r="AJ37" s="481">
        <v>-0.905058055619286</v>
      </c>
      <c r="AK37" s="481">
        <v>0.45955517260613044</v>
      </c>
      <c r="AL37" s="481">
        <v>13.143122382426373</v>
      </c>
      <c r="AM37" s="281"/>
      <c r="AN37" s="488">
        <v>45.303</v>
      </c>
      <c r="AO37" s="488">
        <v>0.5163</v>
      </c>
      <c r="AP37" s="488">
        <v>0.5125</v>
      </c>
      <c r="AQ37" s="488">
        <v>0.2859</v>
      </c>
      <c r="AR37" s="488">
        <v>0.6587</v>
      </c>
      <c r="AS37" s="488">
        <v>0.6613</v>
      </c>
      <c r="AT37" s="488">
        <v>0.3615</v>
      </c>
      <c r="AU37" s="488">
        <v>0.2554</v>
      </c>
      <c r="AV37" s="488">
        <v>0.5219</v>
      </c>
      <c r="AW37" s="488">
        <v>0.8362</v>
      </c>
      <c r="AX37" s="488">
        <v>0.0</v>
      </c>
      <c r="AY37" s="281"/>
      <c r="AZ37" s="489">
        <v>-7.403499999999994</v>
      </c>
      <c r="BA37" s="489">
        <v>-0.0872</v>
      </c>
      <c r="BB37" s="489">
        <v>-0.12189999999999995</v>
      </c>
      <c r="BC37" s="489">
        <v>-0.0633</v>
      </c>
      <c r="BD37" s="489">
        <v>-0.10119999999999996</v>
      </c>
      <c r="BE37" s="489">
        <v>-0.07799999999999996</v>
      </c>
      <c r="BF37" s="489">
        <v>-0.0338</v>
      </c>
      <c r="BG37" s="489">
        <v>0.27099999999999996</v>
      </c>
      <c r="BH37" s="489">
        <v>0.7105999999999999</v>
      </c>
      <c r="BI37" s="489">
        <v>1.1784000000000001</v>
      </c>
      <c r="BJ37" s="489">
        <v>56.9824</v>
      </c>
      <c r="BK37" s="281"/>
      <c r="BL37" s="489">
        <v>-3.7337948023843843</v>
      </c>
      <c r="BM37" s="489">
        <v>0.11073815350271704</v>
      </c>
      <c r="BN37" s="489">
        <v>0.033579210651289326</v>
      </c>
      <c r="BO37" s="489">
        <v>0.0044162299836225105</v>
      </c>
      <c r="BP37" s="489">
        <v>0.5585951030040224</v>
      </c>
      <c r="BQ37" s="489">
        <v>0.3268751249309611</v>
      </c>
      <c r="BR37" s="489">
        <v>0.40953147835994647</v>
      </c>
      <c r="BS37" s="489">
        <v>-0.9034704229298998</v>
      </c>
      <c r="BT37" s="489">
        <v>-0.19445805561928609</v>
      </c>
      <c r="BU37" s="489">
        <v>1.6379551726061305</v>
      </c>
      <c r="BV37" s="489">
        <v>70.12552238242637</v>
      </c>
      <c r="BW37" s="281"/>
      <c r="BX37" s="486">
        <f t="shared" ref="BX37:CH37" si="29">IFERROR(BL37-AZ37,"")</f>
        <v>3.669705198</v>
      </c>
      <c r="BY37" s="486">
        <f t="shared" si="29"/>
        <v>0.1979381535</v>
      </c>
      <c r="BZ37" s="486">
        <f t="shared" si="29"/>
        <v>0.1554792107</v>
      </c>
      <c r="CA37" s="486">
        <f t="shared" si="29"/>
        <v>0.06771622998</v>
      </c>
      <c r="CB37" s="486">
        <f t="shared" si="29"/>
        <v>0.659795103</v>
      </c>
      <c r="CC37" s="486">
        <f t="shared" si="29"/>
        <v>0.4048751249</v>
      </c>
      <c r="CD37" s="486">
        <f t="shared" si="29"/>
        <v>0.4433314784</v>
      </c>
      <c r="CE37" s="486">
        <f t="shared" si="29"/>
        <v>-1.174470423</v>
      </c>
      <c r="CF37" s="486">
        <f t="shared" si="29"/>
        <v>-0.9050580556</v>
      </c>
      <c r="CG37" s="486">
        <f t="shared" si="29"/>
        <v>0.4595551726</v>
      </c>
      <c r="CH37" s="486">
        <f t="shared" si="29"/>
        <v>13.14312238</v>
      </c>
    </row>
    <row r="38" ht="15.75" customHeight="1">
      <c r="A38" s="224"/>
      <c r="B38" s="477">
        <v>30.0</v>
      </c>
      <c r="C38" s="477" t="s">
        <v>1920</v>
      </c>
      <c r="D38" s="478">
        <v>31.401045292417685</v>
      </c>
      <c r="E38" s="478">
        <v>0.31775903789895305</v>
      </c>
      <c r="F38" s="478">
        <v>0.3497828827261796</v>
      </c>
      <c r="G38" s="478">
        <v>0.17879378239827937</v>
      </c>
      <c r="H38" s="478">
        <v>0.34819010852003085</v>
      </c>
      <c r="I38" s="478">
        <v>0.3706488922965194</v>
      </c>
      <c r="J38" s="478">
        <v>0.19686683103663186</v>
      </c>
      <c r="K38" s="478">
        <v>1.3464785458220332</v>
      </c>
      <c r="L38" s="478">
        <v>1.5747016455333749</v>
      </c>
      <c r="M38" s="478">
        <v>1.887351340962837</v>
      </c>
      <c r="N38" s="478">
        <v>28.512897501975207</v>
      </c>
      <c r="O38" s="453"/>
      <c r="P38" s="478">
        <v>34.96045052015389</v>
      </c>
      <c r="Q38" s="478">
        <v>0.5017220397905648</v>
      </c>
      <c r="R38" s="478">
        <v>0.47850710808646024</v>
      </c>
      <c r="S38" s="478">
        <v>0.2376613347326319</v>
      </c>
      <c r="T38" s="478">
        <v>0.9482818673140941</v>
      </c>
      <c r="U38" s="478">
        <v>0.7302684987607944</v>
      </c>
      <c r="V38" s="478">
        <v>0.5975112492560143</v>
      </c>
      <c r="W38" s="478">
        <v>0.2553692921806288</v>
      </c>
      <c r="X38" s="478">
        <v>0.6049393059713618</v>
      </c>
      <c r="Y38" s="478">
        <v>2.133258767792126</v>
      </c>
      <c r="Z38" s="478">
        <v>32.25922703707394</v>
      </c>
      <c r="AA38" s="487"/>
      <c r="AB38" s="481">
        <v>3.5594052277362067</v>
      </c>
      <c r="AC38" s="481">
        <v>0.1839630018916118</v>
      </c>
      <c r="AD38" s="481">
        <v>0.12872422536028066</v>
      </c>
      <c r="AE38" s="481">
        <v>0.058867552334352535</v>
      </c>
      <c r="AF38" s="481">
        <v>0.6000917587940633</v>
      </c>
      <c r="AG38" s="481">
        <v>0.35961960646427493</v>
      </c>
      <c r="AH38" s="481">
        <v>0.40064441821938246</v>
      </c>
      <c r="AI38" s="481">
        <v>-1.0911092536414044</v>
      </c>
      <c r="AJ38" s="481">
        <v>-0.9697623395620131</v>
      </c>
      <c r="AK38" s="481">
        <v>0.2459074268292889</v>
      </c>
      <c r="AL38" s="481">
        <v>3.7463295350987345</v>
      </c>
      <c r="AM38" s="281"/>
      <c r="AN38" s="488">
        <v>48.4848</v>
      </c>
      <c r="AO38" s="488">
        <v>0.5334</v>
      </c>
      <c r="AP38" s="488">
        <v>0.5569</v>
      </c>
      <c r="AQ38" s="488">
        <v>0.2956</v>
      </c>
      <c r="AR38" s="488">
        <v>0.6064</v>
      </c>
      <c r="AS38" s="488">
        <v>0.6191</v>
      </c>
      <c r="AT38" s="488">
        <v>0.3437</v>
      </c>
      <c r="AU38" s="488">
        <v>0.8225</v>
      </c>
      <c r="AV38" s="488">
        <v>0.8686</v>
      </c>
      <c r="AW38" s="488">
        <v>0.9559</v>
      </c>
      <c r="AX38" s="488">
        <v>1.0E-4</v>
      </c>
      <c r="AY38" s="281"/>
      <c r="AZ38" s="489">
        <v>5.976999999999997</v>
      </c>
      <c r="BA38" s="489">
        <v>-0.02069999999999994</v>
      </c>
      <c r="BB38" s="489">
        <v>0.037800000000000056</v>
      </c>
      <c r="BC38" s="489">
        <v>0.0247</v>
      </c>
      <c r="BD38" s="489">
        <v>-0.049900000000000055</v>
      </c>
      <c r="BE38" s="489">
        <v>-0.04359999999999997</v>
      </c>
      <c r="BF38" s="489">
        <v>-0.01100000000000001</v>
      </c>
      <c r="BG38" s="489">
        <v>0.7306999999999999</v>
      </c>
      <c r="BH38" s="489">
        <v>1.009</v>
      </c>
      <c r="BI38" s="489">
        <v>1.2288</v>
      </c>
      <c r="BJ38" s="489">
        <v>36.226299999999995</v>
      </c>
      <c r="BK38" s="281"/>
      <c r="BL38" s="489">
        <v>9.536405227736203</v>
      </c>
      <c r="BM38" s="489">
        <v>0.16326300189161186</v>
      </c>
      <c r="BN38" s="489">
        <v>0.16652422536028072</v>
      </c>
      <c r="BO38" s="489">
        <v>0.08356755233435254</v>
      </c>
      <c r="BP38" s="489">
        <v>0.5501917587940632</v>
      </c>
      <c r="BQ38" s="489">
        <v>0.31601960646427496</v>
      </c>
      <c r="BR38" s="489">
        <v>0.38964441821938245</v>
      </c>
      <c r="BS38" s="489">
        <v>-0.3604092536414045</v>
      </c>
      <c r="BT38" s="489">
        <v>0.03923766043798682</v>
      </c>
      <c r="BU38" s="489">
        <v>1.4747074268292888</v>
      </c>
      <c r="BV38" s="489">
        <v>39.97262953509873</v>
      </c>
      <c r="BW38" s="281"/>
      <c r="BX38" s="486">
        <f t="shared" ref="BX38:CH38" si="30">IFERROR(BL38-AZ38,"")</f>
        <v>3.559405228</v>
      </c>
      <c r="BY38" s="486">
        <f t="shared" si="30"/>
        <v>0.1839630019</v>
      </c>
      <c r="BZ38" s="486">
        <f t="shared" si="30"/>
        <v>0.1287242254</v>
      </c>
      <c r="CA38" s="486">
        <f t="shared" si="30"/>
        <v>0.05886755233</v>
      </c>
      <c r="CB38" s="486">
        <f t="shared" si="30"/>
        <v>0.6000917588</v>
      </c>
      <c r="CC38" s="486">
        <f t="shared" si="30"/>
        <v>0.3596196065</v>
      </c>
      <c r="CD38" s="486">
        <f t="shared" si="30"/>
        <v>0.4006444182</v>
      </c>
      <c r="CE38" s="486">
        <f t="shared" si="30"/>
        <v>-1.091109254</v>
      </c>
      <c r="CF38" s="486">
        <f t="shared" si="30"/>
        <v>-0.9697623396</v>
      </c>
      <c r="CG38" s="486">
        <f t="shared" si="30"/>
        <v>0.2459074268</v>
      </c>
      <c r="CH38" s="486">
        <f t="shared" si="30"/>
        <v>3.746329535</v>
      </c>
    </row>
    <row r="39" ht="15.75" customHeight="1">
      <c r="A39" s="224"/>
      <c r="B39" s="477">
        <v>31.0</v>
      </c>
      <c r="C39" s="477" t="s">
        <v>1921</v>
      </c>
      <c r="D39" s="490">
        <v>21.61816778284358</v>
      </c>
      <c r="E39" s="490">
        <v>0.23492167379672396</v>
      </c>
      <c r="F39" s="490">
        <v>0.2285880316684915</v>
      </c>
      <c r="G39" s="490">
        <v>0.14932461938276093</v>
      </c>
      <c r="H39" s="490">
        <v>0.32376034624772354</v>
      </c>
      <c r="I39" s="490">
        <v>0.3335985615711384</v>
      </c>
      <c r="J39" s="490">
        <v>0.19240878904088513</v>
      </c>
      <c r="K39" s="490">
        <v>0.9269715561241294</v>
      </c>
      <c r="L39" s="490">
        <v>1.1671331105296003</v>
      </c>
      <c r="M39" s="490">
        <v>1.3945658763970428</v>
      </c>
      <c r="N39" s="490">
        <v>21.64740584470252</v>
      </c>
      <c r="O39" s="453"/>
      <c r="P39" s="490">
        <v>19.43502073020617</v>
      </c>
      <c r="Q39" s="490">
        <v>0.16307249557965736</v>
      </c>
      <c r="R39" s="490">
        <v>0.14595003728638486</v>
      </c>
      <c r="S39" s="490">
        <v>0.07168778589780482</v>
      </c>
      <c r="T39" s="490">
        <v>0.26805062730049517</v>
      </c>
      <c r="U39" s="490">
        <v>0.2804413594718245</v>
      </c>
      <c r="V39" s="490">
        <v>0.12871569538245672</v>
      </c>
      <c r="W39" s="490">
        <v>0.7086052798135061</v>
      </c>
      <c r="X39" s="490">
        <v>1.041440645605135</v>
      </c>
      <c r="Y39" s="490">
        <v>1.2913414443282079</v>
      </c>
      <c r="Z39" s="490">
        <v>23.279923340857827</v>
      </c>
      <c r="AA39" s="487"/>
      <c r="AB39" s="491">
        <v>-2.1831470526374126</v>
      </c>
      <c r="AC39" s="491">
        <v>-0.0718491782170666</v>
      </c>
      <c r="AD39" s="491">
        <v>-0.08263799438210664</v>
      </c>
      <c r="AE39" s="491">
        <v>-0.0776368334849561</v>
      </c>
      <c r="AF39" s="491">
        <v>-0.05570971894722837</v>
      </c>
      <c r="AG39" s="491">
        <v>-0.05315720209931385</v>
      </c>
      <c r="AH39" s="491">
        <v>-0.0636930936584284</v>
      </c>
      <c r="AI39" s="491">
        <v>-0.21836627631062333</v>
      </c>
      <c r="AJ39" s="491">
        <v>-0.12569246492446529</v>
      </c>
      <c r="AK39" s="491">
        <v>-0.10322443206883491</v>
      </c>
      <c r="AL39" s="491">
        <v>1.6325174961553088</v>
      </c>
      <c r="AM39" s="281"/>
      <c r="AN39" s="488">
        <v>49.5528</v>
      </c>
      <c r="AO39" s="488">
        <v>0.5681</v>
      </c>
      <c r="AP39" s="488">
        <v>0.5418</v>
      </c>
      <c r="AQ39" s="488">
        <v>0.292</v>
      </c>
      <c r="AR39" s="488">
        <v>0.7085</v>
      </c>
      <c r="AS39" s="488">
        <v>0.6965</v>
      </c>
      <c r="AT39" s="488">
        <v>0.4333</v>
      </c>
      <c r="AU39" s="488">
        <v>0.6547</v>
      </c>
      <c r="AV39" s="488">
        <v>0.6538</v>
      </c>
      <c r="AW39" s="488">
        <v>0.8318</v>
      </c>
      <c r="AX39" s="488">
        <v>8.0E-4</v>
      </c>
      <c r="AY39" s="281"/>
      <c r="AZ39" s="489">
        <v>1.8452000000000055</v>
      </c>
      <c r="BA39" s="489">
        <v>0.012399999999999967</v>
      </c>
      <c r="BB39" s="489">
        <v>-0.012199999999999989</v>
      </c>
      <c r="BC39" s="489">
        <v>0.002599999999999991</v>
      </c>
      <c r="BD39" s="489">
        <v>0.15759999999999996</v>
      </c>
      <c r="BE39" s="489">
        <v>0.1472</v>
      </c>
      <c r="BF39" s="489">
        <v>0.13429999999999997</v>
      </c>
      <c r="BG39" s="489">
        <v>0.6147000000000001</v>
      </c>
      <c r="BH39" s="489">
        <v>0.7896</v>
      </c>
      <c r="BI39" s="489">
        <v>1.1025999999999998</v>
      </c>
      <c r="BJ39" s="489">
        <v>54.618700000000004</v>
      </c>
      <c r="BK39" s="281"/>
      <c r="BL39" s="489">
        <v>-0.3379470526374071</v>
      </c>
      <c r="BM39" s="489">
        <v>-0.059449178217066634</v>
      </c>
      <c r="BN39" s="489">
        <v>-0.09483799438210663</v>
      </c>
      <c r="BO39" s="489">
        <v>-0.07503683348495611</v>
      </c>
      <c r="BP39" s="489">
        <v>0.10189028105277159</v>
      </c>
      <c r="BQ39" s="489">
        <v>0.09404279790068615</v>
      </c>
      <c r="BR39" s="489">
        <v>0.07060690634157157</v>
      </c>
      <c r="BS39" s="489">
        <v>0.3963337236893768</v>
      </c>
      <c r="BT39" s="489">
        <v>0.6639075350755347</v>
      </c>
      <c r="BU39" s="489">
        <v>0.9993755679311649</v>
      </c>
      <c r="BV39" s="489">
        <v>56.25121749615531</v>
      </c>
      <c r="BW39" s="281"/>
      <c r="BX39" s="486">
        <f t="shared" ref="BX39:CH39" si="31">IFERROR(BL39-AZ39,"")</f>
        <v>-2.183147053</v>
      </c>
      <c r="BY39" s="486">
        <f t="shared" si="31"/>
        <v>-0.07184917822</v>
      </c>
      <c r="BZ39" s="486">
        <f t="shared" si="31"/>
        <v>-0.08263799438</v>
      </c>
      <c r="CA39" s="486">
        <f t="shared" si="31"/>
        <v>-0.07763683348</v>
      </c>
      <c r="CB39" s="486">
        <f t="shared" si="31"/>
        <v>-0.05570971895</v>
      </c>
      <c r="CC39" s="486">
        <f t="shared" si="31"/>
        <v>-0.0531572021</v>
      </c>
      <c r="CD39" s="486">
        <f t="shared" si="31"/>
        <v>-0.06369309366</v>
      </c>
      <c r="CE39" s="486">
        <f t="shared" si="31"/>
        <v>-0.2183662763</v>
      </c>
      <c r="CF39" s="486">
        <f t="shared" si="31"/>
        <v>-0.1256924649</v>
      </c>
      <c r="CG39" s="486">
        <f t="shared" si="31"/>
        <v>-0.1032244321</v>
      </c>
      <c r="CH39" s="486">
        <f t="shared" si="31"/>
        <v>1.632517496</v>
      </c>
    </row>
    <row r="40" ht="15.75" customHeight="1">
      <c r="A40" s="224"/>
      <c r="B40" s="477">
        <v>32.0</v>
      </c>
      <c r="C40" s="477" t="s">
        <v>1922</v>
      </c>
      <c r="D40" s="490">
        <v>22.192305681009206</v>
      </c>
      <c r="E40" s="490">
        <v>0.26062099450241855</v>
      </c>
      <c r="F40" s="490">
        <v>0.2693333334965239</v>
      </c>
      <c r="G40" s="490">
        <v>0.16080844620998772</v>
      </c>
      <c r="H40" s="490">
        <v>0.3665635111469836</v>
      </c>
      <c r="I40" s="490">
        <v>0.3502985893244106</v>
      </c>
      <c r="J40" s="490">
        <v>0.23333316301298304</v>
      </c>
      <c r="K40" s="490">
        <v>0.4726780615044575</v>
      </c>
      <c r="L40" s="490">
        <v>0.8679443523176622</v>
      </c>
      <c r="M40" s="490">
        <v>1.160129534809135</v>
      </c>
      <c r="N40" s="490">
        <v>24.718981474557236</v>
      </c>
      <c r="O40" s="453"/>
      <c r="P40" s="490">
        <v>19.93517254237367</v>
      </c>
      <c r="Q40" s="490">
        <v>0.16364780036420645</v>
      </c>
      <c r="R40" s="490">
        <v>0.14595003728638486</v>
      </c>
      <c r="S40" s="490">
        <v>0.07186513549304177</v>
      </c>
      <c r="T40" s="490">
        <v>0.2817368253329271</v>
      </c>
      <c r="U40" s="490">
        <v>0.30548658279918883</v>
      </c>
      <c r="V40" s="490">
        <v>0.12888006817804218</v>
      </c>
      <c r="W40" s="490">
        <v>1.057244304850162</v>
      </c>
      <c r="X40" s="490">
        <v>1.3786254821494144</v>
      </c>
      <c r="Y40" s="490">
        <v>1.7021133860961701</v>
      </c>
      <c r="Z40" s="490">
        <v>24.475821940739763</v>
      </c>
      <c r="AA40" s="487"/>
      <c r="AB40" s="491">
        <v>-2.2571331386355347</v>
      </c>
      <c r="AC40" s="491">
        <v>-0.0969731941382121</v>
      </c>
      <c r="AD40" s="491">
        <v>-0.12338329621013902</v>
      </c>
      <c r="AE40" s="491">
        <v>-0.08894331071694594</v>
      </c>
      <c r="AF40" s="491">
        <v>-0.0848266858140565</v>
      </c>
      <c r="AG40" s="491">
        <v>-0.04481200652522177</v>
      </c>
      <c r="AH40" s="491">
        <v>-0.10445309483494086</v>
      </c>
      <c r="AI40" s="491">
        <v>0.5845662433457046</v>
      </c>
      <c r="AJ40" s="491">
        <v>0.5106811298317522</v>
      </c>
      <c r="AK40" s="491">
        <v>0.5419838512870352</v>
      </c>
      <c r="AL40" s="491">
        <v>-0.24315953381747235</v>
      </c>
      <c r="AM40" s="281"/>
      <c r="AN40" s="488">
        <v>48.186</v>
      </c>
      <c r="AO40" s="488">
        <v>0.5501</v>
      </c>
      <c r="AP40" s="488">
        <v>0.5512</v>
      </c>
      <c r="AQ40" s="488">
        <v>0.2923</v>
      </c>
      <c r="AR40" s="488">
        <v>0.663</v>
      </c>
      <c r="AS40" s="488">
        <v>0.6542</v>
      </c>
      <c r="AT40" s="488">
        <v>0.3966</v>
      </c>
      <c r="AU40" s="488">
        <v>0.5129</v>
      </c>
      <c r="AV40" s="488">
        <v>0.64</v>
      </c>
      <c r="AW40" s="488">
        <v>0.8089</v>
      </c>
      <c r="AX40" s="488">
        <v>5.0E-4</v>
      </c>
      <c r="AY40" s="281"/>
      <c r="AZ40" s="489">
        <v>1.4787000000000035</v>
      </c>
      <c r="BA40" s="489">
        <v>-0.01760000000000006</v>
      </c>
      <c r="BB40" s="489">
        <v>0.015000000000000013</v>
      </c>
      <c r="BC40" s="489">
        <v>0.0042999999999999705</v>
      </c>
      <c r="BD40" s="489">
        <v>-0.01529999999999998</v>
      </c>
      <c r="BE40" s="489">
        <v>-0.013499999999999956</v>
      </c>
      <c r="BF40" s="489">
        <v>0.028700000000000003</v>
      </c>
      <c r="BG40" s="489">
        <v>0.5027</v>
      </c>
      <c r="BH40" s="489">
        <v>0.8093</v>
      </c>
      <c r="BI40" s="489">
        <v>1.0498</v>
      </c>
      <c r="BJ40" s="489">
        <v>38.8961</v>
      </c>
      <c r="BK40" s="281"/>
      <c r="BL40" s="489">
        <v>-0.7784331386355312</v>
      </c>
      <c r="BM40" s="489">
        <v>-0.11457319413821215</v>
      </c>
      <c r="BN40" s="489">
        <v>-0.10838329621013901</v>
      </c>
      <c r="BO40" s="489">
        <v>-0.08464331071694597</v>
      </c>
      <c r="BP40" s="489">
        <v>-0.10012668581405648</v>
      </c>
      <c r="BQ40" s="489">
        <v>-0.05831200652522173</v>
      </c>
      <c r="BR40" s="489">
        <v>-0.07575309483494086</v>
      </c>
      <c r="BS40" s="489">
        <v>1.0872662433457045</v>
      </c>
      <c r="BT40" s="489">
        <v>1.3199811298317523</v>
      </c>
      <c r="BU40" s="489">
        <v>1.5917838512870353</v>
      </c>
      <c r="BV40" s="489">
        <v>38.65294046618253</v>
      </c>
      <c r="BW40" s="281"/>
      <c r="BX40" s="486">
        <f t="shared" ref="BX40:CH40" si="32">IFERROR(BL40-AZ40,"")</f>
        <v>-2.257133139</v>
      </c>
      <c r="BY40" s="486">
        <f t="shared" si="32"/>
        <v>-0.09697319414</v>
      </c>
      <c r="BZ40" s="486">
        <f t="shared" si="32"/>
        <v>-0.1233832962</v>
      </c>
      <c r="CA40" s="486">
        <f t="shared" si="32"/>
        <v>-0.08894331072</v>
      </c>
      <c r="CB40" s="486">
        <f t="shared" si="32"/>
        <v>-0.08482668581</v>
      </c>
      <c r="CC40" s="486">
        <f t="shared" si="32"/>
        <v>-0.04481200653</v>
      </c>
      <c r="CD40" s="486">
        <f t="shared" si="32"/>
        <v>-0.1044530948</v>
      </c>
      <c r="CE40" s="486">
        <f t="shared" si="32"/>
        <v>0.5845662433</v>
      </c>
      <c r="CF40" s="486">
        <f t="shared" si="32"/>
        <v>0.5106811298</v>
      </c>
      <c r="CG40" s="486">
        <f t="shared" si="32"/>
        <v>0.5419838513</v>
      </c>
      <c r="CH40" s="486">
        <f t="shared" si="32"/>
        <v>-0.2431595338</v>
      </c>
    </row>
    <row r="41" ht="15.75" customHeight="1">
      <c r="A41" s="224"/>
      <c r="B41" s="477">
        <v>33.0</v>
      </c>
      <c r="C41" s="477" t="s">
        <v>1923</v>
      </c>
      <c r="D41" s="490">
        <v>24.675636088976045</v>
      </c>
      <c r="E41" s="490">
        <v>0.29569617474310933</v>
      </c>
      <c r="F41" s="490">
        <v>0.3047425352094854</v>
      </c>
      <c r="G41" s="490">
        <v>0.16879071384467687</v>
      </c>
      <c r="H41" s="490">
        <v>0.40640367849300685</v>
      </c>
      <c r="I41" s="490">
        <v>0.38425479960062936</v>
      </c>
      <c r="J41" s="490">
        <v>0.2637881904870272</v>
      </c>
      <c r="K41" s="490">
        <v>0.4727043570699368</v>
      </c>
      <c r="L41" s="490">
        <v>0.9465289144487858</v>
      </c>
      <c r="M41" s="490">
        <v>1.3287820980504923</v>
      </c>
      <c r="N41" s="490">
        <v>29.991074673035385</v>
      </c>
      <c r="O41" s="453"/>
      <c r="P41" s="490">
        <v>21.628737430843618</v>
      </c>
      <c r="Q41" s="490">
        <v>0.18377518240655794</v>
      </c>
      <c r="R41" s="490">
        <v>0.15851327678138297</v>
      </c>
      <c r="S41" s="490">
        <v>0.07324250726602909</v>
      </c>
      <c r="T41" s="490">
        <v>0.28477502068759997</v>
      </c>
      <c r="U41" s="490">
        <v>0.30665158667881887</v>
      </c>
      <c r="V41" s="490">
        <v>0.13623497194246115</v>
      </c>
      <c r="W41" s="490">
        <v>0.9858334148943781</v>
      </c>
      <c r="X41" s="490">
        <v>1.3095607259744828</v>
      </c>
      <c r="Y41" s="490">
        <v>1.6179759607823183</v>
      </c>
      <c r="Z41" s="490">
        <v>26.907025644424365</v>
      </c>
      <c r="AA41" s="487"/>
      <c r="AB41" s="491">
        <v>-3.0468986581324273</v>
      </c>
      <c r="AC41" s="491">
        <v>-0.1119209923365514</v>
      </c>
      <c r="AD41" s="491">
        <v>-0.14622925842810244</v>
      </c>
      <c r="AE41" s="491">
        <v>-0.09554820657864778</v>
      </c>
      <c r="AF41" s="491">
        <v>-0.12162865780540688</v>
      </c>
      <c r="AG41" s="491">
        <v>-0.0776032129218105</v>
      </c>
      <c r="AH41" s="491">
        <v>-0.12755321854456603</v>
      </c>
      <c r="AI41" s="491">
        <v>0.5131290578244414</v>
      </c>
      <c r="AJ41" s="491">
        <v>0.36303181152569697</v>
      </c>
      <c r="AK41" s="491">
        <v>0.289193862731826</v>
      </c>
      <c r="AL41" s="491">
        <v>-3.0840490286110196</v>
      </c>
      <c r="AM41" s="281"/>
      <c r="AN41" s="488">
        <v>48.2029</v>
      </c>
      <c r="AO41" s="488">
        <v>0.55</v>
      </c>
      <c r="AP41" s="488">
        <v>0.5585</v>
      </c>
      <c r="AQ41" s="488">
        <v>0.2972</v>
      </c>
      <c r="AR41" s="488">
        <v>0.6879</v>
      </c>
      <c r="AS41" s="488">
        <v>0.6739</v>
      </c>
      <c r="AT41" s="488">
        <v>0.4078</v>
      </c>
      <c r="AU41" s="488">
        <v>0.4408</v>
      </c>
      <c r="AV41" s="488">
        <v>0.7024</v>
      </c>
      <c r="AW41" s="488">
        <v>0.8584</v>
      </c>
      <c r="AX41" s="488">
        <v>0.0</v>
      </c>
      <c r="AY41" s="281"/>
      <c r="AZ41" s="489">
        <v>-6.4361999999999995</v>
      </c>
      <c r="BA41" s="489">
        <v>-0.05710000000000004</v>
      </c>
      <c r="BB41" s="489">
        <v>-0.0811</v>
      </c>
      <c r="BC41" s="489">
        <v>-0.017400000000000027</v>
      </c>
      <c r="BD41" s="489">
        <v>-0.05489999999999995</v>
      </c>
      <c r="BE41" s="489">
        <v>-0.04760000000000009</v>
      </c>
      <c r="BF41" s="489">
        <v>0.016199999999999992</v>
      </c>
      <c r="BG41" s="489">
        <v>0.4408</v>
      </c>
      <c r="BH41" s="489">
        <v>0.8756</v>
      </c>
      <c r="BI41" s="489">
        <v>1.0998999999999999</v>
      </c>
      <c r="BJ41" s="489">
        <v>51.5325</v>
      </c>
      <c r="BK41" s="281"/>
      <c r="BL41" s="489">
        <v>-9.483098658132427</v>
      </c>
      <c r="BM41" s="489">
        <v>-0.16902099233655143</v>
      </c>
      <c r="BN41" s="489">
        <v>-0.22732925842810245</v>
      </c>
      <c r="BO41" s="489">
        <v>-0.1129482065786478</v>
      </c>
      <c r="BP41" s="489">
        <v>-0.17652865780540683</v>
      </c>
      <c r="BQ41" s="489">
        <v>-0.12520321292181058</v>
      </c>
      <c r="BR41" s="489">
        <v>-0.11135321854456603</v>
      </c>
      <c r="BS41" s="489">
        <v>0.9539290578244415</v>
      </c>
      <c r="BT41" s="489">
        <v>1.2386318115256971</v>
      </c>
      <c r="BU41" s="489">
        <v>1.389093862731826</v>
      </c>
      <c r="BV41" s="489">
        <v>48.44845097138898</v>
      </c>
      <c r="BW41" s="281"/>
      <c r="BX41" s="486">
        <f t="shared" ref="BX41:CH41" si="33">IFERROR(BL41-AZ41,"")</f>
        <v>-3.046898658</v>
      </c>
      <c r="BY41" s="486">
        <f t="shared" si="33"/>
        <v>-0.1119209923</v>
      </c>
      <c r="BZ41" s="486">
        <f t="shared" si="33"/>
        <v>-0.1462292584</v>
      </c>
      <c r="CA41" s="486">
        <f t="shared" si="33"/>
        <v>-0.09554820658</v>
      </c>
      <c r="CB41" s="486">
        <f t="shared" si="33"/>
        <v>-0.1216286578</v>
      </c>
      <c r="CC41" s="486">
        <f t="shared" si="33"/>
        <v>-0.07760321292</v>
      </c>
      <c r="CD41" s="486">
        <f t="shared" si="33"/>
        <v>-0.1275532185</v>
      </c>
      <c r="CE41" s="486">
        <f t="shared" si="33"/>
        <v>0.5131290578</v>
      </c>
      <c r="CF41" s="486">
        <f t="shared" si="33"/>
        <v>0.3630318115</v>
      </c>
      <c r="CG41" s="486">
        <f t="shared" si="33"/>
        <v>0.2891938627</v>
      </c>
      <c r="CH41" s="486">
        <f t="shared" si="33"/>
        <v>-3.084049029</v>
      </c>
    </row>
    <row r="42" ht="15.75" customHeight="1">
      <c r="A42" s="224"/>
      <c r="B42" s="176" t="s">
        <v>1926</v>
      </c>
      <c r="C42" s="492"/>
      <c r="D42" s="493">
        <f t="shared" ref="D42:N42" si="34">SUM(D9:D41)</f>
        <v>873.9082</v>
      </c>
      <c r="E42" s="493">
        <f t="shared" si="34"/>
        <v>9.3782</v>
      </c>
      <c r="F42" s="493">
        <f t="shared" si="34"/>
        <v>9.6563</v>
      </c>
      <c r="G42" s="493">
        <f t="shared" si="34"/>
        <v>5.7557</v>
      </c>
      <c r="H42" s="493">
        <f t="shared" si="34"/>
        <v>11.8186</v>
      </c>
      <c r="I42" s="493">
        <f t="shared" si="34"/>
        <v>12.0101</v>
      </c>
      <c r="J42" s="493">
        <f t="shared" si="34"/>
        <v>7.3395</v>
      </c>
      <c r="K42" s="493">
        <f t="shared" si="34"/>
        <v>28.2842</v>
      </c>
      <c r="L42" s="493">
        <f t="shared" si="34"/>
        <v>39.0045</v>
      </c>
      <c r="M42" s="493">
        <f t="shared" si="34"/>
        <v>49.0095</v>
      </c>
      <c r="N42" s="493">
        <f t="shared" si="34"/>
        <v>821.9527</v>
      </c>
      <c r="O42" s="453"/>
      <c r="P42" s="494">
        <f t="shared" ref="P42:Z42" si="35">SUM(P9:P41)</f>
        <v>885.6349732</v>
      </c>
      <c r="Q42" s="494">
        <f t="shared" si="35"/>
        <v>11.4405527</v>
      </c>
      <c r="R42" s="494">
        <f t="shared" si="35"/>
        <v>10.41602542</v>
      </c>
      <c r="S42" s="494">
        <f t="shared" si="35"/>
        <v>5.623730804</v>
      </c>
      <c r="T42" s="494">
        <f t="shared" si="35"/>
        <v>22.90874983</v>
      </c>
      <c r="U42" s="494">
        <f t="shared" si="35"/>
        <v>18.9886915</v>
      </c>
      <c r="V42" s="494">
        <f t="shared" si="35"/>
        <v>14.02144079</v>
      </c>
      <c r="W42" s="494">
        <f t="shared" si="35"/>
        <v>17.57276972</v>
      </c>
      <c r="X42" s="494">
        <f t="shared" si="35"/>
        <v>31.62321385</v>
      </c>
      <c r="Y42" s="494">
        <f t="shared" si="35"/>
        <v>67.66732571</v>
      </c>
      <c r="Z42" s="494">
        <f t="shared" si="35"/>
        <v>1050.591147</v>
      </c>
      <c r="AA42" s="487"/>
      <c r="AB42" s="495">
        <f t="shared" ref="AB42:AL42" si="36">SUM(AB9:AB41)</f>
        <v>11.72677317</v>
      </c>
      <c r="AC42" s="495">
        <f t="shared" si="36"/>
        <v>2.062352703</v>
      </c>
      <c r="AD42" s="495">
        <f t="shared" si="36"/>
        <v>0.7597254237</v>
      </c>
      <c r="AE42" s="495">
        <f t="shared" si="36"/>
        <v>-0.1319691961</v>
      </c>
      <c r="AF42" s="495">
        <f t="shared" si="36"/>
        <v>11.09014983</v>
      </c>
      <c r="AG42" s="495">
        <f t="shared" si="36"/>
        <v>6.978591495</v>
      </c>
      <c r="AH42" s="495">
        <f t="shared" si="36"/>
        <v>6.681940786</v>
      </c>
      <c r="AI42" s="495">
        <f t="shared" si="36"/>
        <v>-10.71143028</v>
      </c>
      <c r="AJ42" s="495">
        <f t="shared" si="36"/>
        <v>-7.38128615</v>
      </c>
      <c r="AK42" s="495">
        <f t="shared" si="36"/>
        <v>18.65782571</v>
      </c>
      <c r="AL42" s="495">
        <f t="shared" si="36"/>
        <v>228.6384467</v>
      </c>
      <c r="AM42" s="281"/>
      <c r="AN42" s="496">
        <f t="shared" ref="AN42:AX42" si="37">IF(COUNT(AN9:AN41)=0,"",SUM(AN9:AN41))</f>
        <v>1751.8586</v>
      </c>
      <c r="AO42" s="496">
        <f t="shared" si="37"/>
        <v>18.9849</v>
      </c>
      <c r="AP42" s="496">
        <f t="shared" si="37"/>
        <v>19.1437</v>
      </c>
      <c r="AQ42" s="496">
        <f t="shared" si="37"/>
        <v>10.7581</v>
      </c>
      <c r="AR42" s="496">
        <f t="shared" si="37"/>
        <v>23.9895</v>
      </c>
      <c r="AS42" s="496">
        <f t="shared" si="37"/>
        <v>23.7228</v>
      </c>
      <c r="AT42" s="496">
        <f t="shared" si="37"/>
        <v>13.4725</v>
      </c>
      <c r="AU42" s="496">
        <f t="shared" si="37"/>
        <v>21.9555</v>
      </c>
      <c r="AV42" s="496">
        <f t="shared" si="37"/>
        <v>29.6327</v>
      </c>
      <c r="AW42" s="496">
        <f t="shared" si="37"/>
        <v>37.7893</v>
      </c>
      <c r="AX42" s="496">
        <f t="shared" si="37"/>
        <v>0.0077</v>
      </c>
      <c r="AY42" s="281"/>
      <c r="AZ42" s="497">
        <f t="shared" ref="AZ42:BJ42" si="38">IF(COUNT(AZ9:AZ41)=0,"",SUM(AZ9:AZ41))</f>
        <v>14.7357</v>
      </c>
      <c r="BA42" s="497">
        <f t="shared" si="38"/>
        <v>-0.7048</v>
      </c>
      <c r="BB42" s="497">
        <f t="shared" si="38"/>
        <v>-0.3827</v>
      </c>
      <c r="BC42" s="497">
        <f t="shared" si="38"/>
        <v>-0.0048</v>
      </c>
      <c r="BD42" s="497">
        <f t="shared" si="38"/>
        <v>-0.7657</v>
      </c>
      <c r="BE42" s="497">
        <f t="shared" si="38"/>
        <v>-0.1241</v>
      </c>
      <c r="BF42" s="497">
        <f t="shared" si="38"/>
        <v>0.684</v>
      </c>
      <c r="BG42" s="497">
        <f t="shared" si="38"/>
        <v>19.8158</v>
      </c>
      <c r="BH42" s="497">
        <f t="shared" si="38"/>
        <v>35.0393</v>
      </c>
      <c r="BI42" s="497">
        <f t="shared" si="38"/>
        <v>49.8245</v>
      </c>
      <c r="BJ42" s="497">
        <f t="shared" si="38"/>
        <v>1666.3892</v>
      </c>
      <c r="BK42" s="281"/>
      <c r="BL42" s="497">
        <f t="shared" ref="BL42:BV42" si="39">IF(COUNT(BL9:BL41)=0,"",SUM(BL9:BL41))</f>
        <v>26.46247317</v>
      </c>
      <c r="BM42" s="497">
        <f t="shared" si="39"/>
        <v>1.357552703</v>
      </c>
      <c r="BN42" s="497">
        <f t="shared" si="39"/>
        <v>0.3770254237</v>
      </c>
      <c r="BO42" s="497">
        <f t="shared" si="39"/>
        <v>-0.1367691961</v>
      </c>
      <c r="BP42" s="497">
        <f t="shared" si="39"/>
        <v>10.32444983</v>
      </c>
      <c r="BQ42" s="497">
        <f t="shared" si="39"/>
        <v>6.854491495</v>
      </c>
      <c r="BR42" s="497">
        <f t="shared" si="39"/>
        <v>7.365940786</v>
      </c>
      <c r="BS42" s="497">
        <f t="shared" si="39"/>
        <v>9.104369724</v>
      </c>
      <c r="BT42" s="497">
        <f t="shared" si="39"/>
        <v>27.65801385</v>
      </c>
      <c r="BU42" s="497">
        <f t="shared" si="39"/>
        <v>68.48232571</v>
      </c>
      <c r="BV42" s="497">
        <f t="shared" si="39"/>
        <v>1895.027647</v>
      </c>
      <c r="BW42" s="281"/>
      <c r="BX42" s="498">
        <f t="shared" ref="BX42:CH42" si="40">IF(COUNT(BX9:BX41)=0,"",SUM(BX9:BX41))</f>
        <v>11.72677317</v>
      </c>
      <c r="BY42" s="498">
        <f t="shared" si="40"/>
        <v>2.062352703</v>
      </c>
      <c r="BZ42" s="498">
        <f t="shared" si="40"/>
        <v>0.7597254237</v>
      </c>
      <c r="CA42" s="498">
        <f t="shared" si="40"/>
        <v>-0.1319691961</v>
      </c>
      <c r="CB42" s="498">
        <f t="shared" si="40"/>
        <v>11.09014983</v>
      </c>
      <c r="CC42" s="498">
        <f t="shared" si="40"/>
        <v>6.978591495</v>
      </c>
      <c r="CD42" s="498">
        <f t="shared" si="40"/>
        <v>6.681940786</v>
      </c>
      <c r="CE42" s="498">
        <f t="shared" si="40"/>
        <v>-10.71143028</v>
      </c>
      <c r="CF42" s="498">
        <f t="shared" si="40"/>
        <v>-7.38128615</v>
      </c>
      <c r="CG42" s="498">
        <f t="shared" si="40"/>
        <v>18.65782571</v>
      </c>
      <c r="CH42" s="498">
        <f t="shared" si="40"/>
        <v>228.6384467</v>
      </c>
    </row>
    <row r="43" ht="15.75" customHeight="1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</row>
    <row r="44" ht="15.75" hidden="1" customHeight="1">
      <c r="A44" s="224"/>
      <c r="B44" s="469" t="s">
        <v>1927</v>
      </c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</row>
    <row r="45" ht="15.75" hidden="1" customHeight="1">
      <c r="A45" s="224"/>
      <c r="B45" s="443" t="s">
        <v>1928</v>
      </c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</row>
    <row r="46" ht="15.75" hidden="1" customHeight="1">
      <c r="A46" s="224"/>
      <c r="B46" s="443" t="s">
        <v>1929</v>
      </c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</row>
    <row r="47" ht="15.75" hidden="1" customHeight="1">
      <c r="A47" s="224"/>
      <c r="B47" s="443" t="s">
        <v>1930</v>
      </c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</row>
    <row r="48" ht="15.75" hidden="1" customHeight="1">
      <c r="A48" s="224"/>
      <c r="B48" s="443" t="s">
        <v>1931</v>
      </c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</row>
    <row r="49" ht="15.75" hidden="1" customHeight="1">
      <c r="A49" s="224"/>
      <c r="B49" s="443" t="s">
        <v>1932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</row>
    <row r="50" ht="15.75" hidden="1" customHeight="1">
      <c r="A50" s="224"/>
      <c r="B50" s="224" t="s">
        <v>1933</v>
      </c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</row>
    <row r="51" ht="15.75" hidden="1" customHeight="1">
      <c r="A51" s="224"/>
      <c r="B51" s="224" t="s">
        <v>1934</v>
      </c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</row>
    <row r="52" ht="15.75" customHeight="1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4"/>
      <c r="AJ52" s="224"/>
      <c r="AK52" s="224"/>
      <c r="AL52" s="224"/>
    </row>
    <row r="53" ht="15.75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</row>
    <row r="54" ht="15.75" customHeight="1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4"/>
      <c r="AH54" s="224"/>
      <c r="AI54" s="224"/>
      <c r="AJ54" s="224"/>
      <c r="AK54" s="224"/>
      <c r="AL54" s="224"/>
    </row>
    <row r="55" ht="15.75" customHeight="1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</row>
    <row r="56" ht="15.75" customHeight="1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224"/>
      <c r="AJ56" s="224"/>
      <c r="AK56" s="224"/>
      <c r="AL56" s="224"/>
    </row>
    <row r="57" ht="15.75" customHeight="1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</row>
    <row r="58" ht="15.75" customHeight="1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</row>
    <row r="59" ht="15.75" customHeight="1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</row>
    <row r="60" ht="15.75" customHeight="1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</row>
    <row r="61" ht="15.75" customHeight="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</row>
    <row r="62" ht="15.75" customHeight="1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</row>
    <row r="63" ht="15.75" customHeight="1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</row>
    <row r="64" ht="15.75" customHeight="1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</row>
    <row r="65" ht="15.75" customHeight="1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</row>
    <row r="66" ht="15.75" customHeight="1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</row>
    <row r="67" ht="15.75" customHeight="1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</row>
    <row r="68" ht="15.75" customHeight="1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</row>
    <row r="69" ht="15.75" customHeight="1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</row>
    <row r="70" ht="15.75" customHeight="1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</row>
    <row r="71" ht="15.75" customHeight="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</row>
    <row r="72" ht="15.7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</row>
    <row r="73" ht="15.75" customHeight="1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</row>
    <row r="74" ht="15.75" customHeight="1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</row>
    <row r="75" ht="15.75" customHeight="1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</row>
    <row r="76" ht="15.75" customHeight="1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</row>
    <row r="77" ht="15.75" customHeight="1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</row>
    <row r="78" ht="15.75" customHeight="1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</row>
    <row r="79" ht="15.75" customHeight="1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24"/>
      <c r="AF79" s="224"/>
      <c r="AG79" s="224"/>
      <c r="AH79" s="224"/>
      <c r="AI79" s="224"/>
      <c r="AJ79" s="224"/>
      <c r="AK79" s="224"/>
      <c r="AL79" s="224"/>
    </row>
    <row r="80" ht="15.75" customHeight="1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</row>
    <row r="81" ht="15.75" customHeight="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</row>
    <row r="82" ht="15.75" customHeight="1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</row>
    <row r="83" ht="15.75" customHeight="1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</row>
    <row r="84" ht="15.75" customHeight="1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</row>
    <row r="85" ht="15.75" customHeight="1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</row>
    <row r="86" ht="15.7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</row>
    <row r="87" ht="15.75" customHeight="1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</row>
    <row r="88" ht="15.75" customHeight="1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</row>
    <row r="89" ht="15.75" customHeight="1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</row>
    <row r="90" ht="15.75" customHeight="1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</row>
    <row r="91" ht="15.75" customHeight="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</row>
    <row r="92" ht="15.75" customHeight="1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</row>
    <row r="93" ht="15.75" customHeight="1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</row>
    <row r="94" ht="15.75" customHeight="1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</row>
    <row r="95" ht="15.75" customHeight="1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</row>
    <row r="96" ht="15.75" customHeight="1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</row>
    <row r="97" ht="15.75" customHeight="1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</row>
    <row r="98" ht="15.75" customHeight="1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</row>
    <row r="99" ht="15.75" customHeight="1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</row>
    <row r="100" ht="15.75" customHeight="1">
      <c r="A100" s="22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</row>
    <row r="101" ht="15.75" customHeight="1">
      <c r="A101" s="22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</row>
    <row r="102" ht="15.75" customHeight="1">
      <c r="A102" s="22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</row>
    <row r="103" ht="15.75" customHeight="1">
      <c r="A103" s="22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</row>
    <row r="104" ht="15.75" customHeight="1">
      <c r="A104" s="22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</row>
    <row r="105" ht="15.75" customHeight="1">
      <c r="A105" s="22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</row>
    <row r="106" ht="15.75" customHeight="1">
      <c r="A106" s="22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</row>
    <row r="107" ht="15.75" customHeight="1">
      <c r="A107" s="22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</row>
    <row r="108" ht="15.75" customHeight="1">
      <c r="A108" s="22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</row>
    <row r="109" ht="15.75" customHeight="1">
      <c r="A109" s="22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</row>
    <row r="110" ht="15.75" customHeight="1">
      <c r="A110" s="224"/>
      <c r="B110" s="224"/>
      <c r="C110" s="224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</row>
    <row r="111" ht="15.75" customHeight="1">
      <c r="A111" s="224"/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</row>
    <row r="112" ht="15.75" customHeight="1">
      <c r="A112" s="224"/>
      <c r="B112" s="224"/>
      <c r="C112" s="224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</row>
    <row r="114" ht="15.75" customHeight="1">
      <c r="A114" s="224"/>
      <c r="B114" s="224"/>
      <c r="C114" s="22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</row>
    <row r="115" ht="15.75" customHeight="1">
      <c r="A115" s="224"/>
      <c r="B115" s="224"/>
      <c r="C115" s="224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</row>
    <row r="116" ht="15.75" customHeight="1">
      <c r="A116" s="224"/>
      <c r="B116" s="224"/>
      <c r="C116" s="224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</row>
    <row r="117" ht="15.75" customHeight="1">
      <c r="A117" s="224"/>
      <c r="B117" s="224"/>
      <c r="C117" s="224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</row>
    <row r="118" ht="15.75" customHeight="1">
      <c r="A118" s="224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</row>
    <row r="119" ht="15.75" customHeight="1">
      <c r="A119" s="224"/>
      <c r="B119" s="224"/>
      <c r="C119" s="224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</row>
    <row r="120" ht="15.75" customHeight="1">
      <c r="A120" s="224"/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</row>
    <row r="121" ht="15.75" customHeight="1">
      <c r="A121" s="224"/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</row>
    <row r="122" ht="15.75" customHeight="1">
      <c r="A122" s="224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</row>
    <row r="123" ht="15.75" customHeight="1">
      <c r="A123" s="224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</row>
    <row r="124" ht="15.75" customHeight="1">
      <c r="A124" s="224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</row>
    <row r="125" ht="15.75" customHeight="1">
      <c r="A125" s="224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</row>
    <row r="126" ht="15.75" customHeight="1">
      <c r="A126" s="224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</row>
    <row r="127" ht="15.75" customHeight="1">
      <c r="A127" s="224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</row>
    <row r="128" ht="15.75" customHeight="1">
      <c r="A128" s="224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</row>
    <row r="129" ht="15.75" customHeight="1">
      <c r="A129" s="224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</row>
    <row r="130" ht="15.75" customHeight="1">
      <c r="A130" s="224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</row>
    <row r="131" ht="15.75" customHeight="1">
      <c r="A131" s="224"/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</row>
    <row r="132" ht="15.75" customHeight="1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</row>
    <row r="133" ht="15.75" customHeight="1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</row>
    <row r="135" ht="15.75" customHeight="1">
      <c r="A135" s="224"/>
      <c r="B135" s="224"/>
      <c r="C135" s="224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</row>
    <row r="136" ht="15.75" customHeight="1">
      <c r="A136" s="224"/>
      <c r="B136" s="224"/>
      <c r="C136" s="224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</row>
    <row r="137" ht="15.75" customHeight="1">
      <c r="A137" s="224"/>
      <c r="B137" s="224"/>
      <c r="C137" s="224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</row>
    <row r="138" ht="15.75" customHeight="1">
      <c r="A138" s="224"/>
      <c r="B138" s="224"/>
      <c r="C138" s="224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</row>
    <row r="139" ht="15.75" customHeight="1">
      <c r="A139" s="224"/>
      <c r="B139" s="224"/>
      <c r="C139" s="224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</row>
    <row r="140" ht="15.75" customHeight="1">
      <c r="A140" s="224"/>
      <c r="B140" s="224"/>
      <c r="C140" s="224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</row>
    <row r="141" ht="15.75" customHeight="1">
      <c r="A141" s="224"/>
      <c r="B141" s="224"/>
      <c r="C141" s="224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  <c r="AF141" s="224"/>
      <c r="AG141" s="224"/>
      <c r="AH141" s="224"/>
      <c r="AI141" s="224"/>
      <c r="AJ141" s="224"/>
      <c r="AK141" s="224"/>
      <c r="AL141" s="224"/>
    </row>
    <row r="142" ht="15.75" customHeight="1">
      <c r="A142" s="224"/>
      <c r="B142" s="224"/>
      <c r="C142" s="224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  <c r="AF142" s="224"/>
      <c r="AG142" s="224"/>
      <c r="AH142" s="224"/>
      <c r="AI142" s="224"/>
      <c r="AJ142" s="224"/>
      <c r="AK142" s="224"/>
      <c r="AL142" s="224"/>
    </row>
    <row r="143" ht="15.75" customHeight="1">
      <c r="A143" s="224"/>
      <c r="B143" s="224"/>
      <c r="C143" s="224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</row>
    <row r="144" ht="15.75" customHeight="1">
      <c r="A144" s="224"/>
      <c r="B144" s="224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4"/>
      <c r="AJ144" s="224"/>
      <c r="AK144" s="224"/>
      <c r="AL144" s="224"/>
    </row>
    <row r="145" ht="15.75" customHeight="1">
      <c r="A145" s="224"/>
      <c r="B145" s="224"/>
      <c r="C145" s="224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  <c r="AF145" s="224"/>
      <c r="AG145" s="224"/>
      <c r="AH145" s="224"/>
      <c r="AI145" s="224"/>
      <c r="AJ145" s="224"/>
      <c r="AK145" s="224"/>
      <c r="AL145" s="224"/>
    </row>
    <row r="146" ht="15.75" customHeight="1">
      <c r="A146" s="224"/>
      <c r="B146" s="224"/>
      <c r="C146" s="224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  <c r="AC146" s="224"/>
      <c r="AD146" s="224"/>
      <c r="AE146" s="224"/>
      <c r="AF146" s="224"/>
      <c r="AG146" s="224"/>
      <c r="AH146" s="224"/>
      <c r="AI146" s="224"/>
      <c r="AJ146" s="224"/>
      <c r="AK146" s="224"/>
      <c r="AL146" s="224"/>
    </row>
    <row r="147" ht="15.75" customHeight="1">
      <c r="A147" s="224"/>
      <c r="B147" s="224"/>
      <c r="C147" s="224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  <c r="AK147" s="224"/>
      <c r="AL147" s="224"/>
    </row>
    <row r="148" ht="15.75" customHeight="1">
      <c r="A148" s="224"/>
      <c r="B148" s="224"/>
      <c r="C148" s="224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  <c r="AI148" s="224"/>
      <c r="AJ148" s="224"/>
      <c r="AK148" s="224"/>
      <c r="AL148" s="224"/>
    </row>
    <row r="149" ht="15.75" customHeight="1">
      <c r="A149" s="224"/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  <c r="AG149" s="224"/>
      <c r="AH149" s="224"/>
      <c r="AI149" s="224"/>
      <c r="AJ149" s="224"/>
      <c r="AK149" s="224"/>
      <c r="AL149" s="224"/>
    </row>
    <row r="150" ht="15.75" customHeight="1">
      <c r="A150" s="224"/>
      <c r="B150" s="224"/>
      <c r="C150" s="224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  <c r="AF150" s="224"/>
      <c r="AG150" s="224"/>
      <c r="AH150" s="224"/>
      <c r="AI150" s="224"/>
      <c r="AJ150" s="224"/>
      <c r="AK150" s="224"/>
      <c r="AL150" s="224"/>
    </row>
    <row r="151" ht="15.75" customHeight="1">
      <c r="A151" s="224"/>
      <c r="B151" s="224"/>
      <c r="C151" s="224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</row>
    <row r="152" ht="15.75" customHeight="1">
      <c r="A152" s="224"/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4"/>
      <c r="AE152" s="224"/>
      <c r="AF152" s="224"/>
      <c r="AG152" s="224"/>
      <c r="AH152" s="224"/>
      <c r="AI152" s="224"/>
      <c r="AJ152" s="224"/>
      <c r="AK152" s="224"/>
      <c r="AL152" s="224"/>
    </row>
    <row r="153" ht="15.75" customHeight="1">
      <c r="A153" s="224"/>
      <c r="B153" s="224"/>
      <c r="C153" s="224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4"/>
      <c r="AG153" s="224"/>
      <c r="AH153" s="224"/>
      <c r="AI153" s="224"/>
      <c r="AJ153" s="224"/>
      <c r="AK153" s="224"/>
      <c r="AL153" s="224"/>
    </row>
    <row r="154" ht="15.75" customHeight="1">
      <c r="A154" s="224"/>
      <c r="B154" s="224"/>
      <c r="C154" s="22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  <c r="AK155" s="224"/>
      <c r="AL155" s="224"/>
    </row>
    <row r="156" ht="15.75" customHeight="1">
      <c r="A156" s="224"/>
      <c r="B156" s="224"/>
      <c r="C156" s="224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4"/>
      <c r="AE156" s="224"/>
      <c r="AF156" s="224"/>
      <c r="AG156" s="224"/>
      <c r="AH156" s="224"/>
      <c r="AI156" s="224"/>
      <c r="AJ156" s="224"/>
      <c r="AK156" s="224"/>
      <c r="AL156" s="224"/>
    </row>
    <row r="157" ht="15.75" customHeight="1">
      <c r="A157" s="224"/>
      <c r="B157" s="224"/>
      <c r="C157" s="224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  <c r="AF157" s="224"/>
      <c r="AG157" s="224"/>
      <c r="AH157" s="224"/>
      <c r="AI157" s="224"/>
      <c r="AJ157" s="224"/>
      <c r="AK157" s="224"/>
      <c r="AL157" s="224"/>
    </row>
    <row r="158" ht="15.75" customHeight="1">
      <c r="A158" s="224"/>
      <c r="B158" s="224"/>
      <c r="C158" s="224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  <c r="AC158" s="224"/>
      <c r="AD158" s="224"/>
      <c r="AE158" s="224"/>
      <c r="AF158" s="224"/>
      <c r="AG158" s="224"/>
      <c r="AH158" s="224"/>
      <c r="AI158" s="224"/>
      <c r="AJ158" s="224"/>
      <c r="AK158" s="224"/>
      <c r="AL158" s="224"/>
    </row>
    <row r="159" ht="15.75" customHeight="1">
      <c r="A159" s="224"/>
      <c r="B159" s="224"/>
      <c r="C159" s="224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  <c r="AK159" s="224"/>
      <c r="AL159" s="224"/>
    </row>
    <row r="160" ht="15.75" customHeight="1">
      <c r="A160" s="224"/>
      <c r="B160" s="224"/>
      <c r="C160" s="224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4"/>
      <c r="AD160" s="224"/>
      <c r="AE160" s="224"/>
      <c r="AF160" s="224"/>
      <c r="AG160" s="224"/>
      <c r="AH160" s="224"/>
      <c r="AI160" s="224"/>
      <c r="AJ160" s="224"/>
      <c r="AK160" s="224"/>
      <c r="AL160" s="224"/>
    </row>
    <row r="161" ht="15.75" customHeight="1">
      <c r="A161" s="224"/>
      <c r="B161" s="224"/>
      <c r="C161" s="224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</row>
    <row r="162" ht="15.75" customHeight="1">
      <c r="A162" s="224"/>
      <c r="B162" s="224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4"/>
      <c r="AD162" s="224"/>
      <c r="AE162" s="224"/>
      <c r="AF162" s="224"/>
      <c r="AG162" s="224"/>
      <c r="AH162" s="224"/>
      <c r="AI162" s="224"/>
      <c r="AJ162" s="224"/>
      <c r="AK162" s="224"/>
      <c r="AL162" s="224"/>
    </row>
    <row r="163" ht="15.75" customHeight="1">
      <c r="A163" s="224"/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4"/>
      <c r="AD163" s="224"/>
      <c r="AE163" s="224"/>
      <c r="AF163" s="224"/>
      <c r="AG163" s="224"/>
      <c r="AH163" s="224"/>
      <c r="AI163" s="224"/>
      <c r="AJ163" s="224"/>
      <c r="AK163" s="224"/>
      <c r="AL163" s="224"/>
    </row>
    <row r="164" ht="15.75" customHeight="1">
      <c r="A164" s="224"/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  <c r="AG164" s="224"/>
      <c r="AH164" s="224"/>
      <c r="AI164" s="224"/>
      <c r="AJ164" s="224"/>
      <c r="AK164" s="224"/>
      <c r="AL164" s="224"/>
    </row>
    <row r="165" ht="15.75" customHeight="1">
      <c r="A165" s="224"/>
      <c r="B165" s="224"/>
      <c r="C165" s="224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4"/>
      <c r="AD165" s="224"/>
      <c r="AE165" s="224"/>
      <c r="AF165" s="224"/>
      <c r="AG165" s="224"/>
      <c r="AH165" s="224"/>
      <c r="AI165" s="224"/>
      <c r="AJ165" s="224"/>
      <c r="AK165" s="224"/>
      <c r="AL165" s="224"/>
    </row>
    <row r="166" ht="15.75" customHeight="1">
      <c r="A166" s="224"/>
      <c r="B166" s="224"/>
      <c r="C166" s="224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  <c r="AK166" s="224"/>
      <c r="AL166" s="224"/>
    </row>
    <row r="167" ht="15.75" customHeight="1">
      <c r="A167" s="224"/>
      <c r="B167" s="224"/>
      <c r="C167" s="224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4"/>
      <c r="AD167" s="224"/>
      <c r="AE167" s="224"/>
      <c r="AF167" s="224"/>
      <c r="AG167" s="224"/>
      <c r="AH167" s="224"/>
      <c r="AI167" s="224"/>
      <c r="AJ167" s="224"/>
      <c r="AK167" s="224"/>
      <c r="AL167" s="224"/>
    </row>
    <row r="168" ht="15.75" customHeight="1">
      <c r="A168" s="224"/>
      <c r="B168" s="224"/>
      <c r="C168" s="224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  <c r="AC168" s="224"/>
      <c r="AD168" s="224"/>
      <c r="AE168" s="224"/>
      <c r="AF168" s="224"/>
      <c r="AG168" s="224"/>
      <c r="AH168" s="224"/>
      <c r="AI168" s="224"/>
      <c r="AJ168" s="224"/>
      <c r="AK168" s="224"/>
      <c r="AL168" s="224"/>
    </row>
    <row r="169" ht="15.75" customHeight="1">
      <c r="A169" s="224"/>
      <c r="B169" s="224"/>
      <c r="C169" s="224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  <c r="AG169" s="224"/>
      <c r="AH169" s="224"/>
      <c r="AI169" s="224"/>
      <c r="AJ169" s="224"/>
      <c r="AK169" s="224"/>
      <c r="AL169" s="224"/>
    </row>
    <row r="170" ht="15.75" customHeight="1">
      <c r="A170" s="224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224"/>
      <c r="AF170" s="224"/>
      <c r="AG170" s="224"/>
      <c r="AH170" s="224"/>
      <c r="AI170" s="224"/>
      <c r="AJ170" s="224"/>
      <c r="AK170" s="224"/>
      <c r="AL170" s="224"/>
    </row>
    <row r="171" ht="15.75" customHeight="1">
      <c r="A171" s="224"/>
      <c r="B171" s="224"/>
      <c r="C171" s="224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4"/>
      <c r="AL171" s="224"/>
    </row>
    <row r="172" ht="15.75" customHeight="1">
      <c r="A172" s="224"/>
      <c r="B172" s="224"/>
      <c r="C172" s="224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224"/>
      <c r="AF172" s="224"/>
      <c r="AG172" s="224"/>
      <c r="AH172" s="224"/>
      <c r="AI172" s="224"/>
      <c r="AJ172" s="224"/>
      <c r="AK172" s="224"/>
      <c r="AL172" s="224"/>
    </row>
    <row r="173" ht="15.75" customHeight="1">
      <c r="A173" s="224"/>
      <c r="B173" s="224"/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  <c r="AF173" s="224"/>
      <c r="AG173" s="224"/>
      <c r="AH173" s="224"/>
      <c r="AI173" s="224"/>
      <c r="AJ173" s="224"/>
      <c r="AK173" s="224"/>
      <c r="AL173" s="224"/>
    </row>
    <row r="174" ht="15.75" customHeight="1">
      <c r="A174" s="224"/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  <c r="AF174" s="224"/>
      <c r="AG174" s="224"/>
      <c r="AH174" s="224"/>
      <c r="AI174" s="224"/>
      <c r="AJ174" s="224"/>
      <c r="AK174" s="224"/>
      <c r="AL174" s="224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  <c r="AF175" s="224"/>
      <c r="AG175" s="224"/>
      <c r="AH175" s="224"/>
      <c r="AI175" s="224"/>
      <c r="AJ175" s="224"/>
      <c r="AK175" s="224"/>
      <c r="AL175" s="224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  <c r="AC176" s="224"/>
      <c r="AD176" s="224"/>
      <c r="AE176" s="224"/>
      <c r="AF176" s="224"/>
      <c r="AG176" s="224"/>
      <c r="AH176" s="224"/>
      <c r="AI176" s="224"/>
      <c r="AJ176" s="224"/>
      <c r="AK176" s="224"/>
      <c r="AL176" s="224"/>
    </row>
    <row r="177" ht="15.75" customHeight="1">
      <c r="A177" s="224"/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  <c r="AD177" s="224"/>
      <c r="AE177" s="224"/>
      <c r="AF177" s="224"/>
      <c r="AG177" s="224"/>
      <c r="AH177" s="224"/>
      <c r="AI177" s="224"/>
      <c r="AJ177" s="224"/>
      <c r="AK177" s="224"/>
      <c r="AL177" s="224"/>
    </row>
    <row r="178" ht="15.75" customHeight="1">
      <c r="A178" s="224"/>
      <c r="B178" s="224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  <c r="AC178" s="224"/>
      <c r="AD178" s="224"/>
      <c r="AE178" s="224"/>
      <c r="AF178" s="224"/>
      <c r="AG178" s="224"/>
      <c r="AH178" s="224"/>
      <c r="AI178" s="224"/>
      <c r="AJ178" s="224"/>
      <c r="AK178" s="224"/>
      <c r="AL178" s="224"/>
    </row>
    <row r="179" ht="15.75" customHeight="1">
      <c r="A179" s="224"/>
      <c r="B179" s="224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4"/>
      <c r="AG179" s="224"/>
      <c r="AH179" s="224"/>
      <c r="AI179" s="224"/>
      <c r="AJ179" s="224"/>
      <c r="AK179" s="224"/>
      <c r="AL179" s="224"/>
    </row>
    <row r="180" ht="15.75" customHeight="1">
      <c r="A180" s="224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4"/>
      <c r="AG180" s="224"/>
      <c r="AH180" s="224"/>
      <c r="AI180" s="224"/>
      <c r="AJ180" s="224"/>
      <c r="AK180" s="224"/>
      <c r="AL180" s="224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  <c r="AC181" s="224"/>
      <c r="AD181" s="224"/>
      <c r="AE181" s="224"/>
      <c r="AF181" s="224"/>
      <c r="AG181" s="224"/>
      <c r="AH181" s="224"/>
      <c r="AI181" s="224"/>
      <c r="AJ181" s="224"/>
      <c r="AK181" s="224"/>
      <c r="AL181" s="224"/>
    </row>
    <row r="182" ht="15.75" customHeight="1">
      <c r="A182" s="224"/>
      <c r="B182" s="224"/>
      <c r="C182" s="224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4"/>
      <c r="AD182" s="224"/>
      <c r="AE182" s="224"/>
      <c r="AF182" s="224"/>
      <c r="AG182" s="224"/>
      <c r="AH182" s="224"/>
      <c r="AI182" s="224"/>
      <c r="AJ182" s="224"/>
      <c r="AK182" s="224"/>
      <c r="AL182" s="224"/>
    </row>
    <row r="183" ht="15.75" customHeight="1">
      <c r="A183" s="224"/>
      <c r="B183" s="224"/>
      <c r="C183" s="224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  <c r="AC183" s="224"/>
      <c r="AD183" s="224"/>
      <c r="AE183" s="224"/>
      <c r="AF183" s="224"/>
      <c r="AG183" s="224"/>
      <c r="AH183" s="224"/>
      <c r="AI183" s="224"/>
      <c r="AJ183" s="224"/>
      <c r="AK183" s="224"/>
      <c r="AL183" s="224"/>
    </row>
    <row r="184" ht="15.75" customHeight="1">
      <c r="A184" s="224"/>
      <c r="B184" s="224"/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24"/>
      <c r="AL184" s="224"/>
    </row>
    <row r="185" ht="15.75" customHeight="1">
      <c r="A185" s="224"/>
      <c r="B185" s="224"/>
      <c r="C185" s="224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  <c r="AF185" s="224"/>
      <c r="AG185" s="224"/>
      <c r="AH185" s="224"/>
      <c r="AI185" s="224"/>
      <c r="AJ185" s="224"/>
      <c r="AK185" s="224"/>
      <c r="AL185" s="224"/>
    </row>
    <row r="186" ht="15.75" customHeight="1">
      <c r="A186" s="224"/>
      <c r="B186" s="224"/>
      <c r="C186" s="224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4"/>
      <c r="AD186" s="224"/>
      <c r="AE186" s="224"/>
      <c r="AF186" s="224"/>
      <c r="AG186" s="224"/>
      <c r="AH186" s="224"/>
      <c r="AI186" s="224"/>
      <c r="AJ186" s="224"/>
      <c r="AK186" s="224"/>
      <c r="AL186" s="224"/>
    </row>
    <row r="187" ht="15.75" customHeight="1">
      <c r="A187" s="224"/>
      <c r="B187" s="224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</row>
    <row r="188" ht="15.75" customHeight="1">
      <c r="A188" s="224"/>
      <c r="B188" s="224"/>
      <c r="C188" s="224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4"/>
      <c r="AG188" s="224"/>
      <c r="AH188" s="224"/>
      <c r="AI188" s="224"/>
      <c r="AJ188" s="224"/>
      <c r="AK188" s="224"/>
      <c r="AL188" s="224"/>
    </row>
    <row r="189" ht="15.75" customHeight="1">
      <c r="A189" s="224"/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4"/>
      <c r="AD189" s="224"/>
      <c r="AE189" s="224"/>
      <c r="AF189" s="224"/>
      <c r="AG189" s="224"/>
      <c r="AH189" s="224"/>
      <c r="AI189" s="224"/>
      <c r="AJ189" s="224"/>
      <c r="AK189" s="224"/>
      <c r="AL189" s="224"/>
    </row>
    <row r="190" ht="15.75" customHeight="1">
      <c r="A190" s="224"/>
      <c r="B190" s="224"/>
      <c r="C190" s="224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4"/>
      <c r="AJ190" s="224"/>
      <c r="AK190" s="224"/>
      <c r="AL190" s="224"/>
    </row>
    <row r="191" ht="15.75" customHeight="1">
      <c r="A191" s="224"/>
      <c r="B191" s="224"/>
      <c r="C191" s="224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224"/>
      <c r="AF191" s="224"/>
      <c r="AG191" s="224"/>
      <c r="AH191" s="224"/>
      <c r="AI191" s="224"/>
      <c r="AJ191" s="224"/>
      <c r="AK191" s="224"/>
      <c r="AL191" s="224"/>
    </row>
    <row r="192" ht="15.75" customHeight="1">
      <c r="A192" s="224"/>
      <c r="B192" s="224"/>
      <c r="C192" s="224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  <c r="AK192" s="224"/>
      <c r="AL192" s="224"/>
    </row>
    <row r="193" ht="15.75" customHeight="1">
      <c r="A193" s="224"/>
      <c r="B193" s="224"/>
      <c r="C193" s="224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  <c r="AC193" s="224"/>
      <c r="AD193" s="224"/>
      <c r="AE193" s="224"/>
      <c r="AF193" s="224"/>
      <c r="AG193" s="224"/>
      <c r="AH193" s="224"/>
      <c r="AI193" s="224"/>
      <c r="AJ193" s="224"/>
      <c r="AK193" s="224"/>
      <c r="AL193" s="224"/>
    </row>
    <row r="194" ht="15.75" customHeight="1">
      <c r="A194" s="224"/>
      <c r="B194" s="224"/>
      <c r="C194" s="22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  <c r="AK194" s="224"/>
      <c r="AL194" s="224"/>
    </row>
    <row r="195" ht="15.75" customHeight="1">
      <c r="A195" s="224"/>
      <c r="B195" s="224"/>
      <c r="C195" s="224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  <c r="AC195" s="224"/>
      <c r="AD195" s="224"/>
      <c r="AE195" s="224"/>
      <c r="AF195" s="224"/>
      <c r="AG195" s="224"/>
      <c r="AH195" s="224"/>
      <c r="AI195" s="224"/>
      <c r="AJ195" s="224"/>
      <c r="AK195" s="224"/>
      <c r="AL195" s="224"/>
    </row>
    <row r="196" ht="15.75" customHeight="1">
      <c r="A196" s="224"/>
      <c r="B196" s="224"/>
      <c r="C196" s="224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24"/>
      <c r="AL196" s="224"/>
    </row>
    <row r="197" ht="15.75" customHeight="1">
      <c r="A197" s="224"/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  <c r="AC197" s="224"/>
      <c r="AD197" s="224"/>
      <c r="AE197" s="224"/>
      <c r="AF197" s="224"/>
      <c r="AG197" s="224"/>
      <c r="AH197" s="224"/>
      <c r="AI197" s="224"/>
      <c r="AJ197" s="224"/>
      <c r="AK197" s="224"/>
      <c r="AL197" s="224"/>
    </row>
    <row r="198" ht="15.75" customHeight="1">
      <c r="A198" s="224"/>
      <c r="B198" s="224"/>
      <c r="C198" s="224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  <c r="AF198" s="224"/>
      <c r="AG198" s="224"/>
      <c r="AH198" s="224"/>
      <c r="AI198" s="224"/>
      <c r="AJ198" s="224"/>
      <c r="AK198" s="224"/>
      <c r="AL198" s="224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  <c r="AC199" s="224"/>
      <c r="AD199" s="224"/>
      <c r="AE199" s="224"/>
      <c r="AF199" s="224"/>
      <c r="AG199" s="224"/>
      <c r="AH199" s="224"/>
      <c r="AI199" s="224"/>
      <c r="AJ199" s="224"/>
      <c r="AK199" s="224"/>
      <c r="AL199" s="224"/>
    </row>
    <row r="200" ht="15.75" customHeight="1">
      <c r="A200" s="224"/>
      <c r="B200" s="224"/>
      <c r="C200" s="224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  <c r="AK200" s="224"/>
      <c r="AL200" s="224"/>
    </row>
    <row r="201" ht="15.75" customHeight="1">
      <c r="A201" s="224"/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  <c r="AC201" s="224"/>
      <c r="AD201" s="224"/>
      <c r="AE201" s="224"/>
      <c r="AF201" s="224"/>
      <c r="AG201" s="224"/>
      <c r="AH201" s="224"/>
      <c r="AI201" s="224"/>
      <c r="AJ201" s="224"/>
      <c r="AK201" s="224"/>
      <c r="AL201" s="224"/>
    </row>
    <row r="202" ht="15.75" customHeight="1">
      <c r="A202" s="224"/>
      <c r="B202" s="224"/>
      <c r="C202" s="224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4"/>
      <c r="AD202" s="224"/>
      <c r="AE202" s="224"/>
      <c r="AF202" s="224"/>
      <c r="AG202" s="224"/>
      <c r="AH202" s="224"/>
      <c r="AI202" s="224"/>
      <c r="AJ202" s="224"/>
      <c r="AK202" s="224"/>
      <c r="AL202" s="224"/>
    </row>
    <row r="203" ht="15.75" customHeight="1">
      <c r="A203" s="224"/>
      <c r="B203" s="224"/>
      <c r="C203" s="224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  <c r="AA203" s="224"/>
      <c r="AB203" s="224"/>
      <c r="AC203" s="224"/>
      <c r="AD203" s="224"/>
      <c r="AE203" s="224"/>
      <c r="AF203" s="224"/>
      <c r="AG203" s="224"/>
      <c r="AH203" s="224"/>
      <c r="AI203" s="224"/>
      <c r="AJ203" s="224"/>
      <c r="AK203" s="224"/>
      <c r="AL203" s="224"/>
    </row>
    <row r="204" ht="15.75" customHeight="1">
      <c r="A204" s="224"/>
      <c r="B204" s="224"/>
      <c r="C204" s="22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  <c r="AC204" s="224"/>
      <c r="AD204" s="224"/>
      <c r="AE204" s="224"/>
      <c r="AF204" s="224"/>
      <c r="AG204" s="224"/>
      <c r="AH204" s="224"/>
      <c r="AI204" s="224"/>
      <c r="AJ204" s="224"/>
      <c r="AK204" s="224"/>
      <c r="AL204" s="224"/>
    </row>
    <row r="205" ht="15.75" customHeight="1">
      <c r="A205" s="224"/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  <c r="AC205" s="224"/>
      <c r="AD205" s="224"/>
      <c r="AE205" s="224"/>
      <c r="AF205" s="224"/>
      <c r="AG205" s="224"/>
      <c r="AH205" s="224"/>
      <c r="AI205" s="224"/>
      <c r="AJ205" s="224"/>
      <c r="AK205" s="224"/>
      <c r="AL205" s="224"/>
    </row>
    <row r="206" ht="15.75" customHeight="1">
      <c r="A206" s="224"/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  <c r="AC206" s="224"/>
      <c r="AD206" s="224"/>
      <c r="AE206" s="224"/>
      <c r="AF206" s="224"/>
      <c r="AG206" s="224"/>
      <c r="AH206" s="224"/>
      <c r="AI206" s="224"/>
      <c r="AJ206" s="224"/>
      <c r="AK206" s="224"/>
      <c r="AL206" s="224"/>
    </row>
    <row r="207" ht="15.75" customHeight="1">
      <c r="A207" s="224"/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  <c r="AA207" s="224"/>
      <c r="AB207" s="224"/>
      <c r="AC207" s="224"/>
      <c r="AD207" s="224"/>
      <c r="AE207" s="224"/>
      <c r="AF207" s="224"/>
      <c r="AG207" s="224"/>
      <c r="AH207" s="224"/>
      <c r="AI207" s="224"/>
      <c r="AJ207" s="224"/>
      <c r="AK207" s="224"/>
      <c r="AL207" s="224"/>
    </row>
    <row r="208" ht="15.75" customHeight="1">
      <c r="A208" s="224"/>
      <c r="B208" s="224"/>
      <c r="C208" s="224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  <c r="AA208" s="224"/>
      <c r="AB208" s="224"/>
      <c r="AC208" s="224"/>
      <c r="AD208" s="224"/>
      <c r="AE208" s="224"/>
      <c r="AF208" s="224"/>
      <c r="AG208" s="224"/>
      <c r="AH208" s="224"/>
      <c r="AI208" s="224"/>
      <c r="AJ208" s="224"/>
      <c r="AK208" s="224"/>
      <c r="AL208" s="224"/>
    </row>
    <row r="209" ht="15.75" customHeight="1">
      <c r="A209" s="224"/>
      <c r="B209" s="224"/>
      <c r="C209" s="224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  <c r="AC209" s="224"/>
      <c r="AD209" s="224"/>
      <c r="AE209" s="224"/>
      <c r="AF209" s="224"/>
      <c r="AG209" s="224"/>
      <c r="AH209" s="224"/>
      <c r="AI209" s="224"/>
      <c r="AJ209" s="224"/>
      <c r="AK209" s="224"/>
      <c r="AL209" s="224"/>
    </row>
    <row r="210" ht="15.75" customHeight="1">
      <c r="A210" s="224"/>
      <c r="B210" s="224"/>
      <c r="C210" s="224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  <c r="AA210" s="224"/>
      <c r="AB210" s="224"/>
      <c r="AC210" s="224"/>
      <c r="AD210" s="224"/>
      <c r="AE210" s="224"/>
      <c r="AF210" s="224"/>
      <c r="AG210" s="224"/>
      <c r="AH210" s="224"/>
      <c r="AI210" s="224"/>
      <c r="AJ210" s="224"/>
      <c r="AK210" s="224"/>
      <c r="AL210" s="224"/>
    </row>
    <row r="211" ht="15.75" customHeight="1">
      <c r="A211" s="224"/>
      <c r="B211" s="224"/>
      <c r="C211" s="224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  <c r="AA211" s="224"/>
      <c r="AB211" s="224"/>
      <c r="AC211" s="224"/>
      <c r="AD211" s="224"/>
      <c r="AE211" s="224"/>
      <c r="AF211" s="224"/>
      <c r="AG211" s="224"/>
      <c r="AH211" s="224"/>
      <c r="AI211" s="224"/>
      <c r="AJ211" s="224"/>
      <c r="AK211" s="224"/>
      <c r="AL211" s="224"/>
    </row>
    <row r="212" ht="15.75" customHeight="1">
      <c r="A212" s="224"/>
      <c r="B212" s="224"/>
      <c r="C212" s="224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  <c r="AA212" s="224"/>
      <c r="AB212" s="224"/>
      <c r="AC212" s="224"/>
      <c r="AD212" s="224"/>
      <c r="AE212" s="224"/>
      <c r="AF212" s="224"/>
      <c r="AG212" s="224"/>
      <c r="AH212" s="224"/>
      <c r="AI212" s="224"/>
      <c r="AJ212" s="224"/>
      <c r="AK212" s="224"/>
      <c r="AL212" s="224"/>
    </row>
    <row r="213" ht="15.75" customHeight="1">
      <c r="A213" s="224"/>
      <c r="B213" s="224"/>
      <c r="C213" s="224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  <c r="AC213" s="224"/>
      <c r="AD213" s="224"/>
      <c r="AE213" s="224"/>
      <c r="AF213" s="224"/>
      <c r="AG213" s="224"/>
      <c r="AH213" s="224"/>
      <c r="AI213" s="224"/>
      <c r="AJ213" s="224"/>
      <c r="AK213" s="224"/>
      <c r="AL213" s="224"/>
    </row>
    <row r="214" ht="15.75" customHeight="1">
      <c r="A214" s="224"/>
      <c r="B214" s="224"/>
      <c r="C214" s="22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224"/>
      <c r="AF214" s="224"/>
      <c r="AG214" s="224"/>
      <c r="AH214" s="224"/>
      <c r="AI214" s="224"/>
      <c r="AJ214" s="224"/>
      <c r="AK214" s="224"/>
      <c r="AL214" s="224"/>
    </row>
    <row r="215" ht="15.75" customHeight="1">
      <c r="A215" s="224"/>
      <c r="B215" s="224"/>
      <c r="C215" s="224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224"/>
      <c r="AF215" s="224"/>
      <c r="AG215" s="224"/>
      <c r="AH215" s="224"/>
      <c r="AI215" s="224"/>
      <c r="AJ215" s="224"/>
      <c r="AK215" s="224"/>
      <c r="AL215" s="224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  <c r="AC216" s="224"/>
      <c r="AD216" s="224"/>
      <c r="AE216" s="224"/>
      <c r="AF216" s="224"/>
      <c r="AG216" s="224"/>
      <c r="AH216" s="224"/>
      <c r="AI216" s="224"/>
      <c r="AJ216" s="224"/>
      <c r="AK216" s="224"/>
      <c r="AL216" s="224"/>
    </row>
    <row r="217" ht="15.75" customHeight="1">
      <c r="A217" s="224"/>
      <c r="B217" s="224"/>
      <c r="C217" s="224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  <c r="AC217" s="224"/>
      <c r="AD217" s="224"/>
      <c r="AE217" s="224"/>
      <c r="AF217" s="224"/>
      <c r="AG217" s="224"/>
      <c r="AH217" s="224"/>
      <c r="AI217" s="224"/>
      <c r="AJ217" s="224"/>
      <c r="AK217" s="224"/>
      <c r="AL217" s="224"/>
    </row>
    <row r="218" ht="15.75" customHeight="1">
      <c r="A218" s="224"/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  <c r="AA218" s="224"/>
      <c r="AB218" s="224"/>
      <c r="AC218" s="224"/>
      <c r="AD218" s="224"/>
      <c r="AE218" s="224"/>
      <c r="AF218" s="224"/>
      <c r="AG218" s="224"/>
      <c r="AH218" s="224"/>
      <c r="AI218" s="224"/>
      <c r="AJ218" s="224"/>
      <c r="AK218" s="224"/>
      <c r="AL218" s="224"/>
    </row>
    <row r="219" ht="15.75" customHeight="1">
      <c r="A219" s="224"/>
      <c r="B219" s="224"/>
      <c r="C219" s="224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  <c r="AC219" s="224"/>
      <c r="AD219" s="224"/>
      <c r="AE219" s="224"/>
      <c r="AF219" s="224"/>
      <c r="AG219" s="224"/>
      <c r="AH219" s="224"/>
      <c r="AI219" s="224"/>
      <c r="AJ219" s="224"/>
      <c r="AK219" s="224"/>
      <c r="AL219" s="224"/>
    </row>
    <row r="220" ht="15.75" customHeight="1">
      <c r="A220" s="224"/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  <c r="AA220" s="224"/>
      <c r="AB220" s="224"/>
      <c r="AC220" s="224"/>
      <c r="AD220" s="224"/>
      <c r="AE220" s="224"/>
      <c r="AF220" s="224"/>
      <c r="AG220" s="224"/>
      <c r="AH220" s="224"/>
      <c r="AI220" s="224"/>
      <c r="AJ220" s="224"/>
      <c r="AK220" s="224"/>
      <c r="AL220" s="224"/>
    </row>
    <row r="221" ht="15.75" customHeight="1">
      <c r="A221" s="224"/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  <c r="AC221" s="224"/>
      <c r="AD221" s="224"/>
      <c r="AE221" s="224"/>
      <c r="AF221" s="224"/>
      <c r="AG221" s="224"/>
      <c r="AH221" s="224"/>
      <c r="AI221" s="224"/>
      <c r="AJ221" s="224"/>
      <c r="AK221" s="224"/>
      <c r="AL221" s="224"/>
    </row>
    <row r="222" ht="15.75" customHeight="1">
      <c r="A222" s="224"/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  <c r="AA222" s="224"/>
      <c r="AB222" s="224"/>
      <c r="AC222" s="224"/>
      <c r="AD222" s="224"/>
      <c r="AE222" s="224"/>
      <c r="AF222" s="224"/>
      <c r="AG222" s="224"/>
      <c r="AH222" s="224"/>
      <c r="AI222" s="224"/>
      <c r="AJ222" s="224"/>
      <c r="AK222" s="224"/>
      <c r="AL222" s="224"/>
    </row>
    <row r="223" ht="15.75" customHeight="1">
      <c r="A223" s="224"/>
      <c r="B223" s="224"/>
      <c r="C223" s="224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  <c r="AC223" s="224"/>
      <c r="AD223" s="224"/>
      <c r="AE223" s="224"/>
      <c r="AF223" s="224"/>
      <c r="AG223" s="224"/>
      <c r="AH223" s="224"/>
      <c r="AI223" s="224"/>
      <c r="AJ223" s="224"/>
      <c r="AK223" s="224"/>
      <c r="AL223" s="224"/>
    </row>
    <row r="224" ht="15.75" customHeight="1">
      <c r="A224" s="224"/>
      <c r="B224" s="224"/>
      <c r="C224" s="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4"/>
      <c r="AJ224" s="224"/>
      <c r="AK224" s="224"/>
      <c r="AL224" s="224"/>
    </row>
    <row r="225" ht="15.75" customHeight="1">
      <c r="A225" s="224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  <c r="AF225" s="224"/>
      <c r="AG225" s="224"/>
      <c r="AH225" s="224"/>
      <c r="AI225" s="224"/>
      <c r="AJ225" s="224"/>
      <c r="AK225" s="224"/>
      <c r="AL225" s="224"/>
    </row>
    <row r="226" ht="15.75" customHeight="1">
      <c r="A226" s="224"/>
      <c r="B226" s="224"/>
      <c r="C226" s="224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  <c r="AC226" s="224"/>
      <c r="AD226" s="224"/>
      <c r="AE226" s="224"/>
      <c r="AF226" s="224"/>
      <c r="AG226" s="224"/>
      <c r="AH226" s="224"/>
      <c r="AI226" s="224"/>
      <c r="AJ226" s="224"/>
      <c r="AK226" s="224"/>
      <c r="AL226" s="224"/>
    </row>
    <row r="227" ht="15.75" customHeight="1">
      <c r="A227" s="224"/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  <c r="AC227" s="224"/>
      <c r="AD227" s="224"/>
      <c r="AE227" s="224"/>
      <c r="AF227" s="224"/>
      <c r="AG227" s="224"/>
      <c r="AH227" s="224"/>
      <c r="AI227" s="224"/>
      <c r="AJ227" s="224"/>
      <c r="AK227" s="224"/>
      <c r="AL227" s="224"/>
    </row>
    <row r="228" ht="15.75" customHeight="1">
      <c r="A228" s="224"/>
      <c r="B228" s="224"/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  <c r="AF228" s="224"/>
      <c r="AG228" s="224"/>
      <c r="AH228" s="224"/>
      <c r="AI228" s="224"/>
      <c r="AJ228" s="224"/>
      <c r="AK228" s="224"/>
      <c r="AL228" s="224"/>
    </row>
    <row r="229" ht="15.75" customHeight="1">
      <c r="A229" s="224"/>
      <c r="B229" s="224"/>
      <c r="C229" s="224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4"/>
      <c r="AJ229" s="224"/>
      <c r="AK229" s="224"/>
      <c r="AL229" s="224"/>
    </row>
    <row r="230" ht="15.75" customHeight="1">
      <c r="A230" s="224"/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  <c r="AC230" s="224"/>
      <c r="AD230" s="224"/>
      <c r="AE230" s="224"/>
      <c r="AF230" s="224"/>
      <c r="AG230" s="224"/>
      <c r="AH230" s="224"/>
      <c r="AI230" s="224"/>
      <c r="AJ230" s="224"/>
      <c r="AK230" s="224"/>
      <c r="AL230" s="224"/>
    </row>
    <row r="231" ht="15.75" customHeight="1">
      <c r="A231" s="224"/>
      <c r="B231" s="224"/>
      <c r="C231" s="224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  <c r="AC231" s="224"/>
      <c r="AD231" s="224"/>
      <c r="AE231" s="224"/>
      <c r="AF231" s="224"/>
      <c r="AG231" s="224"/>
      <c r="AH231" s="224"/>
      <c r="AI231" s="224"/>
      <c r="AJ231" s="224"/>
      <c r="AK231" s="224"/>
      <c r="AL231" s="224"/>
    </row>
    <row r="232" ht="15.75" customHeight="1">
      <c r="A232" s="224"/>
      <c r="B232" s="224"/>
      <c r="C232" s="224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  <c r="AC232" s="224"/>
      <c r="AD232" s="224"/>
      <c r="AE232" s="224"/>
      <c r="AF232" s="224"/>
      <c r="AG232" s="224"/>
      <c r="AH232" s="224"/>
      <c r="AI232" s="224"/>
      <c r="AJ232" s="224"/>
      <c r="AK232" s="224"/>
      <c r="AL232" s="224"/>
    </row>
    <row r="233" ht="15.75" customHeight="1">
      <c r="A233" s="224"/>
      <c r="B233" s="224"/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  <c r="AK233" s="224"/>
      <c r="AL233" s="224"/>
    </row>
    <row r="234" ht="15.75" customHeight="1">
      <c r="A234" s="224"/>
      <c r="B234" s="224"/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</row>
    <row r="235" ht="15.75" customHeight="1">
      <c r="A235" s="224"/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  <c r="AC235" s="224"/>
      <c r="AD235" s="224"/>
      <c r="AE235" s="224"/>
      <c r="AF235" s="224"/>
      <c r="AG235" s="224"/>
      <c r="AH235" s="224"/>
      <c r="AI235" s="224"/>
      <c r="AJ235" s="224"/>
      <c r="AK235" s="224"/>
      <c r="AL235" s="224"/>
    </row>
    <row r="236" ht="15.75" customHeight="1">
      <c r="A236" s="224"/>
      <c r="B236" s="224"/>
      <c r="C236" s="224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  <c r="AC236" s="224"/>
      <c r="AD236" s="224"/>
      <c r="AE236" s="224"/>
      <c r="AF236" s="224"/>
      <c r="AG236" s="224"/>
      <c r="AH236" s="224"/>
      <c r="AI236" s="224"/>
      <c r="AJ236" s="224"/>
      <c r="AK236" s="224"/>
      <c r="AL236" s="224"/>
    </row>
    <row r="237" ht="15.75" customHeight="1">
      <c r="A237" s="224"/>
      <c r="B237" s="224"/>
      <c r="C237" s="224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  <c r="AC237" s="224"/>
      <c r="AD237" s="224"/>
      <c r="AE237" s="224"/>
      <c r="AF237" s="224"/>
      <c r="AG237" s="224"/>
      <c r="AH237" s="224"/>
      <c r="AI237" s="224"/>
      <c r="AJ237" s="224"/>
      <c r="AK237" s="224"/>
      <c r="AL237" s="224"/>
    </row>
    <row r="238" ht="15.75" customHeight="1">
      <c r="A238" s="224"/>
      <c r="B238" s="224"/>
      <c r="C238" s="224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  <c r="AC238" s="224"/>
      <c r="AD238" s="224"/>
      <c r="AE238" s="224"/>
      <c r="AF238" s="224"/>
      <c r="AG238" s="224"/>
      <c r="AH238" s="224"/>
      <c r="AI238" s="224"/>
      <c r="AJ238" s="224"/>
      <c r="AK238" s="224"/>
      <c r="AL238" s="224"/>
    </row>
    <row r="239" ht="15.75" customHeight="1">
      <c r="A239" s="224"/>
      <c r="B239" s="224"/>
      <c r="C239" s="224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  <c r="AC239" s="224"/>
      <c r="AD239" s="224"/>
      <c r="AE239" s="224"/>
      <c r="AF239" s="224"/>
      <c r="AG239" s="224"/>
      <c r="AH239" s="224"/>
      <c r="AI239" s="224"/>
      <c r="AJ239" s="224"/>
      <c r="AK239" s="224"/>
      <c r="AL239" s="224"/>
    </row>
    <row r="240" ht="15.75" customHeight="1">
      <c r="A240" s="224"/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  <c r="AC240" s="224"/>
      <c r="AD240" s="224"/>
      <c r="AE240" s="224"/>
      <c r="AF240" s="224"/>
      <c r="AG240" s="224"/>
      <c r="AH240" s="224"/>
      <c r="AI240" s="224"/>
      <c r="AJ240" s="224"/>
      <c r="AK240" s="224"/>
      <c r="AL240" s="224"/>
    </row>
    <row r="241" ht="15.75" customHeight="1">
      <c r="A241" s="224"/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  <c r="AC241" s="224"/>
      <c r="AD241" s="224"/>
      <c r="AE241" s="224"/>
      <c r="AF241" s="224"/>
      <c r="AG241" s="224"/>
      <c r="AH241" s="224"/>
      <c r="AI241" s="224"/>
      <c r="AJ241" s="224"/>
      <c r="AK241" s="224"/>
      <c r="AL241" s="224"/>
    </row>
    <row r="242" ht="15.75" customHeight="1">
      <c r="A242" s="224"/>
      <c r="B242" s="224"/>
      <c r="C242" s="224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  <c r="AF242" s="224"/>
      <c r="AG242" s="224"/>
      <c r="AH242" s="224"/>
      <c r="AI242" s="224"/>
      <c r="AJ242" s="224"/>
      <c r="AK242" s="224"/>
      <c r="AL242" s="224"/>
    </row>
    <row r="243" ht="15.75" customHeight="1">
      <c r="A243" s="224"/>
      <c r="B243" s="224"/>
      <c r="C243" s="224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  <c r="AC243" s="224"/>
      <c r="AD243" s="224"/>
      <c r="AE243" s="224"/>
      <c r="AF243" s="224"/>
      <c r="AG243" s="224"/>
      <c r="AH243" s="224"/>
      <c r="AI243" s="224"/>
      <c r="AJ243" s="224"/>
      <c r="AK243" s="224"/>
      <c r="AL243" s="224"/>
    </row>
    <row r="244" ht="15.75" customHeight="1">
      <c r="A244" s="224"/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  <c r="AC244" s="224"/>
      <c r="AD244" s="224"/>
      <c r="AE244" s="224"/>
      <c r="AF244" s="224"/>
      <c r="AG244" s="224"/>
      <c r="AH244" s="224"/>
      <c r="AI244" s="224"/>
      <c r="AJ244" s="224"/>
      <c r="AK244" s="224"/>
      <c r="AL244" s="224"/>
    </row>
    <row r="245" ht="15.75" customHeight="1">
      <c r="A245" s="224"/>
      <c r="B245" s="224"/>
      <c r="C245" s="224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  <c r="AC245" s="224"/>
      <c r="AD245" s="224"/>
      <c r="AE245" s="224"/>
      <c r="AF245" s="224"/>
      <c r="AG245" s="224"/>
      <c r="AH245" s="224"/>
      <c r="AI245" s="224"/>
      <c r="AJ245" s="224"/>
      <c r="AK245" s="224"/>
      <c r="AL245" s="224"/>
    </row>
    <row r="246" ht="15.75" customHeight="1">
      <c r="A246" s="224"/>
      <c r="B246" s="224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  <c r="AC246" s="224"/>
      <c r="AD246" s="224"/>
      <c r="AE246" s="224"/>
      <c r="AF246" s="224"/>
      <c r="AG246" s="224"/>
      <c r="AH246" s="224"/>
      <c r="AI246" s="224"/>
      <c r="AJ246" s="224"/>
      <c r="AK246" s="224"/>
      <c r="AL246" s="224"/>
    </row>
    <row r="247" ht="15.75" customHeight="1">
      <c r="A247" s="224"/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  <c r="AC247" s="224"/>
      <c r="AD247" s="224"/>
      <c r="AE247" s="224"/>
      <c r="AF247" s="224"/>
      <c r="AG247" s="224"/>
      <c r="AH247" s="224"/>
      <c r="AI247" s="224"/>
      <c r="AJ247" s="224"/>
      <c r="AK247" s="224"/>
      <c r="AL247" s="224"/>
    </row>
    <row r="248" ht="15.75" customHeight="1">
      <c r="A248" s="224"/>
      <c r="B248" s="224"/>
      <c r="C248" s="224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  <c r="AF248" s="224"/>
      <c r="AG248" s="224"/>
      <c r="AH248" s="224"/>
      <c r="AI248" s="224"/>
      <c r="AJ248" s="224"/>
      <c r="AK248" s="224"/>
      <c r="AL248" s="224"/>
    </row>
    <row r="249" ht="15.75" customHeight="1">
      <c r="A249" s="224"/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  <c r="AF249" s="224"/>
      <c r="AG249" s="224"/>
      <c r="AH249" s="224"/>
      <c r="AI249" s="224"/>
      <c r="AJ249" s="224"/>
      <c r="AK249" s="224"/>
      <c r="AL249" s="224"/>
    </row>
    <row r="250" ht="15.75" customHeight="1">
      <c r="A250" s="224"/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  <c r="AC250" s="224"/>
      <c r="AD250" s="224"/>
      <c r="AE250" s="224"/>
      <c r="AF250" s="224"/>
      <c r="AG250" s="224"/>
      <c r="AH250" s="224"/>
      <c r="AI250" s="224"/>
      <c r="AJ250" s="224"/>
      <c r="AK250" s="224"/>
      <c r="AL250" s="224"/>
    </row>
    <row r="251" ht="15.75" customHeight="1">
      <c r="A251" s="224"/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4"/>
      <c r="AD251" s="224"/>
      <c r="AE251" s="224"/>
      <c r="AF251" s="224"/>
      <c r="AG251" s="224"/>
      <c r="AH251" s="224"/>
      <c r="AI251" s="224"/>
      <c r="AJ251" s="224"/>
      <c r="AK251" s="224"/>
      <c r="AL251" s="224"/>
    </row>
    <row r="252" ht="15.75" customHeight="1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  <c r="AC252" s="224"/>
      <c r="AD252" s="224"/>
      <c r="AE252" s="224"/>
      <c r="AF252" s="224"/>
      <c r="AG252" s="224"/>
      <c r="AH252" s="224"/>
      <c r="AI252" s="224"/>
      <c r="AJ252" s="224"/>
      <c r="AK252" s="224"/>
      <c r="AL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  <c r="AC253" s="224"/>
      <c r="AD253" s="224"/>
      <c r="AE253" s="224"/>
      <c r="AF253" s="224"/>
      <c r="AG253" s="224"/>
      <c r="AH253" s="224"/>
      <c r="AI253" s="224"/>
      <c r="AJ253" s="224"/>
      <c r="AK253" s="224"/>
      <c r="AL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  <c r="AC254" s="224"/>
      <c r="AD254" s="224"/>
      <c r="AE254" s="224"/>
      <c r="AF254" s="224"/>
      <c r="AG254" s="224"/>
      <c r="AH254" s="224"/>
      <c r="AI254" s="224"/>
      <c r="AJ254" s="224"/>
      <c r="AK254" s="224"/>
      <c r="AL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  <c r="AK255" s="224"/>
      <c r="AL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  <c r="AF256" s="224"/>
      <c r="AG256" s="224"/>
      <c r="AH256" s="224"/>
      <c r="AI256" s="224"/>
      <c r="AJ256" s="224"/>
      <c r="AK256" s="224"/>
      <c r="AL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  <c r="AA257" s="224"/>
      <c r="AB257" s="224"/>
      <c r="AC257" s="224"/>
      <c r="AD257" s="224"/>
      <c r="AE257" s="224"/>
      <c r="AF257" s="224"/>
      <c r="AG257" s="224"/>
      <c r="AH257" s="224"/>
      <c r="AI257" s="224"/>
      <c r="AJ257" s="224"/>
      <c r="AK257" s="224"/>
      <c r="AL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  <c r="AC258" s="224"/>
      <c r="AD258" s="224"/>
      <c r="AE258" s="224"/>
      <c r="AF258" s="224"/>
      <c r="AG258" s="224"/>
      <c r="AH258" s="224"/>
      <c r="AI258" s="224"/>
      <c r="AJ258" s="224"/>
      <c r="AK258" s="224"/>
      <c r="AL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  <c r="AC259" s="224"/>
      <c r="AD259" s="224"/>
      <c r="AE259" s="224"/>
      <c r="AF259" s="224"/>
      <c r="AG259" s="224"/>
      <c r="AH259" s="224"/>
      <c r="AI259" s="224"/>
      <c r="AJ259" s="224"/>
      <c r="AK259" s="224"/>
      <c r="AL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  <c r="AC260" s="224"/>
      <c r="AD260" s="224"/>
      <c r="AE260" s="224"/>
      <c r="AF260" s="224"/>
      <c r="AG260" s="224"/>
      <c r="AH260" s="224"/>
      <c r="AI260" s="224"/>
      <c r="AJ260" s="224"/>
      <c r="AK260" s="224"/>
      <c r="AL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  <c r="AC261" s="224"/>
      <c r="AD261" s="224"/>
      <c r="AE261" s="224"/>
      <c r="AF261" s="224"/>
      <c r="AG261" s="224"/>
      <c r="AH261" s="224"/>
      <c r="AI261" s="224"/>
      <c r="AJ261" s="224"/>
      <c r="AK261" s="224"/>
      <c r="AL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  <c r="AC262" s="224"/>
      <c r="AD262" s="224"/>
      <c r="AE262" s="224"/>
      <c r="AF262" s="224"/>
      <c r="AG262" s="224"/>
      <c r="AH262" s="224"/>
      <c r="AI262" s="224"/>
      <c r="AJ262" s="224"/>
      <c r="AK262" s="224"/>
      <c r="AL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  <c r="AC263" s="224"/>
      <c r="AD263" s="224"/>
      <c r="AE263" s="224"/>
      <c r="AF263" s="224"/>
      <c r="AG263" s="224"/>
      <c r="AH263" s="224"/>
      <c r="AI263" s="224"/>
      <c r="AJ263" s="224"/>
      <c r="AK263" s="224"/>
      <c r="AL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  <c r="AC264" s="224"/>
      <c r="AD264" s="224"/>
      <c r="AE264" s="224"/>
      <c r="AF264" s="224"/>
      <c r="AG264" s="224"/>
      <c r="AH264" s="224"/>
      <c r="AI264" s="224"/>
      <c r="AJ264" s="224"/>
      <c r="AK264" s="224"/>
      <c r="AL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  <c r="AF265" s="224"/>
      <c r="AG265" s="224"/>
      <c r="AH265" s="224"/>
      <c r="AI265" s="224"/>
      <c r="AJ265" s="224"/>
      <c r="AK265" s="224"/>
      <c r="AL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  <c r="AF266" s="224"/>
      <c r="AG266" s="224"/>
      <c r="AH266" s="224"/>
      <c r="AI266" s="224"/>
      <c r="AJ266" s="224"/>
      <c r="AK266" s="224"/>
      <c r="AL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  <c r="AC267" s="224"/>
      <c r="AD267" s="224"/>
      <c r="AE267" s="224"/>
      <c r="AF267" s="224"/>
      <c r="AG267" s="224"/>
      <c r="AH267" s="224"/>
      <c r="AI267" s="224"/>
      <c r="AJ267" s="224"/>
      <c r="AK267" s="224"/>
      <c r="AL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  <c r="AC268" s="224"/>
      <c r="AD268" s="224"/>
      <c r="AE268" s="224"/>
      <c r="AF268" s="224"/>
      <c r="AG268" s="224"/>
      <c r="AH268" s="224"/>
      <c r="AI268" s="224"/>
      <c r="AJ268" s="224"/>
      <c r="AK268" s="224"/>
      <c r="AL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  <c r="AC269" s="224"/>
      <c r="AD269" s="224"/>
      <c r="AE269" s="224"/>
      <c r="AF269" s="224"/>
      <c r="AG269" s="224"/>
      <c r="AH269" s="224"/>
      <c r="AI269" s="224"/>
      <c r="AJ269" s="224"/>
      <c r="AK269" s="224"/>
      <c r="AL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  <c r="AF270" s="224"/>
      <c r="AG270" s="224"/>
      <c r="AH270" s="224"/>
      <c r="AI270" s="224"/>
      <c r="AJ270" s="224"/>
      <c r="AK270" s="224"/>
      <c r="AL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  <c r="AC271" s="224"/>
      <c r="AD271" s="224"/>
      <c r="AE271" s="224"/>
      <c r="AF271" s="224"/>
      <c r="AG271" s="224"/>
      <c r="AH271" s="224"/>
      <c r="AI271" s="224"/>
      <c r="AJ271" s="224"/>
      <c r="AK271" s="224"/>
      <c r="AL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4"/>
      <c r="AH272" s="224"/>
      <c r="AI272" s="224"/>
      <c r="AJ272" s="224"/>
      <c r="AK272" s="224"/>
      <c r="AL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  <c r="AK273" s="224"/>
      <c r="AL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  <c r="AK274" s="224"/>
      <c r="AL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  <c r="AF275" s="224"/>
      <c r="AG275" s="224"/>
      <c r="AH275" s="224"/>
      <c r="AI275" s="224"/>
      <c r="AJ275" s="224"/>
      <c r="AK275" s="224"/>
      <c r="AL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  <c r="AF276" s="224"/>
      <c r="AG276" s="224"/>
      <c r="AH276" s="224"/>
      <c r="AI276" s="224"/>
      <c r="AJ276" s="224"/>
      <c r="AK276" s="224"/>
      <c r="AL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  <c r="AK277" s="224"/>
      <c r="AL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  <c r="AK278" s="224"/>
      <c r="AL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24"/>
      <c r="AL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  <c r="AK281" s="224"/>
      <c r="AL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  <c r="AK282" s="224"/>
      <c r="AL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  <c r="AK283" s="224"/>
      <c r="AL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  <c r="AK284" s="224"/>
      <c r="AL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  <c r="AK287" s="224"/>
      <c r="AL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  <c r="AK288" s="224"/>
      <c r="AL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  <c r="AK290" s="224"/>
      <c r="AL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4"/>
      <c r="AL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24"/>
      <c r="AL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  <c r="AK293" s="224"/>
      <c r="AL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  <c r="AK294" s="224"/>
      <c r="AL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  <c r="AK295" s="224"/>
      <c r="AL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  <c r="AK296" s="224"/>
      <c r="AL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  <c r="AK297" s="224"/>
      <c r="AL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  <c r="AK302" s="224"/>
      <c r="AL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24"/>
      <c r="AL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  <c r="AK306" s="224"/>
      <c r="AL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  <c r="AK307" s="224"/>
      <c r="AL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  <c r="AK308" s="224"/>
      <c r="AL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  <c r="AK309" s="224"/>
      <c r="AL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  <c r="AK310" s="224"/>
      <c r="AL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  <c r="AK311" s="224"/>
      <c r="AL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  <c r="AK312" s="224"/>
      <c r="AL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  <c r="AK313" s="224"/>
      <c r="AL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  <c r="AK314" s="224"/>
      <c r="AL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4"/>
      <c r="AL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24"/>
      <c r="AL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  <c r="AK317" s="224"/>
      <c r="AL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  <c r="AK318" s="224"/>
      <c r="AL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  <c r="AK319" s="224"/>
      <c r="AL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  <c r="AK320" s="224"/>
      <c r="AL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  <c r="AK322" s="224"/>
      <c r="AL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  <c r="AK324" s="224"/>
      <c r="AL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  <c r="AK325" s="224"/>
      <c r="AL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  <c r="AK326" s="224"/>
      <c r="AL326" s="224"/>
    </row>
    <row r="327" ht="15.7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4"/>
      <c r="AL327" s="224"/>
    </row>
    <row r="328" ht="15.7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24"/>
      <c r="AL328" s="224"/>
    </row>
    <row r="329" ht="15.7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  <c r="AK329" s="224"/>
      <c r="AL329" s="224"/>
    </row>
    <row r="330" ht="15.7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  <c r="AK330" s="224"/>
      <c r="AL330" s="224"/>
    </row>
    <row r="331" ht="15.7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  <c r="AK331" s="224"/>
      <c r="AL331" s="224"/>
    </row>
    <row r="332" ht="15.7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  <c r="AK332" s="224"/>
      <c r="AL332" s="224"/>
    </row>
    <row r="333" ht="15.7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  <c r="AK333" s="224"/>
      <c r="AL333" s="224"/>
    </row>
    <row r="334" ht="15.7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  <c r="AK334" s="224"/>
      <c r="AL334" s="224"/>
    </row>
    <row r="335" ht="15.7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  <c r="AK335" s="224"/>
      <c r="AL335" s="224"/>
    </row>
    <row r="336" ht="15.7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  <c r="AK336" s="224"/>
      <c r="AL336" s="224"/>
    </row>
    <row r="337" ht="15.7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  <c r="AK337" s="224"/>
      <c r="AL337" s="224"/>
    </row>
    <row r="338" ht="15.7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  <c r="AK338" s="224"/>
      <c r="AL338" s="224"/>
    </row>
    <row r="339" ht="15.7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4"/>
      <c r="AL339" s="224"/>
    </row>
    <row r="340" ht="15.7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24"/>
      <c r="AL340" s="224"/>
    </row>
    <row r="341" ht="15.7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  <c r="AK341" s="224"/>
      <c r="AL341" s="224"/>
    </row>
    <row r="342" ht="15.7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  <c r="AK342" s="224"/>
      <c r="AL342" s="224"/>
    </row>
    <row r="343" ht="15.7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  <c r="AK343" s="224"/>
      <c r="AL343" s="224"/>
    </row>
    <row r="344" ht="15.7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  <c r="AF344" s="224"/>
      <c r="AG344" s="224"/>
      <c r="AH344" s="224"/>
      <c r="AI344" s="224"/>
      <c r="AJ344" s="224"/>
      <c r="AK344" s="224"/>
      <c r="AL344" s="224"/>
    </row>
    <row r="345" ht="15.7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  <c r="AF345" s="224"/>
      <c r="AG345" s="224"/>
      <c r="AH345" s="224"/>
      <c r="AI345" s="224"/>
      <c r="AJ345" s="224"/>
      <c r="AK345" s="224"/>
      <c r="AL345" s="224"/>
    </row>
    <row r="346" ht="15.7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  <c r="AC346" s="224"/>
      <c r="AD346" s="224"/>
      <c r="AE346" s="224"/>
      <c r="AF346" s="224"/>
      <c r="AG346" s="224"/>
      <c r="AH346" s="224"/>
      <c r="AI346" s="224"/>
      <c r="AJ346" s="224"/>
      <c r="AK346" s="224"/>
      <c r="AL346" s="224"/>
    </row>
    <row r="347" ht="15.7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  <c r="AF347" s="224"/>
      <c r="AG347" s="224"/>
      <c r="AH347" s="224"/>
      <c r="AI347" s="224"/>
      <c r="AJ347" s="224"/>
      <c r="AK347" s="224"/>
      <c r="AL347" s="224"/>
    </row>
    <row r="348" ht="15.7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  <c r="AC348" s="224"/>
      <c r="AD348" s="224"/>
      <c r="AE348" s="224"/>
      <c r="AF348" s="224"/>
      <c r="AG348" s="224"/>
      <c r="AH348" s="224"/>
      <c r="AI348" s="224"/>
      <c r="AJ348" s="224"/>
      <c r="AK348" s="224"/>
      <c r="AL348" s="224"/>
    </row>
    <row r="349" ht="15.7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  <c r="AC349" s="224"/>
      <c r="AD349" s="224"/>
      <c r="AE349" s="224"/>
      <c r="AF349" s="224"/>
      <c r="AG349" s="224"/>
      <c r="AH349" s="224"/>
      <c r="AI349" s="224"/>
      <c r="AJ349" s="224"/>
      <c r="AK349" s="224"/>
      <c r="AL349" s="224"/>
    </row>
    <row r="350" ht="15.7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  <c r="AF350" s="224"/>
      <c r="AG350" s="224"/>
      <c r="AH350" s="224"/>
      <c r="AI350" s="224"/>
      <c r="AJ350" s="224"/>
      <c r="AK350" s="224"/>
      <c r="AL350" s="224"/>
    </row>
    <row r="351" ht="15.7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  <c r="AK351" s="224"/>
      <c r="AL351" s="224"/>
    </row>
    <row r="352" ht="15.7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  <c r="AF352" s="224"/>
      <c r="AG352" s="224"/>
      <c r="AH352" s="224"/>
      <c r="AI352" s="224"/>
      <c r="AJ352" s="224"/>
      <c r="AK352" s="224"/>
      <c r="AL352" s="224"/>
    </row>
    <row r="353" ht="15.7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  <c r="AC353" s="224"/>
      <c r="AD353" s="224"/>
      <c r="AE353" s="224"/>
      <c r="AF353" s="224"/>
      <c r="AG353" s="224"/>
      <c r="AH353" s="224"/>
      <c r="AI353" s="224"/>
      <c r="AJ353" s="224"/>
      <c r="AK353" s="224"/>
      <c r="AL353" s="224"/>
    </row>
    <row r="354" ht="15.7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  <c r="AF354" s="224"/>
      <c r="AG354" s="224"/>
      <c r="AH354" s="224"/>
      <c r="AI354" s="224"/>
      <c r="AJ354" s="224"/>
      <c r="AK354" s="224"/>
      <c r="AL354" s="224"/>
    </row>
    <row r="355" ht="15.7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  <c r="AC355" s="224"/>
      <c r="AD355" s="224"/>
      <c r="AE355" s="224"/>
      <c r="AF355" s="224"/>
      <c r="AG355" s="224"/>
      <c r="AH355" s="224"/>
      <c r="AI355" s="224"/>
      <c r="AJ355" s="224"/>
      <c r="AK355" s="224"/>
      <c r="AL355" s="224"/>
    </row>
    <row r="356" ht="15.7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224"/>
      <c r="AH356" s="224"/>
      <c r="AI356" s="224"/>
      <c r="AJ356" s="224"/>
      <c r="AK356" s="224"/>
      <c r="AL356" s="224"/>
    </row>
    <row r="357" ht="15.7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  <c r="AF357" s="224"/>
      <c r="AG357" s="224"/>
      <c r="AH357" s="224"/>
      <c r="AI357" s="224"/>
      <c r="AJ357" s="224"/>
      <c r="AK357" s="224"/>
      <c r="AL357" s="224"/>
    </row>
    <row r="358" ht="15.7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  <c r="AC358" s="224"/>
      <c r="AD358" s="224"/>
      <c r="AE358" s="224"/>
      <c r="AF358" s="224"/>
      <c r="AG358" s="224"/>
      <c r="AH358" s="224"/>
      <c r="AI358" s="224"/>
      <c r="AJ358" s="224"/>
      <c r="AK358" s="224"/>
      <c r="AL358" s="224"/>
    </row>
    <row r="359" ht="15.7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  <c r="AF359" s="224"/>
      <c r="AG359" s="224"/>
      <c r="AH359" s="224"/>
      <c r="AI359" s="224"/>
      <c r="AJ359" s="224"/>
      <c r="AK359" s="224"/>
      <c r="AL359" s="224"/>
    </row>
    <row r="360" ht="15.7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  <c r="AF360" s="224"/>
      <c r="AG360" s="224"/>
      <c r="AH360" s="224"/>
      <c r="AI360" s="224"/>
      <c r="AJ360" s="224"/>
      <c r="AK360" s="224"/>
      <c r="AL360" s="224"/>
    </row>
    <row r="361" ht="15.7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  <c r="AF361" s="224"/>
      <c r="AG361" s="224"/>
      <c r="AH361" s="224"/>
      <c r="AI361" s="224"/>
      <c r="AJ361" s="224"/>
      <c r="AK361" s="224"/>
      <c r="AL361" s="224"/>
    </row>
    <row r="362" ht="15.7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  <c r="AC362" s="224"/>
      <c r="AD362" s="224"/>
      <c r="AE362" s="224"/>
      <c r="AF362" s="224"/>
      <c r="AG362" s="224"/>
      <c r="AH362" s="224"/>
      <c r="AI362" s="224"/>
      <c r="AJ362" s="224"/>
      <c r="AK362" s="224"/>
      <c r="AL362" s="224"/>
    </row>
    <row r="363" ht="15.7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  <c r="AK363" s="224"/>
      <c r="AL363" s="224"/>
    </row>
    <row r="364" ht="15.7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  <c r="AC364" s="224"/>
      <c r="AD364" s="224"/>
      <c r="AE364" s="224"/>
      <c r="AF364" s="224"/>
      <c r="AG364" s="224"/>
      <c r="AH364" s="224"/>
      <c r="AI364" s="224"/>
      <c r="AJ364" s="224"/>
      <c r="AK364" s="224"/>
      <c r="AL364" s="224"/>
    </row>
    <row r="365" ht="15.7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  <c r="AC365" s="224"/>
      <c r="AD365" s="224"/>
      <c r="AE365" s="224"/>
      <c r="AF365" s="224"/>
      <c r="AG365" s="224"/>
      <c r="AH365" s="224"/>
      <c r="AI365" s="224"/>
      <c r="AJ365" s="224"/>
      <c r="AK365" s="224"/>
      <c r="AL365" s="224"/>
    </row>
    <row r="366" ht="15.7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  <c r="AC366" s="224"/>
      <c r="AD366" s="224"/>
      <c r="AE366" s="224"/>
      <c r="AF366" s="224"/>
      <c r="AG366" s="224"/>
      <c r="AH366" s="224"/>
      <c r="AI366" s="224"/>
      <c r="AJ366" s="224"/>
      <c r="AK366" s="224"/>
      <c r="AL366" s="224"/>
    </row>
    <row r="367" ht="15.7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  <c r="AF367" s="224"/>
      <c r="AG367" s="224"/>
      <c r="AH367" s="224"/>
      <c r="AI367" s="224"/>
      <c r="AJ367" s="224"/>
      <c r="AK367" s="224"/>
      <c r="AL367" s="224"/>
    </row>
    <row r="368" ht="15.7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  <c r="AC368" s="224"/>
      <c r="AD368" s="224"/>
      <c r="AE368" s="224"/>
      <c r="AF368" s="224"/>
      <c r="AG368" s="224"/>
      <c r="AH368" s="224"/>
      <c r="AI368" s="224"/>
      <c r="AJ368" s="224"/>
      <c r="AK368" s="224"/>
      <c r="AL368" s="224"/>
    </row>
    <row r="369" ht="15.7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  <c r="AC369" s="224"/>
      <c r="AD369" s="224"/>
      <c r="AE369" s="224"/>
      <c r="AF369" s="224"/>
      <c r="AG369" s="224"/>
      <c r="AH369" s="224"/>
      <c r="AI369" s="224"/>
      <c r="AJ369" s="224"/>
      <c r="AK369" s="224"/>
      <c r="AL369" s="224"/>
    </row>
    <row r="370" ht="15.7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  <c r="AF370" s="224"/>
      <c r="AG370" s="224"/>
      <c r="AH370" s="224"/>
      <c r="AI370" s="224"/>
      <c r="AJ370" s="224"/>
      <c r="AK370" s="224"/>
      <c r="AL370" s="224"/>
    </row>
    <row r="371" ht="15.7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  <c r="AF371" s="224"/>
      <c r="AG371" s="224"/>
      <c r="AH371" s="224"/>
      <c r="AI371" s="224"/>
      <c r="AJ371" s="224"/>
      <c r="AK371" s="224"/>
      <c r="AL371" s="224"/>
    </row>
    <row r="372" ht="15.7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  <c r="AC372" s="224"/>
      <c r="AD372" s="224"/>
      <c r="AE372" s="224"/>
      <c r="AF372" s="224"/>
      <c r="AG372" s="224"/>
      <c r="AH372" s="224"/>
      <c r="AI372" s="224"/>
      <c r="AJ372" s="224"/>
      <c r="AK372" s="224"/>
      <c r="AL372" s="224"/>
    </row>
    <row r="373" ht="15.7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  <c r="AC373" s="224"/>
      <c r="AD373" s="224"/>
      <c r="AE373" s="224"/>
      <c r="AF373" s="224"/>
      <c r="AG373" s="224"/>
      <c r="AH373" s="224"/>
      <c r="AI373" s="224"/>
      <c r="AJ373" s="224"/>
      <c r="AK373" s="224"/>
      <c r="AL373" s="224"/>
    </row>
    <row r="374" ht="15.7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  <c r="AC374" s="224"/>
      <c r="AD374" s="224"/>
      <c r="AE374" s="224"/>
      <c r="AF374" s="224"/>
      <c r="AG374" s="224"/>
      <c r="AH374" s="224"/>
      <c r="AI374" s="224"/>
      <c r="AJ374" s="224"/>
      <c r="AK374" s="224"/>
      <c r="AL374" s="224"/>
    </row>
    <row r="375" ht="15.7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  <c r="AK375" s="224"/>
      <c r="AL375" s="224"/>
    </row>
    <row r="376" ht="15.7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24"/>
      <c r="AL376" s="224"/>
    </row>
    <row r="377" ht="15.7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  <c r="AF377" s="224"/>
      <c r="AG377" s="224"/>
      <c r="AH377" s="224"/>
      <c r="AI377" s="224"/>
      <c r="AJ377" s="224"/>
      <c r="AK377" s="224"/>
      <c r="AL377" s="224"/>
    </row>
    <row r="378" ht="15.7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  <c r="AC378" s="224"/>
      <c r="AD378" s="224"/>
      <c r="AE378" s="224"/>
      <c r="AF378" s="224"/>
      <c r="AG378" s="224"/>
      <c r="AH378" s="224"/>
      <c r="AI378" s="224"/>
      <c r="AJ378" s="224"/>
      <c r="AK378" s="224"/>
      <c r="AL378" s="224"/>
    </row>
    <row r="379" ht="15.7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  <c r="AC379" s="224"/>
      <c r="AD379" s="224"/>
      <c r="AE379" s="224"/>
      <c r="AF379" s="224"/>
      <c r="AG379" s="224"/>
      <c r="AH379" s="224"/>
      <c r="AI379" s="224"/>
      <c r="AJ379" s="224"/>
      <c r="AK379" s="224"/>
      <c r="AL379" s="224"/>
    </row>
    <row r="380" ht="15.7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  <c r="AF380" s="224"/>
      <c r="AG380" s="224"/>
      <c r="AH380" s="224"/>
      <c r="AI380" s="224"/>
      <c r="AJ380" s="224"/>
      <c r="AK380" s="224"/>
      <c r="AL380" s="224"/>
    </row>
    <row r="381" ht="15.7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  <c r="AF381" s="224"/>
      <c r="AG381" s="224"/>
      <c r="AH381" s="224"/>
      <c r="AI381" s="224"/>
      <c r="AJ381" s="224"/>
      <c r="AK381" s="224"/>
      <c r="AL381" s="224"/>
    </row>
    <row r="382" ht="15.7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  <c r="AF382" s="224"/>
      <c r="AG382" s="224"/>
      <c r="AH382" s="224"/>
      <c r="AI382" s="224"/>
      <c r="AJ382" s="224"/>
      <c r="AK382" s="224"/>
      <c r="AL382" s="224"/>
    </row>
    <row r="383" ht="15.7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  <c r="AC383" s="224"/>
      <c r="AD383" s="224"/>
      <c r="AE383" s="224"/>
      <c r="AF383" s="224"/>
      <c r="AG383" s="224"/>
      <c r="AH383" s="224"/>
      <c r="AI383" s="224"/>
      <c r="AJ383" s="224"/>
      <c r="AK383" s="224"/>
      <c r="AL383" s="224"/>
    </row>
    <row r="384" ht="15.7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  <c r="AF384" s="224"/>
      <c r="AG384" s="224"/>
      <c r="AH384" s="224"/>
      <c r="AI384" s="224"/>
      <c r="AJ384" s="224"/>
      <c r="AK384" s="224"/>
      <c r="AL384" s="224"/>
    </row>
    <row r="385" ht="15.7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  <c r="AF385" s="224"/>
      <c r="AG385" s="224"/>
      <c r="AH385" s="224"/>
      <c r="AI385" s="224"/>
      <c r="AJ385" s="224"/>
      <c r="AK385" s="224"/>
      <c r="AL385" s="224"/>
    </row>
    <row r="386" ht="15.7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  <c r="AF386" s="224"/>
      <c r="AG386" s="224"/>
      <c r="AH386" s="224"/>
      <c r="AI386" s="224"/>
      <c r="AJ386" s="224"/>
      <c r="AK386" s="224"/>
      <c r="AL386" s="224"/>
    </row>
    <row r="387" ht="15.7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  <c r="AK387" s="224"/>
      <c r="AL387" s="224"/>
    </row>
    <row r="388" ht="15.7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  <c r="AC388" s="224"/>
      <c r="AD388" s="224"/>
      <c r="AE388" s="224"/>
      <c r="AF388" s="224"/>
      <c r="AG388" s="224"/>
      <c r="AH388" s="224"/>
      <c r="AI388" s="224"/>
      <c r="AJ388" s="224"/>
      <c r="AK388" s="224"/>
      <c r="AL388" s="224"/>
    </row>
    <row r="389" ht="15.7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4"/>
      <c r="AG389" s="224"/>
      <c r="AH389" s="224"/>
      <c r="AI389" s="224"/>
      <c r="AJ389" s="224"/>
      <c r="AK389" s="224"/>
      <c r="AL389" s="224"/>
    </row>
    <row r="390" ht="15.7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4"/>
      <c r="AG390" s="224"/>
      <c r="AH390" s="224"/>
      <c r="AI390" s="224"/>
      <c r="AJ390" s="224"/>
      <c r="AK390" s="224"/>
      <c r="AL390" s="224"/>
    </row>
    <row r="391" ht="15.7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4"/>
      <c r="AG391" s="224"/>
      <c r="AH391" s="224"/>
      <c r="AI391" s="224"/>
      <c r="AJ391" s="224"/>
      <c r="AK391" s="224"/>
      <c r="AL391" s="224"/>
    </row>
    <row r="392" ht="15.7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4"/>
      <c r="AG392" s="224"/>
      <c r="AH392" s="224"/>
      <c r="AI392" s="224"/>
      <c r="AJ392" s="224"/>
      <c r="AK392" s="224"/>
      <c r="AL392" s="224"/>
    </row>
    <row r="393" ht="15.7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  <c r="AF393" s="224"/>
      <c r="AG393" s="224"/>
      <c r="AH393" s="224"/>
      <c r="AI393" s="224"/>
      <c r="AJ393" s="224"/>
      <c r="AK393" s="224"/>
      <c r="AL393" s="224"/>
    </row>
    <row r="394" ht="15.7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4"/>
      <c r="AG394" s="224"/>
      <c r="AH394" s="224"/>
      <c r="AI394" s="224"/>
      <c r="AJ394" s="224"/>
      <c r="AK394" s="224"/>
      <c r="AL394" s="224"/>
    </row>
    <row r="395" ht="15.7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4"/>
      <c r="AG395" s="224"/>
      <c r="AH395" s="224"/>
      <c r="AI395" s="224"/>
      <c r="AJ395" s="224"/>
      <c r="AK395" s="224"/>
      <c r="AL395" s="224"/>
    </row>
    <row r="396" ht="15.7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4"/>
      <c r="AG396" s="224"/>
      <c r="AH396" s="224"/>
      <c r="AI396" s="224"/>
      <c r="AJ396" s="224"/>
      <c r="AK396" s="224"/>
      <c r="AL396" s="224"/>
    </row>
    <row r="397" ht="15.7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  <c r="AF397" s="224"/>
      <c r="AG397" s="224"/>
      <c r="AH397" s="224"/>
      <c r="AI397" s="224"/>
      <c r="AJ397" s="224"/>
      <c r="AK397" s="224"/>
      <c r="AL397" s="224"/>
    </row>
    <row r="398" ht="15.7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  <c r="AF398" s="224"/>
      <c r="AG398" s="224"/>
      <c r="AH398" s="224"/>
      <c r="AI398" s="224"/>
      <c r="AJ398" s="224"/>
      <c r="AK398" s="224"/>
      <c r="AL398" s="224"/>
    </row>
    <row r="399" ht="15.7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  <c r="AK399" s="224"/>
      <c r="AL399" s="224"/>
    </row>
    <row r="400" ht="15.7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  <c r="AF400" s="224"/>
      <c r="AG400" s="224"/>
      <c r="AH400" s="224"/>
      <c r="AI400" s="224"/>
      <c r="AJ400" s="224"/>
      <c r="AK400" s="224"/>
      <c r="AL400" s="224"/>
    </row>
    <row r="401" ht="15.7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  <c r="AF401" s="224"/>
      <c r="AG401" s="224"/>
      <c r="AH401" s="224"/>
      <c r="AI401" s="224"/>
      <c r="AJ401" s="224"/>
      <c r="AK401" s="224"/>
      <c r="AL401" s="224"/>
    </row>
    <row r="402" ht="15.7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  <c r="AF402" s="224"/>
      <c r="AG402" s="224"/>
      <c r="AH402" s="224"/>
      <c r="AI402" s="224"/>
      <c r="AJ402" s="224"/>
      <c r="AK402" s="224"/>
      <c r="AL402" s="224"/>
    </row>
    <row r="403" ht="15.7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  <c r="AF403" s="224"/>
      <c r="AG403" s="224"/>
      <c r="AH403" s="224"/>
      <c r="AI403" s="224"/>
      <c r="AJ403" s="224"/>
      <c r="AK403" s="224"/>
      <c r="AL403" s="224"/>
    </row>
    <row r="404" ht="15.7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  <c r="AF404" s="224"/>
      <c r="AG404" s="224"/>
      <c r="AH404" s="224"/>
      <c r="AI404" s="224"/>
      <c r="AJ404" s="224"/>
      <c r="AK404" s="224"/>
      <c r="AL404" s="224"/>
    </row>
    <row r="405" ht="15.7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  <c r="AF405" s="224"/>
      <c r="AG405" s="224"/>
      <c r="AH405" s="224"/>
      <c r="AI405" s="224"/>
      <c r="AJ405" s="224"/>
      <c r="AK405" s="224"/>
      <c r="AL405" s="224"/>
    </row>
    <row r="406" ht="15.7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  <c r="AF406" s="224"/>
      <c r="AG406" s="224"/>
      <c r="AH406" s="224"/>
      <c r="AI406" s="224"/>
      <c r="AJ406" s="224"/>
      <c r="AK406" s="224"/>
      <c r="AL406" s="224"/>
    </row>
    <row r="407" ht="15.7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  <c r="AF407" s="224"/>
      <c r="AG407" s="224"/>
      <c r="AH407" s="224"/>
      <c r="AI407" s="224"/>
      <c r="AJ407" s="224"/>
      <c r="AK407" s="224"/>
      <c r="AL407" s="224"/>
    </row>
    <row r="408" ht="15.7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  <c r="AF408" s="224"/>
      <c r="AG408" s="224"/>
      <c r="AH408" s="224"/>
      <c r="AI408" s="224"/>
      <c r="AJ408" s="224"/>
      <c r="AK408" s="224"/>
      <c r="AL408" s="224"/>
    </row>
    <row r="409" ht="15.7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  <c r="AF409" s="224"/>
      <c r="AG409" s="224"/>
      <c r="AH409" s="224"/>
      <c r="AI409" s="224"/>
      <c r="AJ409" s="224"/>
      <c r="AK409" s="224"/>
      <c r="AL409" s="224"/>
    </row>
    <row r="410" ht="15.7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  <c r="AF410" s="224"/>
      <c r="AG410" s="224"/>
      <c r="AH410" s="224"/>
      <c r="AI410" s="224"/>
      <c r="AJ410" s="224"/>
      <c r="AK410" s="224"/>
      <c r="AL410" s="224"/>
    </row>
    <row r="411" ht="15.7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  <c r="AK411" s="224"/>
      <c r="AL411" s="224"/>
    </row>
    <row r="412" ht="15.7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  <c r="AF412" s="224"/>
      <c r="AG412" s="224"/>
      <c r="AH412" s="224"/>
      <c r="AI412" s="224"/>
      <c r="AJ412" s="224"/>
      <c r="AK412" s="224"/>
      <c r="AL412" s="224"/>
    </row>
    <row r="413" ht="15.7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  <c r="AF413" s="224"/>
      <c r="AG413" s="224"/>
      <c r="AH413" s="224"/>
      <c r="AI413" s="224"/>
      <c r="AJ413" s="224"/>
      <c r="AK413" s="224"/>
      <c r="AL413" s="224"/>
    </row>
    <row r="414" ht="15.7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  <c r="AF414" s="224"/>
      <c r="AG414" s="224"/>
      <c r="AH414" s="224"/>
      <c r="AI414" s="224"/>
      <c r="AJ414" s="224"/>
      <c r="AK414" s="224"/>
      <c r="AL414" s="224"/>
    </row>
    <row r="415" ht="15.7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  <c r="AF415" s="224"/>
      <c r="AG415" s="224"/>
      <c r="AH415" s="224"/>
      <c r="AI415" s="224"/>
      <c r="AJ415" s="224"/>
      <c r="AK415" s="224"/>
      <c r="AL415" s="224"/>
    </row>
    <row r="416" ht="15.7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  <c r="AF416" s="224"/>
      <c r="AG416" s="224"/>
      <c r="AH416" s="224"/>
      <c r="AI416" s="224"/>
      <c r="AJ416" s="224"/>
      <c r="AK416" s="224"/>
      <c r="AL416" s="224"/>
    </row>
    <row r="417" ht="15.7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  <c r="AF417" s="224"/>
      <c r="AG417" s="224"/>
      <c r="AH417" s="224"/>
      <c r="AI417" s="224"/>
      <c r="AJ417" s="224"/>
      <c r="AK417" s="224"/>
      <c r="AL417" s="224"/>
    </row>
    <row r="418" ht="15.7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  <c r="AF418" s="224"/>
      <c r="AG418" s="224"/>
      <c r="AH418" s="224"/>
      <c r="AI418" s="224"/>
      <c r="AJ418" s="224"/>
      <c r="AK418" s="224"/>
      <c r="AL418" s="224"/>
    </row>
    <row r="419" ht="15.7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  <c r="AF419" s="224"/>
      <c r="AG419" s="224"/>
      <c r="AH419" s="224"/>
      <c r="AI419" s="224"/>
      <c r="AJ419" s="224"/>
      <c r="AK419" s="224"/>
      <c r="AL419" s="224"/>
    </row>
    <row r="420" ht="15.7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  <c r="AF420" s="224"/>
      <c r="AG420" s="224"/>
      <c r="AH420" s="224"/>
      <c r="AI420" s="224"/>
      <c r="AJ420" s="224"/>
      <c r="AK420" s="224"/>
      <c r="AL420" s="224"/>
    </row>
    <row r="421" ht="15.7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  <c r="AF421" s="224"/>
      <c r="AG421" s="224"/>
      <c r="AH421" s="224"/>
      <c r="AI421" s="224"/>
      <c r="AJ421" s="224"/>
      <c r="AK421" s="224"/>
      <c r="AL421" s="224"/>
    </row>
    <row r="422" ht="15.7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  <c r="AF422" s="224"/>
      <c r="AG422" s="224"/>
      <c r="AH422" s="224"/>
      <c r="AI422" s="224"/>
      <c r="AJ422" s="224"/>
      <c r="AK422" s="224"/>
      <c r="AL422" s="224"/>
    </row>
    <row r="423" ht="15.7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  <c r="AK423" s="224"/>
      <c r="AL423" s="224"/>
    </row>
    <row r="424" ht="15.7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  <c r="AF424" s="224"/>
      <c r="AG424" s="224"/>
      <c r="AH424" s="224"/>
      <c r="AI424" s="224"/>
      <c r="AJ424" s="224"/>
      <c r="AK424" s="224"/>
      <c r="AL424" s="224"/>
    </row>
    <row r="425" ht="15.7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  <c r="AF425" s="224"/>
      <c r="AG425" s="224"/>
      <c r="AH425" s="224"/>
      <c r="AI425" s="224"/>
      <c r="AJ425" s="224"/>
      <c r="AK425" s="224"/>
      <c r="AL425" s="224"/>
    </row>
    <row r="426" ht="15.7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  <c r="AF426" s="224"/>
      <c r="AG426" s="224"/>
      <c r="AH426" s="224"/>
      <c r="AI426" s="224"/>
      <c r="AJ426" s="224"/>
      <c r="AK426" s="224"/>
      <c r="AL426" s="224"/>
    </row>
    <row r="427" ht="15.7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  <c r="AF427" s="224"/>
      <c r="AG427" s="224"/>
      <c r="AH427" s="224"/>
      <c r="AI427" s="224"/>
      <c r="AJ427" s="224"/>
      <c r="AK427" s="224"/>
      <c r="AL427" s="224"/>
    </row>
    <row r="428" ht="15.7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  <c r="AF428" s="224"/>
      <c r="AG428" s="224"/>
      <c r="AH428" s="224"/>
      <c r="AI428" s="224"/>
      <c r="AJ428" s="224"/>
      <c r="AK428" s="224"/>
      <c r="AL428" s="224"/>
    </row>
    <row r="429" ht="15.7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  <c r="AK429" s="224"/>
      <c r="AL429" s="224"/>
    </row>
    <row r="430" ht="15.7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  <c r="AF430" s="224"/>
      <c r="AG430" s="224"/>
      <c r="AH430" s="224"/>
      <c r="AI430" s="224"/>
      <c r="AJ430" s="224"/>
      <c r="AK430" s="224"/>
      <c r="AL430" s="224"/>
    </row>
    <row r="431" ht="15.7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  <c r="AF431" s="224"/>
      <c r="AG431" s="224"/>
      <c r="AH431" s="224"/>
      <c r="AI431" s="224"/>
      <c r="AJ431" s="224"/>
      <c r="AK431" s="224"/>
      <c r="AL431" s="224"/>
    </row>
    <row r="432" ht="15.7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  <c r="AF432" s="224"/>
      <c r="AG432" s="224"/>
      <c r="AH432" s="224"/>
      <c r="AI432" s="224"/>
      <c r="AJ432" s="224"/>
      <c r="AK432" s="224"/>
      <c r="AL432" s="224"/>
    </row>
    <row r="433" ht="15.7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  <c r="AF433" s="224"/>
      <c r="AG433" s="224"/>
      <c r="AH433" s="224"/>
      <c r="AI433" s="224"/>
      <c r="AJ433" s="224"/>
      <c r="AK433" s="224"/>
      <c r="AL433" s="224"/>
    </row>
    <row r="434" ht="15.7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  <c r="AF434" s="224"/>
      <c r="AG434" s="224"/>
      <c r="AH434" s="224"/>
      <c r="AI434" s="224"/>
      <c r="AJ434" s="224"/>
      <c r="AK434" s="224"/>
      <c r="AL434" s="224"/>
    </row>
    <row r="435" ht="15.7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  <c r="AK435" s="224"/>
      <c r="AL435" s="224"/>
    </row>
    <row r="436" ht="15.7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  <c r="AF436" s="224"/>
      <c r="AG436" s="224"/>
      <c r="AH436" s="224"/>
      <c r="AI436" s="224"/>
      <c r="AJ436" s="224"/>
      <c r="AK436" s="224"/>
      <c r="AL436" s="224"/>
    </row>
    <row r="437" ht="15.7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  <c r="AF437" s="224"/>
      <c r="AG437" s="224"/>
      <c r="AH437" s="224"/>
      <c r="AI437" s="224"/>
      <c r="AJ437" s="224"/>
      <c r="AK437" s="224"/>
      <c r="AL437" s="224"/>
    </row>
    <row r="438" ht="15.7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  <c r="AF438" s="224"/>
      <c r="AG438" s="224"/>
      <c r="AH438" s="224"/>
      <c r="AI438" s="224"/>
      <c r="AJ438" s="224"/>
      <c r="AK438" s="224"/>
      <c r="AL438" s="224"/>
    </row>
    <row r="439" ht="15.7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  <c r="AF439" s="224"/>
      <c r="AG439" s="224"/>
      <c r="AH439" s="224"/>
      <c r="AI439" s="224"/>
      <c r="AJ439" s="224"/>
      <c r="AK439" s="224"/>
      <c r="AL439" s="224"/>
    </row>
    <row r="440" ht="15.7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  <c r="AF440" s="224"/>
      <c r="AG440" s="224"/>
      <c r="AH440" s="224"/>
      <c r="AI440" s="224"/>
      <c r="AJ440" s="224"/>
      <c r="AK440" s="224"/>
      <c r="AL440" s="224"/>
    </row>
    <row r="441" ht="15.7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  <c r="AF441" s="224"/>
      <c r="AG441" s="224"/>
      <c r="AH441" s="224"/>
      <c r="AI441" s="224"/>
      <c r="AJ441" s="224"/>
      <c r="AK441" s="224"/>
      <c r="AL441" s="224"/>
    </row>
    <row r="442" ht="15.7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  <c r="AF442" s="224"/>
      <c r="AG442" s="224"/>
      <c r="AH442" s="224"/>
      <c r="AI442" s="224"/>
      <c r="AJ442" s="224"/>
      <c r="AK442" s="224"/>
      <c r="AL442" s="224"/>
    </row>
    <row r="443" ht="15.7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  <c r="AF443" s="224"/>
      <c r="AG443" s="224"/>
      <c r="AH443" s="224"/>
      <c r="AI443" s="224"/>
      <c r="AJ443" s="224"/>
      <c r="AK443" s="224"/>
      <c r="AL443" s="224"/>
    </row>
    <row r="444" ht="15.7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  <c r="AF444" s="224"/>
      <c r="AG444" s="224"/>
      <c r="AH444" s="224"/>
      <c r="AI444" s="224"/>
      <c r="AJ444" s="224"/>
      <c r="AK444" s="224"/>
      <c r="AL444" s="224"/>
    </row>
    <row r="445" ht="15.7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  <c r="AF445" s="224"/>
      <c r="AG445" s="224"/>
      <c r="AH445" s="224"/>
      <c r="AI445" s="224"/>
      <c r="AJ445" s="224"/>
      <c r="AK445" s="224"/>
      <c r="AL445" s="224"/>
    </row>
    <row r="446" ht="15.7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  <c r="AF446" s="224"/>
      <c r="AG446" s="224"/>
      <c r="AH446" s="224"/>
      <c r="AI446" s="224"/>
      <c r="AJ446" s="224"/>
      <c r="AK446" s="224"/>
      <c r="AL446" s="224"/>
    </row>
    <row r="447" ht="15.7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  <c r="AK447" s="224"/>
      <c r="AL447" s="224"/>
    </row>
    <row r="448" ht="15.7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  <c r="AF448" s="224"/>
      <c r="AG448" s="224"/>
      <c r="AH448" s="224"/>
      <c r="AI448" s="224"/>
      <c r="AJ448" s="224"/>
      <c r="AK448" s="224"/>
      <c r="AL448" s="224"/>
    </row>
    <row r="449" ht="15.7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  <c r="AF449" s="224"/>
      <c r="AG449" s="224"/>
      <c r="AH449" s="224"/>
      <c r="AI449" s="224"/>
      <c r="AJ449" s="224"/>
      <c r="AK449" s="224"/>
      <c r="AL449" s="224"/>
    </row>
    <row r="450" ht="15.7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  <c r="AF450" s="224"/>
      <c r="AG450" s="224"/>
      <c r="AH450" s="224"/>
      <c r="AI450" s="224"/>
      <c r="AJ450" s="224"/>
      <c r="AK450" s="224"/>
      <c r="AL450" s="224"/>
    </row>
    <row r="451" ht="15.7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  <c r="AF451" s="224"/>
      <c r="AG451" s="224"/>
      <c r="AH451" s="224"/>
      <c r="AI451" s="224"/>
      <c r="AJ451" s="224"/>
      <c r="AK451" s="224"/>
      <c r="AL451" s="224"/>
    </row>
    <row r="452" ht="15.7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  <c r="AF452" s="224"/>
      <c r="AG452" s="224"/>
      <c r="AH452" s="224"/>
      <c r="AI452" s="224"/>
      <c r="AJ452" s="224"/>
      <c r="AK452" s="224"/>
      <c r="AL452" s="224"/>
    </row>
    <row r="453" ht="15.7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  <c r="AF453" s="224"/>
      <c r="AG453" s="224"/>
      <c r="AH453" s="224"/>
      <c r="AI453" s="224"/>
      <c r="AJ453" s="224"/>
      <c r="AK453" s="224"/>
      <c r="AL453" s="224"/>
    </row>
    <row r="454" ht="15.7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  <c r="AF454" s="224"/>
      <c r="AG454" s="224"/>
      <c r="AH454" s="224"/>
      <c r="AI454" s="224"/>
      <c r="AJ454" s="224"/>
      <c r="AK454" s="224"/>
      <c r="AL454" s="224"/>
    </row>
    <row r="455" ht="15.7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  <c r="AF455" s="224"/>
      <c r="AG455" s="224"/>
      <c r="AH455" s="224"/>
      <c r="AI455" s="224"/>
      <c r="AJ455" s="224"/>
      <c r="AK455" s="224"/>
      <c r="AL455" s="224"/>
    </row>
    <row r="456" ht="15.7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  <c r="AF456" s="224"/>
      <c r="AG456" s="224"/>
      <c r="AH456" s="224"/>
      <c r="AI456" s="224"/>
      <c r="AJ456" s="224"/>
      <c r="AK456" s="224"/>
      <c r="AL456" s="224"/>
    </row>
    <row r="457" ht="15.7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  <c r="AF457" s="224"/>
      <c r="AG457" s="224"/>
      <c r="AH457" s="224"/>
      <c r="AI457" s="224"/>
      <c r="AJ457" s="224"/>
      <c r="AK457" s="224"/>
      <c r="AL457" s="224"/>
    </row>
    <row r="458" ht="15.7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  <c r="AF458" s="224"/>
      <c r="AG458" s="224"/>
      <c r="AH458" s="224"/>
      <c r="AI458" s="224"/>
      <c r="AJ458" s="224"/>
      <c r="AK458" s="224"/>
      <c r="AL458" s="224"/>
    </row>
    <row r="459" ht="15.7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  <c r="AK459" s="224"/>
      <c r="AL459" s="224"/>
    </row>
    <row r="460" ht="15.7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  <c r="AF460" s="224"/>
      <c r="AG460" s="224"/>
      <c r="AH460" s="224"/>
      <c r="AI460" s="224"/>
      <c r="AJ460" s="224"/>
      <c r="AK460" s="224"/>
      <c r="AL460" s="224"/>
    </row>
    <row r="461" ht="15.7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  <c r="AF461" s="224"/>
      <c r="AG461" s="224"/>
      <c r="AH461" s="224"/>
      <c r="AI461" s="224"/>
      <c r="AJ461" s="224"/>
      <c r="AK461" s="224"/>
      <c r="AL461" s="224"/>
    </row>
    <row r="462" ht="15.7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  <c r="AF462" s="224"/>
      <c r="AG462" s="224"/>
      <c r="AH462" s="224"/>
      <c r="AI462" s="224"/>
      <c r="AJ462" s="224"/>
      <c r="AK462" s="224"/>
      <c r="AL462" s="224"/>
    </row>
    <row r="463" ht="15.7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  <c r="AF463" s="224"/>
      <c r="AG463" s="224"/>
      <c r="AH463" s="224"/>
      <c r="AI463" s="224"/>
      <c r="AJ463" s="224"/>
      <c r="AK463" s="224"/>
      <c r="AL463" s="224"/>
    </row>
    <row r="464" ht="15.7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  <c r="AF464" s="224"/>
      <c r="AG464" s="224"/>
      <c r="AH464" s="224"/>
      <c r="AI464" s="224"/>
      <c r="AJ464" s="224"/>
      <c r="AK464" s="224"/>
      <c r="AL464" s="224"/>
    </row>
    <row r="465" ht="15.7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  <c r="AF465" s="224"/>
      <c r="AG465" s="224"/>
      <c r="AH465" s="224"/>
      <c r="AI465" s="224"/>
      <c r="AJ465" s="224"/>
      <c r="AK465" s="224"/>
      <c r="AL465" s="224"/>
    </row>
    <row r="466" ht="15.7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  <c r="AF466" s="224"/>
      <c r="AG466" s="224"/>
      <c r="AH466" s="224"/>
      <c r="AI466" s="224"/>
      <c r="AJ466" s="224"/>
      <c r="AK466" s="224"/>
      <c r="AL466" s="224"/>
    </row>
    <row r="467" ht="15.7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  <c r="AF467" s="224"/>
      <c r="AG467" s="224"/>
      <c r="AH467" s="224"/>
      <c r="AI467" s="224"/>
      <c r="AJ467" s="224"/>
      <c r="AK467" s="224"/>
      <c r="AL467" s="224"/>
    </row>
    <row r="468" ht="15.7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  <c r="AF468" s="224"/>
      <c r="AG468" s="224"/>
      <c r="AH468" s="224"/>
      <c r="AI468" s="224"/>
      <c r="AJ468" s="224"/>
      <c r="AK468" s="224"/>
      <c r="AL468" s="224"/>
    </row>
    <row r="469" ht="15.7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  <c r="AF469" s="224"/>
      <c r="AG469" s="224"/>
      <c r="AH469" s="224"/>
      <c r="AI469" s="224"/>
      <c r="AJ469" s="224"/>
      <c r="AK469" s="224"/>
      <c r="AL469" s="224"/>
    </row>
    <row r="470" ht="15.7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  <c r="AF470" s="224"/>
      <c r="AG470" s="224"/>
      <c r="AH470" s="224"/>
      <c r="AI470" s="224"/>
      <c r="AJ470" s="224"/>
      <c r="AK470" s="224"/>
      <c r="AL470" s="224"/>
    </row>
    <row r="471" ht="15.7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  <c r="AK471" s="224"/>
      <c r="AL471" s="224"/>
    </row>
    <row r="472" ht="15.7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  <c r="AF472" s="224"/>
      <c r="AG472" s="224"/>
      <c r="AH472" s="224"/>
      <c r="AI472" s="224"/>
      <c r="AJ472" s="224"/>
      <c r="AK472" s="224"/>
      <c r="AL472" s="224"/>
    </row>
    <row r="473" ht="15.7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  <c r="AF473" s="224"/>
      <c r="AG473" s="224"/>
      <c r="AH473" s="224"/>
      <c r="AI473" s="224"/>
      <c r="AJ473" s="224"/>
      <c r="AK473" s="224"/>
      <c r="AL473" s="224"/>
    </row>
    <row r="474" ht="15.7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  <c r="AF474" s="224"/>
      <c r="AG474" s="224"/>
      <c r="AH474" s="224"/>
      <c r="AI474" s="224"/>
      <c r="AJ474" s="224"/>
      <c r="AK474" s="224"/>
      <c r="AL474" s="224"/>
    </row>
    <row r="475" ht="15.7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  <c r="AF475" s="224"/>
      <c r="AG475" s="224"/>
      <c r="AH475" s="224"/>
      <c r="AI475" s="224"/>
      <c r="AJ475" s="224"/>
      <c r="AK475" s="224"/>
      <c r="AL475" s="224"/>
    </row>
    <row r="476" ht="15.7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  <c r="AF476" s="224"/>
      <c r="AG476" s="224"/>
      <c r="AH476" s="224"/>
      <c r="AI476" s="224"/>
      <c r="AJ476" s="224"/>
      <c r="AK476" s="224"/>
      <c r="AL476" s="224"/>
    </row>
    <row r="477" ht="15.7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  <c r="AF477" s="224"/>
      <c r="AG477" s="224"/>
      <c r="AH477" s="224"/>
      <c r="AI477" s="224"/>
      <c r="AJ477" s="224"/>
      <c r="AK477" s="224"/>
      <c r="AL477" s="224"/>
    </row>
    <row r="478" ht="15.7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  <c r="AF478" s="224"/>
      <c r="AG478" s="224"/>
      <c r="AH478" s="224"/>
      <c r="AI478" s="224"/>
      <c r="AJ478" s="224"/>
      <c r="AK478" s="224"/>
      <c r="AL478" s="224"/>
    </row>
    <row r="479" ht="15.7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  <c r="AF479" s="224"/>
      <c r="AG479" s="224"/>
      <c r="AH479" s="224"/>
      <c r="AI479" s="224"/>
      <c r="AJ479" s="224"/>
      <c r="AK479" s="224"/>
      <c r="AL479" s="224"/>
    </row>
    <row r="480" ht="15.7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  <c r="AF480" s="224"/>
      <c r="AG480" s="224"/>
      <c r="AH480" s="224"/>
      <c r="AI480" s="224"/>
      <c r="AJ480" s="224"/>
      <c r="AK480" s="224"/>
      <c r="AL480" s="224"/>
    </row>
    <row r="481" ht="15.7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  <c r="AF481" s="224"/>
      <c r="AG481" s="224"/>
      <c r="AH481" s="224"/>
      <c r="AI481" s="224"/>
      <c r="AJ481" s="224"/>
      <c r="AK481" s="224"/>
      <c r="AL481" s="224"/>
    </row>
    <row r="482" ht="15.7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  <c r="AK482" s="224"/>
      <c r="AL482" s="224"/>
    </row>
    <row r="483" ht="15.7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  <c r="AK483" s="224"/>
      <c r="AL483" s="224"/>
    </row>
    <row r="484" ht="15.7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  <c r="AF484" s="224"/>
      <c r="AG484" s="224"/>
      <c r="AH484" s="224"/>
      <c r="AI484" s="224"/>
      <c r="AJ484" s="224"/>
      <c r="AK484" s="224"/>
      <c r="AL484" s="224"/>
    </row>
    <row r="485" ht="15.7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  <c r="AF485" s="224"/>
      <c r="AG485" s="224"/>
      <c r="AH485" s="224"/>
      <c r="AI485" s="224"/>
      <c r="AJ485" s="224"/>
      <c r="AK485" s="224"/>
      <c r="AL485" s="224"/>
    </row>
    <row r="486" ht="15.7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  <c r="AF486" s="224"/>
      <c r="AG486" s="224"/>
      <c r="AH486" s="224"/>
      <c r="AI486" s="224"/>
      <c r="AJ486" s="224"/>
      <c r="AK486" s="224"/>
      <c r="AL486" s="224"/>
    </row>
    <row r="487" ht="15.7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  <c r="AF487" s="224"/>
      <c r="AG487" s="224"/>
      <c r="AH487" s="224"/>
      <c r="AI487" s="224"/>
      <c r="AJ487" s="224"/>
      <c r="AK487" s="224"/>
      <c r="AL487" s="224"/>
    </row>
    <row r="488" ht="15.7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  <c r="AF488" s="224"/>
      <c r="AG488" s="224"/>
      <c r="AH488" s="224"/>
      <c r="AI488" s="224"/>
      <c r="AJ488" s="224"/>
      <c r="AK488" s="224"/>
      <c r="AL488" s="224"/>
    </row>
    <row r="489" ht="15.7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  <c r="AF489" s="224"/>
      <c r="AG489" s="224"/>
      <c r="AH489" s="224"/>
      <c r="AI489" s="224"/>
      <c r="AJ489" s="224"/>
      <c r="AK489" s="224"/>
      <c r="AL489" s="224"/>
    </row>
    <row r="490" ht="15.7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  <c r="AK490" s="224"/>
      <c r="AL490" s="224"/>
    </row>
    <row r="491" ht="15.7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  <c r="AF491" s="224"/>
      <c r="AG491" s="224"/>
      <c r="AH491" s="224"/>
      <c r="AI491" s="224"/>
      <c r="AJ491" s="224"/>
      <c r="AK491" s="224"/>
      <c r="AL491" s="224"/>
    </row>
    <row r="492" ht="15.7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  <c r="AF492" s="224"/>
      <c r="AG492" s="224"/>
      <c r="AH492" s="224"/>
      <c r="AI492" s="224"/>
      <c r="AJ492" s="224"/>
      <c r="AK492" s="224"/>
      <c r="AL492" s="224"/>
    </row>
    <row r="493" ht="15.7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  <c r="AF493" s="224"/>
      <c r="AG493" s="224"/>
      <c r="AH493" s="224"/>
      <c r="AI493" s="224"/>
      <c r="AJ493" s="224"/>
      <c r="AK493" s="224"/>
      <c r="AL493" s="224"/>
    </row>
    <row r="494" ht="15.7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  <c r="AF494" s="224"/>
      <c r="AG494" s="224"/>
      <c r="AH494" s="224"/>
      <c r="AI494" s="224"/>
      <c r="AJ494" s="224"/>
      <c r="AK494" s="224"/>
      <c r="AL494" s="224"/>
    </row>
    <row r="495" ht="15.7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  <c r="AK495" s="224"/>
      <c r="AL495" s="224"/>
    </row>
    <row r="496" ht="15.7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  <c r="AF496" s="224"/>
      <c r="AG496" s="224"/>
      <c r="AH496" s="224"/>
      <c r="AI496" s="224"/>
      <c r="AJ496" s="224"/>
      <c r="AK496" s="224"/>
      <c r="AL496" s="224"/>
    </row>
    <row r="497" ht="15.7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  <c r="AF497" s="224"/>
      <c r="AG497" s="224"/>
      <c r="AH497" s="224"/>
      <c r="AI497" s="224"/>
      <c r="AJ497" s="224"/>
      <c r="AK497" s="224"/>
      <c r="AL497" s="224"/>
    </row>
    <row r="498" ht="15.7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  <c r="AF498" s="224"/>
      <c r="AG498" s="224"/>
      <c r="AH498" s="224"/>
      <c r="AI498" s="224"/>
      <c r="AJ498" s="224"/>
      <c r="AK498" s="224"/>
      <c r="AL498" s="224"/>
    </row>
    <row r="499" ht="15.7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  <c r="AF499" s="224"/>
      <c r="AG499" s="224"/>
      <c r="AH499" s="224"/>
      <c r="AI499" s="224"/>
      <c r="AJ499" s="224"/>
      <c r="AK499" s="224"/>
      <c r="AL499" s="224"/>
    </row>
    <row r="500" ht="15.7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  <c r="AF500" s="224"/>
      <c r="AG500" s="224"/>
      <c r="AH500" s="224"/>
      <c r="AI500" s="224"/>
      <c r="AJ500" s="224"/>
      <c r="AK500" s="224"/>
      <c r="AL500" s="224"/>
    </row>
    <row r="501" ht="15.7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  <c r="AF501" s="224"/>
      <c r="AG501" s="224"/>
      <c r="AH501" s="224"/>
      <c r="AI501" s="224"/>
      <c r="AJ501" s="224"/>
      <c r="AK501" s="224"/>
      <c r="AL501" s="224"/>
    </row>
    <row r="502" ht="15.7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  <c r="AF502" s="224"/>
      <c r="AG502" s="224"/>
      <c r="AH502" s="224"/>
      <c r="AI502" s="224"/>
      <c r="AJ502" s="224"/>
      <c r="AK502" s="224"/>
      <c r="AL502" s="224"/>
    </row>
    <row r="503" ht="15.7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  <c r="AF503" s="224"/>
      <c r="AG503" s="224"/>
      <c r="AH503" s="224"/>
      <c r="AI503" s="224"/>
      <c r="AJ503" s="224"/>
      <c r="AK503" s="224"/>
      <c r="AL503" s="224"/>
    </row>
    <row r="504" ht="15.7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  <c r="AF504" s="224"/>
      <c r="AG504" s="224"/>
      <c r="AH504" s="224"/>
      <c r="AI504" s="224"/>
      <c r="AJ504" s="224"/>
      <c r="AK504" s="224"/>
      <c r="AL504" s="224"/>
    </row>
    <row r="505" ht="15.7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  <c r="AF505" s="224"/>
      <c r="AG505" s="224"/>
      <c r="AH505" s="224"/>
      <c r="AI505" s="224"/>
      <c r="AJ505" s="224"/>
      <c r="AK505" s="224"/>
      <c r="AL505" s="224"/>
    </row>
    <row r="506" ht="15.7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  <c r="AF506" s="224"/>
      <c r="AG506" s="224"/>
      <c r="AH506" s="224"/>
      <c r="AI506" s="224"/>
      <c r="AJ506" s="224"/>
      <c r="AK506" s="224"/>
      <c r="AL506" s="224"/>
    </row>
    <row r="507" ht="15.7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  <c r="AK507" s="224"/>
      <c r="AL507" s="224"/>
    </row>
    <row r="508" ht="15.7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  <c r="AF508" s="224"/>
      <c r="AG508" s="224"/>
      <c r="AH508" s="224"/>
      <c r="AI508" s="224"/>
      <c r="AJ508" s="224"/>
      <c r="AK508" s="224"/>
      <c r="AL508" s="224"/>
    </row>
    <row r="509" ht="15.7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  <c r="AF509" s="224"/>
      <c r="AG509" s="224"/>
      <c r="AH509" s="224"/>
      <c r="AI509" s="224"/>
      <c r="AJ509" s="224"/>
      <c r="AK509" s="224"/>
      <c r="AL509" s="224"/>
    </row>
    <row r="510" ht="15.7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  <c r="AF510" s="224"/>
      <c r="AG510" s="224"/>
      <c r="AH510" s="224"/>
      <c r="AI510" s="224"/>
      <c r="AJ510" s="224"/>
      <c r="AK510" s="224"/>
      <c r="AL510" s="224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  <c r="AF511" s="224"/>
      <c r="AG511" s="224"/>
      <c r="AH511" s="224"/>
      <c r="AI511" s="224"/>
      <c r="AJ511" s="224"/>
      <c r="AK511" s="224"/>
      <c r="AL511" s="224"/>
    </row>
    <row r="512" ht="15.7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  <c r="AF512" s="224"/>
      <c r="AG512" s="224"/>
      <c r="AH512" s="224"/>
      <c r="AI512" s="224"/>
      <c r="AJ512" s="224"/>
      <c r="AK512" s="224"/>
      <c r="AL512" s="224"/>
    </row>
    <row r="513" ht="15.7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  <c r="AF513" s="224"/>
      <c r="AG513" s="224"/>
      <c r="AH513" s="224"/>
      <c r="AI513" s="224"/>
      <c r="AJ513" s="224"/>
      <c r="AK513" s="224"/>
      <c r="AL513" s="224"/>
    </row>
    <row r="514" ht="15.7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  <c r="AF514" s="224"/>
      <c r="AG514" s="224"/>
      <c r="AH514" s="224"/>
      <c r="AI514" s="224"/>
      <c r="AJ514" s="224"/>
      <c r="AK514" s="224"/>
      <c r="AL514" s="224"/>
    </row>
    <row r="515" ht="15.7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  <c r="AF515" s="224"/>
      <c r="AG515" s="224"/>
      <c r="AH515" s="224"/>
      <c r="AI515" s="224"/>
      <c r="AJ515" s="224"/>
      <c r="AK515" s="224"/>
      <c r="AL515" s="224"/>
    </row>
    <row r="516" ht="15.7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  <c r="AF516" s="224"/>
      <c r="AG516" s="224"/>
      <c r="AH516" s="224"/>
      <c r="AI516" s="224"/>
      <c r="AJ516" s="224"/>
      <c r="AK516" s="224"/>
      <c r="AL516" s="224"/>
    </row>
    <row r="517" ht="15.7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  <c r="AF517" s="224"/>
      <c r="AG517" s="224"/>
      <c r="AH517" s="224"/>
      <c r="AI517" s="224"/>
      <c r="AJ517" s="224"/>
      <c r="AK517" s="224"/>
      <c r="AL517" s="224"/>
    </row>
    <row r="518" ht="15.7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  <c r="AF518" s="224"/>
      <c r="AG518" s="224"/>
      <c r="AH518" s="224"/>
      <c r="AI518" s="224"/>
      <c r="AJ518" s="224"/>
      <c r="AK518" s="224"/>
      <c r="AL518" s="224"/>
    </row>
    <row r="519" ht="15.7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  <c r="AK519" s="224"/>
      <c r="AL519" s="224"/>
    </row>
    <row r="520" ht="15.7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  <c r="AF520" s="224"/>
      <c r="AG520" s="224"/>
      <c r="AH520" s="224"/>
      <c r="AI520" s="224"/>
      <c r="AJ520" s="224"/>
      <c r="AK520" s="224"/>
      <c r="AL520" s="224"/>
    </row>
    <row r="521" ht="15.7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  <c r="AF521" s="224"/>
      <c r="AG521" s="224"/>
      <c r="AH521" s="224"/>
      <c r="AI521" s="224"/>
      <c r="AJ521" s="224"/>
      <c r="AK521" s="224"/>
      <c r="AL521" s="224"/>
    </row>
    <row r="522" ht="15.7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  <c r="AF522" s="224"/>
      <c r="AG522" s="224"/>
      <c r="AH522" s="224"/>
      <c r="AI522" s="224"/>
      <c r="AJ522" s="224"/>
      <c r="AK522" s="224"/>
      <c r="AL522" s="224"/>
    </row>
    <row r="523" ht="15.7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  <c r="AF523" s="224"/>
      <c r="AG523" s="224"/>
      <c r="AH523" s="224"/>
      <c r="AI523" s="224"/>
      <c r="AJ523" s="224"/>
      <c r="AK523" s="224"/>
      <c r="AL523" s="224"/>
    </row>
    <row r="524" ht="15.7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  <c r="AF524" s="224"/>
      <c r="AG524" s="224"/>
      <c r="AH524" s="224"/>
      <c r="AI524" s="224"/>
      <c r="AJ524" s="224"/>
      <c r="AK524" s="224"/>
      <c r="AL524" s="224"/>
    </row>
    <row r="525" ht="15.7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  <c r="AF525" s="224"/>
      <c r="AG525" s="224"/>
      <c r="AH525" s="224"/>
      <c r="AI525" s="224"/>
      <c r="AJ525" s="224"/>
      <c r="AK525" s="224"/>
      <c r="AL525" s="224"/>
    </row>
    <row r="526" ht="15.7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  <c r="AF526" s="224"/>
      <c r="AG526" s="224"/>
      <c r="AH526" s="224"/>
      <c r="AI526" s="224"/>
      <c r="AJ526" s="224"/>
      <c r="AK526" s="224"/>
      <c r="AL526" s="224"/>
    </row>
    <row r="527" ht="15.7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  <c r="AF527" s="224"/>
      <c r="AG527" s="224"/>
      <c r="AH527" s="224"/>
      <c r="AI527" s="224"/>
      <c r="AJ527" s="224"/>
      <c r="AK527" s="224"/>
      <c r="AL527" s="224"/>
    </row>
    <row r="528" ht="15.7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  <c r="AF528" s="224"/>
      <c r="AG528" s="224"/>
      <c r="AH528" s="224"/>
      <c r="AI528" s="224"/>
      <c r="AJ528" s="224"/>
      <c r="AK528" s="224"/>
      <c r="AL528" s="224"/>
    </row>
    <row r="529" ht="15.7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  <c r="AF529" s="224"/>
      <c r="AG529" s="224"/>
      <c r="AH529" s="224"/>
      <c r="AI529" s="224"/>
      <c r="AJ529" s="224"/>
      <c r="AK529" s="224"/>
      <c r="AL529" s="224"/>
    </row>
    <row r="530" ht="15.7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  <c r="AC530" s="224"/>
      <c r="AD530" s="224"/>
      <c r="AE530" s="224"/>
      <c r="AF530" s="224"/>
      <c r="AG530" s="224"/>
      <c r="AH530" s="224"/>
      <c r="AI530" s="224"/>
      <c r="AJ530" s="224"/>
      <c r="AK530" s="224"/>
      <c r="AL530" s="224"/>
    </row>
    <row r="531" ht="15.7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  <c r="AK531" s="224"/>
      <c r="AL531" s="224"/>
    </row>
    <row r="532" ht="15.7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  <c r="AC532" s="224"/>
      <c r="AD532" s="224"/>
      <c r="AE532" s="224"/>
      <c r="AF532" s="224"/>
      <c r="AG532" s="224"/>
      <c r="AH532" s="224"/>
      <c r="AI532" s="224"/>
      <c r="AJ532" s="224"/>
      <c r="AK532" s="224"/>
      <c r="AL532" s="224"/>
    </row>
    <row r="533" ht="15.7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  <c r="AK533" s="224"/>
      <c r="AL533" s="224"/>
    </row>
    <row r="534" ht="15.7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  <c r="AF534" s="224"/>
      <c r="AG534" s="224"/>
      <c r="AH534" s="224"/>
      <c r="AI534" s="224"/>
      <c r="AJ534" s="224"/>
      <c r="AK534" s="224"/>
      <c r="AL534" s="224"/>
    </row>
    <row r="535" ht="15.7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  <c r="AK535" s="224"/>
      <c r="AL535" s="224"/>
    </row>
    <row r="536" ht="15.7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  <c r="AF536" s="224"/>
      <c r="AG536" s="224"/>
      <c r="AH536" s="224"/>
      <c r="AI536" s="224"/>
      <c r="AJ536" s="224"/>
      <c r="AK536" s="224"/>
      <c r="AL536" s="224"/>
    </row>
    <row r="537" ht="15.7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  <c r="AC537" s="224"/>
      <c r="AD537" s="224"/>
      <c r="AE537" s="224"/>
      <c r="AF537" s="224"/>
      <c r="AG537" s="224"/>
      <c r="AH537" s="224"/>
      <c r="AI537" s="224"/>
      <c r="AJ537" s="224"/>
      <c r="AK537" s="224"/>
      <c r="AL537" s="224"/>
    </row>
    <row r="538" ht="15.7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  <c r="AF538" s="224"/>
      <c r="AG538" s="224"/>
      <c r="AH538" s="224"/>
      <c r="AI538" s="224"/>
      <c r="AJ538" s="224"/>
      <c r="AK538" s="224"/>
      <c r="AL538" s="224"/>
    </row>
    <row r="539" ht="15.7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  <c r="AC539" s="224"/>
      <c r="AD539" s="224"/>
      <c r="AE539" s="224"/>
      <c r="AF539" s="224"/>
      <c r="AG539" s="224"/>
      <c r="AH539" s="224"/>
      <c r="AI539" s="224"/>
      <c r="AJ539" s="224"/>
      <c r="AK539" s="224"/>
      <c r="AL539" s="224"/>
    </row>
    <row r="540" ht="15.7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  <c r="AC540" s="224"/>
      <c r="AD540" s="224"/>
      <c r="AE540" s="224"/>
      <c r="AF540" s="224"/>
      <c r="AG540" s="224"/>
      <c r="AH540" s="224"/>
      <c r="AI540" s="224"/>
      <c r="AJ540" s="224"/>
      <c r="AK540" s="224"/>
      <c r="AL540" s="224"/>
    </row>
    <row r="541" ht="15.7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  <c r="AF541" s="224"/>
      <c r="AG541" s="224"/>
      <c r="AH541" s="224"/>
      <c r="AI541" s="224"/>
      <c r="AJ541" s="224"/>
      <c r="AK541" s="224"/>
      <c r="AL541" s="224"/>
    </row>
    <row r="542" ht="15.7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  <c r="AC542" s="224"/>
      <c r="AD542" s="224"/>
      <c r="AE542" s="224"/>
      <c r="AF542" s="224"/>
      <c r="AG542" s="224"/>
      <c r="AH542" s="224"/>
      <c r="AI542" s="224"/>
      <c r="AJ542" s="224"/>
      <c r="AK542" s="224"/>
      <c r="AL542" s="224"/>
    </row>
    <row r="543" ht="15.7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  <c r="AK543" s="224"/>
      <c r="AL543" s="224"/>
    </row>
    <row r="544" ht="15.7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  <c r="AF544" s="224"/>
      <c r="AG544" s="224"/>
      <c r="AH544" s="224"/>
      <c r="AI544" s="224"/>
      <c r="AJ544" s="224"/>
      <c r="AK544" s="224"/>
      <c r="AL544" s="224"/>
    </row>
    <row r="545" ht="15.7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  <c r="AF545" s="224"/>
      <c r="AG545" s="224"/>
      <c r="AH545" s="224"/>
      <c r="AI545" s="224"/>
      <c r="AJ545" s="224"/>
      <c r="AK545" s="224"/>
      <c r="AL545" s="224"/>
    </row>
    <row r="546" ht="15.7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  <c r="AC546" s="224"/>
      <c r="AD546" s="224"/>
      <c r="AE546" s="224"/>
      <c r="AF546" s="224"/>
      <c r="AG546" s="224"/>
      <c r="AH546" s="224"/>
      <c r="AI546" s="224"/>
      <c r="AJ546" s="224"/>
      <c r="AK546" s="224"/>
      <c r="AL546" s="224"/>
    </row>
    <row r="547" ht="15.7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  <c r="AC547" s="224"/>
      <c r="AD547" s="224"/>
      <c r="AE547" s="224"/>
      <c r="AF547" s="224"/>
      <c r="AG547" s="224"/>
      <c r="AH547" s="224"/>
      <c r="AI547" s="224"/>
      <c r="AJ547" s="224"/>
      <c r="AK547" s="224"/>
      <c r="AL547" s="224"/>
    </row>
    <row r="548" ht="15.7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  <c r="AC548" s="224"/>
      <c r="AD548" s="224"/>
      <c r="AE548" s="224"/>
      <c r="AF548" s="224"/>
      <c r="AG548" s="224"/>
      <c r="AH548" s="224"/>
      <c r="AI548" s="224"/>
      <c r="AJ548" s="224"/>
      <c r="AK548" s="224"/>
      <c r="AL548" s="224"/>
    </row>
    <row r="549" ht="15.7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  <c r="AC549" s="224"/>
      <c r="AD549" s="224"/>
      <c r="AE549" s="224"/>
      <c r="AF549" s="224"/>
      <c r="AG549" s="224"/>
      <c r="AH549" s="224"/>
      <c r="AI549" s="224"/>
      <c r="AJ549" s="224"/>
      <c r="AK549" s="224"/>
      <c r="AL549" s="224"/>
    </row>
    <row r="550" ht="15.7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  <c r="AK550" s="224"/>
      <c r="AL550" s="224"/>
    </row>
    <row r="551" ht="15.7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  <c r="AK551" s="224"/>
      <c r="AL551" s="224"/>
    </row>
    <row r="552" ht="15.7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  <c r="AC552" s="224"/>
      <c r="AD552" s="224"/>
      <c r="AE552" s="224"/>
      <c r="AF552" s="224"/>
      <c r="AG552" s="224"/>
      <c r="AH552" s="224"/>
      <c r="AI552" s="224"/>
      <c r="AJ552" s="224"/>
      <c r="AK552" s="224"/>
      <c r="AL552" s="224"/>
    </row>
    <row r="553" ht="15.7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  <c r="AC553" s="224"/>
      <c r="AD553" s="224"/>
      <c r="AE553" s="224"/>
      <c r="AF553" s="224"/>
      <c r="AG553" s="224"/>
      <c r="AH553" s="224"/>
      <c r="AI553" s="224"/>
      <c r="AJ553" s="224"/>
      <c r="AK553" s="224"/>
      <c r="AL553" s="224"/>
    </row>
    <row r="554" ht="15.7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  <c r="AF554" s="224"/>
      <c r="AG554" s="224"/>
      <c r="AH554" s="224"/>
      <c r="AI554" s="224"/>
      <c r="AJ554" s="224"/>
      <c r="AK554" s="224"/>
      <c r="AL554" s="224"/>
    </row>
    <row r="555" ht="15.7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  <c r="AK555" s="224"/>
      <c r="AL555" s="224"/>
    </row>
    <row r="556" ht="15.7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  <c r="AC556" s="224"/>
      <c r="AD556" s="224"/>
      <c r="AE556" s="224"/>
      <c r="AF556" s="224"/>
      <c r="AG556" s="224"/>
      <c r="AH556" s="224"/>
      <c r="AI556" s="224"/>
      <c r="AJ556" s="224"/>
      <c r="AK556" s="224"/>
      <c r="AL556" s="224"/>
    </row>
    <row r="557" ht="15.7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  <c r="AC557" s="224"/>
      <c r="AD557" s="224"/>
      <c r="AE557" s="224"/>
      <c r="AF557" s="224"/>
      <c r="AG557" s="224"/>
      <c r="AH557" s="224"/>
      <c r="AI557" s="224"/>
      <c r="AJ557" s="224"/>
      <c r="AK557" s="224"/>
      <c r="AL557" s="224"/>
    </row>
    <row r="558" ht="15.7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  <c r="AC558" s="224"/>
      <c r="AD558" s="224"/>
      <c r="AE558" s="224"/>
      <c r="AF558" s="224"/>
      <c r="AG558" s="224"/>
      <c r="AH558" s="224"/>
      <c r="AI558" s="224"/>
      <c r="AJ558" s="224"/>
      <c r="AK558" s="224"/>
      <c r="AL558" s="224"/>
    </row>
    <row r="559" ht="15.7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/>
      <c r="AD559" s="224"/>
      <c r="AE559" s="224"/>
      <c r="AF559" s="224"/>
      <c r="AG559" s="224"/>
      <c r="AH559" s="224"/>
      <c r="AI559" s="224"/>
      <c r="AJ559" s="224"/>
      <c r="AK559" s="224"/>
      <c r="AL559" s="224"/>
    </row>
    <row r="560" ht="15.7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  <c r="AC560" s="224"/>
      <c r="AD560" s="224"/>
      <c r="AE560" s="224"/>
      <c r="AF560" s="224"/>
      <c r="AG560" s="224"/>
      <c r="AH560" s="224"/>
      <c r="AI560" s="224"/>
      <c r="AJ560" s="224"/>
      <c r="AK560" s="224"/>
      <c r="AL560" s="224"/>
    </row>
    <row r="561" ht="15.7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  <c r="AF561" s="224"/>
      <c r="AG561" s="224"/>
      <c r="AH561" s="224"/>
      <c r="AI561" s="224"/>
      <c r="AJ561" s="224"/>
      <c r="AK561" s="224"/>
      <c r="AL561" s="224"/>
    </row>
    <row r="562" ht="15.7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  <c r="AK562" s="224"/>
      <c r="AL562" s="224"/>
    </row>
    <row r="563" ht="15.7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  <c r="AK563" s="224"/>
      <c r="AL563" s="224"/>
    </row>
    <row r="564" ht="15.7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  <c r="AK564" s="224"/>
      <c r="AL564" s="224"/>
    </row>
    <row r="565" ht="15.7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  <c r="AK565" s="224"/>
      <c r="AL565" s="224"/>
    </row>
    <row r="566" ht="15.7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  <c r="AK566" s="224"/>
      <c r="AL566" s="224"/>
    </row>
    <row r="567" ht="15.7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  <c r="AK567" s="224"/>
      <c r="AL567" s="224"/>
    </row>
    <row r="568" ht="15.7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24"/>
      <c r="AL568" s="224"/>
    </row>
    <row r="569" ht="15.7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  <c r="AK569" s="224"/>
      <c r="AL569" s="224"/>
    </row>
    <row r="570" ht="15.7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  <c r="AK570" s="224"/>
      <c r="AL570" s="224"/>
    </row>
    <row r="571" ht="15.7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  <c r="AF571" s="224"/>
      <c r="AG571" s="224"/>
      <c r="AH571" s="224"/>
      <c r="AI571" s="224"/>
      <c r="AJ571" s="224"/>
      <c r="AK571" s="224"/>
      <c r="AL571" s="224"/>
    </row>
    <row r="572" ht="15.7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  <c r="AC572" s="224"/>
      <c r="AD572" s="224"/>
      <c r="AE572" s="224"/>
      <c r="AF572" s="224"/>
      <c r="AG572" s="224"/>
      <c r="AH572" s="224"/>
      <c r="AI572" s="224"/>
      <c r="AJ572" s="224"/>
      <c r="AK572" s="224"/>
      <c r="AL572" s="224"/>
    </row>
    <row r="573" ht="15.7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  <c r="AC573" s="224"/>
      <c r="AD573" s="224"/>
      <c r="AE573" s="224"/>
      <c r="AF573" s="224"/>
      <c r="AG573" s="224"/>
      <c r="AH573" s="224"/>
      <c r="AI573" s="224"/>
      <c r="AJ573" s="224"/>
      <c r="AK573" s="224"/>
      <c r="AL573" s="224"/>
    </row>
    <row r="574" ht="15.7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  <c r="AC574" s="224"/>
      <c r="AD574" s="224"/>
      <c r="AE574" s="224"/>
      <c r="AF574" s="224"/>
      <c r="AG574" s="224"/>
      <c r="AH574" s="224"/>
      <c r="AI574" s="224"/>
      <c r="AJ574" s="224"/>
      <c r="AK574" s="224"/>
      <c r="AL574" s="224"/>
    </row>
    <row r="575" ht="15.7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  <c r="AC575" s="224"/>
      <c r="AD575" s="224"/>
      <c r="AE575" s="224"/>
      <c r="AF575" s="224"/>
      <c r="AG575" s="224"/>
      <c r="AH575" s="224"/>
      <c r="AI575" s="224"/>
      <c r="AJ575" s="224"/>
      <c r="AK575" s="224"/>
      <c r="AL575" s="224"/>
    </row>
    <row r="576" ht="15.7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  <c r="AC576" s="224"/>
      <c r="AD576" s="224"/>
      <c r="AE576" s="224"/>
      <c r="AF576" s="224"/>
      <c r="AG576" s="224"/>
      <c r="AH576" s="224"/>
      <c r="AI576" s="224"/>
      <c r="AJ576" s="224"/>
      <c r="AK576" s="224"/>
      <c r="AL576" s="224"/>
    </row>
    <row r="577" ht="15.7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  <c r="AF577" s="224"/>
      <c r="AG577" s="224"/>
      <c r="AH577" s="224"/>
      <c r="AI577" s="224"/>
      <c r="AJ577" s="224"/>
      <c r="AK577" s="224"/>
      <c r="AL577" s="224"/>
    </row>
    <row r="578" ht="15.7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  <c r="AF578" s="224"/>
      <c r="AG578" s="224"/>
      <c r="AH578" s="224"/>
      <c r="AI578" s="224"/>
      <c r="AJ578" s="224"/>
      <c r="AK578" s="224"/>
      <c r="AL578" s="224"/>
    </row>
    <row r="579" ht="15.7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  <c r="AK579" s="224"/>
      <c r="AL579" s="224"/>
    </row>
    <row r="580" ht="15.7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  <c r="AF580" s="224"/>
      <c r="AG580" s="224"/>
      <c r="AH580" s="224"/>
      <c r="AI580" s="224"/>
      <c r="AJ580" s="224"/>
      <c r="AK580" s="224"/>
      <c r="AL580" s="224"/>
    </row>
    <row r="581" ht="15.7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  <c r="AF581" s="224"/>
      <c r="AG581" s="224"/>
      <c r="AH581" s="224"/>
      <c r="AI581" s="224"/>
      <c r="AJ581" s="224"/>
      <c r="AK581" s="224"/>
      <c r="AL581" s="224"/>
    </row>
    <row r="582" ht="15.7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  <c r="AF582" s="224"/>
      <c r="AG582" s="224"/>
      <c r="AH582" s="224"/>
      <c r="AI582" s="224"/>
      <c r="AJ582" s="224"/>
      <c r="AK582" s="224"/>
      <c r="AL582" s="224"/>
    </row>
    <row r="583" ht="15.7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  <c r="AF583" s="224"/>
      <c r="AG583" s="224"/>
      <c r="AH583" s="224"/>
      <c r="AI583" s="224"/>
      <c r="AJ583" s="224"/>
      <c r="AK583" s="224"/>
      <c r="AL583" s="224"/>
    </row>
    <row r="584" ht="15.7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  <c r="AF584" s="224"/>
      <c r="AG584" s="224"/>
      <c r="AH584" s="224"/>
      <c r="AI584" s="224"/>
      <c r="AJ584" s="224"/>
      <c r="AK584" s="224"/>
      <c r="AL584" s="224"/>
    </row>
    <row r="585" ht="15.7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  <c r="AI585" s="224"/>
      <c r="AJ585" s="224"/>
      <c r="AK585" s="224"/>
      <c r="AL585" s="224"/>
    </row>
    <row r="586" ht="15.7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  <c r="AF586" s="224"/>
      <c r="AG586" s="224"/>
      <c r="AH586" s="224"/>
      <c r="AI586" s="224"/>
      <c r="AJ586" s="224"/>
      <c r="AK586" s="224"/>
      <c r="AL586" s="224"/>
    </row>
    <row r="587" ht="15.7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  <c r="AK587" s="224"/>
      <c r="AL587" s="224"/>
    </row>
    <row r="588" ht="15.7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  <c r="AK588" s="224"/>
      <c r="AL588" s="224"/>
    </row>
    <row r="589" ht="15.7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  <c r="AF589" s="224"/>
      <c r="AG589" s="224"/>
      <c r="AH589" s="224"/>
      <c r="AI589" s="224"/>
      <c r="AJ589" s="224"/>
      <c r="AK589" s="224"/>
      <c r="AL589" s="224"/>
    </row>
    <row r="590" ht="15.7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  <c r="AF590" s="224"/>
      <c r="AG590" s="224"/>
      <c r="AH590" s="224"/>
      <c r="AI590" s="224"/>
      <c r="AJ590" s="224"/>
      <c r="AK590" s="224"/>
      <c r="AL590" s="224"/>
    </row>
    <row r="591" ht="15.7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  <c r="AK591" s="224"/>
      <c r="AL591" s="224"/>
    </row>
    <row r="592" ht="15.7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  <c r="AF592" s="224"/>
      <c r="AG592" s="224"/>
      <c r="AH592" s="224"/>
      <c r="AI592" s="224"/>
      <c r="AJ592" s="224"/>
      <c r="AK592" s="224"/>
      <c r="AL592" s="224"/>
    </row>
    <row r="593" ht="15.7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  <c r="AF593" s="224"/>
      <c r="AG593" s="224"/>
      <c r="AH593" s="224"/>
      <c r="AI593" s="224"/>
      <c r="AJ593" s="224"/>
      <c r="AK593" s="224"/>
      <c r="AL593" s="224"/>
    </row>
    <row r="594" ht="15.7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  <c r="AF594" s="224"/>
      <c r="AG594" s="224"/>
      <c r="AH594" s="224"/>
      <c r="AI594" s="224"/>
      <c r="AJ594" s="224"/>
      <c r="AK594" s="224"/>
      <c r="AL594" s="224"/>
    </row>
    <row r="595" ht="15.7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  <c r="AF595" s="224"/>
      <c r="AG595" s="224"/>
      <c r="AH595" s="224"/>
      <c r="AI595" s="224"/>
      <c r="AJ595" s="224"/>
      <c r="AK595" s="224"/>
      <c r="AL595" s="224"/>
    </row>
    <row r="596" ht="15.7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  <c r="AF596" s="224"/>
      <c r="AG596" s="224"/>
      <c r="AH596" s="224"/>
      <c r="AI596" s="224"/>
      <c r="AJ596" s="224"/>
      <c r="AK596" s="224"/>
      <c r="AL596" s="224"/>
    </row>
    <row r="597" ht="15.7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  <c r="AF597" s="224"/>
      <c r="AG597" s="224"/>
      <c r="AH597" s="224"/>
      <c r="AI597" s="224"/>
      <c r="AJ597" s="224"/>
      <c r="AK597" s="224"/>
      <c r="AL597" s="224"/>
    </row>
    <row r="598" ht="15.7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  <c r="AF598" s="224"/>
      <c r="AG598" s="224"/>
      <c r="AH598" s="224"/>
      <c r="AI598" s="224"/>
      <c r="AJ598" s="224"/>
      <c r="AK598" s="224"/>
      <c r="AL598" s="224"/>
    </row>
    <row r="599" ht="15.7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  <c r="AF599" s="224"/>
      <c r="AG599" s="224"/>
      <c r="AH599" s="224"/>
      <c r="AI599" s="224"/>
      <c r="AJ599" s="224"/>
      <c r="AK599" s="224"/>
      <c r="AL599" s="224"/>
    </row>
    <row r="600" ht="15.7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  <c r="AF600" s="224"/>
      <c r="AG600" s="224"/>
      <c r="AH600" s="224"/>
      <c r="AI600" s="224"/>
      <c r="AJ600" s="224"/>
      <c r="AK600" s="224"/>
      <c r="AL600" s="224"/>
    </row>
    <row r="601" ht="15.7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  <c r="AF601" s="224"/>
      <c r="AG601" s="224"/>
      <c r="AH601" s="224"/>
      <c r="AI601" s="224"/>
      <c r="AJ601" s="224"/>
      <c r="AK601" s="224"/>
      <c r="AL601" s="224"/>
    </row>
    <row r="602" ht="15.7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  <c r="AF602" s="224"/>
      <c r="AG602" s="224"/>
      <c r="AH602" s="224"/>
      <c r="AI602" s="224"/>
      <c r="AJ602" s="224"/>
      <c r="AK602" s="224"/>
      <c r="AL602" s="224"/>
    </row>
    <row r="603" ht="15.7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  <c r="AK603" s="224"/>
      <c r="AL603" s="224"/>
    </row>
    <row r="604" ht="15.7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  <c r="AF604" s="224"/>
      <c r="AG604" s="224"/>
      <c r="AH604" s="224"/>
      <c r="AI604" s="224"/>
      <c r="AJ604" s="224"/>
      <c r="AK604" s="224"/>
      <c r="AL604" s="224"/>
    </row>
    <row r="605" ht="15.7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  <c r="AF605" s="224"/>
      <c r="AG605" s="224"/>
      <c r="AH605" s="224"/>
      <c r="AI605" s="224"/>
      <c r="AJ605" s="224"/>
      <c r="AK605" s="224"/>
      <c r="AL605" s="224"/>
    </row>
    <row r="606" ht="15.7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  <c r="AF606" s="224"/>
      <c r="AG606" s="224"/>
      <c r="AH606" s="224"/>
      <c r="AI606" s="224"/>
      <c r="AJ606" s="224"/>
      <c r="AK606" s="224"/>
      <c r="AL606" s="224"/>
    </row>
    <row r="607" ht="15.7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  <c r="AF607" s="224"/>
      <c r="AG607" s="224"/>
      <c r="AH607" s="224"/>
      <c r="AI607" s="224"/>
      <c r="AJ607" s="224"/>
      <c r="AK607" s="224"/>
      <c r="AL607" s="224"/>
    </row>
    <row r="608" ht="15.7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  <c r="AF608" s="224"/>
      <c r="AG608" s="224"/>
      <c r="AH608" s="224"/>
      <c r="AI608" s="224"/>
      <c r="AJ608" s="224"/>
      <c r="AK608" s="224"/>
      <c r="AL608" s="224"/>
    </row>
    <row r="609" ht="15.7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  <c r="AF609" s="224"/>
      <c r="AG609" s="224"/>
      <c r="AH609" s="224"/>
      <c r="AI609" s="224"/>
      <c r="AJ609" s="224"/>
      <c r="AK609" s="224"/>
      <c r="AL609" s="224"/>
    </row>
    <row r="610" ht="15.7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  <c r="AF610" s="224"/>
      <c r="AG610" s="224"/>
      <c r="AH610" s="224"/>
      <c r="AI610" s="224"/>
      <c r="AJ610" s="224"/>
      <c r="AK610" s="224"/>
      <c r="AL610" s="224"/>
    </row>
    <row r="611" ht="15.7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  <c r="AF611" s="224"/>
      <c r="AG611" s="224"/>
      <c r="AH611" s="224"/>
      <c r="AI611" s="224"/>
      <c r="AJ611" s="224"/>
      <c r="AK611" s="224"/>
      <c r="AL611" s="224"/>
    </row>
    <row r="612" ht="15.7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  <c r="AF612" s="224"/>
      <c r="AG612" s="224"/>
      <c r="AH612" s="224"/>
      <c r="AI612" s="224"/>
      <c r="AJ612" s="224"/>
      <c r="AK612" s="224"/>
      <c r="AL612" s="224"/>
    </row>
    <row r="613" ht="15.7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  <c r="AF613" s="224"/>
      <c r="AG613" s="224"/>
      <c r="AH613" s="224"/>
      <c r="AI613" s="224"/>
      <c r="AJ613" s="224"/>
      <c r="AK613" s="224"/>
      <c r="AL613" s="224"/>
    </row>
    <row r="614" ht="15.7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  <c r="AF614" s="224"/>
      <c r="AG614" s="224"/>
      <c r="AH614" s="224"/>
      <c r="AI614" s="224"/>
      <c r="AJ614" s="224"/>
      <c r="AK614" s="224"/>
      <c r="AL614" s="224"/>
    </row>
    <row r="615" ht="15.7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  <c r="AK615" s="224"/>
      <c r="AL615" s="224"/>
    </row>
    <row r="616" ht="15.7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  <c r="AF616" s="224"/>
      <c r="AG616" s="224"/>
      <c r="AH616" s="224"/>
      <c r="AI616" s="224"/>
      <c r="AJ616" s="224"/>
      <c r="AK616" s="224"/>
      <c r="AL616" s="224"/>
    </row>
    <row r="617" ht="15.7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  <c r="AF617" s="224"/>
      <c r="AG617" s="224"/>
      <c r="AH617" s="224"/>
      <c r="AI617" s="224"/>
      <c r="AJ617" s="224"/>
      <c r="AK617" s="224"/>
      <c r="AL617" s="224"/>
    </row>
    <row r="618" ht="15.7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  <c r="AF618" s="224"/>
      <c r="AG618" s="224"/>
      <c r="AH618" s="224"/>
      <c r="AI618" s="224"/>
      <c r="AJ618" s="224"/>
      <c r="AK618" s="224"/>
      <c r="AL618" s="224"/>
    </row>
    <row r="619" ht="15.7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  <c r="AF619" s="224"/>
      <c r="AG619" s="224"/>
      <c r="AH619" s="224"/>
      <c r="AI619" s="224"/>
      <c r="AJ619" s="224"/>
      <c r="AK619" s="224"/>
      <c r="AL619" s="224"/>
    </row>
    <row r="620" ht="15.7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  <c r="AF620" s="224"/>
      <c r="AG620" s="224"/>
      <c r="AH620" s="224"/>
      <c r="AI620" s="224"/>
      <c r="AJ620" s="224"/>
      <c r="AK620" s="224"/>
      <c r="AL620" s="224"/>
    </row>
    <row r="621" ht="15.7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  <c r="AF621" s="224"/>
      <c r="AG621" s="224"/>
      <c r="AH621" s="224"/>
      <c r="AI621" s="224"/>
      <c r="AJ621" s="224"/>
      <c r="AK621" s="224"/>
      <c r="AL621" s="224"/>
    </row>
    <row r="622" ht="15.7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  <c r="AF622" s="224"/>
      <c r="AG622" s="224"/>
      <c r="AH622" s="224"/>
      <c r="AI622" s="224"/>
      <c r="AJ622" s="224"/>
      <c r="AK622" s="224"/>
      <c r="AL622" s="224"/>
    </row>
    <row r="623" ht="15.7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  <c r="AF623" s="224"/>
      <c r="AG623" s="224"/>
      <c r="AH623" s="224"/>
      <c r="AI623" s="224"/>
      <c r="AJ623" s="224"/>
      <c r="AK623" s="224"/>
      <c r="AL623" s="224"/>
    </row>
    <row r="624" ht="15.7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  <c r="AF624" s="224"/>
      <c r="AG624" s="224"/>
      <c r="AH624" s="224"/>
      <c r="AI624" s="224"/>
      <c r="AJ624" s="224"/>
      <c r="AK624" s="224"/>
      <c r="AL624" s="224"/>
    </row>
    <row r="625" ht="15.7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  <c r="AF625" s="224"/>
      <c r="AG625" s="224"/>
      <c r="AH625" s="224"/>
      <c r="AI625" s="224"/>
      <c r="AJ625" s="224"/>
      <c r="AK625" s="224"/>
      <c r="AL625" s="224"/>
    </row>
    <row r="626" ht="15.7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  <c r="AF626" s="224"/>
      <c r="AG626" s="224"/>
      <c r="AH626" s="224"/>
      <c r="AI626" s="224"/>
      <c r="AJ626" s="224"/>
      <c r="AK626" s="224"/>
      <c r="AL626" s="224"/>
    </row>
    <row r="627" ht="15.7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  <c r="AK627" s="224"/>
      <c r="AL627" s="224"/>
    </row>
    <row r="628" ht="15.7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  <c r="AF628" s="224"/>
      <c r="AG628" s="224"/>
      <c r="AH628" s="224"/>
      <c r="AI628" s="224"/>
      <c r="AJ628" s="224"/>
      <c r="AK628" s="224"/>
      <c r="AL628" s="224"/>
    </row>
    <row r="629" ht="15.7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  <c r="AF629" s="224"/>
      <c r="AG629" s="224"/>
      <c r="AH629" s="224"/>
      <c r="AI629" s="224"/>
      <c r="AJ629" s="224"/>
      <c r="AK629" s="224"/>
      <c r="AL629" s="224"/>
    </row>
    <row r="630" ht="15.7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  <c r="AF630" s="224"/>
      <c r="AG630" s="224"/>
      <c r="AH630" s="224"/>
      <c r="AI630" s="224"/>
      <c r="AJ630" s="224"/>
      <c r="AK630" s="224"/>
      <c r="AL630" s="224"/>
    </row>
    <row r="631" ht="15.7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  <c r="AF631" s="224"/>
      <c r="AG631" s="224"/>
      <c r="AH631" s="224"/>
      <c r="AI631" s="224"/>
      <c r="AJ631" s="224"/>
      <c r="AK631" s="224"/>
      <c r="AL631" s="224"/>
    </row>
    <row r="632" ht="15.7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  <c r="AF632" s="224"/>
      <c r="AG632" s="224"/>
      <c r="AH632" s="224"/>
      <c r="AI632" s="224"/>
      <c r="AJ632" s="224"/>
      <c r="AK632" s="224"/>
      <c r="AL632" s="224"/>
    </row>
    <row r="633" ht="15.7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  <c r="AF633" s="224"/>
      <c r="AG633" s="224"/>
      <c r="AH633" s="224"/>
      <c r="AI633" s="224"/>
      <c r="AJ633" s="224"/>
      <c r="AK633" s="224"/>
      <c r="AL633" s="224"/>
    </row>
    <row r="634" ht="15.7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  <c r="AF634" s="224"/>
      <c r="AG634" s="224"/>
      <c r="AH634" s="224"/>
      <c r="AI634" s="224"/>
      <c r="AJ634" s="224"/>
      <c r="AK634" s="224"/>
      <c r="AL634" s="224"/>
    </row>
    <row r="635" ht="15.7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  <c r="AF635" s="224"/>
      <c r="AG635" s="224"/>
      <c r="AH635" s="224"/>
      <c r="AI635" s="224"/>
      <c r="AJ635" s="224"/>
      <c r="AK635" s="224"/>
      <c r="AL635" s="224"/>
    </row>
    <row r="636" ht="15.7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  <c r="AF636" s="224"/>
      <c r="AG636" s="224"/>
      <c r="AH636" s="224"/>
      <c r="AI636" s="224"/>
      <c r="AJ636" s="224"/>
      <c r="AK636" s="224"/>
      <c r="AL636" s="224"/>
    </row>
    <row r="637" ht="15.7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  <c r="AF637" s="224"/>
      <c r="AG637" s="224"/>
      <c r="AH637" s="224"/>
      <c r="AI637" s="224"/>
      <c r="AJ637" s="224"/>
      <c r="AK637" s="224"/>
      <c r="AL637" s="224"/>
    </row>
    <row r="638" ht="15.7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  <c r="AF638" s="224"/>
      <c r="AG638" s="224"/>
      <c r="AH638" s="224"/>
      <c r="AI638" s="224"/>
      <c r="AJ638" s="224"/>
      <c r="AK638" s="224"/>
      <c r="AL638" s="224"/>
    </row>
    <row r="639" ht="15.7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  <c r="AK639" s="224"/>
      <c r="AL639" s="224"/>
    </row>
    <row r="640" ht="15.7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  <c r="AF640" s="224"/>
      <c r="AG640" s="224"/>
      <c r="AH640" s="224"/>
      <c r="AI640" s="224"/>
      <c r="AJ640" s="224"/>
      <c r="AK640" s="224"/>
      <c r="AL640" s="224"/>
    </row>
    <row r="641" ht="15.7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  <c r="AK641" s="224"/>
      <c r="AL641" s="224"/>
    </row>
    <row r="642" ht="15.7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  <c r="AF642" s="224"/>
      <c r="AG642" s="224"/>
      <c r="AH642" s="224"/>
      <c r="AI642" s="224"/>
      <c r="AJ642" s="224"/>
      <c r="AK642" s="224"/>
      <c r="AL642" s="224"/>
    </row>
    <row r="643" ht="15.7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  <c r="AF643" s="224"/>
      <c r="AG643" s="224"/>
      <c r="AH643" s="224"/>
      <c r="AI643" s="224"/>
      <c r="AJ643" s="224"/>
      <c r="AK643" s="224"/>
      <c r="AL643" s="224"/>
    </row>
    <row r="644" ht="15.7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  <c r="AF644" s="224"/>
      <c r="AG644" s="224"/>
      <c r="AH644" s="224"/>
      <c r="AI644" s="224"/>
      <c r="AJ644" s="224"/>
      <c r="AK644" s="224"/>
      <c r="AL644" s="224"/>
    </row>
    <row r="645" ht="15.7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  <c r="AF645" s="224"/>
      <c r="AG645" s="224"/>
      <c r="AH645" s="224"/>
      <c r="AI645" s="224"/>
      <c r="AJ645" s="224"/>
      <c r="AK645" s="224"/>
      <c r="AL645" s="224"/>
    </row>
    <row r="646" ht="15.7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  <c r="AF646" s="224"/>
      <c r="AG646" s="224"/>
      <c r="AH646" s="224"/>
      <c r="AI646" s="224"/>
      <c r="AJ646" s="224"/>
      <c r="AK646" s="224"/>
      <c r="AL646" s="224"/>
    </row>
    <row r="647" ht="15.7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  <c r="AF647" s="224"/>
      <c r="AG647" s="224"/>
      <c r="AH647" s="224"/>
      <c r="AI647" s="224"/>
      <c r="AJ647" s="224"/>
      <c r="AK647" s="224"/>
      <c r="AL647" s="224"/>
    </row>
    <row r="648" ht="15.7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  <c r="AF648" s="224"/>
      <c r="AG648" s="224"/>
      <c r="AH648" s="224"/>
      <c r="AI648" s="224"/>
      <c r="AJ648" s="224"/>
      <c r="AK648" s="224"/>
      <c r="AL648" s="224"/>
    </row>
    <row r="649" ht="15.7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  <c r="AF649" s="224"/>
      <c r="AG649" s="224"/>
      <c r="AH649" s="224"/>
      <c r="AI649" s="224"/>
      <c r="AJ649" s="224"/>
      <c r="AK649" s="224"/>
      <c r="AL649" s="224"/>
    </row>
    <row r="650" ht="15.7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  <c r="AF650" s="224"/>
      <c r="AG650" s="224"/>
      <c r="AH650" s="224"/>
      <c r="AI650" s="224"/>
      <c r="AJ650" s="224"/>
      <c r="AK650" s="224"/>
      <c r="AL650" s="224"/>
    </row>
    <row r="651" ht="15.7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  <c r="AK651" s="224"/>
      <c r="AL651" s="224"/>
    </row>
    <row r="652" ht="15.7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  <c r="AF652" s="224"/>
      <c r="AG652" s="224"/>
      <c r="AH652" s="224"/>
      <c r="AI652" s="224"/>
      <c r="AJ652" s="224"/>
      <c r="AK652" s="224"/>
      <c r="AL652" s="224"/>
    </row>
    <row r="653" ht="15.7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  <c r="AF653" s="224"/>
      <c r="AG653" s="224"/>
      <c r="AH653" s="224"/>
      <c r="AI653" s="224"/>
      <c r="AJ653" s="224"/>
      <c r="AK653" s="224"/>
      <c r="AL653" s="224"/>
    </row>
    <row r="654" ht="15.7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  <c r="AF654" s="224"/>
      <c r="AG654" s="224"/>
      <c r="AH654" s="224"/>
      <c r="AI654" s="224"/>
      <c r="AJ654" s="224"/>
      <c r="AK654" s="224"/>
      <c r="AL654" s="224"/>
    </row>
    <row r="655" ht="15.7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  <c r="AF655" s="224"/>
      <c r="AG655" s="224"/>
      <c r="AH655" s="224"/>
      <c r="AI655" s="224"/>
      <c r="AJ655" s="224"/>
      <c r="AK655" s="224"/>
      <c r="AL655" s="224"/>
    </row>
    <row r="656" ht="15.7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  <c r="AF656" s="224"/>
      <c r="AG656" s="224"/>
      <c r="AH656" s="224"/>
      <c r="AI656" s="224"/>
      <c r="AJ656" s="224"/>
      <c r="AK656" s="224"/>
      <c r="AL656" s="224"/>
    </row>
    <row r="657" ht="15.7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  <c r="AF657" s="224"/>
      <c r="AG657" s="224"/>
      <c r="AH657" s="224"/>
      <c r="AI657" s="224"/>
      <c r="AJ657" s="224"/>
      <c r="AK657" s="224"/>
      <c r="AL657" s="224"/>
    </row>
    <row r="658" ht="15.7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  <c r="AF658" s="224"/>
      <c r="AG658" s="224"/>
      <c r="AH658" s="224"/>
      <c r="AI658" s="224"/>
      <c r="AJ658" s="224"/>
      <c r="AK658" s="224"/>
      <c r="AL658" s="224"/>
    </row>
    <row r="659" ht="15.7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  <c r="AF659" s="224"/>
      <c r="AG659" s="224"/>
      <c r="AH659" s="224"/>
      <c r="AI659" s="224"/>
      <c r="AJ659" s="224"/>
      <c r="AK659" s="224"/>
      <c r="AL659" s="224"/>
    </row>
    <row r="660" ht="15.7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  <c r="AF660" s="224"/>
      <c r="AG660" s="224"/>
      <c r="AH660" s="224"/>
      <c r="AI660" s="224"/>
      <c r="AJ660" s="224"/>
      <c r="AK660" s="224"/>
      <c r="AL660" s="224"/>
    </row>
    <row r="661" ht="15.7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  <c r="AF661" s="224"/>
      <c r="AG661" s="224"/>
      <c r="AH661" s="224"/>
      <c r="AI661" s="224"/>
      <c r="AJ661" s="224"/>
      <c r="AK661" s="224"/>
      <c r="AL661" s="224"/>
    </row>
    <row r="662" ht="15.7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  <c r="AF662" s="224"/>
      <c r="AG662" s="224"/>
      <c r="AH662" s="224"/>
      <c r="AI662" s="224"/>
      <c r="AJ662" s="224"/>
      <c r="AK662" s="224"/>
      <c r="AL662" s="224"/>
    </row>
    <row r="663" ht="15.7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  <c r="AK663" s="224"/>
      <c r="AL663" s="224"/>
    </row>
    <row r="664" ht="15.7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  <c r="AF664" s="224"/>
      <c r="AG664" s="224"/>
      <c r="AH664" s="224"/>
      <c r="AI664" s="224"/>
      <c r="AJ664" s="224"/>
      <c r="AK664" s="224"/>
      <c r="AL664" s="224"/>
    </row>
    <row r="665" ht="15.7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  <c r="AF665" s="224"/>
      <c r="AG665" s="224"/>
      <c r="AH665" s="224"/>
      <c r="AI665" s="224"/>
      <c r="AJ665" s="224"/>
      <c r="AK665" s="224"/>
      <c r="AL665" s="224"/>
    </row>
    <row r="666" ht="15.7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  <c r="AF666" s="224"/>
      <c r="AG666" s="224"/>
      <c r="AH666" s="224"/>
      <c r="AI666" s="224"/>
      <c r="AJ666" s="224"/>
      <c r="AK666" s="224"/>
      <c r="AL666" s="224"/>
    </row>
    <row r="667" ht="15.7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  <c r="AF667" s="224"/>
      <c r="AG667" s="224"/>
      <c r="AH667" s="224"/>
      <c r="AI667" s="224"/>
      <c r="AJ667" s="224"/>
      <c r="AK667" s="224"/>
      <c r="AL667" s="224"/>
    </row>
    <row r="668" ht="15.7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  <c r="AF668" s="224"/>
      <c r="AG668" s="224"/>
      <c r="AH668" s="224"/>
      <c r="AI668" s="224"/>
      <c r="AJ668" s="224"/>
      <c r="AK668" s="224"/>
      <c r="AL668" s="224"/>
    </row>
    <row r="669" ht="15.7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  <c r="AF669" s="224"/>
      <c r="AG669" s="224"/>
      <c r="AH669" s="224"/>
      <c r="AI669" s="224"/>
      <c r="AJ669" s="224"/>
      <c r="AK669" s="224"/>
      <c r="AL669" s="224"/>
    </row>
    <row r="670" ht="15.7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  <c r="AF670" s="224"/>
      <c r="AG670" s="224"/>
      <c r="AH670" s="224"/>
      <c r="AI670" s="224"/>
      <c r="AJ670" s="224"/>
      <c r="AK670" s="224"/>
      <c r="AL670" s="224"/>
    </row>
    <row r="671" ht="15.7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  <c r="AF671" s="224"/>
      <c r="AG671" s="224"/>
      <c r="AH671" s="224"/>
      <c r="AI671" s="224"/>
      <c r="AJ671" s="224"/>
      <c r="AK671" s="224"/>
      <c r="AL671" s="224"/>
    </row>
    <row r="672" ht="15.7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  <c r="AF672" s="224"/>
      <c r="AG672" s="224"/>
      <c r="AH672" s="224"/>
      <c r="AI672" s="224"/>
      <c r="AJ672" s="224"/>
      <c r="AK672" s="224"/>
      <c r="AL672" s="224"/>
    </row>
    <row r="673" ht="15.7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  <c r="AF673" s="224"/>
      <c r="AG673" s="224"/>
      <c r="AH673" s="224"/>
      <c r="AI673" s="224"/>
      <c r="AJ673" s="224"/>
      <c r="AK673" s="224"/>
      <c r="AL673" s="224"/>
    </row>
    <row r="674" ht="15.7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  <c r="AF674" s="224"/>
      <c r="AG674" s="224"/>
      <c r="AH674" s="224"/>
      <c r="AI674" s="224"/>
      <c r="AJ674" s="224"/>
      <c r="AK674" s="224"/>
      <c r="AL674" s="224"/>
    </row>
    <row r="675" ht="15.7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  <c r="AK675" s="224"/>
      <c r="AL675" s="224"/>
    </row>
    <row r="676" ht="15.7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  <c r="AF676" s="224"/>
      <c r="AG676" s="224"/>
      <c r="AH676" s="224"/>
      <c r="AI676" s="224"/>
      <c r="AJ676" s="224"/>
      <c r="AK676" s="224"/>
      <c r="AL676" s="224"/>
    </row>
    <row r="677" ht="15.7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  <c r="AF677" s="224"/>
      <c r="AG677" s="224"/>
      <c r="AH677" s="224"/>
      <c r="AI677" s="224"/>
      <c r="AJ677" s="224"/>
      <c r="AK677" s="224"/>
      <c r="AL677" s="224"/>
    </row>
    <row r="678" ht="15.7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  <c r="AF678" s="224"/>
      <c r="AG678" s="224"/>
      <c r="AH678" s="224"/>
      <c r="AI678" s="224"/>
      <c r="AJ678" s="224"/>
      <c r="AK678" s="224"/>
      <c r="AL678" s="224"/>
    </row>
    <row r="679" ht="15.7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  <c r="AF679" s="224"/>
      <c r="AG679" s="224"/>
      <c r="AH679" s="224"/>
      <c r="AI679" s="224"/>
      <c r="AJ679" s="224"/>
      <c r="AK679" s="224"/>
      <c r="AL679" s="224"/>
    </row>
    <row r="680" ht="15.7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  <c r="AF680" s="224"/>
      <c r="AG680" s="224"/>
      <c r="AH680" s="224"/>
      <c r="AI680" s="224"/>
      <c r="AJ680" s="224"/>
      <c r="AK680" s="224"/>
      <c r="AL680" s="224"/>
    </row>
    <row r="681" ht="15.7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  <c r="AF681" s="224"/>
      <c r="AG681" s="224"/>
      <c r="AH681" s="224"/>
      <c r="AI681" s="224"/>
      <c r="AJ681" s="224"/>
      <c r="AK681" s="224"/>
      <c r="AL681" s="224"/>
    </row>
    <row r="682" ht="15.7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  <c r="AF682" s="224"/>
      <c r="AG682" s="224"/>
      <c r="AH682" s="224"/>
      <c r="AI682" s="224"/>
      <c r="AJ682" s="224"/>
      <c r="AK682" s="224"/>
      <c r="AL682" s="224"/>
    </row>
    <row r="683" ht="15.7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  <c r="AF683" s="224"/>
      <c r="AG683" s="224"/>
      <c r="AH683" s="224"/>
      <c r="AI683" s="224"/>
      <c r="AJ683" s="224"/>
      <c r="AK683" s="224"/>
      <c r="AL683" s="224"/>
    </row>
    <row r="684" ht="15.7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  <c r="AF684" s="224"/>
      <c r="AG684" s="224"/>
      <c r="AH684" s="224"/>
      <c r="AI684" s="224"/>
      <c r="AJ684" s="224"/>
      <c r="AK684" s="224"/>
      <c r="AL684" s="224"/>
    </row>
    <row r="685" ht="15.7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  <c r="AF685" s="224"/>
      <c r="AG685" s="224"/>
      <c r="AH685" s="224"/>
      <c r="AI685" s="224"/>
      <c r="AJ685" s="224"/>
      <c r="AK685" s="224"/>
      <c r="AL685" s="224"/>
    </row>
    <row r="686" ht="15.7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  <c r="AF686" s="224"/>
      <c r="AG686" s="224"/>
      <c r="AH686" s="224"/>
      <c r="AI686" s="224"/>
      <c r="AJ686" s="224"/>
      <c r="AK686" s="224"/>
      <c r="AL686" s="224"/>
    </row>
    <row r="687" ht="15.7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  <c r="AK687" s="224"/>
      <c r="AL687" s="224"/>
    </row>
    <row r="688" ht="15.7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  <c r="AF688" s="224"/>
      <c r="AG688" s="224"/>
      <c r="AH688" s="224"/>
      <c r="AI688" s="224"/>
      <c r="AJ688" s="224"/>
      <c r="AK688" s="224"/>
      <c r="AL688" s="224"/>
    </row>
    <row r="689" ht="15.7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  <c r="AF689" s="224"/>
      <c r="AG689" s="224"/>
      <c r="AH689" s="224"/>
      <c r="AI689" s="224"/>
      <c r="AJ689" s="224"/>
      <c r="AK689" s="224"/>
      <c r="AL689" s="224"/>
    </row>
    <row r="690" ht="15.7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  <c r="AF690" s="224"/>
      <c r="AG690" s="224"/>
      <c r="AH690" s="224"/>
      <c r="AI690" s="224"/>
      <c r="AJ690" s="224"/>
      <c r="AK690" s="224"/>
      <c r="AL690" s="224"/>
    </row>
    <row r="691" ht="15.7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  <c r="AF691" s="224"/>
      <c r="AG691" s="224"/>
      <c r="AH691" s="224"/>
      <c r="AI691" s="224"/>
      <c r="AJ691" s="224"/>
      <c r="AK691" s="224"/>
      <c r="AL691" s="224"/>
    </row>
    <row r="692" ht="15.7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  <c r="AF692" s="224"/>
      <c r="AG692" s="224"/>
      <c r="AH692" s="224"/>
      <c r="AI692" s="224"/>
      <c r="AJ692" s="224"/>
      <c r="AK692" s="224"/>
      <c r="AL692" s="224"/>
    </row>
    <row r="693" ht="15.7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  <c r="AF693" s="224"/>
      <c r="AG693" s="224"/>
      <c r="AH693" s="224"/>
      <c r="AI693" s="224"/>
      <c r="AJ693" s="224"/>
      <c r="AK693" s="224"/>
      <c r="AL693" s="224"/>
    </row>
    <row r="694" ht="15.7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  <c r="AK694" s="224"/>
      <c r="AL694" s="224"/>
    </row>
    <row r="695" ht="15.7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  <c r="AF695" s="224"/>
      <c r="AG695" s="224"/>
      <c r="AH695" s="224"/>
      <c r="AI695" s="224"/>
      <c r="AJ695" s="224"/>
      <c r="AK695" s="224"/>
      <c r="AL695" s="224"/>
    </row>
    <row r="696" ht="15.7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  <c r="AF696" s="224"/>
      <c r="AG696" s="224"/>
      <c r="AH696" s="224"/>
      <c r="AI696" s="224"/>
      <c r="AJ696" s="224"/>
      <c r="AK696" s="224"/>
      <c r="AL696" s="224"/>
    </row>
    <row r="697" ht="15.7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  <c r="AF697" s="224"/>
      <c r="AG697" s="224"/>
      <c r="AH697" s="224"/>
      <c r="AI697" s="224"/>
      <c r="AJ697" s="224"/>
      <c r="AK697" s="224"/>
      <c r="AL697" s="224"/>
    </row>
    <row r="698" ht="15.7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  <c r="AF698" s="224"/>
      <c r="AG698" s="224"/>
      <c r="AH698" s="224"/>
      <c r="AI698" s="224"/>
      <c r="AJ698" s="224"/>
      <c r="AK698" s="224"/>
      <c r="AL698" s="224"/>
    </row>
    <row r="699" ht="15.7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  <c r="AK699" s="224"/>
      <c r="AL699" s="224"/>
    </row>
    <row r="700" ht="15.7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  <c r="AF700" s="224"/>
      <c r="AG700" s="224"/>
      <c r="AH700" s="224"/>
      <c r="AI700" s="224"/>
      <c r="AJ700" s="224"/>
      <c r="AK700" s="224"/>
      <c r="AL700" s="224"/>
    </row>
    <row r="701" ht="15.7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  <c r="AF701" s="224"/>
      <c r="AG701" s="224"/>
      <c r="AH701" s="224"/>
      <c r="AI701" s="224"/>
      <c r="AJ701" s="224"/>
      <c r="AK701" s="224"/>
      <c r="AL701" s="224"/>
    </row>
    <row r="702" ht="15.7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  <c r="AF702" s="224"/>
      <c r="AG702" s="224"/>
      <c r="AH702" s="224"/>
      <c r="AI702" s="224"/>
      <c r="AJ702" s="224"/>
      <c r="AK702" s="224"/>
      <c r="AL702" s="224"/>
    </row>
    <row r="703" ht="15.7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  <c r="AF703" s="224"/>
      <c r="AG703" s="224"/>
      <c r="AH703" s="224"/>
      <c r="AI703" s="224"/>
      <c r="AJ703" s="224"/>
      <c r="AK703" s="224"/>
      <c r="AL703" s="224"/>
    </row>
    <row r="704" ht="15.7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  <c r="AF704" s="224"/>
      <c r="AG704" s="224"/>
      <c r="AH704" s="224"/>
      <c r="AI704" s="224"/>
      <c r="AJ704" s="224"/>
      <c r="AK704" s="224"/>
      <c r="AL704" s="224"/>
    </row>
    <row r="705" ht="15.7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  <c r="AF705" s="224"/>
      <c r="AG705" s="224"/>
      <c r="AH705" s="224"/>
      <c r="AI705" s="224"/>
      <c r="AJ705" s="224"/>
      <c r="AK705" s="224"/>
      <c r="AL705" s="224"/>
    </row>
    <row r="706" ht="15.7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  <c r="AF706" s="224"/>
      <c r="AG706" s="224"/>
      <c r="AH706" s="224"/>
      <c r="AI706" s="224"/>
      <c r="AJ706" s="224"/>
      <c r="AK706" s="224"/>
      <c r="AL706" s="224"/>
    </row>
    <row r="707" ht="15.7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  <c r="AF707" s="224"/>
      <c r="AG707" s="224"/>
      <c r="AH707" s="224"/>
      <c r="AI707" s="224"/>
      <c r="AJ707" s="224"/>
      <c r="AK707" s="224"/>
      <c r="AL707" s="224"/>
    </row>
    <row r="708" ht="15.7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  <c r="AF708" s="224"/>
      <c r="AG708" s="224"/>
      <c r="AH708" s="224"/>
      <c r="AI708" s="224"/>
      <c r="AJ708" s="224"/>
      <c r="AK708" s="224"/>
      <c r="AL708" s="224"/>
    </row>
    <row r="709" ht="15.7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  <c r="AF709" s="224"/>
      <c r="AG709" s="224"/>
      <c r="AH709" s="224"/>
      <c r="AI709" s="224"/>
      <c r="AJ709" s="224"/>
      <c r="AK709" s="224"/>
      <c r="AL709" s="224"/>
    </row>
    <row r="710" ht="15.7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  <c r="AC710" s="224"/>
      <c r="AD710" s="224"/>
      <c r="AE710" s="224"/>
      <c r="AF710" s="224"/>
      <c r="AG710" s="224"/>
      <c r="AH710" s="224"/>
      <c r="AI710" s="224"/>
      <c r="AJ710" s="224"/>
      <c r="AK710" s="224"/>
      <c r="AL710" s="224"/>
    </row>
    <row r="711" ht="15.7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  <c r="AK711" s="224"/>
      <c r="AL711" s="224"/>
    </row>
    <row r="712" ht="15.7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  <c r="AC712" s="224"/>
      <c r="AD712" s="224"/>
      <c r="AE712" s="224"/>
      <c r="AF712" s="224"/>
      <c r="AG712" s="224"/>
      <c r="AH712" s="224"/>
      <c r="AI712" s="224"/>
      <c r="AJ712" s="224"/>
      <c r="AK712" s="224"/>
      <c r="AL712" s="224"/>
    </row>
    <row r="713" ht="15.7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  <c r="AC713" s="224"/>
      <c r="AD713" s="224"/>
      <c r="AE713" s="224"/>
      <c r="AF713" s="224"/>
      <c r="AG713" s="224"/>
      <c r="AH713" s="224"/>
      <c r="AI713" s="224"/>
      <c r="AJ713" s="224"/>
      <c r="AK713" s="224"/>
      <c r="AL713" s="224"/>
    </row>
    <row r="714" ht="15.7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  <c r="AF714" s="224"/>
      <c r="AG714" s="224"/>
      <c r="AH714" s="224"/>
      <c r="AI714" s="224"/>
      <c r="AJ714" s="224"/>
      <c r="AK714" s="224"/>
      <c r="AL714" s="224"/>
    </row>
    <row r="715" ht="15.7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  <c r="AC715" s="224"/>
      <c r="AD715" s="224"/>
      <c r="AE715" s="224"/>
      <c r="AF715" s="224"/>
      <c r="AG715" s="224"/>
      <c r="AH715" s="224"/>
      <c r="AI715" s="224"/>
      <c r="AJ715" s="224"/>
      <c r="AK715" s="224"/>
      <c r="AL715" s="224"/>
    </row>
    <row r="716" ht="15.7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  <c r="AF716" s="224"/>
      <c r="AG716" s="224"/>
      <c r="AH716" s="224"/>
      <c r="AI716" s="224"/>
      <c r="AJ716" s="224"/>
      <c r="AK716" s="224"/>
      <c r="AL716" s="224"/>
    </row>
    <row r="717" ht="15.7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  <c r="AC717" s="224"/>
      <c r="AD717" s="224"/>
      <c r="AE717" s="224"/>
      <c r="AF717" s="224"/>
      <c r="AG717" s="224"/>
      <c r="AH717" s="224"/>
      <c r="AI717" s="224"/>
      <c r="AJ717" s="224"/>
      <c r="AK717" s="224"/>
      <c r="AL717" s="224"/>
    </row>
    <row r="718" ht="15.7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  <c r="AF718" s="224"/>
      <c r="AG718" s="224"/>
      <c r="AH718" s="224"/>
      <c r="AI718" s="224"/>
      <c r="AJ718" s="224"/>
      <c r="AK718" s="224"/>
      <c r="AL718" s="224"/>
    </row>
    <row r="719" ht="15.7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  <c r="AC719" s="224"/>
      <c r="AD719" s="224"/>
      <c r="AE719" s="224"/>
      <c r="AF719" s="224"/>
      <c r="AG719" s="224"/>
      <c r="AH719" s="224"/>
      <c r="AI719" s="224"/>
      <c r="AJ719" s="224"/>
      <c r="AK719" s="224"/>
      <c r="AL719" s="224"/>
    </row>
    <row r="720" ht="15.7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  <c r="AC720" s="224"/>
      <c r="AD720" s="224"/>
      <c r="AE720" s="224"/>
      <c r="AF720" s="224"/>
      <c r="AG720" s="224"/>
      <c r="AH720" s="224"/>
      <c r="AI720" s="224"/>
      <c r="AJ720" s="224"/>
      <c r="AK720" s="224"/>
      <c r="AL720" s="224"/>
    </row>
    <row r="721" ht="15.7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  <c r="AF721" s="224"/>
      <c r="AG721" s="224"/>
      <c r="AH721" s="224"/>
      <c r="AI721" s="224"/>
      <c r="AJ721" s="224"/>
      <c r="AK721" s="224"/>
      <c r="AL721" s="224"/>
    </row>
    <row r="722" ht="15.7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  <c r="AC722" s="224"/>
      <c r="AD722" s="224"/>
      <c r="AE722" s="224"/>
      <c r="AF722" s="224"/>
      <c r="AG722" s="224"/>
      <c r="AH722" s="224"/>
      <c r="AI722" s="224"/>
      <c r="AJ722" s="224"/>
      <c r="AK722" s="224"/>
      <c r="AL722" s="224"/>
    </row>
    <row r="723" ht="15.7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  <c r="AF723" s="224"/>
      <c r="AG723" s="224"/>
      <c r="AH723" s="224"/>
      <c r="AI723" s="224"/>
      <c r="AJ723" s="224"/>
      <c r="AK723" s="224"/>
      <c r="AL723" s="224"/>
    </row>
    <row r="724" ht="15.7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  <c r="AF724" s="224"/>
      <c r="AG724" s="224"/>
      <c r="AH724" s="224"/>
      <c r="AI724" s="224"/>
      <c r="AJ724" s="224"/>
      <c r="AK724" s="224"/>
      <c r="AL724" s="224"/>
    </row>
    <row r="725" ht="15.7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  <c r="AF725" s="224"/>
      <c r="AG725" s="224"/>
      <c r="AH725" s="224"/>
      <c r="AI725" s="224"/>
      <c r="AJ725" s="224"/>
      <c r="AK725" s="224"/>
      <c r="AL725" s="224"/>
    </row>
    <row r="726" ht="15.7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  <c r="AC726" s="224"/>
      <c r="AD726" s="224"/>
      <c r="AE726" s="224"/>
      <c r="AF726" s="224"/>
      <c r="AG726" s="224"/>
      <c r="AH726" s="224"/>
      <c r="AI726" s="224"/>
      <c r="AJ726" s="224"/>
      <c r="AK726" s="224"/>
      <c r="AL726" s="224"/>
    </row>
    <row r="727" ht="15.7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  <c r="AC727" s="224"/>
      <c r="AD727" s="224"/>
      <c r="AE727" s="224"/>
      <c r="AF727" s="224"/>
      <c r="AG727" s="224"/>
      <c r="AH727" s="224"/>
      <c r="AI727" s="224"/>
      <c r="AJ727" s="224"/>
      <c r="AK727" s="224"/>
      <c r="AL727" s="224"/>
    </row>
    <row r="728" ht="15.7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  <c r="AC728" s="224"/>
      <c r="AD728" s="224"/>
      <c r="AE728" s="224"/>
      <c r="AF728" s="224"/>
      <c r="AG728" s="224"/>
      <c r="AH728" s="224"/>
      <c r="AI728" s="224"/>
      <c r="AJ728" s="224"/>
      <c r="AK728" s="224"/>
      <c r="AL728" s="224"/>
    </row>
    <row r="729" ht="15.7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  <c r="AC729" s="224"/>
      <c r="AD729" s="224"/>
      <c r="AE729" s="224"/>
      <c r="AF729" s="224"/>
      <c r="AG729" s="224"/>
      <c r="AH729" s="224"/>
      <c r="AI729" s="224"/>
      <c r="AJ729" s="224"/>
      <c r="AK729" s="224"/>
      <c r="AL729" s="224"/>
    </row>
    <row r="730" ht="15.7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  <c r="AC730" s="224"/>
      <c r="AD730" s="224"/>
      <c r="AE730" s="224"/>
      <c r="AF730" s="224"/>
      <c r="AG730" s="224"/>
      <c r="AH730" s="224"/>
      <c r="AI730" s="224"/>
      <c r="AJ730" s="224"/>
      <c r="AK730" s="224"/>
      <c r="AL730" s="224"/>
    </row>
    <row r="731" ht="15.7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  <c r="AF731" s="224"/>
      <c r="AG731" s="224"/>
      <c r="AH731" s="224"/>
      <c r="AI731" s="224"/>
      <c r="AJ731" s="224"/>
      <c r="AK731" s="224"/>
      <c r="AL731" s="224"/>
    </row>
    <row r="732" ht="15.7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  <c r="AC732" s="224"/>
      <c r="AD732" s="224"/>
      <c r="AE732" s="224"/>
      <c r="AF732" s="224"/>
      <c r="AG732" s="224"/>
      <c r="AH732" s="224"/>
      <c r="AI732" s="224"/>
      <c r="AJ732" s="224"/>
      <c r="AK732" s="224"/>
      <c r="AL732" s="224"/>
    </row>
    <row r="733" ht="15.7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  <c r="AC733" s="224"/>
      <c r="AD733" s="224"/>
      <c r="AE733" s="224"/>
      <c r="AF733" s="224"/>
      <c r="AG733" s="224"/>
      <c r="AH733" s="224"/>
      <c r="AI733" s="224"/>
      <c r="AJ733" s="224"/>
      <c r="AK733" s="224"/>
      <c r="AL733" s="224"/>
    </row>
    <row r="734" ht="15.7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  <c r="AF734" s="224"/>
      <c r="AG734" s="224"/>
      <c r="AH734" s="224"/>
      <c r="AI734" s="224"/>
      <c r="AJ734" s="224"/>
      <c r="AK734" s="224"/>
      <c r="AL734" s="224"/>
    </row>
    <row r="735" ht="15.7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  <c r="AF735" s="224"/>
      <c r="AG735" s="224"/>
      <c r="AH735" s="224"/>
      <c r="AI735" s="224"/>
      <c r="AJ735" s="224"/>
      <c r="AK735" s="224"/>
      <c r="AL735" s="224"/>
    </row>
    <row r="736" ht="15.7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  <c r="AC736" s="224"/>
      <c r="AD736" s="224"/>
      <c r="AE736" s="224"/>
      <c r="AF736" s="224"/>
      <c r="AG736" s="224"/>
      <c r="AH736" s="224"/>
      <c r="AI736" s="224"/>
      <c r="AJ736" s="224"/>
      <c r="AK736" s="224"/>
      <c r="AL736" s="224"/>
    </row>
    <row r="737" ht="15.7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  <c r="AC737" s="224"/>
      <c r="AD737" s="224"/>
      <c r="AE737" s="224"/>
      <c r="AF737" s="224"/>
      <c r="AG737" s="224"/>
      <c r="AH737" s="224"/>
      <c r="AI737" s="224"/>
      <c r="AJ737" s="224"/>
      <c r="AK737" s="224"/>
      <c r="AL737" s="224"/>
    </row>
    <row r="738" ht="15.7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  <c r="AC738" s="224"/>
      <c r="AD738" s="224"/>
      <c r="AE738" s="224"/>
      <c r="AF738" s="224"/>
      <c r="AG738" s="224"/>
      <c r="AH738" s="224"/>
      <c r="AI738" s="224"/>
      <c r="AJ738" s="224"/>
      <c r="AK738" s="224"/>
      <c r="AL738" s="224"/>
    </row>
    <row r="739" ht="15.7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  <c r="AC739" s="224"/>
      <c r="AD739" s="224"/>
      <c r="AE739" s="224"/>
      <c r="AF739" s="224"/>
      <c r="AG739" s="224"/>
      <c r="AH739" s="224"/>
      <c r="AI739" s="224"/>
      <c r="AJ739" s="224"/>
      <c r="AK739" s="224"/>
      <c r="AL739" s="224"/>
    </row>
    <row r="740" ht="15.7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  <c r="AC740" s="224"/>
      <c r="AD740" s="224"/>
      <c r="AE740" s="224"/>
      <c r="AF740" s="224"/>
      <c r="AG740" s="224"/>
      <c r="AH740" s="224"/>
      <c r="AI740" s="224"/>
      <c r="AJ740" s="224"/>
      <c r="AK740" s="224"/>
      <c r="AL740" s="224"/>
    </row>
    <row r="741" ht="15.7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  <c r="AF741" s="224"/>
      <c r="AG741" s="224"/>
      <c r="AH741" s="224"/>
      <c r="AI741" s="224"/>
      <c r="AJ741" s="224"/>
      <c r="AK741" s="224"/>
      <c r="AL741" s="224"/>
    </row>
    <row r="742" ht="15.7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  <c r="AC742" s="224"/>
      <c r="AD742" s="224"/>
      <c r="AE742" s="224"/>
      <c r="AF742" s="224"/>
      <c r="AG742" s="224"/>
      <c r="AH742" s="224"/>
      <c r="AI742" s="224"/>
      <c r="AJ742" s="224"/>
      <c r="AK742" s="224"/>
      <c r="AL742" s="224"/>
    </row>
    <row r="743" ht="15.7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  <c r="AC743" s="224"/>
      <c r="AD743" s="224"/>
      <c r="AE743" s="224"/>
      <c r="AF743" s="224"/>
      <c r="AG743" s="224"/>
      <c r="AH743" s="224"/>
      <c r="AI743" s="224"/>
      <c r="AJ743" s="224"/>
      <c r="AK743" s="224"/>
      <c r="AL743" s="224"/>
    </row>
    <row r="744" ht="15.7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  <c r="AF744" s="224"/>
      <c r="AG744" s="224"/>
      <c r="AH744" s="224"/>
      <c r="AI744" s="224"/>
      <c r="AJ744" s="224"/>
      <c r="AK744" s="224"/>
      <c r="AL744" s="224"/>
    </row>
    <row r="745" ht="15.7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  <c r="AF745" s="224"/>
      <c r="AG745" s="224"/>
      <c r="AH745" s="224"/>
      <c r="AI745" s="224"/>
      <c r="AJ745" s="224"/>
      <c r="AK745" s="224"/>
      <c r="AL745" s="224"/>
    </row>
    <row r="746" ht="15.7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  <c r="AF746" s="224"/>
      <c r="AG746" s="224"/>
      <c r="AH746" s="224"/>
      <c r="AI746" s="224"/>
      <c r="AJ746" s="224"/>
      <c r="AK746" s="224"/>
      <c r="AL746" s="224"/>
    </row>
    <row r="747" ht="15.7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  <c r="AK747" s="224"/>
      <c r="AL747" s="224"/>
    </row>
    <row r="748" ht="15.7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  <c r="AF748" s="224"/>
      <c r="AG748" s="224"/>
      <c r="AH748" s="224"/>
      <c r="AI748" s="224"/>
      <c r="AJ748" s="224"/>
      <c r="AK748" s="224"/>
      <c r="AL748" s="224"/>
    </row>
    <row r="749" ht="15.7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  <c r="AF749" s="224"/>
      <c r="AG749" s="224"/>
      <c r="AH749" s="224"/>
      <c r="AI749" s="224"/>
      <c r="AJ749" s="224"/>
      <c r="AK749" s="224"/>
      <c r="AL749" s="224"/>
    </row>
    <row r="750" ht="15.7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  <c r="AF750" s="224"/>
      <c r="AG750" s="224"/>
      <c r="AH750" s="224"/>
      <c r="AI750" s="224"/>
      <c r="AJ750" s="224"/>
      <c r="AK750" s="224"/>
      <c r="AL750" s="224"/>
    </row>
    <row r="751" ht="15.7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  <c r="AF751" s="224"/>
      <c r="AG751" s="224"/>
      <c r="AH751" s="224"/>
      <c r="AI751" s="224"/>
      <c r="AJ751" s="224"/>
      <c r="AK751" s="224"/>
      <c r="AL751" s="224"/>
    </row>
    <row r="752" ht="15.7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  <c r="AC752" s="224"/>
      <c r="AD752" s="224"/>
      <c r="AE752" s="224"/>
      <c r="AF752" s="224"/>
      <c r="AG752" s="224"/>
      <c r="AH752" s="224"/>
      <c r="AI752" s="224"/>
      <c r="AJ752" s="224"/>
      <c r="AK752" s="224"/>
      <c r="AL752" s="224"/>
    </row>
    <row r="753" ht="15.7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  <c r="AC753" s="224"/>
      <c r="AD753" s="224"/>
      <c r="AE753" s="224"/>
      <c r="AF753" s="224"/>
      <c r="AG753" s="224"/>
      <c r="AH753" s="224"/>
      <c r="AI753" s="224"/>
      <c r="AJ753" s="224"/>
      <c r="AK753" s="224"/>
      <c r="AL753" s="224"/>
    </row>
    <row r="754" ht="15.7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  <c r="AC754" s="224"/>
      <c r="AD754" s="224"/>
      <c r="AE754" s="224"/>
      <c r="AF754" s="224"/>
      <c r="AG754" s="224"/>
      <c r="AH754" s="224"/>
      <c r="AI754" s="224"/>
      <c r="AJ754" s="224"/>
      <c r="AK754" s="224"/>
      <c r="AL754" s="224"/>
    </row>
    <row r="755" ht="15.7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  <c r="AC755" s="224"/>
      <c r="AD755" s="224"/>
      <c r="AE755" s="224"/>
      <c r="AF755" s="224"/>
      <c r="AG755" s="224"/>
      <c r="AH755" s="224"/>
      <c r="AI755" s="224"/>
      <c r="AJ755" s="224"/>
      <c r="AK755" s="224"/>
      <c r="AL755" s="224"/>
    </row>
    <row r="756" ht="15.7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  <c r="AC756" s="224"/>
      <c r="AD756" s="224"/>
      <c r="AE756" s="224"/>
      <c r="AF756" s="224"/>
      <c r="AG756" s="224"/>
      <c r="AH756" s="224"/>
      <c r="AI756" s="224"/>
      <c r="AJ756" s="224"/>
      <c r="AK756" s="224"/>
      <c r="AL756" s="224"/>
    </row>
    <row r="757" ht="15.7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  <c r="AF757" s="224"/>
      <c r="AG757" s="224"/>
      <c r="AH757" s="224"/>
      <c r="AI757" s="224"/>
      <c r="AJ757" s="224"/>
      <c r="AK757" s="224"/>
      <c r="AL757" s="224"/>
    </row>
    <row r="758" ht="15.7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  <c r="AF758" s="224"/>
      <c r="AG758" s="224"/>
      <c r="AH758" s="224"/>
      <c r="AI758" s="224"/>
      <c r="AJ758" s="224"/>
      <c r="AK758" s="224"/>
      <c r="AL758" s="224"/>
    </row>
    <row r="759" ht="15.7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  <c r="AF759" s="224"/>
      <c r="AG759" s="224"/>
      <c r="AH759" s="224"/>
      <c r="AI759" s="224"/>
      <c r="AJ759" s="224"/>
      <c r="AK759" s="224"/>
      <c r="AL759" s="224"/>
    </row>
    <row r="760" ht="15.7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  <c r="AF760" s="224"/>
      <c r="AG760" s="224"/>
      <c r="AH760" s="224"/>
      <c r="AI760" s="224"/>
      <c r="AJ760" s="224"/>
      <c r="AK760" s="224"/>
      <c r="AL760" s="224"/>
    </row>
    <row r="761" ht="15.7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  <c r="AF761" s="224"/>
      <c r="AG761" s="224"/>
      <c r="AH761" s="224"/>
      <c r="AI761" s="224"/>
      <c r="AJ761" s="224"/>
      <c r="AK761" s="224"/>
      <c r="AL761" s="224"/>
    </row>
    <row r="762" ht="15.7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  <c r="AF762" s="224"/>
      <c r="AG762" s="224"/>
      <c r="AH762" s="224"/>
      <c r="AI762" s="224"/>
      <c r="AJ762" s="224"/>
      <c r="AK762" s="224"/>
      <c r="AL762" s="224"/>
    </row>
    <row r="763" ht="15.7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  <c r="AF763" s="224"/>
      <c r="AG763" s="224"/>
      <c r="AH763" s="224"/>
      <c r="AI763" s="224"/>
      <c r="AJ763" s="224"/>
      <c r="AK763" s="224"/>
      <c r="AL763" s="224"/>
    </row>
    <row r="764" ht="15.7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  <c r="AF764" s="224"/>
      <c r="AG764" s="224"/>
      <c r="AH764" s="224"/>
      <c r="AI764" s="224"/>
      <c r="AJ764" s="224"/>
      <c r="AK764" s="224"/>
      <c r="AL764" s="224"/>
    </row>
    <row r="765" ht="15.7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  <c r="AF765" s="224"/>
      <c r="AG765" s="224"/>
      <c r="AH765" s="224"/>
      <c r="AI765" s="224"/>
      <c r="AJ765" s="224"/>
      <c r="AK765" s="224"/>
      <c r="AL765" s="224"/>
    </row>
    <row r="766" ht="15.7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  <c r="AF766" s="224"/>
      <c r="AG766" s="224"/>
      <c r="AH766" s="224"/>
      <c r="AI766" s="224"/>
      <c r="AJ766" s="224"/>
      <c r="AK766" s="224"/>
      <c r="AL766" s="224"/>
    </row>
    <row r="767" ht="15.7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  <c r="AF767" s="224"/>
      <c r="AG767" s="224"/>
      <c r="AH767" s="224"/>
      <c r="AI767" s="224"/>
      <c r="AJ767" s="224"/>
      <c r="AK767" s="224"/>
      <c r="AL767" s="224"/>
    </row>
    <row r="768" ht="15.7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  <c r="AF768" s="224"/>
      <c r="AG768" s="224"/>
      <c r="AH768" s="224"/>
      <c r="AI768" s="224"/>
      <c r="AJ768" s="224"/>
      <c r="AK768" s="224"/>
      <c r="AL768" s="224"/>
    </row>
    <row r="769" ht="15.7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  <c r="AF769" s="224"/>
      <c r="AG769" s="224"/>
      <c r="AH769" s="224"/>
      <c r="AI769" s="224"/>
      <c r="AJ769" s="224"/>
      <c r="AK769" s="224"/>
      <c r="AL769" s="224"/>
    </row>
    <row r="770" ht="15.7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  <c r="AF770" s="224"/>
      <c r="AG770" s="224"/>
      <c r="AH770" s="224"/>
      <c r="AI770" s="224"/>
      <c r="AJ770" s="224"/>
      <c r="AK770" s="224"/>
      <c r="AL770" s="224"/>
    </row>
    <row r="771" ht="15.7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  <c r="AF771" s="224"/>
      <c r="AG771" s="224"/>
      <c r="AH771" s="224"/>
      <c r="AI771" s="224"/>
      <c r="AJ771" s="224"/>
      <c r="AK771" s="224"/>
      <c r="AL771" s="224"/>
    </row>
    <row r="772" ht="15.7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  <c r="AF772" s="224"/>
      <c r="AG772" s="224"/>
      <c r="AH772" s="224"/>
      <c r="AI772" s="224"/>
      <c r="AJ772" s="224"/>
      <c r="AK772" s="224"/>
      <c r="AL772" s="224"/>
    </row>
    <row r="773" ht="15.7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  <c r="AF773" s="224"/>
      <c r="AG773" s="224"/>
      <c r="AH773" s="224"/>
      <c r="AI773" s="224"/>
      <c r="AJ773" s="224"/>
      <c r="AK773" s="224"/>
      <c r="AL773" s="224"/>
    </row>
    <row r="774" ht="15.7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  <c r="AF774" s="224"/>
      <c r="AG774" s="224"/>
      <c r="AH774" s="224"/>
      <c r="AI774" s="224"/>
      <c r="AJ774" s="224"/>
      <c r="AK774" s="224"/>
      <c r="AL774" s="224"/>
    </row>
    <row r="775" ht="15.7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  <c r="AF775" s="224"/>
      <c r="AG775" s="224"/>
      <c r="AH775" s="224"/>
      <c r="AI775" s="224"/>
      <c r="AJ775" s="224"/>
      <c r="AK775" s="224"/>
      <c r="AL775" s="224"/>
    </row>
    <row r="776" ht="15.7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  <c r="AF776" s="224"/>
      <c r="AG776" s="224"/>
      <c r="AH776" s="224"/>
      <c r="AI776" s="224"/>
      <c r="AJ776" s="224"/>
      <c r="AK776" s="224"/>
      <c r="AL776" s="224"/>
    </row>
    <row r="777" ht="15.7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  <c r="AF777" s="224"/>
      <c r="AG777" s="224"/>
      <c r="AH777" s="224"/>
      <c r="AI777" s="224"/>
      <c r="AJ777" s="224"/>
      <c r="AK777" s="224"/>
      <c r="AL777" s="224"/>
    </row>
    <row r="778" ht="15.7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  <c r="AF778" s="224"/>
      <c r="AG778" s="224"/>
      <c r="AH778" s="224"/>
      <c r="AI778" s="224"/>
      <c r="AJ778" s="224"/>
      <c r="AK778" s="224"/>
      <c r="AL778" s="224"/>
    </row>
    <row r="779" ht="15.7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  <c r="AF779" s="224"/>
      <c r="AG779" s="224"/>
      <c r="AH779" s="224"/>
      <c r="AI779" s="224"/>
      <c r="AJ779" s="224"/>
      <c r="AK779" s="224"/>
      <c r="AL779" s="224"/>
    </row>
    <row r="780" ht="15.7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  <c r="AF780" s="224"/>
      <c r="AG780" s="224"/>
      <c r="AH780" s="224"/>
      <c r="AI780" s="224"/>
      <c r="AJ780" s="224"/>
      <c r="AK780" s="224"/>
      <c r="AL780" s="224"/>
    </row>
    <row r="781" ht="15.7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  <c r="AF781" s="224"/>
      <c r="AG781" s="224"/>
      <c r="AH781" s="224"/>
      <c r="AI781" s="224"/>
      <c r="AJ781" s="224"/>
      <c r="AK781" s="224"/>
      <c r="AL781" s="224"/>
    </row>
    <row r="782" ht="15.7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  <c r="AF782" s="224"/>
      <c r="AG782" s="224"/>
      <c r="AH782" s="224"/>
      <c r="AI782" s="224"/>
      <c r="AJ782" s="224"/>
      <c r="AK782" s="224"/>
      <c r="AL782" s="224"/>
    </row>
    <row r="783" ht="15.7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  <c r="AF783" s="224"/>
      <c r="AG783" s="224"/>
      <c r="AH783" s="224"/>
      <c r="AI783" s="224"/>
      <c r="AJ783" s="224"/>
      <c r="AK783" s="224"/>
      <c r="AL783" s="224"/>
    </row>
    <row r="784" ht="15.7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  <c r="AF784" s="224"/>
      <c r="AG784" s="224"/>
      <c r="AH784" s="224"/>
      <c r="AI784" s="224"/>
      <c r="AJ784" s="224"/>
      <c r="AK784" s="224"/>
      <c r="AL784" s="224"/>
    </row>
    <row r="785" ht="15.7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  <c r="AF785" s="224"/>
      <c r="AG785" s="224"/>
      <c r="AH785" s="224"/>
      <c r="AI785" s="224"/>
      <c r="AJ785" s="224"/>
      <c r="AK785" s="224"/>
      <c r="AL785" s="224"/>
    </row>
    <row r="786" ht="15.7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  <c r="AF786" s="224"/>
      <c r="AG786" s="224"/>
      <c r="AH786" s="224"/>
      <c r="AI786" s="224"/>
      <c r="AJ786" s="224"/>
      <c r="AK786" s="224"/>
      <c r="AL786" s="224"/>
    </row>
    <row r="787" ht="15.7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  <c r="AF787" s="224"/>
      <c r="AG787" s="224"/>
      <c r="AH787" s="224"/>
      <c r="AI787" s="224"/>
      <c r="AJ787" s="224"/>
      <c r="AK787" s="224"/>
      <c r="AL787" s="224"/>
    </row>
    <row r="788" ht="15.7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  <c r="AF788" s="224"/>
      <c r="AG788" s="224"/>
      <c r="AH788" s="224"/>
      <c r="AI788" s="224"/>
      <c r="AJ788" s="224"/>
      <c r="AK788" s="224"/>
      <c r="AL788" s="224"/>
    </row>
    <row r="789" ht="15.7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  <c r="AF789" s="224"/>
      <c r="AG789" s="224"/>
      <c r="AH789" s="224"/>
      <c r="AI789" s="224"/>
      <c r="AJ789" s="224"/>
      <c r="AK789" s="224"/>
      <c r="AL789" s="224"/>
    </row>
    <row r="790" ht="15.7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  <c r="AF790" s="224"/>
      <c r="AG790" s="224"/>
      <c r="AH790" s="224"/>
      <c r="AI790" s="224"/>
      <c r="AJ790" s="224"/>
      <c r="AK790" s="224"/>
      <c r="AL790" s="224"/>
    </row>
    <row r="791" ht="15.7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  <c r="AF791" s="224"/>
      <c r="AG791" s="224"/>
      <c r="AH791" s="224"/>
      <c r="AI791" s="224"/>
      <c r="AJ791" s="224"/>
      <c r="AK791" s="224"/>
      <c r="AL791" s="224"/>
    </row>
    <row r="792" ht="15.7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  <c r="AF792" s="224"/>
      <c r="AG792" s="224"/>
      <c r="AH792" s="224"/>
      <c r="AI792" s="224"/>
      <c r="AJ792" s="224"/>
      <c r="AK792" s="224"/>
      <c r="AL792" s="224"/>
    </row>
    <row r="793" ht="15.7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  <c r="AF793" s="224"/>
      <c r="AG793" s="224"/>
      <c r="AH793" s="224"/>
      <c r="AI793" s="224"/>
      <c r="AJ793" s="224"/>
      <c r="AK793" s="224"/>
      <c r="AL793" s="224"/>
    </row>
    <row r="794" ht="15.7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  <c r="AF794" s="224"/>
      <c r="AG794" s="224"/>
      <c r="AH794" s="224"/>
      <c r="AI794" s="224"/>
      <c r="AJ794" s="224"/>
      <c r="AK794" s="224"/>
      <c r="AL794" s="224"/>
    </row>
    <row r="795" ht="15.7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  <c r="AF795" s="224"/>
      <c r="AG795" s="224"/>
      <c r="AH795" s="224"/>
      <c r="AI795" s="224"/>
      <c r="AJ795" s="224"/>
      <c r="AK795" s="224"/>
      <c r="AL795" s="224"/>
    </row>
    <row r="796" ht="15.7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  <c r="AF796" s="224"/>
      <c r="AG796" s="224"/>
      <c r="AH796" s="224"/>
      <c r="AI796" s="224"/>
      <c r="AJ796" s="224"/>
      <c r="AK796" s="224"/>
      <c r="AL796" s="224"/>
    </row>
    <row r="797" ht="15.7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  <c r="AF797" s="224"/>
      <c r="AG797" s="224"/>
      <c r="AH797" s="224"/>
      <c r="AI797" s="224"/>
      <c r="AJ797" s="224"/>
      <c r="AK797" s="224"/>
      <c r="AL797" s="224"/>
    </row>
    <row r="798" ht="15.7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  <c r="AF798" s="224"/>
      <c r="AG798" s="224"/>
      <c r="AH798" s="224"/>
      <c r="AI798" s="224"/>
      <c r="AJ798" s="224"/>
      <c r="AK798" s="224"/>
      <c r="AL798" s="224"/>
    </row>
    <row r="799" ht="15.7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  <c r="AF799" s="224"/>
      <c r="AG799" s="224"/>
      <c r="AH799" s="224"/>
      <c r="AI799" s="224"/>
      <c r="AJ799" s="224"/>
      <c r="AK799" s="224"/>
      <c r="AL799" s="224"/>
    </row>
    <row r="800" ht="15.7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  <c r="AK800" s="224"/>
      <c r="AL800" s="224"/>
    </row>
    <row r="801" ht="15.7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  <c r="AF801" s="224"/>
      <c r="AG801" s="224"/>
      <c r="AH801" s="224"/>
      <c r="AI801" s="224"/>
      <c r="AJ801" s="224"/>
      <c r="AK801" s="224"/>
      <c r="AL801" s="224"/>
    </row>
    <row r="802" ht="15.7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  <c r="AF802" s="224"/>
      <c r="AG802" s="224"/>
      <c r="AH802" s="224"/>
      <c r="AI802" s="224"/>
      <c r="AJ802" s="224"/>
      <c r="AK802" s="224"/>
      <c r="AL802" s="224"/>
    </row>
    <row r="803" ht="15.7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  <c r="AF803" s="224"/>
      <c r="AG803" s="224"/>
      <c r="AH803" s="224"/>
      <c r="AI803" s="224"/>
      <c r="AJ803" s="224"/>
      <c r="AK803" s="224"/>
      <c r="AL803" s="224"/>
    </row>
    <row r="804" ht="15.7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  <c r="AF804" s="224"/>
      <c r="AG804" s="224"/>
      <c r="AH804" s="224"/>
      <c r="AI804" s="224"/>
      <c r="AJ804" s="224"/>
      <c r="AK804" s="224"/>
      <c r="AL804" s="224"/>
    </row>
    <row r="805" ht="15.7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  <c r="AF805" s="224"/>
      <c r="AG805" s="224"/>
      <c r="AH805" s="224"/>
      <c r="AI805" s="224"/>
      <c r="AJ805" s="224"/>
      <c r="AK805" s="224"/>
      <c r="AL805" s="224"/>
    </row>
    <row r="806" ht="15.7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  <c r="AF806" s="224"/>
      <c r="AG806" s="224"/>
      <c r="AH806" s="224"/>
      <c r="AI806" s="224"/>
      <c r="AJ806" s="224"/>
      <c r="AK806" s="224"/>
      <c r="AL806" s="224"/>
    </row>
    <row r="807" ht="15.7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  <c r="AF807" s="224"/>
      <c r="AG807" s="224"/>
      <c r="AH807" s="224"/>
      <c r="AI807" s="224"/>
      <c r="AJ807" s="224"/>
      <c r="AK807" s="224"/>
      <c r="AL807" s="224"/>
    </row>
    <row r="808" ht="15.7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  <c r="AF808" s="224"/>
      <c r="AG808" s="224"/>
      <c r="AH808" s="224"/>
      <c r="AI808" s="224"/>
      <c r="AJ808" s="224"/>
      <c r="AK808" s="224"/>
      <c r="AL808" s="224"/>
    </row>
    <row r="809" ht="15.7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  <c r="AF809" s="224"/>
      <c r="AG809" s="224"/>
      <c r="AH809" s="224"/>
      <c r="AI809" s="224"/>
      <c r="AJ809" s="224"/>
      <c r="AK809" s="224"/>
      <c r="AL809" s="224"/>
    </row>
    <row r="810" ht="15.7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  <c r="AF810" s="224"/>
      <c r="AG810" s="224"/>
      <c r="AH810" s="224"/>
      <c r="AI810" s="224"/>
      <c r="AJ810" s="224"/>
      <c r="AK810" s="224"/>
      <c r="AL810" s="224"/>
    </row>
    <row r="811" ht="15.7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  <c r="AF811" s="224"/>
      <c r="AG811" s="224"/>
      <c r="AH811" s="224"/>
      <c r="AI811" s="224"/>
      <c r="AJ811" s="224"/>
      <c r="AK811" s="224"/>
      <c r="AL811" s="224"/>
    </row>
    <row r="812" ht="15.7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  <c r="AF812" s="224"/>
      <c r="AG812" s="224"/>
      <c r="AH812" s="224"/>
      <c r="AI812" s="224"/>
      <c r="AJ812" s="224"/>
      <c r="AK812" s="224"/>
      <c r="AL812" s="224"/>
    </row>
    <row r="813" ht="15.7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  <c r="AF813" s="224"/>
      <c r="AG813" s="224"/>
      <c r="AH813" s="224"/>
      <c r="AI813" s="224"/>
      <c r="AJ813" s="224"/>
      <c r="AK813" s="224"/>
      <c r="AL813" s="224"/>
    </row>
    <row r="814" ht="15.7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  <c r="AF814" s="224"/>
      <c r="AG814" s="224"/>
      <c r="AH814" s="224"/>
      <c r="AI814" s="224"/>
      <c r="AJ814" s="224"/>
      <c r="AK814" s="224"/>
      <c r="AL814" s="224"/>
    </row>
    <row r="815" ht="15.7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  <c r="AF815" s="224"/>
      <c r="AG815" s="224"/>
      <c r="AH815" s="224"/>
      <c r="AI815" s="224"/>
      <c r="AJ815" s="224"/>
      <c r="AK815" s="224"/>
      <c r="AL815" s="224"/>
    </row>
    <row r="816" ht="15.7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  <c r="AF816" s="224"/>
      <c r="AG816" s="224"/>
      <c r="AH816" s="224"/>
      <c r="AI816" s="224"/>
      <c r="AJ816" s="224"/>
      <c r="AK816" s="224"/>
      <c r="AL816" s="224"/>
    </row>
    <row r="817" ht="15.7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  <c r="AF817" s="224"/>
      <c r="AG817" s="224"/>
      <c r="AH817" s="224"/>
      <c r="AI817" s="224"/>
      <c r="AJ817" s="224"/>
      <c r="AK817" s="224"/>
      <c r="AL817" s="224"/>
    </row>
    <row r="818" ht="15.7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  <c r="AF818" s="224"/>
      <c r="AG818" s="224"/>
      <c r="AH818" s="224"/>
      <c r="AI818" s="224"/>
      <c r="AJ818" s="224"/>
      <c r="AK818" s="224"/>
      <c r="AL818" s="224"/>
    </row>
    <row r="819" ht="15.7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  <c r="AF819" s="224"/>
      <c r="AG819" s="224"/>
      <c r="AH819" s="224"/>
      <c r="AI819" s="224"/>
      <c r="AJ819" s="224"/>
      <c r="AK819" s="224"/>
      <c r="AL819" s="224"/>
    </row>
    <row r="820" ht="15.7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  <c r="AF820" s="224"/>
      <c r="AG820" s="224"/>
      <c r="AH820" s="224"/>
      <c r="AI820" s="224"/>
      <c r="AJ820" s="224"/>
      <c r="AK820" s="224"/>
      <c r="AL820" s="224"/>
    </row>
    <row r="821" ht="15.7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  <c r="AF821" s="224"/>
      <c r="AG821" s="224"/>
      <c r="AH821" s="224"/>
      <c r="AI821" s="224"/>
      <c r="AJ821" s="224"/>
      <c r="AK821" s="224"/>
      <c r="AL821" s="224"/>
    </row>
    <row r="822" ht="15.7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  <c r="AF822" s="224"/>
      <c r="AG822" s="224"/>
      <c r="AH822" s="224"/>
      <c r="AI822" s="224"/>
      <c r="AJ822" s="224"/>
      <c r="AK822" s="224"/>
      <c r="AL822" s="224"/>
    </row>
    <row r="823" ht="15.7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  <c r="AF823" s="224"/>
      <c r="AG823" s="224"/>
      <c r="AH823" s="224"/>
      <c r="AI823" s="224"/>
      <c r="AJ823" s="224"/>
      <c r="AK823" s="224"/>
      <c r="AL823" s="224"/>
    </row>
    <row r="824" ht="15.7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  <c r="AF824" s="224"/>
      <c r="AG824" s="224"/>
      <c r="AH824" s="224"/>
      <c r="AI824" s="224"/>
      <c r="AJ824" s="224"/>
      <c r="AK824" s="224"/>
      <c r="AL824" s="224"/>
    </row>
    <row r="825" ht="15.7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  <c r="AF825" s="224"/>
      <c r="AG825" s="224"/>
      <c r="AH825" s="224"/>
      <c r="AI825" s="224"/>
      <c r="AJ825" s="224"/>
      <c r="AK825" s="224"/>
      <c r="AL825" s="224"/>
    </row>
    <row r="826" ht="15.7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  <c r="AF826" s="224"/>
      <c r="AG826" s="224"/>
      <c r="AH826" s="224"/>
      <c r="AI826" s="224"/>
      <c r="AJ826" s="224"/>
      <c r="AK826" s="224"/>
      <c r="AL826" s="224"/>
    </row>
    <row r="827" ht="15.7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  <c r="AF827" s="224"/>
      <c r="AG827" s="224"/>
      <c r="AH827" s="224"/>
      <c r="AI827" s="224"/>
      <c r="AJ827" s="224"/>
      <c r="AK827" s="224"/>
      <c r="AL827" s="224"/>
    </row>
    <row r="828" ht="15.7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  <c r="AF828" s="224"/>
      <c r="AG828" s="224"/>
      <c r="AH828" s="224"/>
      <c r="AI828" s="224"/>
      <c r="AJ828" s="224"/>
      <c r="AK828" s="224"/>
      <c r="AL828" s="224"/>
    </row>
    <row r="829" ht="15.7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  <c r="AF829" s="224"/>
      <c r="AG829" s="224"/>
      <c r="AH829" s="224"/>
      <c r="AI829" s="224"/>
      <c r="AJ829" s="224"/>
      <c r="AK829" s="224"/>
      <c r="AL829" s="224"/>
    </row>
    <row r="830" ht="15.7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  <c r="AF830" s="224"/>
      <c r="AG830" s="224"/>
      <c r="AH830" s="224"/>
      <c r="AI830" s="224"/>
      <c r="AJ830" s="224"/>
      <c r="AK830" s="224"/>
      <c r="AL830" s="224"/>
    </row>
    <row r="831" ht="15.7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  <c r="AF831" s="224"/>
      <c r="AG831" s="224"/>
      <c r="AH831" s="224"/>
      <c r="AI831" s="224"/>
      <c r="AJ831" s="224"/>
      <c r="AK831" s="224"/>
      <c r="AL831" s="224"/>
    </row>
    <row r="832" ht="15.7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  <c r="AF832" s="224"/>
      <c r="AG832" s="224"/>
      <c r="AH832" s="224"/>
      <c r="AI832" s="224"/>
      <c r="AJ832" s="224"/>
      <c r="AK832" s="224"/>
      <c r="AL832" s="224"/>
    </row>
    <row r="833" ht="15.7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  <c r="AF833" s="224"/>
      <c r="AG833" s="224"/>
      <c r="AH833" s="224"/>
      <c r="AI833" s="224"/>
      <c r="AJ833" s="224"/>
      <c r="AK833" s="224"/>
      <c r="AL833" s="224"/>
    </row>
    <row r="834" ht="15.7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  <c r="AF834" s="224"/>
      <c r="AG834" s="224"/>
      <c r="AH834" s="224"/>
      <c r="AI834" s="224"/>
      <c r="AJ834" s="224"/>
      <c r="AK834" s="224"/>
      <c r="AL834" s="224"/>
    </row>
    <row r="835" ht="15.7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  <c r="AF835" s="224"/>
      <c r="AG835" s="224"/>
      <c r="AH835" s="224"/>
      <c r="AI835" s="224"/>
      <c r="AJ835" s="224"/>
      <c r="AK835" s="224"/>
      <c r="AL835" s="224"/>
    </row>
    <row r="836" ht="15.7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  <c r="AF836" s="224"/>
      <c r="AG836" s="224"/>
      <c r="AH836" s="224"/>
      <c r="AI836" s="224"/>
      <c r="AJ836" s="224"/>
      <c r="AK836" s="224"/>
      <c r="AL836" s="224"/>
    </row>
    <row r="837" ht="15.7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  <c r="AF837" s="224"/>
      <c r="AG837" s="224"/>
      <c r="AH837" s="224"/>
      <c r="AI837" s="224"/>
      <c r="AJ837" s="224"/>
      <c r="AK837" s="224"/>
      <c r="AL837" s="224"/>
    </row>
    <row r="838" ht="15.7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  <c r="AF838" s="224"/>
      <c r="AG838" s="224"/>
      <c r="AH838" s="224"/>
      <c r="AI838" s="224"/>
      <c r="AJ838" s="224"/>
      <c r="AK838" s="224"/>
      <c r="AL838" s="224"/>
    </row>
    <row r="839" ht="15.7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  <c r="AF839" s="224"/>
      <c r="AG839" s="224"/>
      <c r="AH839" s="224"/>
      <c r="AI839" s="224"/>
      <c r="AJ839" s="224"/>
      <c r="AK839" s="224"/>
      <c r="AL839" s="224"/>
    </row>
    <row r="840" ht="15.7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  <c r="AF840" s="224"/>
      <c r="AG840" s="224"/>
      <c r="AH840" s="224"/>
      <c r="AI840" s="224"/>
      <c r="AJ840" s="224"/>
      <c r="AK840" s="224"/>
      <c r="AL840" s="224"/>
    </row>
    <row r="841" ht="15.7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  <c r="AF841" s="224"/>
      <c r="AG841" s="224"/>
      <c r="AH841" s="224"/>
      <c r="AI841" s="224"/>
      <c r="AJ841" s="224"/>
      <c r="AK841" s="224"/>
      <c r="AL841" s="224"/>
    </row>
    <row r="842" ht="15.7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  <c r="AF842" s="224"/>
      <c r="AG842" s="224"/>
      <c r="AH842" s="224"/>
      <c r="AI842" s="224"/>
      <c r="AJ842" s="224"/>
      <c r="AK842" s="224"/>
      <c r="AL842" s="224"/>
    </row>
    <row r="843" ht="15.7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  <c r="AF843" s="224"/>
      <c r="AG843" s="224"/>
      <c r="AH843" s="224"/>
      <c r="AI843" s="224"/>
      <c r="AJ843" s="224"/>
      <c r="AK843" s="224"/>
      <c r="AL843" s="224"/>
    </row>
    <row r="844" ht="15.7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  <c r="AF844" s="224"/>
      <c r="AG844" s="224"/>
      <c r="AH844" s="224"/>
      <c r="AI844" s="224"/>
      <c r="AJ844" s="224"/>
      <c r="AK844" s="224"/>
      <c r="AL844" s="224"/>
    </row>
    <row r="845" ht="15.7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  <c r="AF845" s="224"/>
      <c r="AG845" s="224"/>
      <c r="AH845" s="224"/>
      <c r="AI845" s="224"/>
      <c r="AJ845" s="224"/>
      <c r="AK845" s="224"/>
      <c r="AL845" s="224"/>
    </row>
    <row r="846" ht="15.7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  <c r="AF846" s="224"/>
      <c r="AG846" s="224"/>
      <c r="AH846" s="224"/>
      <c r="AI846" s="224"/>
      <c r="AJ846" s="224"/>
      <c r="AK846" s="224"/>
      <c r="AL846" s="224"/>
    </row>
    <row r="847" ht="15.7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  <c r="AF847" s="224"/>
      <c r="AG847" s="224"/>
      <c r="AH847" s="224"/>
      <c r="AI847" s="224"/>
      <c r="AJ847" s="224"/>
      <c r="AK847" s="224"/>
      <c r="AL847" s="224"/>
    </row>
    <row r="848" ht="15.7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  <c r="AF848" s="224"/>
      <c r="AG848" s="224"/>
      <c r="AH848" s="224"/>
      <c r="AI848" s="224"/>
      <c r="AJ848" s="224"/>
      <c r="AK848" s="224"/>
      <c r="AL848" s="224"/>
    </row>
    <row r="849" ht="15.7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  <c r="AF849" s="224"/>
      <c r="AG849" s="224"/>
      <c r="AH849" s="224"/>
      <c r="AI849" s="224"/>
      <c r="AJ849" s="224"/>
      <c r="AK849" s="224"/>
      <c r="AL849" s="224"/>
    </row>
    <row r="850" ht="15.7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  <c r="AF850" s="224"/>
      <c r="AG850" s="224"/>
      <c r="AH850" s="224"/>
      <c r="AI850" s="224"/>
      <c r="AJ850" s="224"/>
      <c r="AK850" s="224"/>
      <c r="AL850" s="224"/>
    </row>
    <row r="851" ht="15.7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  <c r="AF851" s="224"/>
      <c r="AG851" s="224"/>
      <c r="AH851" s="224"/>
      <c r="AI851" s="224"/>
      <c r="AJ851" s="224"/>
      <c r="AK851" s="224"/>
      <c r="AL851" s="224"/>
    </row>
    <row r="852" ht="15.7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  <c r="AF852" s="224"/>
      <c r="AG852" s="224"/>
      <c r="AH852" s="224"/>
      <c r="AI852" s="224"/>
      <c r="AJ852" s="224"/>
      <c r="AK852" s="224"/>
      <c r="AL852" s="224"/>
    </row>
    <row r="853" ht="15.7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  <c r="AK853" s="224"/>
      <c r="AL853" s="224"/>
    </row>
    <row r="854" ht="15.7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  <c r="AF854" s="224"/>
      <c r="AG854" s="224"/>
      <c r="AH854" s="224"/>
      <c r="AI854" s="224"/>
      <c r="AJ854" s="224"/>
      <c r="AK854" s="224"/>
      <c r="AL854" s="224"/>
    </row>
    <row r="855" ht="15.7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  <c r="AF855" s="224"/>
      <c r="AG855" s="224"/>
      <c r="AH855" s="224"/>
      <c r="AI855" s="224"/>
      <c r="AJ855" s="224"/>
      <c r="AK855" s="224"/>
      <c r="AL855" s="224"/>
    </row>
    <row r="856" ht="15.7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  <c r="AF856" s="224"/>
      <c r="AG856" s="224"/>
      <c r="AH856" s="224"/>
      <c r="AI856" s="224"/>
      <c r="AJ856" s="224"/>
      <c r="AK856" s="224"/>
      <c r="AL856" s="224"/>
    </row>
    <row r="857" ht="15.7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  <c r="AF857" s="224"/>
      <c r="AG857" s="224"/>
      <c r="AH857" s="224"/>
      <c r="AI857" s="224"/>
      <c r="AJ857" s="224"/>
      <c r="AK857" s="224"/>
      <c r="AL857" s="224"/>
    </row>
    <row r="858" ht="15.7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  <c r="AF858" s="224"/>
      <c r="AG858" s="224"/>
      <c r="AH858" s="224"/>
      <c r="AI858" s="224"/>
      <c r="AJ858" s="224"/>
      <c r="AK858" s="224"/>
      <c r="AL858" s="224"/>
    </row>
    <row r="859" ht="15.7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  <c r="AF859" s="224"/>
      <c r="AG859" s="224"/>
      <c r="AH859" s="224"/>
      <c r="AI859" s="224"/>
      <c r="AJ859" s="224"/>
      <c r="AK859" s="224"/>
      <c r="AL859" s="224"/>
    </row>
    <row r="860" ht="15.7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  <c r="AF860" s="224"/>
      <c r="AG860" s="224"/>
      <c r="AH860" s="224"/>
      <c r="AI860" s="224"/>
      <c r="AJ860" s="224"/>
      <c r="AK860" s="224"/>
      <c r="AL860" s="224"/>
    </row>
    <row r="861" ht="15.7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  <c r="AF861" s="224"/>
      <c r="AG861" s="224"/>
      <c r="AH861" s="224"/>
      <c r="AI861" s="224"/>
      <c r="AJ861" s="224"/>
      <c r="AK861" s="224"/>
      <c r="AL861" s="224"/>
    </row>
    <row r="862" ht="15.7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  <c r="AF862" s="224"/>
      <c r="AG862" s="224"/>
      <c r="AH862" s="224"/>
      <c r="AI862" s="224"/>
      <c r="AJ862" s="224"/>
      <c r="AK862" s="224"/>
      <c r="AL862" s="224"/>
    </row>
    <row r="863" ht="15.7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  <c r="AF863" s="224"/>
      <c r="AG863" s="224"/>
      <c r="AH863" s="224"/>
      <c r="AI863" s="224"/>
      <c r="AJ863" s="224"/>
      <c r="AK863" s="224"/>
      <c r="AL863" s="224"/>
    </row>
    <row r="864" ht="15.7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  <c r="AF864" s="224"/>
      <c r="AG864" s="224"/>
      <c r="AH864" s="224"/>
      <c r="AI864" s="224"/>
      <c r="AJ864" s="224"/>
      <c r="AK864" s="224"/>
      <c r="AL864" s="224"/>
    </row>
    <row r="865" ht="15.7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  <c r="AF865" s="224"/>
      <c r="AG865" s="224"/>
      <c r="AH865" s="224"/>
      <c r="AI865" s="224"/>
      <c r="AJ865" s="224"/>
      <c r="AK865" s="224"/>
      <c r="AL865" s="224"/>
    </row>
    <row r="866" ht="15.7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  <c r="AF866" s="224"/>
      <c r="AG866" s="224"/>
      <c r="AH866" s="224"/>
      <c r="AI866" s="224"/>
      <c r="AJ866" s="224"/>
      <c r="AK866" s="224"/>
      <c r="AL866" s="224"/>
    </row>
    <row r="867" ht="15.7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  <c r="AF867" s="224"/>
      <c r="AG867" s="224"/>
      <c r="AH867" s="224"/>
      <c r="AI867" s="224"/>
      <c r="AJ867" s="224"/>
      <c r="AK867" s="224"/>
      <c r="AL867" s="224"/>
    </row>
    <row r="868" ht="15.7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  <c r="AF868" s="224"/>
      <c r="AG868" s="224"/>
      <c r="AH868" s="224"/>
      <c r="AI868" s="224"/>
      <c r="AJ868" s="224"/>
      <c r="AK868" s="224"/>
      <c r="AL868" s="224"/>
    </row>
    <row r="869" ht="15.7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  <c r="AF869" s="224"/>
      <c r="AG869" s="224"/>
      <c r="AH869" s="224"/>
      <c r="AI869" s="224"/>
      <c r="AJ869" s="224"/>
      <c r="AK869" s="224"/>
      <c r="AL869" s="224"/>
    </row>
    <row r="870" ht="15.7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  <c r="AF870" s="224"/>
      <c r="AG870" s="224"/>
      <c r="AH870" s="224"/>
      <c r="AI870" s="224"/>
      <c r="AJ870" s="224"/>
      <c r="AK870" s="224"/>
      <c r="AL870" s="224"/>
    </row>
    <row r="871" ht="15.7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  <c r="AF871" s="224"/>
      <c r="AG871" s="224"/>
      <c r="AH871" s="224"/>
      <c r="AI871" s="224"/>
      <c r="AJ871" s="224"/>
      <c r="AK871" s="224"/>
      <c r="AL871" s="224"/>
    </row>
    <row r="872" ht="15.7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  <c r="AF872" s="224"/>
      <c r="AG872" s="224"/>
      <c r="AH872" s="224"/>
      <c r="AI872" s="224"/>
      <c r="AJ872" s="224"/>
      <c r="AK872" s="224"/>
      <c r="AL872" s="224"/>
    </row>
    <row r="873" ht="15.7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  <c r="AF873" s="224"/>
      <c r="AG873" s="224"/>
      <c r="AH873" s="224"/>
      <c r="AI873" s="224"/>
      <c r="AJ873" s="224"/>
      <c r="AK873" s="224"/>
      <c r="AL873" s="224"/>
    </row>
    <row r="874" ht="15.7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  <c r="AF874" s="224"/>
      <c r="AG874" s="224"/>
      <c r="AH874" s="224"/>
      <c r="AI874" s="224"/>
      <c r="AJ874" s="224"/>
      <c r="AK874" s="224"/>
      <c r="AL874" s="224"/>
    </row>
    <row r="875" ht="15.7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  <c r="AF875" s="224"/>
      <c r="AG875" s="224"/>
      <c r="AH875" s="224"/>
      <c r="AI875" s="224"/>
      <c r="AJ875" s="224"/>
      <c r="AK875" s="224"/>
      <c r="AL875" s="224"/>
    </row>
    <row r="876" ht="15.7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  <c r="AF876" s="224"/>
      <c r="AG876" s="224"/>
      <c r="AH876" s="224"/>
      <c r="AI876" s="224"/>
      <c r="AJ876" s="224"/>
      <c r="AK876" s="224"/>
      <c r="AL876" s="224"/>
    </row>
    <row r="877" ht="15.7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  <c r="AF877" s="224"/>
      <c r="AG877" s="224"/>
      <c r="AH877" s="224"/>
      <c r="AI877" s="224"/>
      <c r="AJ877" s="224"/>
      <c r="AK877" s="224"/>
      <c r="AL877" s="224"/>
    </row>
    <row r="878" ht="15.7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  <c r="AF878" s="224"/>
      <c r="AG878" s="224"/>
      <c r="AH878" s="224"/>
      <c r="AI878" s="224"/>
      <c r="AJ878" s="224"/>
      <c r="AK878" s="224"/>
      <c r="AL878" s="224"/>
    </row>
    <row r="879" ht="15.7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  <c r="AF879" s="224"/>
      <c r="AG879" s="224"/>
      <c r="AH879" s="224"/>
      <c r="AI879" s="224"/>
      <c r="AJ879" s="224"/>
      <c r="AK879" s="224"/>
      <c r="AL879" s="224"/>
    </row>
    <row r="880" ht="15.7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  <c r="AF880" s="224"/>
      <c r="AG880" s="224"/>
      <c r="AH880" s="224"/>
      <c r="AI880" s="224"/>
      <c r="AJ880" s="224"/>
      <c r="AK880" s="224"/>
      <c r="AL880" s="224"/>
    </row>
    <row r="881" ht="15.7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  <c r="AF881" s="224"/>
      <c r="AG881" s="224"/>
      <c r="AH881" s="224"/>
      <c r="AI881" s="224"/>
      <c r="AJ881" s="224"/>
      <c r="AK881" s="224"/>
      <c r="AL881" s="224"/>
    </row>
    <row r="882" ht="15.7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  <c r="AF882" s="224"/>
      <c r="AG882" s="224"/>
      <c r="AH882" s="224"/>
      <c r="AI882" s="224"/>
      <c r="AJ882" s="224"/>
      <c r="AK882" s="224"/>
      <c r="AL882" s="224"/>
    </row>
    <row r="883" ht="15.7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  <c r="AF883" s="224"/>
      <c r="AG883" s="224"/>
      <c r="AH883" s="224"/>
      <c r="AI883" s="224"/>
      <c r="AJ883" s="224"/>
      <c r="AK883" s="224"/>
      <c r="AL883" s="224"/>
    </row>
    <row r="884" ht="15.7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  <c r="AF884" s="224"/>
      <c r="AG884" s="224"/>
      <c r="AH884" s="224"/>
      <c r="AI884" s="224"/>
      <c r="AJ884" s="224"/>
      <c r="AK884" s="224"/>
      <c r="AL884" s="224"/>
    </row>
    <row r="885" ht="15.7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  <c r="AF885" s="224"/>
      <c r="AG885" s="224"/>
      <c r="AH885" s="224"/>
      <c r="AI885" s="224"/>
      <c r="AJ885" s="224"/>
      <c r="AK885" s="224"/>
      <c r="AL885" s="224"/>
    </row>
    <row r="886" ht="15.7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  <c r="AF886" s="224"/>
      <c r="AG886" s="224"/>
      <c r="AH886" s="224"/>
      <c r="AI886" s="224"/>
      <c r="AJ886" s="224"/>
      <c r="AK886" s="224"/>
      <c r="AL886" s="224"/>
    </row>
    <row r="887" ht="15.7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  <c r="AF887" s="224"/>
      <c r="AG887" s="224"/>
      <c r="AH887" s="224"/>
      <c r="AI887" s="224"/>
      <c r="AJ887" s="224"/>
      <c r="AK887" s="224"/>
      <c r="AL887" s="224"/>
    </row>
    <row r="888" ht="15.7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  <c r="AF888" s="224"/>
      <c r="AG888" s="224"/>
      <c r="AH888" s="224"/>
      <c r="AI888" s="224"/>
      <c r="AJ888" s="224"/>
      <c r="AK888" s="224"/>
      <c r="AL888" s="224"/>
    </row>
    <row r="889" ht="15.7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  <c r="AF889" s="224"/>
      <c r="AG889" s="224"/>
      <c r="AH889" s="224"/>
      <c r="AI889" s="224"/>
      <c r="AJ889" s="224"/>
      <c r="AK889" s="224"/>
      <c r="AL889" s="224"/>
    </row>
    <row r="890" ht="15.7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  <c r="AC890" s="224"/>
      <c r="AD890" s="224"/>
      <c r="AE890" s="224"/>
      <c r="AF890" s="224"/>
      <c r="AG890" s="224"/>
      <c r="AH890" s="224"/>
      <c r="AI890" s="224"/>
      <c r="AJ890" s="224"/>
      <c r="AK890" s="224"/>
      <c r="AL890" s="224"/>
    </row>
    <row r="891" ht="15.7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  <c r="AC891" s="224"/>
      <c r="AD891" s="224"/>
      <c r="AE891" s="224"/>
      <c r="AF891" s="224"/>
      <c r="AG891" s="224"/>
      <c r="AH891" s="224"/>
      <c r="AI891" s="224"/>
      <c r="AJ891" s="224"/>
      <c r="AK891" s="224"/>
      <c r="AL891" s="224"/>
    </row>
    <row r="892" ht="15.7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  <c r="AC892" s="224"/>
      <c r="AD892" s="224"/>
      <c r="AE892" s="224"/>
      <c r="AF892" s="224"/>
      <c r="AG892" s="224"/>
      <c r="AH892" s="224"/>
      <c r="AI892" s="224"/>
      <c r="AJ892" s="224"/>
      <c r="AK892" s="224"/>
      <c r="AL892" s="224"/>
    </row>
    <row r="893" ht="15.7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  <c r="AC893" s="224"/>
      <c r="AD893" s="224"/>
      <c r="AE893" s="224"/>
      <c r="AF893" s="224"/>
      <c r="AG893" s="224"/>
      <c r="AH893" s="224"/>
      <c r="AI893" s="224"/>
      <c r="AJ893" s="224"/>
      <c r="AK893" s="224"/>
      <c r="AL893" s="224"/>
    </row>
    <row r="894" ht="15.7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  <c r="AC894" s="224"/>
      <c r="AD894" s="224"/>
      <c r="AE894" s="224"/>
      <c r="AF894" s="224"/>
      <c r="AG894" s="224"/>
      <c r="AH894" s="224"/>
      <c r="AI894" s="224"/>
      <c r="AJ894" s="224"/>
      <c r="AK894" s="224"/>
      <c r="AL894" s="224"/>
    </row>
    <row r="895" ht="15.7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  <c r="AC895" s="224"/>
      <c r="AD895" s="224"/>
      <c r="AE895" s="224"/>
      <c r="AF895" s="224"/>
      <c r="AG895" s="224"/>
      <c r="AH895" s="224"/>
      <c r="AI895" s="224"/>
      <c r="AJ895" s="224"/>
      <c r="AK895" s="224"/>
      <c r="AL895" s="224"/>
    </row>
    <row r="896" ht="15.7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  <c r="AC896" s="224"/>
      <c r="AD896" s="224"/>
      <c r="AE896" s="224"/>
      <c r="AF896" s="224"/>
      <c r="AG896" s="224"/>
      <c r="AH896" s="224"/>
      <c r="AI896" s="224"/>
      <c r="AJ896" s="224"/>
      <c r="AK896" s="224"/>
      <c r="AL896" s="224"/>
    </row>
    <row r="897" ht="15.7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  <c r="AC897" s="224"/>
      <c r="AD897" s="224"/>
      <c r="AE897" s="224"/>
      <c r="AF897" s="224"/>
      <c r="AG897" s="224"/>
      <c r="AH897" s="224"/>
      <c r="AI897" s="224"/>
      <c r="AJ897" s="224"/>
      <c r="AK897" s="224"/>
      <c r="AL897" s="224"/>
    </row>
    <row r="898" ht="15.7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  <c r="AC898" s="224"/>
      <c r="AD898" s="224"/>
      <c r="AE898" s="224"/>
      <c r="AF898" s="224"/>
      <c r="AG898" s="224"/>
      <c r="AH898" s="224"/>
      <c r="AI898" s="224"/>
      <c r="AJ898" s="224"/>
      <c r="AK898" s="224"/>
      <c r="AL898" s="224"/>
    </row>
    <row r="899" ht="15.7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  <c r="AC899" s="224"/>
      <c r="AD899" s="224"/>
      <c r="AE899" s="224"/>
      <c r="AF899" s="224"/>
      <c r="AG899" s="224"/>
      <c r="AH899" s="224"/>
      <c r="AI899" s="224"/>
      <c r="AJ899" s="224"/>
      <c r="AK899" s="224"/>
      <c r="AL899" s="224"/>
    </row>
    <row r="900" ht="15.7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  <c r="AC900" s="224"/>
      <c r="AD900" s="224"/>
      <c r="AE900" s="224"/>
      <c r="AF900" s="224"/>
      <c r="AG900" s="224"/>
      <c r="AH900" s="224"/>
      <c r="AI900" s="224"/>
      <c r="AJ900" s="224"/>
      <c r="AK900" s="224"/>
      <c r="AL900" s="224"/>
    </row>
    <row r="901" ht="15.7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  <c r="AC901" s="224"/>
      <c r="AD901" s="224"/>
      <c r="AE901" s="224"/>
      <c r="AF901" s="224"/>
      <c r="AG901" s="224"/>
      <c r="AH901" s="224"/>
      <c r="AI901" s="224"/>
      <c r="AJ901" s="224"/>
      <c r="AK901" s="224"/>
      <c r="AL901" s="224"/>
    </row>
    <row r="902" ht="15.7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  <c r="AC902" s="224"/>
      <c r="AD902" s="224"/>
      <c r="AE902" s="224"/>
      <c r="AF902" s="224"/>
      <c r="AG902" s="224"/>
      <c r="AH902" s="224"/>
      <c r="AI902" s="224"/>
      <c r="AJ902" s="224"/>
      <c r="AK902" s="224"/>
      <c r="AL902" s="224"/>
    </row>
    <row r="903" ht="15.7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  <c r="AC903" s="224"/>
      <c r="AD903" s="224"/>
      <c r="AE903" s="224"/>
      <c r="AF903" s="224"/>
      <c r="AG903" s="224"/>
      <c r="AH903" s="224"/>
      <c r="AI903" s="224"/>
      <c r="AJ903" s="224"/>
      <c r="AK903" s="224"/>
      <c r="AL903" s="224"/>
    </row>
    <row r="904" ht="15.7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  <c r="AC904" s="224"/>
      <c r="AD904" s="224"/>
      <c r="AE904" s="224"/>
      <c r="AF904" s="224"/>
      <c r="AG904" s="224"/>
      <c r="AH904" s="224"/>
      <c r="AI904" s="224"/>
      <c r="AJ904" s="224"/>
      <c r="AK904" s="224"/>
      <c r="AL904" s="224"/>
    </row>
    <row r="905" ht="15.7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  <c r="AC905" s="224"/>
      <c r="AD905" s="224"/>
      <c r="AE905" s="224"/>
      <c r="AF905" s="224"/>
      <c r="AG905" s="224"/>
      <c r="AH905" s="224"/>
      <c r="AI905" s="224"/>
      <c r="AJ905" s="224"/>
      <c r="AK905" s="224"/>
      <c r="AL905" s="224"/>
    </row>
    <row r="906" ht="15.7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  <c r="AK906" s="224"/>
      <c r="AL906" s="224"/>
    </row>
    <row r="907" ht="15.7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  <c r="AC907" s="224"/>
      <c r="AD907" s="224"/>
      <c r="AE907" s="224"/>
      <c r="AF907" s="224"/>
      <c r="AG907" s="224"/>
      <c r="AH907" s="224"/>
      <c r="AI907" s="224"/>
      <c r="AJ907" s="224"/>
      <c r="AK907" s="224"/>
      <c r="AL907" s="224"/>
    </row>
    <row r="908" ht="15.7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  <c r="AC908" s="224"/>
      <c r="AD908" s="224"/>
      <c r="AE908" s="224"/>
      <c r="AF908" s="224"/>
      <c r="AG908" s="224"/>
      <c r="AH908" s="224"/>
      <c r="AI908" s="224"/>
      <c r="AJ908" s="224"/>
      <c r="AK908" s="224"/>
      <c r="AL908" s="224"/>
    </row>
    <row r="909" ht="15.7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  <c r="AC909" s="224"/>
      <c r="AD909" s="224"/>
      <c r="AE909" s="224"/>
      <c r="AF909" s="224"/>
      <c r="AG909" s="224"/>
      <c r="AH909" s="224"/>
      <c r="AI909" s="224"/>
      <c r="AJ909" s="224"/>
      <c r="AK909" s="224"/>
      <c r="AL909" s="224"/>
    </row>
    <row r="910" ht="15.7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  <c r="AC910" s="224"/>
      <c r="AD910" s="224"/>
      <c r="AE910" s="224"/>
      <c r="AF910" s="224"/>
      <c r="AG910" s="224"/>
      <c r="AH910" s="224"/>
      <c r="AI910" s="224"/>
      <c r="AJ910" s="224"/>
      <c r="AK910" s="224"/>
      <c r="AL910" s="224"/>
    </row>
    <row r="911" ht="15.7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  <c r="AC911" s="224"/>
      <c r="AD911" s="224"/>
      <c r="AE911" s="224"/>
      <c r="AF911" s="224"/>
      <c r="AG911" s="224"/>
      <c r="AH911" s="224"/>
      <c r="AI911" s="224"/>
      <c r="AJ911" s="224"/>
      <c r="AK911" s="224"/>
      <c r="AL911" s="224"/>
    </row>
    <row r="912" ht="15.7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  <c r="AC912" s="224"/>
      <c r="AD912" s="224"/>
      <c r="AE912" s="224"/>
      <c r="AF912" s="224"/>
      <c r="AG912" s="224"/>
      <c r="AH912" s="224"/>
      <c r="AI912" s="224"/>
      <c r="AJ912" s="224"/>
      <c r="AK912" s="224"/>
      <c r="AL912" s="224"/>
    </row>
    <row r="913" ht="15.7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  <c r="AC913" s="224"/>
      <c r="AD913" s="224"/>
      <c r="AE913" s="224"/>
      <c r="AF913" s="224"/>
      <c r="AG913" s="224"/>
      <c r="AH913" s="224"/>
      <c r="AI913" s="224"/>
      <c r="AJ913" s="224"/>
      <c r="AK913" s="224"/>
      <c r="AL913" s="224"/>
    </row>
    <row r="914" ht="15.7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  <c r="AC914" s="224"/>
      <c r="AD914" s="224"/>
      <c r="AE914" s="224"/>
      <c r="AF914" s="224"/>
      <c r="AG914" s="224"/>
      <c r="AH914" s="224"/>
      <c r="AI914" s="224"/>
      <c r="AJ914" s="224"/>
      <c r="AK914" s="224"/>
      <c r="AL914" s="224"/>
    </row>
    <row r="915" ht="15.7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  <c r="AC915" s="224"/>
      <c r="AD915" s="224"/>
      <c r="AE915" s="224"/>
      <c r="AF915" s="224"/>
      <c r="AG915" s="224"/>
      <c r="AH915" s="224"/>
      <c r="AI915" s="224"/>
      <c r="AJ915" s="224"/>
      <c r="AK915" s="224"/>
      <c r="AL915" s="224"/>
    </row>
    <row r="916" ht="15.7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  <c r="AC916" s="224"/>
      <c r="AD916" s="224"/>
      <c r="AE916" s="224"/>
      <c r="AF916" s="224"/>
      <c r="AG916" s="224"/>
      <c r="AH916" s="224"/>
      <c r="AI916" s="224"/>
      <c r="AJ916" s="224"/>
      <c r="AK916" s="224"/>
      <c r="AL916" s="224"/>
    </row>
    <row r="917" ht="15.7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  <c r="AC917" s="224"/>
      <c r="AD917" s="224"/>
      <c r="AE917" s="224"/>
      <c r="AF917" s="224"/>
      <c r="AG917" s="224"/>
      <c r="AH917" s="224"/>
      <c r="AI917" s="224"/>
      <c r="AJ917" s="224"/>
      <c r="AK917" s="224"/>
      <c r="AL917" s="224"/>
    </row>
    <row r="918" ht="15.7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  <c r="AC918" s="224"/>
      <c r="AD918" s="224"/>
      <c r="AE918" s="224"/>
      <c r="AF918" s="224"/>
      <c r="AG918" s="224"/>
      <c r="AH918" s="224"/>
      <c r="AI918" s="224"/>
      <c r="AJ918" s="224"/>
      <c r="AK918" s="224"/>
      <c r="AL918" s="224"/>
    </row>
    <row r="919" ht="15.7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  <c r="AC919" s="224"/>
      <c r="AD919" s="224"/>
      <c r="AE919" s="224"/>
      <c r="AF919" s="224"/>
      <c r="AG919" s="224"/>
      <c r="AH919" s="224"/>
      <c r="AI919" s="224"/>
      <c r="AJ919" s="224"/>
      <c r="AK919" s="224"/>
      <c r="AL919" s="224"/>
    </row>
    <row r="920" ht="15.7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  <c r="AC920" s="224"/>
      <c r="AD920" s="224"/>
      <c r="AE920" s="224"/>
      <c r="AF920" s="224"/>
      <c r="AG920" s="224"/>
      <c r="AH920" s="224"/>
      <c r="AI920" s="224"/>
      <c r="AJ920" s="224"/>
      <c r="AK920" s="224"/>
      <c r="AL920" s="224"/>
    </row>
    <row r="921" ht="15.7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  <c r="AC921" s="224"/>
      <c r="AD921" s="224"/>
      <c r="AE921" s="224"/>
      <c r="AF921" s="224"/>
      <c r="AG921" s="224"/>
      <c r="AH921" s="224"/>
      <c r="AI921" s="224"/>
      <c r="AJ921" s="224"/>
      <c r="AK921" s="224"/>
      <c r="AL921" s="224"/>
    </row>
    <row r="922" ht="15.7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  <c r="AC922" s="224"/>
      <c r="AD922" s="224"/>
      <c r="AE922" s="224"/>
      <c r="AF922" s="224"/>
      <c r="AG922" s="224"/>
      <c r="AH922" s="224"/>
      <c r="AI922" s="224"/>
      <c r="AJ922" s="224"/>
      <c r="AK922" s="224"/>
      <c r="AL922" s="224"/>
    </row>
    <row r="923" ht="15.7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  <c r="AC923" s="224"/>
      <c r="AD923" s="224"/>
      <c r="AE923" s="224"/>
      <c r="AF923" s="224"/>
      <c r="AG923" s="224"/>
      <c r="AH923" s="224"/>
      <c r="AI923" s="224"/>
      <c r="AJ923" s="224"/>
      <c r="AK923" s="224"/>
      <c r="AL923" s="224"/>
    </row>
    <row r="924" ht="15.7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  <c r="AC924" s="224"/>
      <c r="AD924" s="224"/>
      <c r="AE924" s="224"/>
      <c r="AF924" s="224"/>
      <c r="AG924" s="224"/>
      <c r="AH924" s="224"/>
      <c r="AI924" s="224"/>
      <c r="AJ924" s="224"/>
      <c r="AK924" s="224"/>
      <c r="AL924" s="224"/>
    </row>
    <row r="925" ht="15.7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  <c r="AC925" s="224"/>
      <c r="AD925" s="224"/>
      <c r="AE925" s="224"/>
      <c r="AF925" s="224"/>
      <c r="AG925" s="224"/>
      <c r="AH925" s="224"/>
      <c r="AI925" s="224"/>
      <c r="AJ925" s="224"/>
      <c r="AK925" s="224"/>
      <c r="AL925" s="224"/>
    </row>
    <row r="926" ht="15.7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  <c r="AC926" s="224"/>
      <c r="AD926" s="224"/>
      <c r="AE926" s="224"/>
      <c r="AF926" s="224"/>
      <c r="AG926" s="224"/>
      <c r="AH926" s="224"/>
      <c r="AI926" s="224"/>
      <c r="AJ926" s="224"/>
      <c r="AK926" s="224"/>
      <c r="AL926" s="224"/>
    </row>
    <row r="927" ht="15.7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  <c r="AC927" s="224"/>
      <c r="AD927" s="224"/>
      <c r="AE927" s="224"/>
      <c r="AF927" s="224"/>
      <c r="AG927" s="224"/>
      <c r="AH927" s="224"/>
      <c r="AI927" s="224"/>
      <c r="AJ927" s="224"/>
      <c r="AK927" s="224"/>
      <c r="AL927" s="224"/>
    </row>
    <row r="928" ht="15.7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  <c r="AC928" s="224"/>
      <c r="AD928" s="224"/>
      <c r="AE928" s="224"/>
      <c r="AF928" s="224"/>
      <c r="AG928" s="224"/>
      <c r="AH928" s="224"/>
      <c r="AI928" s="224"/>
      <c r="AJ928" s="224"/>
      <c r="AK928" s="224"/>
      <c r="AL928" s="224"/>
    </row>
    <row r="929" ht="15.7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  <c r="AC929" s="224"/>
      <c r="AD929" s="224"/>
      <c r="AE929" s="224"/>
      <c r="AF929" s="224"/>
      <c r="AG929" s="224"/>
      <c r="AH929" s="224"/>
      <c r="AI929" s="224"/>
      <c r="AJ929" s="224"/>
      <c r="AK929" s="224"/>
      <c r="AL929" s="224"/>
    </row>
    <row r="930" ht="15.7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  <c r="AC930" s="224"/>
      <c r="AD930" s="224"/>
      <c r="AE930" s="224"/>
      <c r="AF930" s="224"/>
      <c r="AG930" s="224"/>
      <c r="AH930" s="224"/>
      <c r="AI930" s="224"/>
      <c r="AJ930" s="224"/>
      <c r="AK930" s="224"/>
      <c r="AL930" s="224"/>
    </row>
    <row r="931" ht="15.7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  <c r="AC931" s="224"/>
      <c r="AD931" s="224"/>
      <c r="AE931" s="224"/>
      <c r="AF931" s="224"/>
      <c r="AG931" s="224"/>
      <c r="AH931" s="224"/>
      <c r="AI931" s="224"/>
      <c r="AJ931" s="224"/>
      <c r="AK931" s="224"/>
      <c r="AL931" s="224"/>
    </row>
    <row r="932" ht="15.7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  <c r="AC932" s="224"/>
      <c r="AD932" s="224"/>
      <c r="AE932" s="224"/>
      <c r="AF932" s="224"/>
      <c r="AG932" s="224"/>
      <c r="AH932" s="224"/>
      <c r="AI932" s="224"/>
      <c r="AJ932" s="224"/>
      <c r="AK932" s="224"/>
      <c r="AL932" s="224"/>
    </row>
    <row r="933" ht="15.7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  <c r="AC933" s="224"/>
      <c r="AD933" s="224"/>
      <c r="AE933" s="224"/>
      <c r="AF933" s="224"/>
      <c r="AG933" s="224"/>
      <c r="AH933" s="224"/>
      <c r="AI933" s="224"/>
      <c r="AJ933" s="224"/>
      <c r="AK933" s="224"/>
      <c r="AL933" s="224"/>
    </row>
    <row r="934" ht="15.7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  <c r="AC934" s="224"/>
      <c r="AD934" s="224"/>
      <c r="AE934" s="224"/>
      <c r="AF934" s="224"/>
      <c r="AG934" s="224"/>
      <c r="AH934" s="224"/>
      <c r="AI934" s="224"/>
      <c r="AJ934" s="224"/>
      <c r="AK934" s="224"/>
      <c r="AL934" s="224"/>
    </row>
    <row r="935" ht="15.7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  <c r="AC935" s="224"/>
      <c r="AD935" s="224"/>
      <c r="AE935" s="224"/>
      <c r="AF935" s="224"/>
      <c r="AG935" s="224"/>
      <c r="AH935" s="224"/>
      <c r="AI935" s="224"/>
      <c r="AJ935" s="224"/>
      <c r="AK935" s="224"/>
      <c r="AL935" s="224"/>
    </row>
    <row r="936" ht="15.7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  <c r="AC936" s="224"/>
      <c r="AD936" s="224"/>
      <c r="AE936" s="224"/>
      <c r="AF936" s="224"/>
      <c r="AG936" s="224"/>
      <c r="AH936" s="224"/>
      <c r="AI936" s="224"/>
      <c r="AJ936" s="224"/>
      <c r="AK936" s="224"/>
      <c r="AL936" s="224"/>
    </row>
    <row r="937" ht="15.7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  <c r="AC937" s="224"/>
      <c r="AD937" s="224"/>
      <c r="AE937" s="224"/>
      <c r="AF937" s="224"/>
      <c r="AG937" s="224"/>
      <c r="AH937" s="224"/>
      <c r="AI937" s="224"/>
      <c r="AJ937" s="224"/>
      <c r="AK937" s="224"/>
      <c r="AL937" s="224"/>
    </row>
    <row r="938" ht="15.7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  <c r="AC938" s="224"/>
      <c r="AD938" s="224"/>
      <c r="AE938" s="224"/>
      <c r="AF938" s="224"/>
      <c r="AG938" s="224"/>
      <c r="AH938" s="224"/>
      <c r="AI938" s="224"/>
      <c r="AJ938" s="224"/>
      <c r="AK938" s="224"/>
      <c r="AL938" s="224"/>
    </row>
    <row r="939" ht="15.7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  <c r="AC939" s="224"/>
      <c r="AD939" s="224"/>
      <c r="AE939" s="224"/>
      <c r="AF939" s="224"/>
      <c r="AG939" s="224"/>
      <c r="AH939" s="224"/>
      <c r="AI939" s="224"/>
      <c r="AJ939" s="224"/>
      <c r="AK939" s="224"/>
      <c r="AL939" s="224"/>
    </row>
    <row r="940" ht="15.7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  <c r="AC940" s="224"/>
      <c r="AD940" s="224"/>
      <c r="AE940" s="224"/>
      <c r="AF940" s="224"/>
      <c r="AG940" s="224"/>
      <c r="AH940" s="224"/>
      <c r="AI940" s="224"/>
      <c r="AJ940" s="224"/>
      <c r="AK940" s="224"/>
      <c r="AL940" s="224"/>
    </row>
    <row r="941" ht="15.7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  <c r="AC941" s="224"/>
      <c r="AD941" s="224"/>
      <c r="AE941" s="224"/>
      <c r="AF941" s="224"/>
      <c r="AG941" s="224"/>
      <c r="AH941" s="224"/>
      <c r="AI941" s="224"/>
      <c r="AJ941" s="224"/>
      <c r="AK941" s="224"/>
      <c r="AL941" s="224"/>
    </row>
    <row r="942" ht="15.7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  <c r="AC942" s="224"/>
      <c r="AD942" s="224"/>
      <c r="AE942" s="224"/>
      <c r="AF942" s="224"/>
      <c r="AG942" s="224"/>
      <c r="AH942" s="224"/>
      <c r="AI942" s="224"/>
      <c r="AJ942" s="224"/>
      <c r="AK942" s="224"/>
      <c r="AL942" s="224"/>
    </row>
    <row r="943" ht="15.7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  <c r="AC943" s="224"/>
      <c r="AD943" s="224"/>
      <c r="AE943" s="224"/>
      <c r="AF943" s="224"/>
      <c r="AG943" s="224"/>
      <c r="AH943" s="224"/>
      <c r="AI943" s="224"/>
      <c r="AJ943" s="224"/>
      <c r="AK943" s="224"/>
      <c r="AL943" s="224"/>
    </row>
    <row r="944" ht="15.7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  <c r="AC944" s="224"/>
      <c r="AD944" s="224"/>
      <c r="AE944" s="224"/>
      <c r="AF944" s="224"/>
      <c r="AG944" s="224"/>
      <c r="AH944" s="224"/>
      <c r="AI944" s="224"/>
      <c r="AJ944" s="224"/>
      <c r="AK944" s="224"/>
      <c r="AL944" s="224"/>
    </row>
    <row r="945" ht="15.7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  <c r="AC945" s="224"/>
      <c r="AD945" s="224"/>
      <c r="AE945" s="224"/>
      <c r="AF945" s="224"/>
      <c r="AG945" s="224"/>
      <c r="AH945" s="224"/>
      <c r="AI945" s="224"/>
      <c r="AJ945" s="224"/>
      <c r="AK945" s="224"/>
      <c r="AL945" s="224"/>
    </row>
    <row r="946" ht="15.7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  <c r="AC946" s="224"/>
      <c r="AD946" s="224"/>
      <c r="AE946" s="224"/>
      <c r="AF946" s="224"/>
      <c r="AG946" s="224"/>
      <c r="AH946" s="224"/>
      <c r="AI946" s="224"/>
      <c r="AJ946" s="224"/>
      <c r="AK946" s="224"/>
      <c r="AL946" s="224"/>
    </row>
    <row r="947" ht="15.7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  <c r="AC947" s="224"/>
      <c r="AD947" s="224"/>
      <c r="AE947" s="224"/>
      <c r="AF947" s="224"/>
      <c r="AG947" s="224"/>
      <c r="AH947" s="224"/>
      <c r="AI947" s="224"/>
      <c r="AJ947" s="224"/>
      <c r="AK947" s="224"/>
      <c r="AL947" s="224"/>
    </row>
    <row r="948" ht="15.7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  <c r="AC948" s="224"/>
      <c r="AD948" s="224"/>
      <c r="AE948" s="224"/>
      <c r="AF948" s="224"/>
      <c r="AG948" s="224"/>
      <c r="AH948" s="224"/>
      <c r="AI948" s="224"/>
      <c r="AJ948" s="224"/>
      <c r="AK948" s="224"/>
      <c r="AL948" s="224"/>
    </row>
    <row r="949" ht="15.7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  <c r="AC949" s="224"/>
      <c r="AD949" s="224"/>
      <c r="AE949" s="224"/>
      <c r="AF949" s="224"/>
      <c r="AG949" s="224"/>
      <c r="AH949" s="224"/>
      <c r="AI949" s="224"/>
      <c r="AJ949" s="224"/>
      <c r="AK949" s="224"/>
      <c r="AL949" s="224"/>
    </row>
    <row r="950" ht="15.7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  <c r="AC950" s="224"/>
      <c r="AD950" s="224"/>
      <c r="AE950" s="224"/>
      <c r="AF950" s="224"/>
      <c r="AG950" s="224"/>
      <c r="AH950" s="224"/>
      <c r="AI950" s="224"/>
      <c r="AJ950" s="224"/>
      <c r="AK950" s="224"/>
      <c r="AL950" s="224"/>
    </row>
    <row r="951" ht="15.7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  <c r="AC951" s="224"/>
      <c r="AD951" s="224"/>
      <c r="AE951" s="224"/>
      <c r="AF951" s="224"/>
      <c r="AG951" s="224"/>
      <c r="AH951" s="224"/>
      <c r="AI951" s="224"/>
      <c r="AJ951" s="224"/>
      <c r="AK951" s="224"/>
      <c r="AL951" s="224"/>
    </row>
    <row r="952" ht="15.7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  <c r="AC952" s="224"/>
      <c r="AD952" s="224"/>
      <c r="AE952" s="224"/>
      <c r="AF952" s="224"/>
      <c r="AG952" s="224"/>
      <c r="AH952" s="224"/>
      <c r="AI952" s="224"/>
      <c r="AJ952" s="224"/>
      <c r="AK952" s="224"/>
      <c r="AL952" s="224"/>
    </row>
    <row r="953" ht="15.7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  <c r="AC953" s="224"/>
      <c r="AD953" s="224"/>
      <c r="AE953" s="224"/>
      <c r="AF953" s="224"/>
      <c r="AG953" s="224"/>
      <c r="AH953" s="224"/>
      <c r="AI953" s="224"/>
      <c r="AJ953" s="224"/>
      <c r="AK953" s="224"/>
      <c r="AL953" s="224"/>
    </row>
    <row r="954" ht="15.7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  <c r="AC954" s="224"/>
      <c r="AD954" s="224"/>
      <c r="AE954" s="224"/>
      <c r="AF954" s="224"/>
      <c r="AG954" s="224"/>
      <c r="AH954" s="224"/>
      <c r="AI954" s="224"/>
      <c r="AJ954" s="224"/>
      <c r="AK954" s="224"/>
      <c r="AL954" s="224"/>
    </row>
    <row r="955" ht="15.7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  <c r="AC955" s="224"/>
      <c r="AD955" s="224"/>
      <c r="AE955" s="224"/>
      <c r="AF955" s="224"/>
      <c r="AG955" s="224"/>
      <c r="AH955" s="224"/>
      <c r="AI955" s="224"/>
      <c r="AJ955" s="224"/>
      <c r="AK955" s="224"/>
      <c r="AL955" s="224"/>
    </row>
    <row r="956" ht="15.7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  <c r="AC956" s="224"/>
      <c r="AD956" s="224"/>
      <c r="AE956" s="224"/>
      <c r="AF956" s="224"/>
      <c r="AG956" s="224"/>
      <c r="AH956" s="224"/>
      <c r="AI956" s="224"/>
      <c r="AJ956" s="224"/>
      <c r="AK956" s="224"/>
      <c r="AL956" s="224"/>
    </row>
    <row r="957" ht="15.7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  <c r="AC957" s="224"/>
      <c r="AD957" s="224"/>
      <c r="AE957" s="224"/>
      <c r="AF957" s="224"/>
      <c r="AG957" s="224"/>
      <c r="AH957" s="224"/>
      <c r="AI957" s="224"/>
      <c r="AJ957" s="224"/>
      <c r="AK957" s="224"/>
      <c r="AL957" s="224"/>
    </row>
    <row r="958" ht="15.7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  <c r="AC958" s="224"/>
      <c r="AD958" s="224"/>
      <c r="AE958" s="224"/>
      <c r="AF958" s="224"/>
      <c r="AG958" s="224"/>
      <c r="AH958" s="224"/>
      <c r="AI958" s="224"/>
      <c r="AJ958" s="224"/>
      <c r="AK958" s="224"/>
      <c r="AL958" s="224"/>
    </row>
    <row r="959" ht="15.7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  <c r="AK959" s="224"/>
      <c r="AL959" s="224"/>
    </row>
    <row r="960" ht="15.7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  <c r="AC960" s="224"/>
      <c r="AD960" s="224"/>
      <c r="AE960" s="224"/>
      <c r="AF960" s="224"/>
      <c r="AG960" s="224"/>
      <c r="AH960" s="224"/>
      <c r="AI960" s="224"/>
      <c r="AJ960" s="224"/>
      <c r="AK960" s="224"/>
      <c r="AL960" s="224"/>
    </row>
    <row r="961" ht="15.7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  <c r="AC961" s="224"/>
      <c r="AD961" s="224"/>
      <c r="AE961" s="224"/>
      <c r="AF961" s="224"/>
      <c r="AG961" s="224"/>
      <c r="AH961" s="224"/>
      <c r="AI961" s="224"/>
      <c r="AJ961" s="224"/>
      <c r="AK961" s="224"/>
      <c r="AL961" s="224"/>
    </row>
    <row r="962" ht="15.7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  <c r="AC962" s="224"/>
      <c r="AD962" s="224"/>
      <c r="AE962" s="224"/>
      <c r="AF962" s="224"/>
      <c r="AG962" s="224"/>
      <c r="AH962" s="224"/>
      <c r="AI962" s="224"/>
      <c r="AJ962" s="224"/>
      <c r="AK962" s="224"/>
      <c r="AL962" s="224"/>
    </row>
    <row r="963" ht="15.7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  <c r="AC963" s="224"/>
      <c r="AD963" s="224"/>
      <c r="AE963" s="224"/>
      <c r="AF963" s="224"/>
      <c r="AG963" s="224"/>
      <c r="AH963" s="224"/>
      <c r="AI963" s="224"/>
      <c r="AJ963" s="224"/>
      <c r="AK963" s="224"/>
      <c r="AL963" s="224"/>
    </row>
    <row r="964" ht="15.7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  <c r="AC964" s="224"/>
      <c r="AD964" s="224"/>
      <c r="AE964" s="224"/>
      <c r="AF964" s="224"/>
      <c r="AG964" s="224"/>
      <c r="AH964" s="224"/>
      <c r="AI964" s="224"/>
      <c r="AJ964" s="224"/>
      <c r="AK964" s="224"/>
      <c r="AL964" s="224"/>
    </row>
    <row r="965" ht="15.7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  <c r="AC965" s="224"/>
      <c r="AD965" s="224"/>
      <c r="AE965" s="224"/>
      <c r="AF965" s="224"/>
      <c r="AG965" s="224"/>
      <c r="AH965" s="224"/>
      <c r="AI965" s="224"/>
      <c r="AJ965" s="224"/>
      <c r="AK965" s="224"/>
      <c r="AL965" s="224"/>
    </row>
    <row r="966" ht="15.7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  <c r="AC966" s="224"/>
      <c r="AD966" s="224"/>
      <c r="AE966" s="224"/>
      <c r="AF966" s="224"/>
      <c r="AG966" s="224"/>
      <c r="AH966" s="224"/>
      <c r="AI966" s="224"/>
      <c r="AJ966" s="224"/>
      <c r="AK966" s="224"/>
      <c r="AL966" s="224"/>
    </row>
    <row r="967" ht="15.7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  <c r="AC967" s="224"/>
      <c r="AD967" s="224"/>
      <c r="AE967" s="224"/>
      <c r="AF967" s="224"/>
      <c r="AG967" s="224"/>
      <c r="AH967" s="224"/>
      <c r="AI967" s="224"/>
      <c r="AJ967" s="224"/>
      <c r="AK967" s="224"/>
      <c r="AL967" s="224"/>
    </row>
    <row r="968" ht="15.7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  <c r="AC968" s="224"/>
      <c r="AD968" s="224"/>
      <c r="AE968" s="224"/>
      <c r="AF968" s="224"/>
      <c r="AG968" s="224"/>
      <c r="AH968" s="224"/>
      <c r="AI968" s="224"/>
      <c r="AJ968" s="224"/>
      <c r="AK968" s="224"/>
      <c r="AL968" s="224"/>
    </row>
    <row r="969" ht="15.7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  <c r="AC969" s="224"/>
      <c r="AD969" s="224"/>
      <c r="AE969" s="224"/>
      <c r="AF969" s="224"/>
      <c r="AG969" s="224"/>
      <c r="AH969" s="224"/>
      <c r="AI969" s="224"/>
      <c r="AJ969" s="224"/>
      <c r="AK969" s="224"/>
      <c r="AL969" s="224"/>
    </row>
    <row r="970" ht="15.7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  <c r="AC970" s="224"/>
      <c r="AD970" s="224"/>
      <c r="AE970" s="224"/>
      <c r="AF970" s="224"/>
      <c r="AG970" s="224"/>
      <c r="AH970" s="224"/>
      <c r="AI970" s="224"/>
      <c r="AJ970" s="224"/>
      <c r="AK970" s="224"/>
      <c r="AL970" s="224"/>
    </row>
    <row r="971" ht="15.7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  <c r="AC971" s="224"/>
      <c r="AD971" s="224"/>
      <c r="AE971" s="224"/>
      <c r="AF971" s="224"/>
      <c r="AG971" s="224"/>
      <c r="AH971" s="224"/>
      <c r="AI971" s="224"/>
      <c r="AJ971" s="224"/>
      <c r="AK971" s="224"/>
      <c r="AL971" s="224"/>
    </row>
    <row r="972" ht="15.7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  <c r="AC972" s="224"/>
      <c r="AD972" s="224"/>
      <c r="AE972" s="224"/>
      <c r="AF972" s="224"/>
      <c r="AG972" s="224"/>
      <c r="AH972" s="224"/>
      <c r="AI972" s="224"/>
      <c r="AJ972" s="224"/>
      <c r="AK972" s="224"/>
      <c r="AL972" s="224"/>
    </row>
    <row r="973" ht="15.7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  <c r="AC973" s="224"/>
      <c r="AD973" s="224"/>
      <c r="AE973" s="224"/>
      <c r="AF973" s="224"/>
      <c r="AG973" s="224"/>
      <c r="AH973" s="224"/>
      <c r="AI973" s="224"/>
      <c r="AJ973" s="224"/>
      <c r="AK973" s="224"/>
      <c r="AL973" s="224"/>
    </row>
    <row r="974" ht="15.7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  <c r="AC974" s="224"/>
      <c r="AD974" s="224"/>
      <c r="AE974" s="224"/>
      <c r="AF974" s="224"/>
      <c r="AG974" s="224"/>
      <c r="AH974" s="224"/>
      <c r="AI974" s="224"/>
      <c r="AJ974" s="224"/>
      <c r="AK974" s="224"/>
      <c r="AL974" s="224"/>
    </row>
    <row r="975" ht="15.7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  <c r="AC975" s="224"/>
      <c r="AD975" s="224"/>
      <c r="AE975" s="224"/>
      <c r="AF975" s="224"/>
      <c r="AG975" s="224"/>
      <c r="AH975" s="224"/>
      <c r="AI975" s="224"/>
      <c r="AJ975" s="224"/>
      <c r="AK975" s="224"/>
      <c r="AL975" s="224"/>
    </row>
    <row r="976" ht="15.7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  <c r="AC976" s="224"/>
      <c r="AD976" s="224"/>
      <c r="AE976" s="224"/>
      <c r="AF976" s="224"/>
      <c r="AG976" s="224"/>
      <c r="AH976" s="224"/>
      <c r="AI976" s="224"/>
      <c r="AJ976" s="224"/>
      <c r="AK976" s="224"/>
      <c r="AL976" s="224"/>
    </row>
    <row r="977" ht="15.7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  <c r="AC977" s="224"/>
      <c r="AD977" s="224"/>
      <c r="AE977" s="224"/>
      <c r="AF977" s="224"/>
      <c r="AG977" s="224"/>
      <c r="AH977" s="224"/>
      <c r="AI977" s="224"/>
      <c r="AJ977" s="224"/>
      <c r="AK977" s="224"/>
      <c r="AL977" s="224"/>
    </row>
    <row r="978" ht="15.7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  <c r="AC978" s="224"/>
      <c r="AD978" s="224"/>
      <c r="AE978" s="224"/>
      <c r="AF978" s="224"/>
      <c r="AG978" s="224"/>
      <c r="AH978" s="224"/>
      <c r="AI978" s="224"/>
      <c r="AJ978" s="224"/>
      <c r="AK978" s="224"/>
      <c r="AL978" s="224"/>
    </row>
    <row r="979" ht="15.7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  <c r="AC979" s="224"/>
      <c r="AD979" s="224"/>
      <c r="AE979" s="224"/>
      <c r="AF979" s="224"/>
      <c r="AG979" s="224"/>
      <c r="AH979" s="224"/>
      <c r="AI979" s="224"/>
      <c r="AJ979" s="224"/>
      <c r="AK979" s="224"/>
      <c r="AL979" s="224"/>
    </row>
    <row r="980" ht="15.7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  <c r="AC980" s="224"/>
      <c r="AD980" s="224"/>
      <c r="AE980" s="224"/>
      <c r="AF980" s="224"/>
      <c r="AG980" s="224"/>
      <c r="AH980" s="224"/>
      <c r="AI980" s="224"/>
      <c r="AJ980" s="224"/>
      <c r="AK980" s="224"/>
      <c r="AL980" s="224"/>
    </row>
    <row r="981" ht="15.7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  <c r="AC981" s="224"/>
      <c r="AD981" s="224"/>
      <c r="AE981" s="224"/>
      <c r="AF981" s="224"/>
      <c r="AG981" s="224"/>
      <c r="AH981" s="224"/>
      <c r="AI981" s="224"/>
      <c r="AJ981" s="224"/>
      <c r="AK981" s="224"/>
      <c r="AL981" s="224"/>
    </row>
    <row r="982" ht="15.7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  <c r="AC982" s="224"/>
      <c r="AD982" s="224"/>
      <c r="AE982" s="224"/>
      <c r="AF982" s="224"/>
      <c r="AG982" s="224"/>
      <c r="AH982" s="224"/>
      <c r="AI982" s="224"/>
      <c r="AJ982" s="224"/>
      <c r="AK982" s="224"/>
      <c r="AL982" s="224"/>
    </row>
    <row r="983" ht="15.7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  <c r="AC983" s="224"/>
      <c r="AD983" s="224"/>
      <c r="AE983" s="224"/>
      <c r="AF983" s="224"/>
      <c r="AG983" s="224"/>
      <c r="AH983" s="224"/>
      <c r="AI983" s="224"/>
      <c r="AJ983" s="224"/>
      <c r="AK983" s="224"/>
      <c r="AL983" s="224"/>
    </row>
    <row r="984" ht="15.7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  <c r="AC984" s="224"/>
      <c r="AD984" s="224"/>
      <c r="AE984" s="224"/>
      <c r="AF984" s="224"/>
      <c r="AG984" s="224"/>
      <c r="AH984" s="224"/>
      <c r="AI984" s="224"/>
      <c r="AJ984" s="224"/>
      <c r="AK984" s="224"/>
      <c r="AL984" s="224"/>
    </row>
    <row r="985" ht="15.7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  <c r="AC985" s="224"/>
      <c r="AD985" s="224"/>
      <c r="AE985" s="224"/>
      <c r="AF985" s="224"/>
      <c r="AG985" s="224"/>
      <c r="AH985" s="224"/>
      <c r="AI985" s="224"/>
      <c r="AJ985" s="224"/>
      <c r="AK985" s="224"/>
      <c r="AL985" s="224"/>
    </row>
    <row r="986" ht="15.7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  <c r="AC986" s="224"/>
      <c r="AD986" s="224"/>
      <c r="AE986" s="224"/>
      <c r="AF986" s="224"/>
      <c r="AG986" s="224"/>
      <c r="AH986" s="224"/>
      <c r="AI986" s="224"/>
      <c r="AJ986" s="224"/>
      <c r="AK986" s="224"/>
      <c r="AL986" s="224"/>
    </row>
    <row r="987" ht="15.7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  <c r="AC987" s="224"/>
      <c r="AD987" s="224"/>
      <c r="AE987" s="224"/>
      <c r="AF987" s="224"/>
      <c r="AG987" s="224"/>
      <c r="AH987" s="224"/>
      <c r="AI987" s="224"/>
      <c r="AJ987" s="224"/>
      <c r="AK987" s="224"/>
      <c r="AL987" s="224"/>
    </row>
    <row r="988" ht="15.7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  <c r="AC988" s="224"/>
      <c r="AD988" s="224"/>
      <c r="AE988" s="224"/>
      <c r="AF988" s="224"/>
      <c r="AG988" s="224"/>
      <c r="AH988" s="224"/>
      <c r="AI988" s="224"/>
      <c r="AJ988" s="224"/>
      <c r="AK988" s="224"/>
      <c r="AL988" s="224"/>
    </row>
    <row r="989" ht="15.7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  <c r="AC989" s="224"/>
      <c r="AD989" s="224"/>
      <c r="AE989" s="224"/>
      <c r="AF989" s="224"/>
      <c r="AG989" s="224"/>
      <c r="AH989" s="224"/>
      <c r="AI989" s="224"/>
      <c r="AJ989" s="224"/>
      <c r="AK989" s="224"/>
      <c r="AL989" s="224"/>
    </row>
    <row r="990" ht="15.7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  <c r="AC990" s="224"/>
      <c r="AD990" s="224"/>
      <c r="AE990" s="224"/>
      <c r="AF990" s="224"/>
      <c r="AG990" s="224"/>
      <c r="AH990" s="224"/>
      <c r="AI990" s="224"/>
      <c r="AJ990" s="224"/>
      <c r="AK990" s="224"/>
      <c r="AL990" s="224"/>
    </row>
    <row r="991" ht="15.7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  <c r="AC991" s="224"/>
      <c r="AD991" s="224"/>
      <c r="AE991" s="224"/>
      <c r="AF991" s="224"/>
      <c r="AG991" s="224"/>
      <c r="AH991" s="224"/>
      <c r="AI991" s="224"/>
      <c r="AJ991" s="224"/>
      <c r="AK991" s="224"/>
      <c r="AL991" s="224"/>
    </row>
    <row r="992" ht="15.7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  <c r="AC992" s="224"/>
      <c r="AD992" s="224"/>
      <c r="AE992" s="224"/>
      <c r="AF992" s="224"/>
      <c r="AG992" s="224"/>
      <c r="AH992" s="224"/>
      <c r="AI992" s="224"/>
      <c r="AJ992" s="224"/>
      <c r="AK992" s="224"/>
      <c r="AL992" s="224"/>
    </row>
    <row r="993" ht="15.7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  <c r="AC993" s="224"/>
      <c r="AD993" s="224"/>
      <c r="AE993" s="224"/>
      <c r="AF993" s="224"/>
      <c r="AG993" s="224"/>
      <c r="AH993" s="224"/>
      <c r="AI993" s="224"/>
      <c r="AJ993" s="224"/>
      <c r="AK993" s="224"/>
      <c r="AL993" s="224"/>
    </row>
    <row r="994" ht="15.7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  <c r="AC994" s="224"/>
      <c r="AD994" s="224"/>
      <c r="AE994" s="224"/>
      <c r="AF994" s="224"/>
      <c r="AG994" s="224"/>
      <c r="AH994" s="224"/>
      <c r="AI994" s="224"/>
      <c r="AJ994" s="224"/>
      <c r="AK994" s="224"/>
      <c r="AL994" s="224"/>
    </row>
    <row r="995" ht="15.7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  <c r="AC995" s="224"/>
      <c r="AD995" s="224"/>
      <c r="AE995" s="224"/>
      <c r="AF995" s="224"/>
      <c r="AG995" s="224"/>
      <c r="AH995" s="224"/>
      <c r="AI995" s="224"/>
      <c r="AJ995" s="224"/>
      <c r="AK995" s="224"/>
      <c r="AL995" s="224"/>
    </row>
    <row r="996" ht="15.7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  <c r="AC996" s="224"/>
      <c r="AD996" s="224"/>
      <c r="AE996" s="224"/>
      <c r="AF996" s="224"/>
      <c r="AG996" s="224"/>
      <c r="AH996" s="224"/>
      <c r="AI996" s="224"/>
      <c r="AJ996" s="224"/>
      <c r="AK996" s="224"/>
      <c r="AL996" s="224"/>
    </row>
    <row r="997" ht="15.7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  <c r="AC997" s="224"/>
      <c r="AD997" s="224"/>
      <c r="AE997" s="224"/>
      <c r="AF997" s="224"/>
      <c r="AG997" s="224"/>
      <c r="AH997" s="224"/>
      <c r="AI997" s="224"/>
      <c r="AJ997" s="224"/>
      <c r="AK997" s="224"/>
      <c r="AL997" s="224"/>
    </row>
    <row r="998" ht="15.7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  <c r="AC998" s="224"/>
      <c r="AD998" s="224"/>
      <c r="AE998" s="224"/>
      <c r="AF998" s="224"/>
      <c r="AG998" s="224"/>
      <c r="AH998" s="224"/>
      <c r="AI998" s="224"/>
      <c r="AJ998" s="224"/>
      <c r="AK998" s="224"/>
      <c r="AL998" s="224"/>
    </row>
    <row r="999" ht="15.7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  <c r="AC999" s="224"/>
      <c r="AD999" s="224"/>
      <c r="AE999" s="224"/>
      <c r="AF999" s="224"/>
      <c r="AG999" s="224"/>
      <c r="AH999" s="224"/>
      <c r="AI999" s="224"/>
      <c r="AJ999" s="224"/>
      <c r="AK999" s="224"/>
      <c r="AL999" s="224"/>
    </row>
    <row r="1000" ht="15.7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  <c r="AC1000" s="224"/>
      <c r="AD1000" s="224"/>
      <c r="AE1000" s="224"/>
      <c r="AF1000" s="224"/>
      <c r="AG1000" s="224"/>
      <c r="AH1000" s="224"/>
      <c r="AI1000" s="224"/>
      <c r="AJ1000" s="224"/>
      <c r="AK1000" s="224"/>
      <c r="AL1000" s="224"/>
    </row>
  </sheetData>
  <conditionalFormatting sqref="AB9:AL41">
    <cfRule type="cellIs" dxfId="13" priority="1" stopIfTrue="1" operator="lessThan">
      <formula>0</formula>
    </cfRule>
  </conditionalFormatting>
  <conditionalFormatting sqref="AB9:AL41">
    <cfRule type="cellIs" dxfId="14" priority="2" stopIfTrue="1" operator="greaterThan">
      <formula>0</formula>
    </cfRule>
  </conditionalFormatting>
  <conditionalFormatting sqref="BX9:CH41">
    <cfRule type="cellIs" dxfId="13" priority="3" stopIfTrue="1" operator="lessThan">
      <formula>0</formula>
    </cfRule>
  </conditionalFormatting>
  <conditionalFormatting sqref="BX9:CH41">
    <cfRule type="cellIs" dxfId="14" priority="4" stopIfTrue="1" operator="greaterThan">
      <formula>0</formula>
    </cfRule>
  </conditionalFormatting>
  <conditionalFormatting sqref="B9:CH41">
    <cfRule type="expression" dxfId="6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63.13"/>
    <col customWidth="1" min="8" max="11" width="10.0"/>
    <col customWidth="1" min="12" max="22" width="6.63"/>
  </cols>
  <sheetData>
    <row r="1">
      <c r="A1" s="187" t="s">
        <v>1935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</row>
    <row r="2">
      <c r="A2" s="499" t="s">
        <v>114</v>
      </c>
      <c r="B2" s="499"/>
      <c r="C2" s="499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>
      <c r="A3" s="500" t="s">
        <v>1936</v>
      </c>
      <c r="B3" s="501" t="s">
        <v>53</v>
      </c>
      <c r="C3" s="502" t="s">
        <v>1937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</row>
    <row r="4">
      <c r="A4" s="500" t="s">
        <v>1938</v>
      </c>
      <c r="B4" s="501">
        <v>5.0</v>
      </c>
      <c r="C4" s="502" t="s">
        <v>1939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</row>
    <row r="5">
      <c r="A5" s="500" t="s">
        <v>386</v>
      </c>
      <c r="B5" s="501" t="s">
        <v>57</v>
      </c>
      <c r="C5" s="502" t="s">
        <v>1940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</row>
    <row r="6">
      <c r="A6" s="500" t="s">
        <v>162</v>
      </c>
      <c r="B6" s="501" t="s">
        <v>163</v>
      </c>
      <c r="C6" s="502" t="s">
        <v>1941</v>
      </c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</row>
    <row r="7">
      <c r="A7" s="500" t="s">
        <v>1942</v>
      </c>
      <c r="B7" s="501" t="s">
        <v>1943</v>
      </c>
      <c r="C7" s="502" t="s">
        <v>1944</v>
      </c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</row>
    <row r="8">
      <c r="A8" s="500" t="s">
        <v>1945</v>
      </c>
      <c r="B8" s="501" t="s">
        <v>161</v>
      </c>
      <c r="C8" s="502" t="s">
        <v>1946</v>
      </c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</row>
    <row r="9">
      <c r="A9" s="500" t="s">
        <v>1947</v>
      </c>
      <c r="B9" s="503">
        <v>5.0</v>
      </c>
      <c r="C9" s="502" t="s">
        <v>1948</v>
      </c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>
      <c r="A10" s="500" t="s">
        <v>1949</v>
      </c>
      <c r="B10" s="501"/>
      <c r="C10" s="502" t="s">
        <v>1950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>
      <c r="A11" s="500" t="s">
        <v>1951</v>
      </c>
      <c r="B11" s="501"/>
      <c r="C11" s="502" t="s">
        <v>1952</v>
      </c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</row>
    <row r="12">
      <c r="A12" s="224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</row>
    <row r="13">
      <c r="A13" s="499" t="s">
        <v>1953</v>
      </c>
      <c r="B13" s="499"/>
      <c r="C13" s="499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</row>
    <row r="14">
      <c r="A14" s="500" t="str">
        <f>ECOGAINS_PBP_PROFILE($B$5,$B$6, sim_refresh!$A$1)</f>
        <v>Attempts / active day</v>
      </c>
      <c r="B14" s="504">
        <v>26.4</v>
      </c>
      <c r="C14" s="502" t="s">
        <v>1954</v>
      </c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</row>
    <row r="15">
      <c r="A15" s="500" t="s">
        <v>1955</v>
      </c>
      <c r="B15" s="504" t="s">
        <v>1956</v>
      </c>
      <c r="C15" s="502" t="s">
        <v>1957</v>
      </c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</row>
    <row r="16">
      <c r="A16" s="500" t="s">
        <v>1958</v>
      </c>
      <c r="B16" s="504" t="s">
        <v>1959</v>
      </c>
      <c r="C16" s="502" t="s">
        <v>1960</v>
      </c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</row>
    <row r="17">
      <c r="A17" s="500" t="s">
        <v>1961</v>
      </c>
      <c r="B17" s="504">
        <v>7.0</v>
      </c>
      <c r="C17" s="502" t="s">
        <v>1962</v>
      </c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</row>
    <row r="18">
      <c r="A18" s="500" t="s">
        <v>1963</v>
      </c>
      <c r="B18" s="504">
        <v>4.1</v>
      </c>
      <c r="C18" s="502" t="s">
        <v>1964</v>
      </c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</row>
    <row r="19">
      <c r="A19" s="500" t="s">
        <v>1965</v>
      </c>
      <c r="B19" s="504">
        <v>3.0</v>
      </c>
      <c r="C19" s="502" t="s">
        <v>1966</v>
      </c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>
      <c r="A20" s="500" t="s">
        <v>1967</v>
      </c>
      <c r="B20" s="504">
        <v>7.0</v>
      </c>
      <c r="C20" s="502" t="s">
        <v>1968</v>
      </c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</row>
    <row r="21" ht="15.75" customHeight="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</row>
    <row r="22" ht="15.75" customHeight="1">
      <c r="A22" s="499" t="s">
        <v>1969</v>
      </c>
      <c r="B22" s="499"/>
      <c r="C22" s="499"/>
      <c r="D22" s="499"/>
      <c r="E22" s="499"/>
      <c r="F22" s="499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</row>
    <row r="23" ht="15.75" customHeight="1">
      <c r="A23" s="500" t="str">
        <f>ECOGAINS_PBP_EVENTS($B$3,$B$4,$B$5,$B$6,$B$8, sim_refresh!$A$1)</f>
        <v>Event</v>
      </c>
      <c r="B23" s="500" t="s">
        <v>1970</v>
      </c>
      <c r="C23" s="500" t="s">
        <v>1971</v>
      </c>
      <c r="D23" s="500" t="s">
        <v>1972</v>
      </c>
      <c r="E23" s="500" t="s">
        <v>1973</v>
      </c>
      <c r="F23" s="500" t="s">
        <v>1974</v>
      </c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</row>
    <row r="24" ht="15.75" customHeight="1">
      <c r="A24" s="500" t="s">
        <v>375</v>
      </c>
      <c r="B24" s="505" t="s">
        <v>395</v>
      </c>
      <c r="C24" s="505">
        <v>155.8</v>
      </c>
      <c r="D24" s="505" t="s">
        <v>1975</v>
      </c>
      <c r="E24" s="505" t="s">
        <v>1976</v>
      </c>
      <c r="F24" s="505" t="s">
        <v>434</v>
      </c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</row>
    <row r="25" ht="15.75" customHeight="1">
      <c r="A25" s="500" t="s">
        <v>43</v>
      </c>
      <c r="B25" s="505" t="s">
        <v>395</v>
      </c>
      <c r="C25" s="505">
        <v>2556.5</v>
      </c>
      <c r="D25" s="505" t="s">
        <v>1977</v>
      </c>
      <c r="E25" s="505" t="s">
        <v>434</v>
      </c>
      <c r="F25" s="505" t="s">
        <v>1978</v>
      </c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</row>
    <row r="26" ht="15.75" customHeight="1">
      <c r="A26" s="500" t="s">
        <v>32</v>
      </c>
      <c r="B26" s="505" t="s">
        <v>395</v>
      </c>
      <c r="C26" s="505">
        <v>0.0</v>
      </c>
      <c r="D26" s="505" t="s">
        <v>1979</v>
      </c>
      <c r="E26" s="505" t="s">
        <v>434</v>
      </c>
      <c r="F26" s="505" t="s">
        <v>1980</v>
      </c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</row>
    <row r="27" ht="15.75" customHeight="1">
      <c r="A27" s="500" t="s">
        <v>46</v>
      </c>
      <c r="B27" s="505" t="s">
        <v>395</v>
      </c>
      <c r="C27" s="505">
        <v>0.0</v>
      </c>
      <c r="D27" s="505" t="s">
        <v>434</v>
      </c>
      <c r="E27" s="505" t="s">
        <v>434</v>
      </c>
      <c r="F27" s="505" t="s">
        <v>1981</v>
      </c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 ht="15.75" customHeight="1">
      <c r="A28" s="500" t="s">
        <v>374</v>
      </c>
      <c r="B28" s="505" t="s">
        <v>395</v>
      </c>
      <c r="C28" s="505">
        <v>0.0</v>
      </c>
      <c r="D28" s="505" t="s">
        <v>434</v>
      </c>
      <c r="E28" s="505" t="s">
        <v>434</v>
      </c>
      <c r="F28" s="505" t="s">
        <v>434</v>
      </c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 ht="15.75" customHeight="1">
      <c r="A29" s="500" t="s">
        <v>373</v>
      </c>
      <c r="B29" s="505" t="s">
        <v>1982</v>
      </c>
      <c r="C29" s="505" t="s">
        <v>434</v>
      </c>
      <c r="D29" s="505" t="s">
        <v>434</v>
      </c>
      <c r="E29" s="505" t="s">
        <v>434</v>
      </c>
      <c r="F29" s="505" t="s">
        <v>1983</v>
      </c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</row>
    <row r="30" ht="15.75" customHeight="1">
      <c r="A30" s="500"/>
      <c r="B30" s="505"/>
      <c r="C30" s="505"/>
      <c r="D30" s="505"/>
      <c r="E30" s="505"/>
      <c r="F30" s="505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 ht="15.75" customHeight="1">
      <c r="A31" s="500"/>
      <c r="B31" s="505"/>
      <c r="C31" s="505"/>
      <c r="D31" s="505"/>
      <c r="E31" s="505"/>
      <c r="F31" s="505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</row>
    <row r="32" ht="15.75" customHeight="1">
      <c r="A32" s="500"/>
      <c r="B32" s="505"/>
      <c r="C32" s="505"/>
      <c r="D32" s="505"/>
      <c r="E32" s="505"/>
      <c r="F32" s="505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 ht="15.75" customHeight="1">
      <c r="A33" s="500"/>
      <c r="B33" s="505"/>
      <c r="C33" s="505"/>
      <c r="D33" s="505"/>
      <c r="E33" s="505"/>
      <c r="F33" s="505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 ht="15.75" customHeight="1">
      <c r="A34" s="500"/>
      <c r="B34" s="505"/>
      <c r="C34" s="505"/>
      <c r="D34" s="505"/>
      <c r="E34" s="505"/>
      <c r="F34" s="505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</row>
    <row r="35" ht="15.75" customHeight="1">
      <c r="A35" s="500"/>
      <c r="B35" s="505"/>
      <c r="C35" s="505"/>
      <c r="D35" s="505"/>
      <c r="E35" s="505"/>
      <c r="F35" s="505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</row>
    <row r="36" ht="15.75" customHeight="1">
      <c r="A36" s="500"/>
      <c r="B36" s="505"/>
      <c r="C36" s="505"/>
      <c r="D36" s="505"/>
      <c r="E36" s="505"/>
      <c r="F36" s="505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</row>
    <row r="37" ht="15.75" customHeight="1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</row>
    <row r="38" ht="15.75" hidden="1" customHeight="1">
      <c r="A38" s="506" t="s">
        <v>1984</v>
      </c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ht="15.75" hidden="1" customHeight="1">
      <c r="A39" s="443" t="s">
        <v>1985</v>
      </c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</row>
    <row r="40" ht="15.75" hidden="1" customHeight="1">
      <c r="A40" s="443" t="s">
        <v>1986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</row>
    <row r="41" ht="15.75" hidden="1" customHeight="1">
      <c r="A41" s="443" t="s">
        <v>1987</v>
      </c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</row>
    <row r="42" ht="15.75" hidden="1" customHeight="1">
      <c r="A42" s="443" t="s">
        <v>1988</v>
      </c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</row>
    <row r="43" ht="15.75" hidden="1" customHeight="1">
      <c r="A43" s="443" t="s">
        <v>1989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 ht="15.75" hidden="1" customHeight="1">
      <c r="A44" s="443" t="s">
        <v>1990</v>
      </c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</row>
    <row r="45" ht="15.75" hidden="1" customHeight="1">
      <c r="A45" s="443" t="s">
        <v>1991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</row>
    <row r="46" ht="15.75" hidden="1" customHeight="1">
      <c r="A46" s="443" t="s">
        <v>1992</v>
      </c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</row>
    <row r="47" ht="15.75" hidden="1" customHeight="1">
      <c r="A47" s="443" t="s">
        <v>1993</v>
      </c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 ht="15.75" hidden="1" customHeight="1">
      <c r="A48" s="443" t="s">
        <v>1994</v>
      </c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</row>
    <row r="49" ht="15.75" hidden="1" customHeight="1">
      <c r="A49" s="443" t="s">
        <v>1995</v>
      </c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</row>
    <row r="50" ht="15.75" customHeight="1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 ht="15.75" customHeight="1">
      <c r="A51" s="499" t="s">
        <v>1996</v>
      </c>
      <c r="B51" s="499"/>
      <c r="C51" s="499"/>
      <c r="D51" s="499"/>
      <c r="E51" s="499"/>
      <c r="F51" s="499"/>
      <c r="G51" s="499"/>
      <c r="H51" s="499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9"/>
      <c r="V51" s="499"/>
      <c r="W51" s="224"/>
      <c r="X51" s="224"/>
      <c r="Y51" s="224"/>
      <c r="Z51" s="224"/>
    </row>
    <row r="52" ht="15.75" customHeight="1">
      <c r="A52" s="500" t="str">
        <f>ECOGAINS_PBP($B$3,$B$4,$B$5,$B$6,$B$7,$B$8,$B$9,$B$10,$B$11, sim_refresh!$A$1)</f>
        <v>Row</v>
      </c>
      <c r="B52" s="500" t="s">
        <v>390</v>
      </c>
      <c r="C52" s="500" t="s">
        <v>1997</v>
      </c>
      <c r="D52" s="500" t="s">
        <v>392</v>
      </c>
      <c r="E52" s="500" t="s">
        <v>1998</v>
      </c>
      <c r="F52" s="500" t="s">
        <v>1999</v>
      </c>
      <c r="G52" s="500" t="s">
        <v>2000</v>
      </c>
      <c r="H52" s="500" t="s">
        <v>2001</v>
      </c>
      <c r="I52" s="500" t="s">
        <v>2002</v>
      </c>
      <c r="J52" s="500" t="s">
        <v>2003</v>
      </c>
      <c r="K52" s="500" t="s">
        <v>368</v>
      </c>
      <c r="L52" s="500" t="s">
        <v>1882</v>
      </c>
      <c r="M52" s="500" t="s">
        <v>72</v>
      </c>
      <c r="N52" s="500" t="s">
        <v>73</v>
      </c>
      <c r="O52" s="500" t="s">
        <v>74</v>
      </c>
      <c r="P52" s="500" t="s">
        <v>69</v>
      </c>
      <c r="Q52" s="500" t="s">
        <v>70</v>
      </c>
      <c r="R52" s="500" t="s">
        <v>71</v>
      </c>
      <c r="S52" s="500" t="s">
        <v>1883</v>
      </c>
      <c r="T52" s="500" t="s">
        <v>1884</v>
      </c>
      <c r="U52" s="500" t="s">
        <v>1885</v>
      </c>
      <c r="V52" s="500" t="s">
        <v>75</v>
      </c>
      <c r="W52" s="224"/>
      <c r="X52" s="224"/>
      <c r="Y52" s="224"/>
      <c r="Z52" s="224"/>
    </row>
    <row r="53" ht="15.75" customHeight="1">
      <c r="A53" s="507" t="s">
        <v>2004</v>
      </c>
      <c r="B53" s="507">
        <v>0.0</v>
      </c>
      <c r="C53" s="507">
        <v>273.0</v>
      </c>
      <c r="D53" s="507" t="s">
        <v>2005</v>
      </c>
      <c r="E53" s="507" t="s">
        <v>368</v>
      </c>
      <c r="F53" s="507" t="s">
        <v>368</v>
      </c>
      <c r="G53" s="508" t="s">
        <v>2006</v>
      </c>
      <c r="H53" s="507">
        <v>155.8</v>
      </c>
      <c r="I53" s="507">
        <v>2556.5</v>
      </c>
      <c r="J53" s="507">
        <v>0.0</v>
      </c>
      <c r="K53" s="507" t="s">
        <v>368</v>
      </c>
      <c r="L53" s="507">
        <v>0.0</v>
      </c>
      <c r="M53" s="507">
        <v>1.0</v>
      </c>
      <c r="N53" s="507">
        <v>0.0</v>
      </c>
      <c r="O53" s="507">
        <v>0.0</v>
      </c>
      <c r="P53" s="507">
        <v>0.0</v>
      </c>
      <c r="Q53" s="507">
        <v>0.0</v>
      </c>
      <c r="R53" s="507">
        <v>0.0</v>
      </c>
      <c r="S53" s="507">
        <v>0.0</v>
      </c>
      <c r="T53" s="507">
        <v>0.0</v>
      </c>
      <c r="U53" s="507">
        <v>0.0</v>
      </c>
      <c r="V53" s="507">
        <v>0.0</v>
      </c>
      <c r="W53" s="224"/>
      <c r="X53" s="224"/>
      <c r="Y53" s="224"/>
      <c r="Z53" s="224"/>
    </row>
    <row r="54" ht="15.75" customHeight="1">
      <c r="A54" s="507">
        <v>1.0</v>
      </c>
      <c r="B54" s="507">
        <v>1.0</v>
      </c>
      <c r="C54" s="507">
        <v>273.0</v>
      </c>
      <c r="D54" s="507" t="s">
        <v>2007</v>
      </c>
      <c r="E54" s="507">
        <v>0.0</v>
      </c>
      <c r="F54" s="507" t="s">
        <v>434</v>
      </c>
      <c r="G54" s="508" t="s">
        <v>368</v>
      </c>
      <c r="H54" s="507">
        <v>155.8</v>
      </c>
      <c r="I54" s="507">
        <v>2556.5</v>
      </c>
      <c r="J54" s="507">
        <v>0.0</v>
      </c>
      <c r="K54" s="507" t="s">
        <v>368</v>
      </c>
      <c r="L54" s="507">
        <v>0.0</v>
      </c>
      <c r="M54" s="507">
        <v>1.0</v>
      </c>
      <c r="N54" s="507">
        <v>0.0</v>
      </c>
      <c r="O54" s="507">
        <v>0.0</v>
      </c>
      <c r="P54" s="507">
        <v>0.0</v>
      </c>
      <c r="Q54" s="507">
        <v>0.0</v>
      </c>
      <c r="R54" s="507">
        <v>0.0</v>
      </c>
      <c r="S54" s="507">
        <v>0.0</v>
      </c>
      <c r="T54" s="507">
        <v>0.0</v>
      </c>
      <c r="U54" s="507">
        <v>0.0</v>
      </c>
      <c r="V54" s="507">
        <v>0.0</v>
      </c>
      <c r="W54" s="224"/>
      <c r="X54" s="224"/>
      <c r="Y54" s="224"/>
      <c r="Z54" s="224"/>
    </row>
    <row r="55" ht="15.75" customHeight="1">
      <c r="A55" s="507">
        <v>2.0</v>
      </c>
      <c r="B55" s="507">
        <v>2.0</v>
      </c>
      <c r="C55" s="507">
        <v>273.0</v>
      </c>
      <c r="D55" s="507" t="s">
        <v>2008</v>
      </c>
      <c r="E55" s="507">
        <v>1.0</v>
      </c>
      <c r="F55" s="507" t="s">
        <v>2009</v>
      </c>
      <c r="G55" s="508" t="s">
        <v>368</v>
      </c>
      <c r="H55" s="507">
        <v>158.8</v>
      </c>
      <c r="I55" s="507">
        <v>2557.6</v>
      </c>
      <c r="J55" s="507">
        <v>1.6</v>
      </c>
      <c r="K55" s="507" t="s">
        <v>368</v>
      </c>
      <c r="L55" s="507">
        <v>0.0</v>
      </c>
      <c r="M55" s="507">
        <v>1.0</v>
      </c>
      <c r="N55" s="507">
        <v>0.0</v>
      </c>
      <c r="O55" s="507">
        <v>0.0</v>
      </c>
      <c r="P55" s="507">
        <v>0.0</v>
      </c>
      <c r="Q55" s="507">
        <v>0.0</v>
      </c>
      <c r="R55" s="507">
        <v>0.0</v>
      </c>
      <c r="S55" s="507">
        <v>0.0</v>
      </c>
      <c r="T55" s="507">
        <v>0.0</v>
      </c>
      <c r="U55" s="507">
        <v>0.0</v>
      </c>
      <c r="V55" s="507">
        <v>0.0</v>
      </c>
      <c r="W55" s="224"/>
      <c r="X55" s="224"/>
      <c r="Y55" s="224"/>
      <c r="Z55" s="224"/>
    </row>
    <row r="56" ht="15.75" customHeight="1">
      <c r="A56" s="507">
        <v>3.0</v>
      </c>
      <c r="B56" s="507">
        <v>3.0</v>
      </c>
      <c r="C56" s="507">
        <v>274.0</v>
      </c>
      <c r="D56" s="507" t="s">
        <v>2008</v>
      </c>
      <c r="E56" s="507">
        <v>2.0</v>
      </c>
      <c r="F56" s="507" t="s">
        <v>2010</v>
      </c>
      <c r="G56" s="508" t="s">
        <v>368</v>
      </c>
      <c r="H56" s="507">
        <v>163.8</v>
      </c>
      <c r="I56" s="507">
        <v>2567.8</v>
      </c>
      <c r="J56" s="507">
        <v>9.8</v>
      </c>
      <c r="K56" s="507" t="s">
        <v>368</v>
      </c>
      <c r="L56" s="507">
        <v>0.0</v>
      </c>
      <c r="M56" s="507">
        <v>1.0</v>
      </c>
      <c r="N56" s="507">
        <v>0.0</v>
      </c>
      <c r="O56" s="507">
        <v>0.0</v>
      </c>
      <c r="P56" s="507">
        <v>0.0</v>
      </c>
      <c r="Q56" s="507">
        <v>0.0</v>
      </c>
      <c r="R56" s="507">
        <v>0.0</v>
      </c>
      <c r="S56" s="507">
        <v>0.0</v>
      </c>
      <c r="T56" s="507">
        <v>0.0</v>
      </c>
      <c r="U56" s="507">
        <v>0.0</v>
      </c>
      <c r="V56" s="507">
        <v>0.0</v>
      </c>
      <c r="W56" s="224"/>
      <c r="X56" s="224"/>
      <c r="Y56" s="224"/>
      <c r="Z56" s="224"/>
    </row>
    <row r="57" ht="15.75" customHeight="1">
      <c r="A57" s="507">
        <v>4.0</v>
      </c>
      <c r="B57" s="507">
        <v>4.0</v>
      </c>
      <c r="C57" s="507">
        <v>275.0</v>
      </c>
      <c r="D57" s="507" t="s">
        <v>2007</v>
      </c>
      <c r="E57" s="507">
        <v>0.0</v>
      </c>
      <c r="F57" s="507" t="s">
        <v>434</v>
      </c>
      <c r="G57" s="508" t="s">
        <v>368</v>
      </c>
      <c r="H57" s="507">
        <v>163.8</v>
      </c>
      <c r="I57" s="507">
        <v>2567.8</v>
      </c>
      <c r="J57" s="507">
        <v>9.8</v>
      </c>
      <c r="K57" s="507" t="s">
        <v>368</v>
      </c>
      <c r="L57" s="507">
        <v>0.0</v>
      </c>
      <c r="M57" s="507">
        <v>1.0</v>
      </c>
      <c r="N57" s="507">
        <v>0.0</v>
      </c>
      <c r="O57" s="507">
        <v>0.0</v>
      </c>
      <c r="P57" s="507">
        <v>0.0</v>
      </c>
      <c r="Q57" s="507">
        <v>0.0</v>
      </c>
      <c r="R57" s="507">
        <v>0.0</v>
      </c>
      <c r="S57" s="507">
        <v>0.0</v>
      </c>
      <c r="T57" s="507">
        <v>0.0</v>
      </c>
      <c r="U57" s="507">
        <v>0.0</v>
      </c>
      <c r="V57" s="507">
        <v>0.0</v>
      </c>
      <c r="W57" s="224"/>
      <c r="X57" s="224"/>
      <c r="Y57" s="224"/>
      <c r="Z57" s="224"/>
    </row>
    <row r="58" ht="15.75" customHeight="1">
      <c r="A58" s="507">
        <v>5.0</v>
      </c>
      <c r="B58" s="507">
        <v>5.0</v>
      </c>
      <c r="C58" s="507">
        <v>275.0</v>
      </c>
      <c r="D58" s="507" t="s">
        <v>2007</v>
      </c>
      <c r="E58" s="507">
        <v>0.0</v>
      </c>
      <c r="F58" s="507" t="s">
        <v>434</v>
      </c>
      <c r="G58" s="508" t="s">
        <v>368</v>
      </c>
      <c r="H58" s="507">
        <v>163.8</v>
      </c>
      <c r="I58" s="507">
        <v>2567.8</v>
      </c>
      <c r="J58" s="507">
        <v>9.8</v>
      </c>
      <c r="K58" s="507" t="s">
        <v>368</v>
      </c>
      <c r="L58" s="507">
        <v>0.0</v>
      </c>
      <c r="M58" s="507">
        <v>1.0</v>
      </c>
      <c r="N58" s="507">
        <v>0.0</v>
      </c>
      <c r="O58" s="507">
        <v>0.0</v>
      </c>
      <c r="P58" s="507">
        <v>0.0</v>
      </c>
      <c r="Q58" s="507">
        <v>0.0</v>
      </c>
      <c r="R58" s="507">
        <v>0.0</v>
      </c>
      <c r="S58" s="507">
        <v>0.0</v>
      </c>
      <c r="T58" s="507">
        <v>0.0</v>
      </c>
      <c r="U58" s="507">
        <v>0.0</v>
      </c>
      <c r="V58" s="507">
        <v>0.0</v>
      </c>
      <c r="W58" s="224"/>
      <c r="X58" s="224"/>
      <c r="Y58" s="224"/>
      <c r="Z58" s="224"/>
    </row>
    <row r="59" ht="15.75" customHeight="1">
      <c r="A59" s="507">
        <v>6.0</v>
      </c>
      <c r="B59" s="507">
        <v>6.0</v>
      </c>
      <c r="C59" s="507">
        <v>275.0</v>
      </c>
      <c r="D59" s="507" t="s">
        <v>2008</v>
      </c>
      <c r="E59" s="507">
        <v>1.0</v>
      </c>
      <c r="F59" s="507" t="s">
        <v>2009</v>
      </c>
      <c r="G59" s="508" t="s">
        <v>368</v>
      </c>
      <c r="H59" s="507">
        <v>166.8</v>
      </c>
      <c r="I59" s="507">
        <v>2568.8</v>
      </c>
      <c r="J59" s="507">
        <v>11.5</v>
      </c>
      <c r="K59" s="507" t="s">
        <v>368</v>
      </c>
      <c r="L59" s="507">
        <v>0.0</v>
      </c>
      <c r="M59" s="507">
        <v>1.0</v>
      </c>
      <c r="N59" s="507">
        <v>0.0</v>
      </c>
      <c r="O59" s="507">
        <v>0.0</v>
      </c>
      <c r="P59" s="507">
        <v>0.0</v>
      </c>
      <c r="Q59" s="507">
        <v>0.0</v>
      </c>
      <c r="R59" s="507">
        <v>0.0</v>
      </c>
      <c r="S59" s="507">
        <v>0.0</v>
      </c>
      <c r="T59" s="507">
        <v>0.0</v>
      </c>
      <c r="U59" s="507">
        <v>0.0</v>
      </c>
      <c r="V59" s="507">
        <v>0.0</v>
      </c>
      <c r="W59" s="224"/>
      <c r="X59" s="224"/>
      <c r="Y59" s="224"/>
      <c r="Z59" s="224"/>
    </row>
    <row r="60" ht="15.75" customHeight="1">
      <c r="A60" s="507">
        <v>7.0</v>
      </c>
      <c r="B60" s="507">
        <v>7.0</v>
      </c>
      <c r="C60" s="507">
        <v>276.0</v>
      </c>
      <c r="D60" s="507" t="s">
        <v>2007</v>
      </c>
      <c r="E60" s="507">
        <v>0.0</v>
      </c>
      <c r="F60" s="507" t="s">
        <v>434</v>
      </c>
      <c r="G60" s="508" t="s">
        <v>368</v>
      </c>
      <c r="H60" s="507">
        <v>166.8</v>
      </c>
      <c r="I60" s="507">
        <v>2568.8</v>
      </c>
      <c r="J60" s="507">
        <v>11.5</v>
      </c>
      <c r="K60" s="507" t="s">
        <v>368</v>
      </c>
      <c r="L60" s="507">
        <v>0.0</v>
      </c>
      <c r="M60" s="507">
        <v>1.0</v>
      </c>
      <c r="N60" s="507">
        <v>0.0</v>
      </c>
      <c r="O60" s="507">
        <v>0.0</v>
      </c>
      <c r="P60" s="507">
        <v>0.0</v>
      </c>
      <c r="Q60" s="507">
        <v>0.0</v>
      </c>
      <c r="R60" s="507">
        <v>0.0</v>
      </c>
      <c r="S60" s="507">
        <v>0.0</v>
      </c>
      <c r="T60" s="507">
        <v>0.0</v>
      </c>
      <c r="U60" s="507">
        <v>0.0</v>
      </c>
      <c r="V60" s="507">
        <v>0.0</v>
      </c>
      <c r="W60" s="224"/>
      <c r="X60" s="224"/>
      <c r="Y60" s="224"/>
      <c r="Z60" s="224"/>
    </row>
    <row r="61" ht="15.75" customHeight="1">
      <c r="A61" s="507">
        <v>8.0</v>
      </c>
      <c r="B61" s="507">
        <v>8.0</v>
      </c>
      <c r="C61" s="507">
        <v>276.0</v>
      </c>
      <c r="D61" s="507" t="s">
        <v>2007</v>
      </c>
      <c r="E61" s="507">
        <v>0.0</v>
      </c>
      <c r="F61" s="507" t="s">
        <v>434</v>
      </c>
      <c r="G61" s="508" t="s">
        <v>368</v>
      </c>
      <c r="H61" s="507">
        <v>166.8</v>
      </c>
      <c r="I61" s="507">
        <v>2568.8</v>
      </c>
      <c r="J61" s="507">
        <v>11.5</v>
      </c>
      <c r="K61" s="507" t="s">
        <v>368</v>
      </c>
      <c r="L61" s="507">
        <v>0.0</v>
      </c>
      <c r="M61" s="507">
        <v>1.0</v>
      </c>
      <c r="N61" s="507">
        <v>0.0</v>
      </c>
      <c r="O61" s="507">
        <v>0.0</v>
      </c>
      <c r="P61" s="507">
        <v>0.0</v>
      </c>
      <c r="Q61" s="507">
        <v>0.0</v>
      </c>
      <c r="R61" s="507">
        <v>0.0</v>
      </c>
      <c r="S61" s="507">
        <v>0.0</v>
      </c>
      <c r="T61" s="507">
        <v>0.0</v>
      </c>
      <c r="U61" s="507">
        <v>0.0</v>
      </c>
      <c r="V61" s="507">
        <v>0.0</v>
      </c>
      <c r="W61" s="224"/>
      <c r="X61" s="224"/>
      <c r="Y61" s="224"/>
      <c r="Z61" s="224"/>
    </row>
    <row r="62" ht="15.75" customHeight="1">
      <c r="A62" s="507">
        <v>9.0</v>
      </c>
      <c r="B62" s="507">
        <v>9.0</v>
      </c>
      <c r="C62" s="507">
        <v>276.0</v>
      </c>
      <c r="D62" s="507" t="s">
        <v>2007</v>
      </c>
      <c r="E62" s="507">
        <v>0.0</v>
      </c>
      <c r="F62" s="507" t="s">
        <v>434</v>
      </c>
      <c r="G62" s="508" t="s">
        <v>368</v>
      </c>
      <c r="H62" s="507">
        <v>166.8</v>
      </c>
      <c r="I62" s="507">
        <v>2568.8</v>
      </c>
      <c r="J62" s="507">
        <v>11.5</v>
      </c>
      <c r="K62" s="507" t="s">
        <v>368</v>
      </c>
      <c r="L62" s="507">
        <v>0.0</v>
      </c>
      <c r="M62" s="507">
        <v>1.0</v>
      </c>
      <c r="N62" s="507">
        <v>0.0</v>
      </c>
      <c r="O62" s="507">
        <v>0.0</v>
      </c>
      <c r="P62" s="507">
        <v>0.0</v>
      </c>
      <c r="Q62" s="507">
        <v>0.0</v>
      </c>
      <c r="R62" s="507">
        <v>0.0</v>
      </c>
      <c r="S62" s="507">
        <v>0.0</v>
      </c>
      <c r="T62" s="507">
        <v>0.0</v>
      </c>
      <c r="U62" s="507">
        <v>0.0</v>
      </c>
      <c r="V62" s="507">
        <v>0.0</v>
      </c>
      <c r="W62" s="224"/>
      <c r="X62" s="224"/>
      <c r="Y62" s="224"/>
      <c r="Z62" s="224"/>
    </row>
    <row r="63" ht="15.75" customHeight="1">
      <c r="A63" s="507">
        <v>10.0</v>
      </c>
      <c r="B63" s="507">
        <v>10.0</v>
      </c>
      <c r="C63" s="507">
        <v>276.0</v>
      </c>
      <c r="D63" s="507" t="s">
        <v>2007</v>
      </c>
      <c r="E63" s="507">
        <v>0.0</v>
      </c>
      <c r="F63" s="507" t="s">
        <v>434</v>
      </c>
      <c r="G63" s="508" t="s">
        <v>368</v>
      </c>
      <c r="H63" s="507">
        <v>166.8</v>
      </c>
      <c r="I63" s="507">
        <v>2568.8</v>
      </c>
      <c r="J63" s="507">
        <v>11.5</v>
      </c>
      <c r="K63" s="507" t="s">
        <v>368</v>
      </c>
      <c r="L63" s="507">
        <v>0.0</v>
      </c>
      <c r="M63" s="507">
        <v>1.0</v>
      </c>
      <c r="N63" s="507">
        <v>0.0</v>
      </c>
      <c r="O63" s="507">
        <v>0.0</v>
      </c>
      <c r="P63" s="507">
        <v>0.0</v>
      </c>
      <c r="Q63" s="507">
        <v>0.0</v>
      </c>
      <c r="R63" s="507">
        <v>0.0</v>
      </c>
      <c r="S63" s="507">
        <v>0.0</v>
      </c>
      <c r="T63" s="507">
        <v>0.0</v>
      </c>
      <c r="U63" s="507">
        <v>0.0</v>
      </c>
      <c r="V63" s="507">
        <v>0.0</v>
      </c>
      <c r="W63" s="224"/>
      <c r="X63" s="224"/>
      <c r="Y63" s="224"/>
      <c r="Z63" s="224"/>
    </row>
    <row r="64" ht="15.75" customHeight="1">
      <c r="A64" s="507">
        <v>11.0</v>
      </c>
      <c r="B64" s="507">
        <v>11.0</v>
      </c>
      <c r="C64" s="507">
        <v>276.0</v>
      </c>
      <c r="D64" s="507" t="s">
        <v>2008</v>
      </c>
      <c r="E64" s="507">
        <v>1.0</v>
      </c>
      <c r="F64" s="507" t="s">
        <v>2009</v>
      </c>
      <c r="G64" s="508" t="s">
        <v>368</v>
      </c>
      <c r="H64" s="507">
        <v>169.8</v>
      </c>
      <c r="I64" s="507">
        <v>2569.8</v>
      </c>
      <c r="J64" s="507">
        <v>13.1</v>
      </c>
      <c r="K64" s="507" t="s">
        <v>368</v>
      </c>
      <c r="L64" s="507">
        <v>0.0</v>
      </c>
      <c r="M64" s="507">
        <v>1.0</v>
      </c>
      <c r="N64" s="507">
        <v>0.0</v>
      </c>
      <c r="O64" s="507">
        <v>0.0</v>
      </c>
      <c r="P64" s="507">
        <v>0.0</v>
      </c>
      <c r="Q64" s="507">
        <v>0.0</v>
      </c>
      <c r="R64" s="507">
        <v>0.0</v>
      </c>
      <c r="S64" s="507">
        <v>0.0</v>
      </c>
      <c r="T64" s="507">
        <v>0.0</v>
      </c>
      <c r="U64" s="507">
        <v>0.0</v>
      </c>
      <c r="V64" s="507">
        <v>0.0</v>
      </c>
      <c r="W64" s="224"/>
      <c r="X64" s="224"/>
      <c r="Y64" s="224"/>
      <c r="Z64" s="224"/>
    </row>
    <row r="65" ht="15.75" customHeight="1">
      <c r="A65" s="507">
        <v>12.0</v>
      </c>
      <c r="B65" s="507">
        <v>12.0</v>
      </c>
      <c r="C65" s="507">
        <v>277.0</v>
      </c>
      <c r="D65" s="507" t="s">
        <v>2008</v>
      </c>
      <c r="E65" s="507">
        <v>2.0</v>
      </c>
      <c r="F65" s="507" t="s">
        <v>2010</v>
      </c>
      <c r="G65" s="508" t="s">
        <v>368</v>
      </c>
      <c r="H65" s="507">
        <v>174.8</v>
      </c>
      <c r="I65" s="507">
        <v>2580.1</v>
      </c>
      <c r="J65" s="507">
        <v>21.3</v>
      </c>
      <c r="K65" s="507" t="s">
        <v>368</v>
      </c>
      <c r="L65" s="507">
        <v>0.0</v>
      </c>
      <c r="M65" s="507">
        <v>1.0</v>
      </c>
      <c r="N65" s="507">
        <v>0.0</v>
      </c>
      <c r="O65" s="507">
        <v>0.0</v>
      </c>
      <c r="P65" s="507">
        <v>0.0</v>
      </c>
      <c r="Q65" s="507">
        <v>0.0</v>
      </c>
      <c r="R65" s="507">
        <v>0.0</v>
      </c>
      <c r="S65" s="507">
        <v>0.0</v>
      </c>
      <c r="T65" s="507">
        <v>0.0</v>
      </c>
      <c r="U65" s="507">
        <v>0.0</v>
      </c>
      <c r="V65" s="507">
        <v>0.0</v>
      </c>
      <c r="W65" s="224"/>
      <c r="X65" s="224"/>
      <c r="Y65" s="224"/>
      <c r="Z65" s="224"/>
    </row>
    <row r="66" ht="15.75" customHeight="1">
      <c r="A66" s="507">
        <v>13.0</v>
      </c>
      <c r="B66" s="507">
        <v>13.0</v>
      </c>
      <c r="C66" s="507">
        <v>278.0</v>
      </c>
      <c r="D66" s="507" t="s">
        <v>2008</v>
      </c>
      <c r="E66" s="507">
        <v>3.0</v>
      </c>
      <c r="F66" s="507" t="s">
        <v>2011</v>
      </c>
      <c r="G66" s="508" t="s">
        <v>368</v>
      </c>
      <c r="H66" s="507">
        <v>181.8</v>
      </c>
      <c r="I66" s="507">
        <v>2682.5</v>
      </c>
      <c r="J66" s="507">
        <v>37.7</v>
      </c>
      <c r="K66" s="507" t="s">
        <v>368</v>
      </c>
      <c r="L66" s="507">
        <v>0.0</v>
      </c>
      <c r="M66" s="507">
        <v>1.0</v>
      </c>
      <c r="N66" s="507">
        <v>0.0</v>
      </c>
      <c r="O66" s="507">
        <v>0.0</v>
      </c>
      <c r="P66" s="507">
        <v>0.0</v>
      </c>
      <c r="Q66" s="507">
        <v>0.0</v>
      </c>
      <c r="R66" s="507">
        <v>0.0</v>
      </c>
      <c r="S66" s="507">
        <v>0.0</v>
      </c>
      <c r="T66" s="507">
        <v>0.0</v>
      </c>
      <c r="U66" s="507">
        <v>0.0</v>
      </c>
      <c r="V66" s="507">
        <v>0.0</v>
      </c>
      <c r="W66" s="224"/>
      <c r="X66" s="224"/>
      <c r="Y66" s="224"/>
      <c r="Z66" s="224"/>
    </row>
    <row r="67" ht="15.75" customHeight="1">
      <c r="A67" s="507">
        <v>14.0</v>
      </c>
      <c r="B67" s="507">
        <v>14.0</v>
      </c>
      <c r="C67" s="507">
        <v>279.0</v>
      </c>
      <c r="D67" s="507" t="s">
        <v>2008</v>
      </c>
      <c r="E67" s="507">
        <v>4.0</v>
      </c>
      <c r="F67" s="507" t="s">
        <v>2012</v>
      </c>
      <c r="G67" s="508" t="s">
        <v>368</v>
      </c>
      <c r="H67" s="507">
        <v>191.8</v>
      </c>
      <c r="I67" s="507">
        <v>2887.3</v>
      </c>
      <c r="J67" s="507">
        <v>70.5</v>
      </c>
      <c r="K67" s="507" t="s">
        <v>368</v>
      </c>
      <c r="L67" s="507">
        <v>0.0</v>
      </c>
      <c r="M67" s="507">
        <v>1.0</v>
      </c>
      <c r="N67" s="507">
        <v>0.0</v>
      </c>
      <c r="O67" s="507">
        <v>0.0</v>
      </c>
      <c r="P67" s="507">
        <v>0.0</v>
      </c>
      <c r="Q67" s="507">
        <v>0.0</v>
      </c>
      <c r="R67" s="507">
        <v>0.0</v>
      </c>
      <c r="S67" s="507">
        <v>0.0</v>
      </c>
      <c r="T67" s="507">
        <v>0.0</v>
      </c>
      <c r="U67" s="507">
        <v>0.0</v>
      </c>
      <c r="V67" s="507">
        <v>0.0</v>
      </c>
      <c r="W67" s="224"/>
      <c r="X67" s="224"/>
      <c r="Y67" s="224"/>
      <c r="Z67" s="224"/>
    </row>
    <row r="68" ht="15.75" customHeight="1">
      <c r="A68" s="507">
        <v>15.0</v>
      </c>
      <c r="B68" s="507">
        <v>15.0</v>
      </c>
      <c r="C68" s="507">
        <v>280.0</v>
      </c>
      <c r="D68" s="507" t="s">
        <v>2008</v>
      </c>
      <c r="E68" s="507">
        <v>5.0</v>
      </c>
      <c r="F68" s="507" t="s">
        <v>2013</v>
      </c>
      <c r="G68" s="508" t="s">
        <v>2014</v>
      </c>
      <c r="H68" s="507">
        <v>201.8</v>
      </c>
      <c r="I68" s="507">
        <v>3399.3</v>
      </c>
      <c r="J68" s="507">
        <v>234.4</v>
      </c>
      <c r="K68" s="507" t="s">
        <v>368</v>
      </c>
      <c r="L68" s="507">
        <v>0.0</v>
      </c>
      <c r="M68" s="507">
        <v>1.0</v>
      </c>
      <c r="N68" s="507">
        <v>0.0</v>
      </c>
      <c r="O68" s="507">
        <v>0.0</v>
      </c>
      <c r="P68" s="507">
        <v>0.0</v>
      </c>
      <c r="Q68" s="507">
        <v>0.0</v>
      </c>
      <c r="R68" s="507">
        <v>1.0</v>
      </c>
      <c r="S68" s="507">
        <v>0.0</v>
      </c>
      <c r="T68" s="507">
        <v>0.0</v>
      </c>
      <c r="U68" s="507">
        <v>0.0</v>
      </c>
      <c r="V68" s="507">
        <v>30.0</v>
      </c>
      <c r="W68" s="224"/>
      <c r="X68" s="224"/>
      <c r="Y68" s="224"/>
      <c r="Z68" s="224"/>
    </row>
    <row r="69" ht="15.75" customHeight="1">
      <c r="A69" s="507">
        <v>16.0</v>
      </c>
      <c r="B69" s="507">
        <v>16.0</v>
      </c>
      <c r="C69" s="507">
        <v>281.0</v>
      </c>
      <c r="D69" s="507" t="s">
        <v>2007</v>
      </c>
      <c r="E69" s="507">
        <v>0.0</v>
      </c>
      <c r="F69" s="507" t="s">
        <v>434</v>
      </c>
      <c r="G69" s="508" t="s">
        <v>368</v>
      </c>
      <c r="H69" s="507">
        <v>201.8</v>
      </c>
      <c r="I69" s="507">
        <v>3399.3</v>
      </c>
      <c r="J69" s="507">
        <v>234.4</v>
      </c>
      <c r="K69" s="507" t="s">
        <v>368</v>
      </c>
      <c r="L69" s="507">
        <v>0.0</v>
      </c>
      <c r="M69" s="507">
        <v>1.0</v>
      </c>
      <c r="N69" s="507">
        <v>0.0</v>
      </c>
      <c r="O69" s="507">
        <v>0.0</v>
      </c>
      <c r="P69" s="507">
        <v>0.0</v>
      </c>
      <c r="Q69" s="507">
        <v>0.0</v>
      </c>
      <c r="R69" s="507">
        <v>1.0</v>
      </c>
      <c r="S69" s="507">
        <v>0.0</v>
      </c>
      <c r="T69" s="507">
        <v>0.0</v>
      </c>
      <c r="U69" s="507">
        <v>0.0</v>
      </c>
      <c r="V69" s="507">
        <v>30.0</v>
      </c>
      <c r="W69" s="224"/>
      <c r="X69" s="224"/>
      <c r="Y69" s="224"/>
      <c r="Z69" s="224"/>
    </row>
    <row r="70" ht="15.75" customHeight="1">
      <c r="A70" s="507">
        <v>17.0</v>
      </c>
      <c r="B70" s="507">
        <v>17.0</v>
      </c>
      <c r="C70" s="507">
        <v>281.0</v>
      </c>
      <c r="D70" s="507" t="s">
        <v>2007</v>
      </c>
      <c r="E70" s="507">
        <v>0.0</v>
      </c>
      <c r="F70" s="507" t="s">
        <v>434</v>
      </c>
      <c r="G70" s="508" t="s">
        <v>368</v>
      </c>
      <c r="H70" s="507">
        <v>201.8</v>
      </c>
      <c r="I70" s="507">
        <v>3399.3</v>
      </c>
      <c r="J70" s="507">
        <v>234.4</v>
      </c>
      <c r="K70" s="507" t="s">
        <v>368</v>
      </c>
      <c r="L70" s="507">
        <v>0.0</v>
      </c>
      <c r="M70" s="507">
        <v>1.0</v>
      </c>
      <c r="N70" s="507">
        <v>0.0</v>
      </c>
      <c r="O70" s="507">
        <v>0.0</v>
      </c>
      <c r="P70" s="507">
        <v>0.0</v>
      </c>
      <c r="Q70" s="507">
        <v>0.0</v>
      </c>
      <c r="R70" s="507">
        <v>1.0</v>
      </c>
      <c r="S70" s="507">
        <v>0.0</v>
      </c>
      <c r="T70" s="507">
        <v>0.0</v>
      </c>
      <c r="U70" s="507">
        <v>0.0</v>
      </c>
      <c r="V70" s="507">
        <v>30.0</v>
      </c>
      <c r="W70" s="224"/>
      <c r="X70" s="224"/>
      <c r="Y70" s="224"/>
      <c r="Z70" s="224"/>
    </row>
    <row r="71" ht="15.75" customHeight="1">
      <c r="A71" s="507">
        <v>18.0</v>
      </c>
      <c r="B71" s="507">
        <v>18.0</v>
      </c>
      <c r="C71" s="507">
        <v>281.0</v>
      </c>
      <c r="D71" s="507" t="s">
        <v>2007</v>
      </c>
      <c r="E71" s="507">
        <v>0.0</v>
      </c>
      <c r="F71" s="507" t="s">
        <v>434</v>
      </c>
      <c r="G71" s="508" t="s">
        <v>368</v>
      </c>
      <c r="H71" s="507">
        <v>201.8</v>
      </c>
      <c r="I71" s="507">
        <v>3399.3</v>
      </c>
      <c r="J71" s="507">
        <v>234.4</v>
      </c>
      <c r="K71" s="507" t="s">
        <v>368</v>
      </c>
      <c r="L71" s="507">
        <v>0.0</v>
      </c>
      <c r="M71" s="507">
        <v>1.0</v>
      </c>
      <c r="N71" s="507">
        <v>0.0</v>
      </c>
      <c r="O71" s="507">
        <v>0.0</v>
      </c>
      <c r="P71" s="507">
        <v>0.0</v>
      </c>
      <c r="Q71" s="507">
        <v>0.0</v>
      </c>
      <c r="R71" s="507">
        <v>1.0</v>
      </c>
      <c r="S71" s="507">
        <v>0.0</v>
      </c>
      <c r="T71" s="507">
        <v>0.0</v>
      </c>
      <c r="U71" s="507">
        <v>0.0</v>
      </c>
      <c r="V71" s="507">
        <v>30.0</v>
      </c>
      <c r="W71" s="224"/>
      <c r="X71" s="224"/>
      <c r="Y71" s="224"/>
      <c r="Z71" s="224"/>
    </row>
    <row r="72" ht="15.75" customHeight="1">
      <c r="A72" s="507">
        <v>19.0</v>
      </c>
      <c r="B72" s="507">
        <v>19.0</v>
      </c>
      <c r="C72" s="507">
        <v>281.0</v>
      </c>
      <c r="D72" s="507" t="s">
        <v>2007</v>
      </c>
      <c r="E72" s="507">
        <v>0.0</v>
      </c>
      <c r="F72" s="507" t="s">
        <v>434</v>
      </c>
      <c r="G72" s="508" t="s">
        <v>368</v>
      </c>
      <c r="H72" s="507">
        <v>201.8</v>
      </c>
      <c r="I72" s="507">
        <v>3399.3</v>
      </c>
      <c r="J72" s="507">
        <v>234.4</v>
      </c>
      <c r="K72" s="507" t="s">
        <v>368</v>
      </c>
      <c r="L72" s="507">
        <v>0.0</v>
      </c>
      <c r="M72" s="507">
        <v>1.0</v>
      </c>
      <c r="N72" s="507">
        <v>0.0</v>
      </c>
      <c r="O72" s="507">
        <v>0.0</v>
      </c>
      <c r="P72" s="507">
        <v>0.0</v>
      </c>
      <c r="Q72" s="507">
        <v>0.0</v>
      </c>
      <c r="R72" s="507">
        <v>1.0</v>
      </c>
      <c r="S72" s="507">
        <v>0.0</v>
      </c>
      <c r="T72" s="507">
        <v>0.0</v>
      </c>
      <c r="U72" s="507">
        <v>0.0</v>
      </c>
      <c r="V72" s="507">
        <v>30.0</v>
      </c>
      <c r="W72" s="224"/>
      <c r="X72" s="224"/>
      <c r="Y72" s="224"/>
      <c r="Z72" s="224"/>
    </row>
    <row r="73" ht="15.75" customHeight="1">
      <c r="A73" s="507">
        <v>20.0</v>
      </c>
      <c r="B73" s="507">
        <v>20.0</v>
      </c>
      <c r="C73" s="507">
        <v>281.0</v>
      </c>
      <c r="D73" s="507" t="s">
        <v>2007</v>
      </c>
      <c r="E73" s="507">
        <v>0.0</v>
      </c>
      <c r="F73" s="507" t="s">
        <v>434</v>
      </c>
      <c r="G73" s="508" t="s">
        <v>368</v>
      </c>
      <c r="H73" s="507">
        <v>201.8</v>
      </c>
      <c r="I73" s="507">
        <v>3399.3</v>
      </c>
      <c r="J73" s="507">
        <v>234.4</v>
      </c>
      <c r="K73" s="507" t="s">
        <v>368</v>
      </c>
      <c r="L73" s="507">
        <v>0.0</v>
      </c>
      <c r="M73" s="507">
        <v>1.0</v>
      </c>
      <c r="N73" s="507">
        <v>0.0</v>
      </c>
      <c r="O73" s="507">
        <v>0.0</v>
      </c>
      <c r="P73" s="507">
        <v>0.0</v>
      </c>
      <c r="Q73" s="507">
        <v>0.0</v>
      </c>
      <c r="R73" s="507">
        <v>1.0</v>
      </c>
      <c r="S73" s="507">
        <v>0.0</v>
      </c>
      <c r="T73" s="507">
        <v>0.0</v>
      </c>
      <c r="U73" s="507">
        <v>0.0</v>
      </c>
      <c r="V73" s="507">
        <v>30.0</v>
      </c>
      <c r="W73" s="224"/>
      <c r="X73" s="224"/>
      <c r="Y73" s="224"/>
      <c r="Z73" s="224"/>
    </row>
    <row r="74" ht="15.75" customHeight="1">
      <c r="A74" s="507">
        <v>21.0</v>
      </c>
      <c r="B74" s="507">
        <v>21.0</v>
      </c>
      <c r="C74" s="507">
        <v>281.0</v>
      </c>
      <c r="D74" s="507" t="s">
        <v>2007</v>
      </c>
      <c r="E74" s="507">
        <v>0.0</v>
      </c>
      <c r="F74" s="507" t="s">
        <v>434</v>
      </c>
      <c r="G74" s="508" t="s">
        <v>368</v>
      </c>
      <c r="H74" s="507">
        <v>201.8</v>
      </c>
      <c r="I74" s="507">
        <v>3399.3</v>
      </c>
      <c r="J74" s="507">
        <v>234.4</v>
      </c>
      <c r="K74" s="507" t="s">
        <v>368</v>
      </c>
      <c r="L74" s="507">
        <v>0.0</v>
      </c>
      <c r="M74" s="507">
        <v>1.0</v>
      </c>
      <c r="N74" s="507">
        <v>0.0</v>
      </c>
      <c r="O74" s="507">
        <v>0.0</v>
      </c>
      <c r="P74" s="507">
        <v>0.0</v>
      </c>
      <c r="Q74" s="507">
        <v>0.0</v>
      </c>
      <c r="R74" s="507">
        <v>1.0</v>
      </c>
      <c r="S74" s="507">
        <v>0.0</v>
      </c>
      <c r="T74" s="507">
        <v>0.0</v>
      </c>
      <c r="U74" s="507">
        <v>0.0</v>
      </c>
      <c r="V74" s="507">
        <v>30.0</v>
      </c>
      <c r="W74" s="224"/>
      <c r="X74" s="224"/>
      <c r="Y74" s="224"/>
      <c r="Z74" s="224"/>
    </row>
    <row r="75" ht="15.75" customHeight="1">
      <c r="A75" s="507">
        <v>22.0</v>
      </c>
      <c r="B75" s="507">
        <v>22.0</v>
      </c>
      <c r="C75" s="507">
        <v>281.0</v>
      </c>
      <c r="D75" s="507" t="s">
        <v>2007</v>
      </c>
      <c r="E75" s="507">
        <v>0.0</v>
      </c>
      <c r="F75" s="507" t="s">
        <v>434</v>
      </c>
      <c r="G75" s="508" t="s">
        <v>368</v>
      </c>
      <c r="H75" s="507">
        <v>201.8</v>
      </c>
      <c r="I75" s="507">
        <v>3399.3</v>
      </c>
      <c r="J75" s="507">
        <v>234.4</v>
      </c>
      <c r="K75" s="507" t="s">
        <v>368</v>
      </c>
      <c r="L75" s="507">
        <v>0.0</v>
      </c>
      <c r="M75" s="507">
        <v>1.0</v>
      </c>
      <c r="N75" s="507">
        <v>0.0</v>
      </c>
      <c r="O75" s="507">
        <v>0.0</v>
      </c>
      <c r="P75" s="507">
        <v>0.0</v>
      </c>
      <c r="Q75" s="507">
        <v>0.0</v>
      </c>
      <c r="R75" s="507">
        <v>1.0</v>
      </c>
      <c r="S75" s="507">
        <v>0.0</v>
      </c>
      <c r="T75" s="507">
        <v>0.0</v>
      </c>
      <c r="U75" s="507">
        <v>0.0</v>
      </c>
      <c r="V75" s="507">
        <v>30.0</v>
      </c>
      <c r="W75" s="224"/>
      <c r="X75" s="224"/>
      <c r="Y75" s="224"/>
      <c r="Z75" s="224"/>
    </row>
    <row r="76" ht="15.75" customHeight="1">
      <c r="A76" s="507">
        <v>23.0</v>
      </c>
      <c r="B76" s="507">
        <v>23.0</v>
      </c>
      <c r="C76" s="507">
        <v>281.0</v>
      </c>
      <c r="D76" s="507" t="s">
        <v>2008</v>
      </c>
      <c r="E76" s="507">
        <v>1.0</v>
      </c>
      <c r="F76" s="507" t="s">
        <v>2009</v>
      </c>
      <c r="G76" s="508" t="s">
        <v>368</v>
      </c>
      <c r="H76" s="507">
        <v>204.8</v>
      </c>
      <c r="I76" s="507">
        <v>3400.3</v>
      </c>
      <c r="J76" s="507">
        <v>236.1</v>
      </c>
      <c r="K76" s="507" t="s">
        <v>368</v>
      </c>
      <c r="L76" s="507">
        <v>0.0</v>
      </c>
      <c r="M76" s="507">
        <v>1.0</v>
      </c>
      <c r="N76" s="507">
        <v>0.0</v>
      </c>
      <c r="O76" s="507">
        <v>0.0</v>
      </c>
      <c r="P76" s="507">
        <v>0.0</v>
      </c>
      <c r="Q76" s="507">
        <v>0.0</v>
      </c>
      <c r="R76" s="507">
        <v>1.0</v>
      </c>
      <c r="S76" s="507">
        <v>0.0</v>
      </c>
      <c r="T76" s="507">
        <v>0.0</v>
      </c>
      <c r="U76" s="507">
        <v>0.0</v>
      </c>
      <c r="V76" s="507">
        <v>30.0</v>
      </c>
      <c r="W76" s="224"/>
      <c r="X76" s="224"/>
      <c r="Y76" s="224"/>
      <c r="Z76" s="224"/>
    </row>
    <row r="77" ht="15.75" customHeight="1">
      <c r="A77" s="507">
        <v>24.0</v>
      </c>
      <c r="B77" s="507">
        <v>24.0</v>
      </c>
      <c r="C77" s="507">
        <v>282.0</v>
      </c>
      <c r="D77" s="507" t="s">
        <v>2008</v>
      </c>
      <c r="E77" s="507">
        <v>2.0</v>
      </c>
      <c r="F77" s="507" t="s">
        <v>2010</v>
      </c>
      <c r="G77" s="508" t="s">
        <v>368</v>
      </c>
      <c r="H77" s="507">
        <v>209.8</v>
      </c>
      <c r="I77" s="507">
        <v>3410.6</v>
      </c>
      <c r="J77" s="507">
        <v>244.3</v>
      </c>
      <c r="K77" s="507" t="s">
        <v>368</v>
      </c>
      <c r="L77" s="507">
        <v>0.0</v>
      </c>
      <c r="M77" s="507">
        <v>1.0</v>
      </c>
      <c r="N77" s="507">
        <v>0.0</v>
      </c>
      <c r="O77" s="507">
        <v>0.0</v>
      </c>
      <c r="P77" s="507">
        <v>0.0</v>
      </c>
      <c r="Q77" s="507">
        <v>0.0</v>
      </c>
      <c r="R77" s="507">
        <v>1.0</v>
      </c>
      <c r="S77" s="507">
        <v>0.0</v>
      </c>
      <c r="T77" s="507">
        <v>0.0</v>
      </c>
      <c r="U77" s="507">
        <v>0.0</v>
      </c>
      <c r="V77" s="507">
        <v>30.0</v>
      </c>
      <c r="W77" s="224"/>
      <c r="X77" s="224"/>
      <c r="Y77" s="224"/>
      <c r="Z77" s="224"/>
    </row>
    <row r="78" ht="15.75" customHeight="1">
      <c r="A78" s="507">
        <v>25.0</v>
      </c>
      <c r="B78" s="507">
        <v>25.0</v>
      </c>
      <c r="C78" s="507">
        <v>283.0</v>
      </c>
      <c r="D78" s="507" t="s">
        <v>2008</v>
      </c>
      <c r="E78" s="507">
        <v>3.0</v>
      </c>
      <c r="F78" s="507" t="s">
        <v>2011</v>
      </c>
      <c r="G78" s="508" t="s">
        <v>368</v>
      </c>
      <c r="H78" s="507">
        <v>216.8</v>
      </c>
      <c r="I78" s="507">
        <v>3513.0</v>
      </c>
      <c r="J78" s="507">
        <v>260.7</v>
      </c>
      <c r="K78" s="507" t="s">
        <v>368</v>
      </c>
      <c r="L78" s="507">
        <v>0.0</v>
      </c>
      <c r="M78" s="507">
        <v>1.0</v>
      </c>
      <c r="N78" s="507">
        <v>0.0</v>
      </c>
      <c r="O78" s="507">
        <v>0.0</v>
      </c>
      <c r="P78" s="507">
        <v>0.0</v>
      </c>
      <c r="Q78" s="507">
        <v>0.0</v>
      </c>
      <c r="R78" s="507">
        <v>1.0</v>
      </c>
      <c r="S78" s="507">
        <v>0.0</v>
      </c>
      <c r="T78" s="507">
        <v>0.0</v>
      </c>
      <c r="U78" s="507">
        <v>0.0</v>
      </c>
      <c r="V78" s="507">
        <v>30.0</v>
      </c>
      <c r="W78" s="224"/>
      <c r="X78" s="224"/>
      <c r="Y78" s="224"/>
      <c r="Z78" s="224"/>
    </row>
    <row r="79" ht="15.75" customHeight="1">
      <c r="A79" s="507">
        <v>26.0</v>
      </c>
      <c r="B79" s="507">
        <v>26.0</v>
      </c>
      <c r="C79" s="507">
        <v>284.0</v>
      </c>
      <c r="D79" s="507" t="s">
        <v>2008</v>
      </c>
      <c r="E79" s="507">
        <v>4.0</v>
      </c>
      <c r="F79" s="507" t="s">
        <v>2012</v>
      </c>
      <c r="G79" s="508" t="s">
        <v>368</v>
      </c>
      <c r="H79" s="507">
        <v>226.8</v>
      </c>
      <c r="I79" s="507">
        <v>3717.8</v>
      </c>
      <c r="J79" s="507">
        <v>293.4</v>
      </c>
      <c r="K79" s="507" t="s">
        <v>368</v>
      </c>
      <c r="L79" s="507">
        <v>0.0</v>
      </c>
      <c r="M79" s="507">
        <v>1.0</v>
      </c>
      <c r="N79" s="507">
        <v>0.0</v>
      </c>
      <c r="O79" s="507">
        <v>0.0</v>
      </c>
      <c r="P79" s="507">
        <v>0.0</v>
      </c>
      <c r="Q79" s="507">
        <v>0.0</v>
      </c>
      <c r="R79" s="507">
        <v>1.0</v>
      </c>
      <c r="S79" s="507">
        <v>0.0</v>
      </c>
      <c r="T79" s="507">
        <v>0.0</v>
      </c>
      <c r="U79" s="507">
        <v>0.0</v>
      </c>
      <c r="V79" s="507">
        <v>30.0</v>
      </c>
      <c r="W79" s="224"/>
      <c r="X79" s="224"/>
      <c r="Y79" s="224"/>
      <c r="Z79" s="224"/>
    </row>
    <row r="80" ht="15.75" customHeight="1">
      <c r="A80" s="507" t="s">
        <v>2015</v>
      </c>
      <c r="B80" s="507" t="s">
        <v>434</v>
      </c>
      <c r="C80" s="507" t="s">
        <v>434</v>
      </c>
      <c r="D80" s="507" t="s">
        <v>2016</v>
      </c>
      <c r="E80" s="507" t="s">
        <v>368</v>
      </c>
      <c r="F80" s="507" t="s">
        <v>368</v>
      </c>
      <c r="G80" s="508" t="s">
        <v>2017</v>
      </c>
      <c r="H80" s="507">
        <v>226.8</v>
      </c>
      <c r="I80" s="507">
        <v>3717.8</v>
      </c>
      <c r="J80" s="507">
        <v>293.4</v>
      </c>
      <c r="K80" s="507" t="s">
        <v>368</v>
      </c>
      <c r="L80" s="507">
        <v>0.0</v>
      </c>
      <c r="M80" s="507">
        <v>1.0</v>
      </c>
      <c r="N80" s="507">
        <v>0.0</v>
      </c>
      <c r="O80" s="507">
        <v>0.0</v>
      </c>
      <c r="P80" s="507">
        <v>0.0</v>
      </c>
      <c r="Q80" s="507">
        <v>0.0</v>
      </c>
      <c r="R80" s="507">
        <v>1.0</v>
      </c>
      <c r="S80" s="507">
        <v>0.0</v>
      </c>
      <c r="T80" s="507">
        <v>0.0</v>
      </c>
      <c r="U80" s="507">
        <v>0.0</v>
      </c>
      <c r="V80" s="507">
        <v>30.0</v>
      </c>
      <c r="W80" s="224"/>
      <c r="X80" s="224"/>
      <c r="Y80" s="224"/>
      <c r="Z80" s="224"/>
    </row>
    <row r="81" ht="15.75" customHeight="1">
      <c r="A81" s="507" t="s">
        <v>368</v>
      </c>
      <c r="B81" s="507" t="s">
        <v>368</v>
      </c>
      <c r="C81" s="507" t="s">
        <v>368</v>
      </c>
      <c r="D81" s="507" t="s">
        <v>368</v>
      </c>
      <c r="E81" s="507" t="s">
        <v>368</v>
      </c>
      <c r="F81" s="507" t="s">
        <v>368</v>
      </c>
      <c r="G81" s="508" t="s">
        <v>2018</v>
      </c>
      <c r="H81" s="507" t="s">
        <v>368</v>
      </c>
      <c r="I81" s="507" t="s">
        <v>368</v>
      </c>
      <c r="J81" s="507" t="s">
        <v>368</v>
      </c>
      <c r="K81" s="507" t="s">
        <v>368</v>
      </c>
      <c r="L81" s="507">
        <v>10.0</v>
      </c>
      <c r="M81" s="507">
        <v>2.0</v>
      </c>
      <c r="N81" s="507">
        <v>0.0</v>
      </c>
      <c r="O81" s="507">
        <v>0.0</v>
      </c>
      <c r="P81" s="507">
        <v>0.0</v>
      </c>
      <c r="Q81" s="507">
        <v>0.0</v>
      </c>
      <c r="R81" s="507">
        <v>1.0</v>
      </c>
      <c r="S81" s="507">
        <v>0.0</v>
      </c>
      <c r="T81" s="507">
        <v>0.0</v>
      </c>
      <c r="U81" s="507">
        <v>0.0</v>
      </c>
      <c r="V81" s="507">
        <v>30.0</v>
      </c>
      <c r="W81" s="224"/>
      <c r="X81" s="224"/>
      <c r="Y81" s="224"/>
      <c r="Z81" s="224"/>
    </row>
    <row r="82" ht="15.75" customHeight="1">
      <c r="A82" s="507" t="s">
        <v>368</v>
      </c>
      <c r="B82" s="507" t="s">
        <v>368</v>
      </c>
      <c r="C82" s="507" t="s">
        <v>368</v>
      </c>
      <c r="D82" s="507" t="s">
        <v>368</v>
      </c>
      <c r="E82" s="507" t="s">
        <v>368</v>
      </c>
      <c r="F82" s="507" t="s">
        <v>368</v>
      </c>
      <c r="G82" s="508" t="s">
        <v>2019</v>
      </c>
      <c r="H82" s="507" t="s">
        <v>368</v>
      </c>
      <c r="I82" s="507" t="s">
        <v>368</v>
      </c>
      <c r="J82" s="507" t="s">
        <v>368</v>
      </c>
      <c r="K82" s="507" t="s">
        <v>368</v>
      </c>
      <c r="L82" s="507">
        <v>10.0</v>
      </c>
      <c r="M82" s="507">
        <v>2.0</v>
      </c>
      <c r="N82" s="507">
        <v>1.0</v>
      </c>
      <c r="O82" s="507">
        <v>0.0</v>
      </c>
      <c r="P82" s="507">
        <v>0.0</v>
      </c>
      <c r="Q82" s="507">
        <v>0.0</v>
      </c>
      <c r="R82" s="507">
        <v>1.0</v>
      </c>
      <c r="S82" s="507">
        <v>0.0</v>
      </c>
      <c r="T82" s="507">
        <v>0.0</v>
      </c>
      <c r="U82" s="507">
        <v>0.0</v>
      </c>
      <c r="V82" s="507">
        <v>30.0</v>
      </c>
      <c r="W82" s="224"/>
      <c r="X82" s="224"/>
      <c r="Y82" s="224"/>
      <c r="Z82" s="224"/>
    </row>
    <row r="83" ht="15.75" customHeight="1">
      <c r="A83" s="507" t="s">
        <v>368</v>
      </c>
      <c r="B83" s="507" t="s">
        <v>368</v>
      </c>
      <c r="C83" s="507" t="s">
        <v>368</v>
      </c>
      <c r="D83" s="507" t="s">
        <v>368</v>
      </c>
      <c r="E83" s="507" t="s">
        <v>368</v>
      </c>
      <c r="F83" s="507" t="s">
        <v>368</v>
      </c>
      <c r="G83" s="508" t="s">
        <v>368</v>
      </c>
      <c r="H83" s="507" t="s">
        <v>368</v>
      </c>
      <c r="I83" s="507" t="s">
        <v>368</v>
      </c>
      <c r="J83" s="507" t="s">
        <v>368</v>
      </c>
      <c r="K83" s="507" t="s">
        <v>368</v>
      </c>
      <c r="L83" s="507" t="s">
        <v>368</v>
      </c>
      <c r="M83" s="507" t="s">
        <v>368</v>
      </c>
      <c r="N83" s="507" t="s">
        <v>368</v>
      </c>
      <c r="O83" s="507" t="s">
        <v>368</v>
      </c>
      <c r="P83" s="507" t="s">
        <v>368</v>
      </c>
      <c r="Q83" s="507" t="s">
        <v>368</v>
      </c>
      <c r="R83" s="507" t="s">
        <v>368</v>
      </c>
      <c r="S83" s="507" t="s">
        <v>368</v>
      </c>
      <c r="T83" s="507" t="s">
        <v>368</v>
      </c>
      <c r="U83" s="507" t="s">
        <v>368</v>
      </c>
      <c r="V83" s="507" t="s">
        <v>368</v>
      </c>
      <c r="W83" s="224"/>
      <c r="X83" s="224"/>
      <c r="Y83" s="224"/>
      <c r="Z83" s="224"/>
    </row>
    <row r="84" ht="15.75" customHeight="1">
      <c r="A84" s="507" t="s">
        <v>2020</v>
      </c>
      <c r="B84" s="507" t="s">
        <v>400</v>
      </c>
      <c r="C84" s="507" t="s">
        <v>1882</v>
      </c>
      <c r="D84" s="507" t="s">
        <v>72</v>
      </c>
      <c r="E84" s="507" t="s">
        <v>73</v>
      </c>
      <c r="F84" s="507" t="s">
        <v>74</v>
      </c>
      <c r="G84" s="508" t="s">
        <v>69</v>
      </c>
      <c r="H84" s="507" t="s">
        <v>70</v>
      </c>
      <c r="I84" s="507" t="s">
        <v>71</v>
      </c>
      <c r="J84" s="507" t="s">
        <v>1883</v>
      </c>
      <c r="K84" s="507" t="s">
        <v>1884</v>
      </c>
      <c r="L84" s="507" t="s">
        <v>1885</v>
      </c>
      <c r="M84" s="507" t="s">
        <v>75</v>
      </c>
      <c r="N84" s="507" t="s">
        <v>368</v>
      </c>
      <c r="O84" s="507" t="s">
        <v>368</v>
      </c>
      <c r="P84" s="507" t="s">
        <v>368</v>
      </c>
      <c r="Q84" s="507" t="s">
        <v>368</v>
      </c>
      <c r="R84" s="507" t="s">
        <v>368</v>
      </c>
      <c r="S84" s="507" t="s">
        <v>368</v>
      </c>
      <c r="T84" s="507" t="s">
        <v>368</v>
      </c>
      <c r="U84" s="507" t="s">
        <v>368</v>
      </c>
      <c r="V84" s="507" t="s">
        <v>368</v>
      </c>
      <c r="W84" s="224"/>
      <c r="X84" s="224"/>
      <c r="Y84" s="224"/>
      <c r="Z84" s="224"/>
    </row>
    <row r="85" ht="15.75" customHeight="1">
      <c r="A85" s="507" t="s">
        <v>368</v>
      </c>
      <c r="B85" s="507" t="s">
        <v>373</v>
      </c>
      <c r="C85" s="507">
        <v>0.0</v>
      </c>
      <c r="D85" s="507">
        <v>1.0</v>
      </c>
      <c r="E85" s="507">
        <v>0.0</v>
      </c>
      <c r="F85" s="507">
        <v>0.0</v>
      </c>
      <c r="G85" s="508">
        <v>0.0</v>
      </c>
      <c r="H85" s="507">
        <v>0.0</v>
      </c>
      <c r="I85" s="507">
        <v>0.0</v>
      </c>
      <c r="J85" s="507">
        <v>0.0</v>
      </c>
      <c r="K85" s="507">
        <v>0.0</v>
      </c>
      <c r="L85" s="507">
        <v>0.0</v>
      </c>
      <c r="M85" s="507">
        <v>0.0</v>
      </c>
      <c r="N85" s="507" t="s">
        <v>368</v>
      </c>
      <c r="O85" s="507" t="s">
        <v>368</v>
      </c>
      <c r="P85" s="507" t="s">
        <v>368</v>
      </c>
      <c r="Q85" s="507" t="s">
        <v>368</v>
      </c>
      <c r="R85" s="507" t="s">
        <v>368</v>
      </c>
      <c r="S85" s="507" t="s">
        <v>368</v>
      </c>
      <c r="T85" s="507" t="s">
        <v>368</v>
      </c>
      <c r="U85" s="507" t="s">
        <v>368</v>
      </c>
      <c r="V85" s="507" t="s">
        <v>368</v>
      </c>
      <c r="W85" s="224"/>
      <c r="X85" s="224"/>
      <c r="Y85" s="224"/>
      <c r="Z85" s="224"/>
    </row>
    <row r="86" ht="15.75" customHeight="1">
      <c r="A86" s="507" t="s">
        <v>368</v>
      </c>
      <c r="B86" s="507" t="s">
        <v>379</v>
      </c>
      <c r="C86" s="507">
        <v>0.0</v>
      </c>
      <c r="D86" s="507">
        <v>0.0</v>
      </c>
      <c r="E86" s="507">
        <v>0.0</v>
      </c>
      <c r="F86" s="507">
        <v>0.0</v>
      </c>
      <c r="G86" s="508">
        <v>0.0</v>
      </c>
      <c r="H86" s="507">
        <v>0.0</v>
      </c>
      <c r="I86" s="507">
        <v>1.0</v>
      </c>
      <c r="J86" s="507">
        <v>0.0</v>
      </c>
      <c r="K86" s="507">
        <v>0.0</v>
      </c>
      <c r="L86" s="507">
        <v>0.0</v>
      </c>
      <c r="M86" s="507">
        <v>30.0</v>
      </c>
      <c r="N86" s="507" t="s">
        <v>368</v>
      </c>
      <c r="O86" s="507" t="s">
        <v>368</v>
      </c>
      <c r="P86" s="507" t="s">
        <v>368</v>
      </c>
      <c r="Q86" s="507" t="s">
        <v>368</v>
      </c>
      <c r="R86" s="507" t="s">
        <v>368</v>
      </c>
      <c r="S86" s="507" t="s">
        <v>368</v>
      </c>
      <c r="T86" s="507" t="s">
        <v>368</v>
      </c>
      <c r="U86" s="507" t="s">
        <v>368</v>
      </c>
      <c r="V86" s="507" t="s">
        <v>368</v>
      </c>
      <c r="W86" s="224"/>
      <c r="X86" s="224"/>
      <c r="Y86" s="224"/>
      <c r="Z86" s="224"/>
    </row>
    <row r="87" ht="15.75" customHeight="1">
      <c r="A87" s="507" t="s">
        <v>368</v>
      </c>
      <c r="B87" s="507" t="s">
        <v>43</v>
      </c>
      <c r="C87" s="507">
        <v>0.0</v>
      </c>
      <c r="D87" s="507">
        <v>0.0</v>
      </c>
      <c r="E87" s="507">
        <v>0.0</v>
      </c>
      <c r="F87" s="507">
        <v>0.0</v>
      </c>
      <c r="G87" s="508">
        <v>0.0</v>
      </c>
      <c r="H87" s="507">
        <v>0.0</v>
      </c>
      <c r="I87" s="507">
        <v>0.0</v>
      </c>
      <c r="J87" s="507">
        <v>0.0</v>
      </c>
      <c r="K87" s="507">
        <v>0.0</v>
      </c>
      <c r="L87" s="507">
        <v>0.0</v>
      </c>
      <c r="M87" s="507">
        <v>0.0</v>
      </c>
      <c r="N87" s="507" t="s">
        <v>368</v>
      </c>
      <c r="O87" s="507" t="s">
        <v>368</v>
      </c>
      <c r="P87" s="507" t="s">
        <v>368</v>
      </c>
      <c r="Q87" s="507" t="s">
        <v>368</v>
      </c>
      <c r="R87" s="507" t="s">
        <v>368</v>
      </c>
      <c r="S87" s="507" t="s">
        <v>368</v>
      </c>
      <c r="T87" s="507" t="s">
        <v>368</v>
      </c>
      <c r="U87" s="507" t="s">
        <v>368</v>
      </c>
      <c r="V87" s="507" t="s">
        <v>368</v>
      </c>
      <c r="W87" s="224"/>
      <c r="X87" s="224"/>
      <c r="Y87" s="224"/>
      <c r="Z87" s="224"/>
    </row>
    <row r="88" ht="15.75" customHeight="1">
      <c r="A88" s="507" t="s">
        <v>368</v>
      </c>
      <c r="B88" s="507" t="s">
        <v>32</v>
      </c>
      <c r="C88" s="507">
        <v>10.0</v>
      </c>
      <c r="D88" s="507">
        <v>1.0</v>
      </c>
      <c r="E88" s="507">
        <v>0.0</v>
      </c>
      <c r="F88" s="507">
        <v>0.0</v>
      </c>
      <c r="G88" s="508">
        <v>0.0</v>
      </c>
      <c r="H88" s="507">
        <v>0.0</v>
      </c>
      <c r="I88" s="507">
        <v>0.0</v>
      </c>
      <c r="J88" s="507">
        <v>0.0</v>
      </c>
      <c r="K88" s="507">
        <v>0.0</v>
      </c>
      <c r="L88" s="507">
        <v>0.0</v>
      </c>
      <c r="M88" s="507">
        <v>0.0</v>
      </c>
      <c r="N88" s="507" t="s">
        <v>368</v>
      </c>
      <c r="O88" s="507" t="s">
        <v>368</v>
      </c>
      <c r="P88" s="507" t="s">
        <v>368</v>
      </c>
      <c r="Q88" s="507" t="s">
        <v>368</v>
      </c>
      <c r="R88" s="507" t="s">
        <v>368</v>
      </c>
      <c r="S88" s="507" t="s">
        <v>368</v>
      </c>
      <c r="T88" s="507" t="s">
        <v>368</v>
      </c>
      <c r="U88" s="507" t="s">
        <v>368</v>
      </c>
      <c r="V88" s="507" t="s">
        <v>368</v>
      </c>
      <c r="W88" s="224"/>
      <c r="X88" s="224"/>
      <c r="Y88" s="224"/>
      <c r="Z88" s="224"/>
    </row>
    <row r="89" ht="15.75" customHeight="1">
      <c r="A89" s="507" t="s">
        <v>368</v>
      </c>
      <c r="B89" s="507" t="s">
        <v>46</v>
      </c>
      <c r="C89" s="507">
        <v>0.0</v>
      </c>
      <c r="D89" s="507">
        <v>0.0</v>
      </c>
      <c r="E89" s="507">
        <v>1.0</v>
      </c>
      <c r="F89" s="507">
        <v>0.0</v>
      </c>
      <c r="G89" s="508">
        <v>0.0</v>
      </c>
      <c r="H89" s="507">
        <v>0.0</v>
      </c>
      <c r="I89" s="507">
        <v>0.0</v>
      </c>
      <c r="J89" s="507">
        <v>0.0</v>
      </c>
      <c r="K89" s="507">
        <v>0.0</v>
      </c>
      <c r="L89" s="507">
        <v>0.0</v>
      </c>
      <c r="M89" s="507">
        <v>0.0</v>
      </c>
      <c r="N89" s="507" t="s">
        <v>368</v>
      </c>
      <c r="O89" s="507" t="s">
        <v>368</v>
      </c>
      <c r="P89" s="507" t="s">
        <v>368</v>
      </c>
      <c r="Q89" s="507" t="s">
        <v>368</v>
      </c>
      <c r="R89" s="507" t="s">
        <v>368</v>
      </c>
      <c r="S89" s="507" t="s">
        <v>368</v>
      </c>
      <c r="T89" s="507" t="s">
        <v>368</v>
      </c>
      <c r="U89" s="507" t="s">
        <v>368</v>
      </c>
      <c r="V89" s="507" t="s">
        <v>368</v>
      </c>
      <c r="W89" s="224"/>
      <c r="X89" s="224"/>
      <c r="Y89" s="224"/>
      <c r="Z89" s="224"/>
    </row>
    <row r="90" ht="15.75" customHeight="1">
      <c r="A90" s="507" t="s">
        <v>368</v>
      </c>
      <c r="B90" s="507" t="s">
        <v>1926</v>
      </c>
      <c r="C90" s="507">
        <v>10.0</v>
      </c>
      <c r="D90" s="507">
        <v>2.0</v>
      </c>
      <c r="E90" s="507">
        <v>1.0</v>
      </c>
      <c r="F90" s="507">
        <v>0.0</v>
      </c>
      <c r="G90" s="508">
        <v>0.0</v>
      </c>
      <c r="H90" s="507">
        <v>0.0</v>
      </c>
      <c r="I90" s="507">
        <v>1.0</v>
      </c>
      <c r="J90" s="507">
        <v>0.0</v>
      </c>
      <c r="K90" s="507">
        <v>0.0</v>
      </c>
      <c r="L90" s="507">
        <v>0.0</v>
      </c>
      <c r="M90" s="507">
        <v>30.0</v>
      </c>
      <c r="N90" s="507" t="s">
        <v>368</v>
      </c>
      <c r="O90" s="507" t="s">
        <v>368</v>
      </c>
      <c r="P90" s="507" t="s">
        <v>368</v>
      </c>
      <c r="Q90" s="507" t="s">
        <v>368</v>
      </c>
      <c r="R90" s="507" t="s">
        <v>368</v>
      </c>
      <c r="S90" s="507" t="s">
        <v>368</v>
      </c>
      <c r="T90" s="507" t="s">
        <v>368</v>
      </c>
      <c r="U90" s="507" t="s">
        <v>368</v>
      </c>
      <c r="V90" s="507" t="s">
        <v>368</v>
      </c>
      <c r="W90" s="224"/>
      <c r="X90" s="224"/>
      <c r="Y90" s="224"/>
      <c r="Z90" s="224"/>
    </row>
    <row r="91" ht="15.75" customHeight="1">
      <c r="A91" s="507"/>
      <c r="B91" s="507"/>
      <c r="C91" s="507"/>
      <c r="D91" s="507"/>
      <c r="E91" s="507"/>
      <c r="F91" s="507"/>
      <c r="G91" s="508"/>
      <c r="H91" s="507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224"/>
      <c r="X91" s="224"/>
      <c r="Y91" s="224"/>
      <c r="Z91" s="224"/>
    </row>
    <row r="92" ht="15.75" customHeight="1">
      <c r="A92" s="507"/>
      <c r="B92" s="507"/>
      <c r="C92" s="507"/>
      <c r="D92" s="507"/>
      <c r="E92" s="507"/>
      <c r="F92" s="507"/>
      <c r="G92" s="508"/>
      <c r="H92" s="507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224"/>
      <c r="X92" s="224"/>
      <c r="Y92" s="224"/>
      <c r="Z92" s="224"/>
    </row>
    <row r="93" ht="15.75" customHeight="1">
      <c r="A93" s="507"/>
      <c r="B93" s="507"/>
      <c r="C93" s="507"/>
      <c r="D93" s="507"/>
      <c r="E93" s="507"/>
      <c r="F93" s="507"/>
      <c r="G93" s="508"/>
      <c r="H93" s="507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224"/>
      <c r="X93" s="224"/>
      <c r="Y93" s="224"/>
      <c r="Z93" s="224"/>
    </row>
    <row r="94" ht="15.75" customHeight="1">
      <c r="A94" s="507"/>
      <c r="B94" s="507"/>
      <c r="C94" s="507"/>
      <c r="D94" s="507"/>
      <c r="E94" s="507"/>
      <c r="F94" s="507"/>
      <c r="G94" s="508"/>
      <c r="H94" s="507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224"/>
      <c r="X94" s="224"/>
      <c r="Y94" s="224"/>
      <c r="Z94" s="224"/>
    </row>
    <row r="95" ht="15.75" customHeight="1">
      <c r="A95" s="507"/>
      <c r="B95" s="507"/>
      <c r="C95" s="507"/>
      <c r="D95" s="507"/>
      <c r="E95" s="507"/>
      <c r="F95" s="507"/>
      <c r="G95" s="508"/>
      <c r="H95" s="507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  <c r="T95" s="507"/>
      <c r="U95" s="507"/>
      <c r="V95" s="507"/>
      <c r="W95" s="224"/>
      <c r="X95" s="224"/>
      <c r="Y95" s="224"/>
      <c r="Z95" s="224"/>
    </row>
    <row r="96" ht="15.75" customHeight="1">
      <c r="A96" s="507"/>
      <c r="B96" s="507"/>
      <c r="C96" s="507"/>
      <c r="D96" s="507"/>
      <c r="E96" s="507"/>
      <c r="F96" s="507"/>
      <c r="G96" s="508"/>
      <c r="H96" s="507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  <c r="T96" s="507"/>
      <c r="U96" s="507"/>
      <c r="V96" s="507"/>
      <c r="W96" s="224"/>
      <c r="X96" s="224"/>
      <c r="Y96" s="224"/>
      <c r="Z96" s="224"/>
    </row>
    <row r="97" ht="15.75" customHeight="1">
      <c r="A97" s="507"/>
      <c r="B97" s="507"/>
      <c r="C97" s="507"/>
      <c r="D97" s="507"/>
      <c r="E97" s="507"/>
      <c r="F97" s="507"/>
      <c r="G97" s="508"/>
      <c r="H97" s="507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224"/>
      <c r="X97" s="224"/>
      <c r="Y97" s="224"/>
      <c r="Z97" s="224"/>
    </row>
    <row r="98" ht="15.75" customHeight="1">
      <c r="A98" s="507"/>
      <c r="B98" s="507"/>
      <c r="C98" s="507"/>
      <c r="D98" s="507"/>
      <c r="E98" s="507"/>
      <c r="F98" s="507"/>
      <c r="G98" s="508"/>
      <c r="H98" s="507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224"/>
      <c r="X98" s="224"/>
      <c r="Y98" s="224"/>
      <c r="Z98" s="224"/>
    </row>
    <row r="99" ht="15.75" customHeight="1">
      <c r="A99" s="507"/>
      <c r="B99" s="507"/>
      <c r="C99" s="507"/>
      <c r="D99" s="507"/>
      <c r="E99" s="507"/>
      <c r="F99" s="507"/>
      <c r="G99" s="508"/>
      <c r="H99" s="507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  <c r="T99" s="507"/>
      <c r="U99" s="507"/>
      <c r="V99" s="507"/>
      <c r="W99" s="224"/>
      <c r="X99" s="224"/>
      <c r="Y99" s="224"/>
      <c r="Z99" s="224"/>
    </row>
    <row r="100" ht="15.75" customHeight="1">
      <c r="A100" s="507"/>
      <c r="B100" s="507"/>
      <c r="C100" s="507"/>
      <c r="D100" s="507"/>
      <c r="E100" s="507"/>
      <c r="F100" s="507"/>
      <c r="G100" s="508"/>
      <c r="H100" s="507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  <c r="T100" s="507"/>
      <c r="U100" s="507"/>
      <c r="V100" s="507"/>
      <c r="W100" s="224"/>
      <c r="X100" s="224"/>
      <c r="Y100" s="224"/>
      <c r="Z100" s="224"/>
    </row>
    <row r="101" ht="15.75" customHeight="1">
      <c r="A101" s="507"/>
      <c r="B101" s="507"/>
      <c r="C101" s="507"/>
      <c r="D101" s="507"/>
      <c r="E101" s="507"/>
      <c r="F101" s="507"/>
      <c r="G101" s="508"/>
      <c r="H101" s="507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  <c r="T101" s="507"/>
      <c r="U101" s="507"/>
      <c r="V101" s="507"/>
      <c r="W101" s="224"/>
      <c r="X101" s="224"/>
      <c r="Y101" s="224"/>
      <c r="Z101" s="224"/>
    </row>
    <row r="102" ht="15.75" customHeight="1">
      <c r="A102" s="507"/>
      <c r="B102" s="507"/>
      <c r="C102" s="507"/>
      <c r="D102" s="507"/>
      <c r="E102" s="507"/>
      <c r="F102" s="507"/>
      <c r="G102" s="508"/>
      <c r="H102" s="507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  <c r="T102" s="507"/>
      <c r="U102" s="507"/>
      <c r="V102" s="507"/>
      <c r="W102" s="224"/>
      <c r="X102" s="224"/>
      <c r="Y102" s="224"/>
      <c r="Z102" s="224"/>
    </row>
    <row r="103" ht="15.75" customHeight="1">
      <c r="A103" s="507"/>
      <c r="B103" s="507"/>
      <c r="C103" s="507"/>
      <c r="D103" s="507"/>
      <c r="E103" s="507"/>
      <c r="F103" s="507"/>
      <c r="G103" s="508"/>
      <c r="H103" s="507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  <c r="T103" s="507"/>
      <c r="U103" s="507"/>
      <c r="V103" s="507"/>
      <c r="W103" s="224"/>
      <c r="X103" s="224"/>
      <c r="Y103" s="224"/>
      <c r="Z103" s="224"/>
    </row>
    <row r="104" ht="15.75" customHeight="1">
      <c r="A104" s="507"/>
      <c r="B104" s="507"/>
      <c r="C104" s="507"/>
      <c r="D104" s="507"/>
      <c r="E104" s="507"/>
      <c r="F104" s="507"/>
      <c r="G104" s="508"/>
      <c r="H104" s="507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  <c r="T104" s="507"/>
      <c r="U104" s="507"/>
      <c r="V104" s="507"/>
      <c r="W104" s="224"/>
      <c r="X104" s="224"/>
      <c r="Y104" s="224"/>
      <c r="Z104" s="224"/>
    </row>
    <row r="105" ht="15.75" customHeight="1">
      <c r="A105" s="507"/>
      <c r="B105" s="507"/>
      <c r="C105" s="507"/>
      <c r="D105" s="507"/>
      <c r="E105" s="507"/>
      <c r="F105" s="507"/>
      <c r="G105" s="508"/>
      <c r="H105" s="507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  <c r="T105" s="507"/>
      <c r="U105" s="507"/>
      <c r="V105" s="507"/>
      <c r="W105" s="224"/>
      <c r="X105" s="224"/>
      <c r="Y105" s="224"/>
      <c r="Z105" s="224"/>
    </row>
    <row r="106" ht="15.75" customHeight="1">
      <c r="A106" s="507"/>
      <c r="B106" s="507"/>
      <c r="C106" s="507"/>
      <c r="D106" s="507"/>
      <c r="E106" s="507"/>
      <c r="F106" s="507"/>
      <c r="G106" s="508"/>
      <c r="H106" s="507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  <c r="T106" s="507"/>
      <c r="U106" s="507"/>
      <c r="V106" s="507"/>
      <c r="W106" s="224"/>
      <c r="X106" s="224"/>
      <c r="Y106" s="224"/>
      <c r="Z106" s="224"/>
    </row>
    <row r="107" ht="15.75" customHeight="1">
      <c r="A107" s="507"/>
      <c r="B107" s="507"/>
      <c r="C107" s="507"/>
      <c r="D107" s="507"/>
      <c r="E107" s="507"/>
      <c r="F107" s="507"/>
      <c r="G107" s="508"/>
      <c r="H107" s="507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  <c r="T107" s="507"/>
      <c r="U107" s="507"/>
      <c r="V107" s="507"/>
      <c r="W107" s="224"/>
      <c r="X107" s="224"/>
      <c r="Y107" s="224"/>
      <c r="Z107" s="224"/>
    </row>
    <row r="108" ht="15.75" customHeight="1">
      <c r="A108" s="507"/>
      <c r="B108" s="507"/>
      <c r="C108" s="507"/>
      <c r="D108" s="507"/>
      <c r="E108" s="507"/>
      <c r="F108" s="507"/>
      <c r="G108" s="508"/>
      <c r="H108" s="507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  <c r="T108" s="507"/>
      <c r="U108" s="507"/>
      <c r="V108" s="507"/>
      <c r="W108" s="224"/>
      <c r="X108" s="224"/>
      <c r="Y108" s="224"/>
      <c r="Z108" s="224"/>
    </row>
    <row r="109" ht="15.75" customHeight="1">
      <c r="A109" s="507"/>
      <c r="B109" s="507"/>
      <c r="C109" s="507"/>
      <c r="D109" s="507"/>
      <c r="E109" s="507"/>
      <c r="F109" s="507"/>
      <c r="G109" s="508"/>
      <c r="H109" s="507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  <c r="T109" s="507"/>
      <c r="U109" s="507"/>
      <c r="V109" s="507"/>
      <c r="W109" s="224"/>
      <c r="X109" s="224"/>
      <c r="Y109" s="224"/>
      <c r="Z109" s="224"/>
    </row>
    <row r="110" ht="15.75" customHeight="1">
      <c r="A110" s="507"/>
      <c r="B110" s="507"/>
      <c r="C110" s="507"/>
      <c r="D110" s="507"/>
      <c r="E110" s="507"/>
      <c r="F110" s="507"/>
      <c r="G110" s="508"/>
      <c r="H110" s="507"/>
      <c r="I110" s="507"/>
      <c r="J110" s="507"/>
      <c r="K110" s="507"/>
      <c r="L110" s="507"/>
      <c r="M110" s="507"/>
      <c r="N110" s="507"/>
      <c r="O110" s="507"/>
      <c r="P110" s="507"/>
      <c r="Q110" s="507"/>
      <c r="R110" s="507"/>
      <c r="S110" s="507"/>
      <c r="T110" s="507"/>
      <c r="U110" s="507"/>
      <c r="V110" s="507"/>
      <c r="W110" s="224"/>
      <c r="X110" s="224"/>
      <c r="Y110" s="224"/>
      <c r="Z110" s="224"/>
    </row>
    <row r="111" ht="15.75" customHeight="1">
      <c r="A111" s="507"/>
      <c r="B111" s="507"/>
      <c r="C111" s="507"/>
      <c r="D111" s="507"/>
      <c r="E111" s="507"/>
      <c r="F111" s="507"/>
      <c r="G111" s="508"/>
      <c r="H111" s="507"/>
      <c r="I111" s="507"/>
      <c r="J111" s="507"/>
      <c r="K111" s="507"/>
      <c r="L111" s="507"/>
      <c r="M111" s="507"/>
      <c r="N111" s="507"/>
      <c r="O111" s="507"/>
      <c r="P111" s="507"/>
      <c r="Q111" s="507"/>
      <c r="R111" s="507"/>
      <c r="S111" s="507"/>
      <c r="T111" s="507"/>
      <c r="U111" s="507"/>
      <c r="V111" s="507"/>
      <c r="W111" s="224"/>
      <c r="X111" s="224"/>
      <c r="Y111" s="224"/>
      <c r="Z111" s="224"/>
    </row>
    <row r="112" ht="15.75" customHeight="1">
      <c r="A112" s="507"/>
      <c r="B112" s="507"/>
      <c r="C112" s="507"/>
      <c r="D112" s="507"/>
      <c r="E112" s="507"/>
      <c r="F112" s="507"/>
      <c r="G112" s="508"/>
      <c r="H112" s="507"/>
      <c r="I112" s="507"/>
      <c r="J112" s="507"/>
      <c r="K112" s="507"/>
      <c r="L112" s="507"/>
      <c r="M112" s="507"/>
      <c r="N112" s="507"/>
      <c r="O112" s="507"/>
      <c r="P112" s="507"/>
      <c r="Q112" s="507"/>
      <c r="R112" s="507"/>
      <c r="S112" s="507"/>
      <c r="T112" s="507"/>
      <c r="U112" s="507"/>
      <c r="V112" s="507"/>
      <c r="W112" s="224"/>
      <c r="X112" s="224"/>
      <c r="Y112" s="224"/>
      <c r="Z112" s="224"/>
    </row>
    <row r="113" ht="15.75" customHeight="1">
      <c r="A113" s="507"/>
      <c r="B113" s="507"/>
      <c r="C113" s="507"/>
      <c r="D113" s="507"/>
      <c r="E113" s="507"/>
      <c r="F113" s="507"/>
      <c r="G113" s="508"/>
      <c r="H113" s="507"/>
      <c r="I113" s="507"/>
      <c r="J113" s="507"/>
      <c r="K113" s="507"/>
      <c r="L113" s="507"/>
      <c r="M113" s="507"/>
      <c r="N113" s="507"/>
      <c r="O113" s="507"/>
      <c r="P113" s="507"/>
      <c r="Q113" s="507"/>
      <c r="R113" s="507"/>
      <c r="S113" s="507"/>
      <c r="T113" s="507"/>
      <c r="U113" s="507"/>
      <c r="V113" s="507"/>
      <c r="W113" s="224"/>
      <c r="X113" s="224"/>
      <c r="Y113" s="224"/>
      <c r="Z113" s="224"/>
    </row>
    <row r="114" ht="15.75" customHeight="1">
      <c r="A114" s="507"/>
      <c r="B114" s="507"/>
      <c r="C114" s="507"/>
      <c r="D114" s="507"/>
      <c r="E114" s="507"/>
      <c r="F114" s="507"/>
      <c r="G114" s="508"/>
      <c r="H114" s="507"/>
      <c r="I114" s="507"/>
      <c r="J114" s="507"/>
      <c r="K114" s="507"/>
      <c r="L114" s="507"/>
      <c r="M114" s="507"/>
      <c r="N114" s="507"/>
      <c r="O114" s="507"/>
      <c r="P114" s="507"/>
      <c r="Q114" s="507"/>
      <c r="R114" s="507"/>
      <c r="S114" s="507"/>
      <c r="T114" s="507"/>
      <c r="U114" s="507"/>
      <c r="V114" s="507"/>
      <c r="W114" s="224"/>
      <c r="X114" s="224"/>
      <c r="Y114" s="224"/>
      <c r="Z114" s="224"/>
    </row>
    <row r="115" ht="15.75" customHeight="1">
      <c r="A115" s="507"/>
      <c r="B115" s="507"/>
      <c r="C115" s="507"/>
      <c r="D115" s="507"/>
      <c r="E115" s="507"/>
      <c r="F115" s="507"/>
      <c r="G115" s="508"/>
      <c r="H115" s="507"/>
      <c r="I115" s="507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  <c r="T115" s="507"/>
      <c r="U115" s="507"/>
      <c r="V115" s="507"/>
      <c r="W115" s="224"/>
      <c r="X115" s="224"/>
      <c r="Y115" s="224"/>
      <c r="Z115" s="224"/>
    </row>
    <row r="116" ht="15.75" customHeight="1">
      <c r="A116" s="507"/>
      <c r="B116" s="507"/>
      <c r="C116" s="507"/>
      <c r="D116" s="507"/>
      <c r="E116" s="507"/>
      <c r="F116" s="507"/>
      <c r="G116" s="508"/>
      <c r="H116" s="507"/>
      <c r="I116" s="507"/>
      <c r="J116" s="507"/>
      <c r="K116" s="507"/>
      <c r="L116" s="507"/>
      <c r="M116" s="507"/>
      <c r="N116" s="507"/>
      <c r="O116" s="507"/>
      <c r="P116" s="507"/>
      <c r="Q116" s="507"/>
      <c r="R116" s="507"/>
      <c r="S116" s="507"/>
      <c r="T116" s="507"/>
      <c r="U116" s="507"/>
      <c r="V116" s="507"/>
      <c r="W116" s="224"/>
      <c r="X116" s="224"/>
      <c r="Y116" s="224"/>
      <c r="Z116" s="224"/>
    </row>
    <row r="117" ht="15.75" customHeight="1">
      <c r="A117" s="507"/>
      <c r="B117" s="507"/>
      <c r="C117" s="507"/>
      <c r="D117" s="507"/>
      <c r="E117" s="507"/>
      <c r="F117" s="507"/>
      <c r="G117" s="508"/>
      <c r="H117" s="507"/>
      <c r="I117" s="507"/>
      <c r="J117" s="507"/>
      <c r="K117" s="507"/>
      <c r="L117" s="507"/>
      <c r="M117" s="507"/>
      <c r="N117" s="507"/>
      <c r="O117" s="507"/>
      <c r="P117" s="507"/>
      <c r="Q117" s="507"/>
      <c r="R117" s="507"/>
      <c r="S117" s="507"/>
      <c r="T117" s="507"/>
      <c r="U117" s="507"/>
      <c r="V117" s="507"/>
      <c r="W117" s="224"/>
      <c r="X117" s="224"/>
      <c r="Y117" s="224"/>
      <c r="Z117" s="224"/>
    </row>
    <row r="118" ht="15.75" customHeight="1">
      <c r="A118" s="507"/>
      <c r="B118" s="507"/>
      <c r="C118" s="507"/>
      <c r="D118" s="507"/>
      <c r="E118" s="507"/>
      <c r="F118" s="507"/>
      <c r="G118" s="508"/>
      <c r="H118" s="507"/>
      <c r="I118" s="507"/>
      <c r="J118" s="507"/>
      <c r="K118" s="507"/>
      <c r="L118" s="507"/>
      <c r="M118" s="507"/>
      <c r="N118" s="507"/>
      <c r="O118" s="507"/>
      <c r="P118" s="507"/>
      <c r="Q118" s="507"/>
      <c r="R118" s="507"/>
      <c r="S118" s="507"/>
      <c r="T118" s="507"/>
      <c r="U118" s="507"/>
      <c r="V118" s="507"/>
      <c r="W118" s="224"/>
      <c r="X118" s="224"/>
      <c r="Y118" s="224"/>
      <c r="Z118" s="224"/>
    </row>
    <row r="119" ht="15.75" customHeight="1">
      <c r="A119" s="507"/>
      <c r="B119" s="507"/>
      <c r="C119" s="507"/>
      <c r="D119" s="507"/>
      <c r="E119" s="507"/>
      <c r="F119" s="507"/>
      <c r="G119" s="508"/>
      <c r="H119" s="507"/>
      <c r="I119" s="507"/>
      <c r="J119" s="507"/>
      <c r="K119" s="507"/>
      <c r="L119" s="507"/>
      <c r="M119" s="507"/>
      <c r="N119" s="507"/>
      <c r="O119" s="507"/>
      <c r="P119" s="507"/>
      <c r="Q119" s="507"/>
      <c r="R119" s="507"/>
      <c r="S119" s="507"/>
      <c r="T119" s="507"/>
      <c r="U119" s="507"/>
      <c r="V119" s="507"/>
      <c r="W119" s="224"/>
      <c r="X119" s="224"/>
      <c r="Y119" s="224"/>
      <c r="Z119" s="224"/>
    </row>
    <row r="120" ht="15.75" customHeight="1">
      <c r="A120" s="507"/>
      <c r="B120" s="507"/>
      <c r="C120" s="507"/>
      <c r="D120" s="507"/>
      <c r="E120" s="507"/>
      <c r="F120" s="507"/>
      <c r="G120" s="508"/>
      <c r="H120" s="507"/>
      <c r="I120" s="507"/>
      <c r="J120" s="507"/>
      <c r="K120" s="507"/>
      <c r="L120" s="507"/>
      <c r="M120" s="507"/>
      <c r="N120" s="507"/>
      <c r="O120" s="507"/>
      <c r="P120" s="507"/>
      <c r="Q120" s="507"/>
      <c r="R120" s="507"/>
      <c r="S120" s="507"/>
      <c r="T120" s="507"/>
      <c r="U120" s="507"/>
      <c r="V120" s="507"/>
      <c r="W120" s="224"/>
      <c r="X120" s="224"/>
      <c r="Y120" s="224"/>
      <c r="Z120" s="224"/>
    </row>
    <row r="121" ht="15.75" customHeight="1">
      <c r="A121" s="507"/>
      <c r="B121" s="507"/>
      <c r="C121" s="507"/>
      <c r="D121" s="507"/>
      <c r="E121" s="507"/>
      <c r="F121" s="507"/>
      <c r="G121" s="508"/>
      <c r="H121" s="507"/>
      <c r="I121" s="507"/>
      <c r="J121" s="507"/>
      <c r="K121" s="507"/>
      <c r="L121" s="507"/>
      <c r="M121" s="507"/>
      <c r="N121" s="507"/>
      <c r="O121" s="507"/>
      <c r="P121" s="507"/>
      <c r="Q121" s="507"/>
      <c r="R121" s="507"/>
      <c r="S121" s="507"/>
      <c r="T121" s="507"/>
      <c r="U121" s="507"/>
      <c r="V121" s="507"/>
      <c r="W121" s="224"/>
      <c r="X121" s="224"/>
      <c r="Y121" s="224"/>
      <c r="Z121" s="224"/>
    </row>
    <row r="122" ht="15.75" customHeight="1">
      <c r="A122" s="507"/>
      <c r="B122" s="507"/>
      <c r="C122" s="507"/>
      <c r="D122" s="507"/>
      <c r="E122" s="507"/>
      <c r="F122" s="507"/>
      <c r="G122" s="508"/>
      <c r="H122" s="507"/>
      <c r="I122" s="507"/>
      <c r="J122" s="507"/>
      <c r="K122" s="507"/>
      <c r="L122" s="507"/>
      <c r="M122" s="507"/>
      <c r="N122" s="507"/>
      <c r="O122" s="507"/>
      <c r="P122" s="507"/>
      <c r="Q122" s="507"/>
      <c r="R122" s="507"/>
      <c r="S122" s="507"/>
      <c r="T122" s="507"/>
      <c r="U122" s="507"/>
      <c r="V122" s="507"/>
      <c r="W122" s="224"/>
      <c r="X122" s="224"/>
      <c r="Y122" s="224"/>
      <c r="Z122" s="224"/>
    </row>
    <row r="123" ht="15.75" customHeight="1">
      <c r="A123" s="507"/>
      <c r="B123" s="507"/>
      <c r="C123" s="507"/>
      <c r="D123" s="507"/>
      <c r="E123" s="507"/>
      <c r="F123" s="507"/>
      <c r="G123" s="508"/>
      <c r="H123" s="507"/>
      <c r="I123" s="507"/>
      <c r="J123" s="507"/>
      <c r="K123" s="507"/>
      <c r="L123" s="507"/>
      <c r="M123" s="507"/>
      <c r="N123" s="507"/>
      <c r="O123" s="507"/>
      <c r="P123" s="507"/>
      <c r="Q123" s="507"/>
      <c r="R123" s="507"/>
      <c r="S123" s="507"/>
      <c r="T123" s="507"/>
      <c r="U123" s="507"/>
      <c r="V123" s="507"/>
      <c r="W123" s="224"/>
      <c r="X123" s="224"/>
      <c r="Y123" s="224"/>
      <c r="Z123" s="224"/>
    </row>
    <row r="124" ht="15.75" customHeight="1">
      <c r="A124" s="507"/>
      <c r="B124" s="507"/>
      <c r="C124" s="507"/>
      <c r="D124" s="507"/>
      <c r="E124" s="507"/>
      <c r="F124" s="507"/>
      <c r="G124" s="508"/>
      <c r="H124" s="507"/>
      <c r="I124" s="507"/>
      <c r="J124" s="507"/>
      <c r="K124" s="507"/>
      <c r="L124" s="507"/>
      <c r="M124" s="507"/>
      <c r="N124" s="507"/>
      <c r="O124" s="507"/>
      <c r="P124" s="507"/>
      <c r="Q124" s="507"/>
      <c r="R124" s="507"/>
      <c r="S124" s="507"/>
      <c r="T124" s="507"/>
      <c r="U124" s="507"/>
      <c r="V124" s="507"/>
      <c r="W124" s="224"/>
      <c r="X124" s="224"/>
      <c r="Y124" s="224"/>
      <c r="Z124" s="224"/>
    </row>
    <row r="125" ht="15.75" customHeight="1">
      <c r="A125" s="507"/>
      <c r="B125" s="507"/>
      <c r="C125" s="507"/>
      <c r="D125" s="507"/>
      <c r="E125" s="507"/>
      <c r="F125" s="507"/>
      <c r="G125" s="508"/>
      <c r="H125" s="507"/>
      <c r="I125" s="507"/>
      <c r="J125" s="507"/>
      <c r="K125" s="507"/>
      <c r="L125" s="507"/>
      <c r="M125" s="507"/>
      <c r="N125" s="507"/>
      <c r="O125" s="507"/>
      <c r="P125" s="507"/>
      <c r="Q125" s="507"/>
      <c r="R125" s="507"/>
      <c r="S125" s="507"/>
      <c r="T125" s="507"/>
      <c r="U125" s="507"/>
      <c r="V125" s="507"/>
      <c r="W125" s="224"/>
      <c r="X125" s="224"/>
      <c r="Y125" s="224"/>
      <c r="Z125" s="224"/>
    </row>
    <row r="126" ht="15.75" customHeight="1">
      <c r="A126" s="507"/>
      <c r="B126" s="507"/>
      <c r="C126" s="507"/>
      <c r="D126" s="507"/>
      <c r="E126" s="507"/>
      <c r="F126" s="507"/>
      <c r="G126" s="508"/>
      <c r="H126" s="507"/>
      <c r="I126" s="507"/>
      <c r="J126" s="507"/>
      <c r="K126" s="507"/>
      <c r="L126" s="507"/>
      <c r="M126" s="507"/>
      <c r="N126" s="507"/>
      <c r="O126" s="507"/>
      <c r="P126" s="507"/>
      <c r="Q126" s="507"/>
      <c r="R126" s="507"/>
      <c r="S126" s="507"/>
      <c r="T126" s="507"/>
      <c r="U126" s="507"/>
      <c r="V126" s="507"/>
      <c r="W126" s="224"/>
      <c r="X126" s="224"/>
      <c r="Y126" s="224"/>
      <c r="Z126" s="224"/>
    </row>
    <row r="127" ht="15.75" customHeight="1">
      <c r="A127" s="507"/>
      <c r="B127" s="507"/>
      <c r="C127" s="507"/>
      <c r="D127" s="507"/>
      <c r="E127" s="507"/>
      <c r="F127" s="507"/>
      <c r="G127" s="508"/>
      <c r="H127" s="507"/>
      <c r="I127" s="507"/>
      <c r="J127" s="507"/>
      <c r="K127" s="507"/>
      <c r="L127" s="507"/>
      <c r="M127" s="507"/>
      <c r="N127" s="507"/>
      <c r="O127" s="507"/>
      <c r="P127" s="507"/>
      <c r="Q127" s="507"/>
      <c r="R127" s="507"/>
      <c r="S127" s="507"/>
      <c r="T127" s="507"/>
      <c r="U127" s="507"/>
      <c r="V127" s="507"/>
      <c r="W127" s="224"/>
      <c r="X127" s="224"/>
      <c r="Y127" s="224"/>
      <c r="Z127" s="224"/>
    </row>
    <row r="128" ht="15.75" customHeight="1">
      <c r="A128" s="507"/>
      <c r="B128" s="507"/>
      <c r="C128" s="507"/>
      <c r="D128" s="507"/>
      <c r="E128" s="507"/>
      <c r="F128" s="507"/>
      <c r="G128" s="508"/>
      <c r="H128" s="507"/>
      <c r="I128" s="507"/>
      <c r="J128" s="507"/>
      <c r="K128" s="507"/>
      <c r="L128" s="507"/>
      <c r="M128" s="507"/>
      <c r="N128" s="507"/>
      <c r="O128" s="507"/>
      <c r="P128" s="507"/>
      <c r="Q128" s="507"/>
      <c r="R128" s="507"/>
      <c r="S128" s="507"/>
      <c r="T128" s="507"/>
      <c r="U128" s="507"/>
      <c r="V128" s="507"/>
      <c r="W128" s="224"/>
      <c r="X128" s="224"/>
      <c r="Y128" s="224"/>
      <c r="Z128" s="224"/>
    </row>
    <row r="129" ht="15.75" customHeight="1">
      <c r="A129" s="507"/>
      <c r="B129" s="507"/>
      <c r="C129" s="507"/>
      <c r="D129" s="507"/>
      <c r="E129" s="507"/>
      <c r="F129" s="507"/>
      <c r="G129" s="508"/>
      <c r="H129" s="507"/>
      <c r="I129" s="507"/>
      <c r="J129" s="507"/>
      <c r="K129" s="507"/>
      <c r="L129" s="507"/>
      <c r="M129" s="507"/>
      <c r="N129" s="507"/>
      <c r="O129" s="507"/>
      <c r="P129" s="507"/>
      <c r="Q129" s="507"/>
      <c r="R129" s="507"/>
      <c r="S129" s="507"/>
      <c r="T129" s="507"/>
      <c r="U129" s="507"/>
      <c r="V129" s="507"/>
      <c r="W129" s="224"/>
      <c r="X129" s="224"/>
      <c r="Y129" s="224"/>
      <c r="Z129" s="224"/>
    </row>
    <row r="130" ht="15.75" customHeight="1">
      <c r="A130" s="507"/>
      <c r="B130" s="507"/>
      <c r="C130" s="507"/>
      <c r="D130" s="507"/>
      <c r="E130" s="507"/>
      <c r="F130" s="507"/>
      <c r="G130" s="508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7"/>
      <c r="T130" s="507"/>
      <c r="U130" s="507"/>
      <c r="V130" s="507"/>
      <c r="W130" s="224"/>
      <c r="X130" s="224"/>
      <c r="Y130" s="224"/>
      <c r="Z130" s="224"/>
    </row>
    <row r="131" ht="15.75" customHeight="1">
      <c r="A131" s="507"/>
      <c r="B131" s="507"/>
      <c r="C131" s="507"/>
      <c r="D131" s="507"/>
      <c r="E131" s="507"/>
      <c r="F131" s="507"/>
      <c r="G131" s="508"/>
      <c r="H131" s="507"/>
      <c r="I131" s="507"/>
      <c r="J131" s="507"/>
      <c r="K131" s="507"/>
      <c r="L131" s="507"/>
      <c r="M131" s="507"/>
      <c r="N131" s="507"/>
      <c r="O131" s="507"/>
      <c r="P131" s="507"/>
      <c r="Q131" s="507"/>
      <c r="R131" s="507"/>
      <c r="S131" s="507"/>
      <c r="T131" s="507"/>
      <c r="U131" s="507"/>
      <c r="V131" s="507"/>
      <c r="W131" s="224"/>
      <c r="X131" s="224"/>
      <c r="Y131" s="224"/>
      <c r="Z131" s="224"/>
    </row>
    <row r="132" ht="15.75" customHeight="1">
      <c r="A132" s="507"/>
      <c r="B132" s="507"/>
      <c r="C132" s="507"/>
      <c r="D132" s="507"/>
      <c r="E132" s="507"/>
      <c r="F132" s="507"/>
      <c r="G132" s="508"/>
      <c r="H132" s="507"/>
      <c r="I132" s="507"/>
      <c r="J132" s="507"/>
      <c r="K132" s="507"/>
      <c r="L132" s="507"/>
      <c r="M132" s="507"/>
      <c r="N132" s="507"/>
      <c r="O132" s="507"/>
      <c r="P132" s="507"/>
      <c r="Q132" s="507"/>
      <c r="R132" s="507"/>
      <c r="S132" s="507"/>
      <c r="T132" s="507"/>
      <c r="U132" s="507"/>
      <c r="V132" s="507"/>
      <c r="W132" s="224"/>
      <c r="X132" s="224"/>
      <c r="Y132" s="224"/>
      <c r="Z132" s="224"/>
    </row>
    <row r="133" ht="15.75" customHeight="1">
      <c r="A133" s="507"/>
      <c r="B133" s="507"/>
      <c r="C133" s="507"/>
      <c r="D133" s="507"/>
      <c r="E133" s="507"/>
      <c r="F133" s="507"/>
      <c r="G133" s="508"/>
      <c r="H133" s="507"/>
      <c r="I133" s="507"/>
      <c r="J133" s="507"/>
      <c r="K133" s="507"/>
      <c r="L133" s="507"/>
      <c r="M133" s="507"/>
      <c r="N133" s="507"/>
      <c r="O133" s="507"/>
      <c r="P133" s="507"/>
      <c r="Q133" s="507"/>
      <c r="R133" s="507"/>
      <c r="S133" s="507"/>
      <c r="T133" s="507"/>
      <c r="U133" s="507"/>
      <c r="V133" s="507"/>
      <c r="W133" s="224"/>
      <c r="X133" s="224"/>
      <c r="Y133" s="224"/>
      <c r="Z133" s="224"/>
    </row>
    <row r="134" ht="15.75" customHeight="1">
      <c r="A134" s="507"/>
      <c r="B134" s="507"/>
      <c r="C134" s="507"/>
      <c r="D134" s="507"/>
      <c r="E134" s="507"/>
      <c r="F134" s="507"/>
      <c r="G134" s="508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  <c r="T134" s="507"/>
      <c r="U134" s="507"/>
      <c r="V134" s="507"/>
      <c r="W134" s="224"/>
      <c r="X134" s="224"/>
      <c r="Y134" s="224"/>
      <c r="Z134" s="224"/>
    </row>
    <row r="135" ht="15.75" customHeight="1">
      <c r="A135" s="507"/>
      <c r="B135" s="507"/>
      <c r="C135" s="507"/>
      <c r="D135" s="507"/>
      <c r="E135" s="507"/>
      <c r="F135" s="507"/>
      <c r="G135" s="508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  <c r="T135" s="507"/>
      <c r="U135" s="507"/>
      <c r="V135" s="507"/>
      <c r="W135" s="224"/>
      <c r="X135" s="224"/>
      <c r="Y135" s="224"/>
      <c r="Z135" s="224"/>
    </row>
    <row r="136" ht="15.75" customHeight="1">
      <c r="A136" s="507"/>
      <c r="B136" s="507"/>
      <c r="C136" s="507"/>
      <c r="D136" s="507"/>
      <c r="E136" s="507"/>
      <c r="F136" s="507"/>
      <c r="G136" s="508"/>
      <c r="H136" s="507"/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  <c r="T136" s="507"/>
      <c r="U136" s="507"/>
      <c r="V136" s="507"/>
      <c r="W136" s="224"/>
      <c r="X136" s="224"/>
      <c r="Y136" s="224"/>
      <c r="Z136" s="224"/>
    </row>
    <row r="137" ht="15.75" customHeight="1">
      <c r="A137" s="507"/>
      <c r="B137" s="507"/>
      <c r="C137" s="507"/>
      <c r="D137" s="507"/>
      <c r="E137" s="507"/>
      <c r="F137" s="507"/>
      <c r="G137" s="508"/>
      <c r="H137" s="507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224"/>
      <c r="X137" s="224"/>
      <c r="Y137" s="224"/>
      <c r="Z137" s="224"/>
    </row>
    <row r="138" ht="15.75" customHeight="1">
      <c r="A138" s="507"/>
      <c r="B138" s="507"/>
      <c r="C138" s="507"/>
      <c r="D138" s="507"/>
      <c r="E138" s="507"/>
      <c r="F138" s="507"/>
      <c r="G138" s="508"/>
      <c r="H138" s="507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  <c r="T138" s="507"/>
      <c r="U138" s="507"/>
      <c r="V138" s="507"/>
      <c r="W138" s="224"/>
      <c r="X138" s="224"/>
      <c r="Y138" s="224"/>
      <c r="Z138" s="224"/>
    </row>
    <row r="139" ht="15.75" customHeight="1">
      <c r="A139" s="507"/>
      <c r="B139" s="507"/>
      <c r="C139" s="507"/>
      <c r="D139" s="507"/>
      <c r="E139" s="507"/>
      <c r="F139" s="507"/>
      <c r="G139" s="508"/>
      <c r="H139" s="507"/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224"/>
      <c r="X139" s="224"/>
      <c r="Y139" s="224"/>
      <c r="Z139" s="224"/>
    </row>
    <row r="140" ht="15.75" customHeight="1">
      <c r="A140" s="507"/>
      <c r="B140" s="507"/>
      <c r="C140" s="507"/>
      <c r="D140" s="507"/>
      <c r="E140" s="507"/>
      <c r="F140" s="507"/>
      <c r="G140" s="508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  <c r="T140" s="507"/>
      <c r="U140" s="507"/>
      <c r="V140" s="507"/>
      <c r="W140" s="224"/>
      <c r="X140" s="224"/>
      <c r="Y140" s="224"/>
      <c r="Z140" s="224"/>
    </row>
    <row r="141" ht="15.75" customHeight="1">
      <c r="A141" s="507"/>
      <c r="B141" s="507"/>
      <c r="C141" s="507"/>
      <c r="D141" s="507"/>
      <c r="E141" s="507"/>
      <c r="F141" s="507"/>
      <c r="G141" s="508"/>
      <c r="H141" s="507"/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  <c r="T141" s="507"/>
      <c r="U141" s="507"/>
      <c r="V141" s="507"/>
      <c r="W141" s="224"/>
      <c r="X141" s="224"/>
      <c r="Y141" s="224"/>
      <c r="Z141" s="224"/>
    </row>
    <row r="142" ht="15.75" customHeight="1">
      <c r="A142" s="507"/>
      <c r="B142" s="507"/>
      <c r="C142" s="507"/>
      <c r="D142" s="507"/>
      <c r="E142" s="507"/>
      <c r="F142" s="507"/>
      <c r="G142" s="508"/>
      <c r="H142" s="507"/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  <c r="T142" s="507"/>
      <c r="U142" s="507"/>
      <c r="V142" s="507"/>
      <c r="W142" s="224"/>
      <c r="X142" s="224"/>
      <c r="Y142" s="224"/>
      <c r="Z142" s="224"/>
    </row>
    <row r="143" ht="15.75" customHeight="1">
      <c r="A143" s="507"/>
      <c r="B143" s="507"/>
      <c r="C143" s="507"/>
      <c r="D143" s="507"/>
      <c r="E143" s="507"/>
      <c r="F143" s="507"/>
      <c r="G143" s="508"/>
      <c r="H143" s="507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  <c r="T143" s="507"/>
      <c r="U143" s="507"/>
      <c r="V143" s="507"/>
      <c r="W143" s="224"/>
      <c r="X143" s="224"/>
      <c r="Y143" s="224"/>
      <c r="Z143" s="224"/>
    </row>
    <row r="144" ht="15.75" customHeight="1">
      <c r="A144" s="507"/>
      <c r="B144" s="507"/>
      <c r="C144" s="507"/>
      <c r="D144" s="507"/>
      <c r="E144" s="507"/>
      <c r="F144" s="507"/>
      <c r="G144" s="508"/>
      <c r="H144" s="507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  <c r="T144" s="507"/>
      <c r="U144" s="507"/>
      <c r="V144" s="507"/>
      <c r="W144" s="224"/>
      <c r="X144" s="224"/>
      <c r="Y144" s="224"/>
      <c r="Z144" s="224"/>
    </row>
    <row r="145" ht="15.75" customHeight="1">
      <c r="A145" s="507"/>
      <c r="B145" s="507"/>
      <c r="C145" s="507"/>
      <c r="D145" s="507"/>
      <c r="E145" s="507"/>
      <c r="F145" s="507"/>
      <c r="G145" s="508"/>
      <c r="H145" s="507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  <c r="T145" s="507"/>
      <c r="U145" s="507"/>
      <c r="V145" s="507"/>
      <c r="W145" s="224"/>
      <c r="X145" s="224"/>
      <c r="Y145" s="224"/>
      <c r="Z145" s="224"/>
    </row>
    <row r="146" ht="15.75" customHeight="1">
      <c r="A146" s="507"/>
      <c r="B146" s="507"/>
      <c r="C146" s="507"/>
      <c r="D146" s="507"/>
      <c r="E146" s="507"/>
      <c r="F146" s="507"/>
      <c r="G146" s="508"/>
      <c r="H146" s="507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224"/>
      <c r="X146" s="224"/>
      <c r="Y146" s="224"/>
      <c r="Z146" s="224"/>
    </row>
    <row r="147" ht="15.75" customHeight="1">
      <c r="A147" s="507"/>
      <c r="B147" s="507"/>
      <c r="C147" s="507"/>
      <c r="D147" s="507"/>
      <c r="E147" s="507"/>
      <c r="F147" s="507"/>
      <c r="G147" s="508"/>
      <c r="H147" s="507"/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  <c r="T147" s="507"/>
      <c r="U147" s="507"/>
      <c r="V147" s="507"/>
      <c r="W147" s="224"/>
      <c r="X147" s="224"/>
      <c r="Y147" s="224"/>
      <c r="Z147" s="224"/>
    </row>
    <row r="148" ht="15.75" customHeight="1">
      <c r="A148" s="507"/>
      <c r="B148" s="507"/>
      <c r="C148" s="507"/>
      <c r="D148" s="507"/>
      <c r="E148" s="507"/>
      <c r="F148" s="507"/>
      <c r="G148" s="508"/>
      <c r="H148" s="507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  <c r="T148" s="507"/>
      <c r="U148" s="507"/>
      <c r="V148" s="507"/>
      <c r="W148" s="224"/>
      <c r="X148" s="224"/>
      <c r="Y148" s="224"/>
      <c r="Z148" s="224"/>
    </row>
    <row r="149" ht="15.75" customHeight="1">
      <c r="A149" s="507"/>
      <c r="B149" s="507"/>
      <c r="C149" s="507"/>
      <c r="D149" s="507"/>
      <c r="E149" s="507"/>
      <c r="F149" s="507"/>
      <c r="G149" s="508"/>
      <c r="H149" s="507"/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  <c r="T149" s="507"/>
      <c r="U149" s="507"/>
      <c r="V149" s="507"/>
      <c r="W149" s="224"/>
      <c r="X149" s="224"/>
      <c r="Y149" s="224"/>
      <c r="Z149" s="224"/>
    </row>
    <row r="150" ht="15.75" customHeight="1">
      <c r="A150" s="507"/>
      <c r="B150" s="507"/>
      <c r="C150" s="507"/>
      <c r="D150" s="507"/>
      <c r="E150" s="507"/>
      <c r="F150" s="507"/>
      <c r="G150" s="508"/>
      <c r="H150" s="507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  <c r="T150" s="507"/>
      <c r="U150" s="507"/>
      <c r="V150" s="507"/>
      <c r="W150" s="224"/>
      <c r="X150" s="224"/>
      <c r="Y150" s="224"/>
      <c r="Z150" s="224"/>
    </row>
    <row r="151" ht="15.75" customHeight="1">
      <c r="A151" s="507"/>
      <c r="B151" s="507"/>
      <c r="C151" s="507"/>
      <c r="D151" s="507"/>
      <c r="E151" s="507"/>
      <c r="F151" s="507"/>
      <c r="G151" s="508"/>
      <c r="H151" s="507"/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  <c r="T151" s="507"/>
      <c r="U151" s="507"/>
      <c r="V151" s="507"/>
      <c r="W151" s="224"/>
      <c r="X151" s="224"/>
      <c r="Y151" s="224"/>
      <c r="Z151" s="224"/>
    </row>
    <row r="152" ht="15.75" customHeight="1">
      <c r="A152" s="507"/>
      <c r="B152" s="507"/>
      <c r="C152" s="507"/>
      <c r="D152" s="507"/>
      <c r="E152" s="507"/>
      <c r="F152" s="507"/>
      <c r="G152" s="508"/>
      <c r="H152" s="507"/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  <c r="T152" s="507"/>
      <c r="U152" s="507"/>
      <c r="V152" s="507"/>
      <c r="W152" s="224"/>
      <c r="X152" s="224"/>
      <c r="Y152" s="224"/>
      <c r="Z152" s="224"/>
    </row>
    <row r="153" ht="15.75" customHeight="1">
      <c r="A153" s="507"/>
      <c r="B153" s="507"/>
      <c r="C153" s="507"/>
      <c r="D153" s="507"/>
      <c r="E153" s="507"/>
      <c r="F153" s="507"/>
      <c r="G153" s="508"/>
      <c r="H153" s="507"/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  <c r="T153" s="507"/>
      <c r="U153" s="507"/>
      <c r="V153" s="507"/>
      <c r="W153" s="224"/>
      <c r="X153" s="224"/>
      <c r="Y153" s="224"/>
      <c r="Z153" s="224"/>
    </row>
    <row r="154" ht="15.75" customHeight="1">
      <c r="A154" s="507"/>
      <c r="B154" s="507"/>
      <c r="C154" s="507"/>
      <c r="D154" s="507"/>
      <c r="E154" s="507"/>
      <c r="F154" s="507"/>
      <c r="G154" s="508"/>
      <c r="H154" s="507"/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  <c r="T154" s="507"/>
      <c r="U154" s="507"/>
      <c r="V154" s="507"/>
      <c r="W154" s="224"/>
      <c r="X154" s="224"/>
      <c r="Y154" s="224"/>
      <c r="Z154" s="224"/>
    </row>
    <row r="155" ht="15.75" customHeight="1">
      <c r="A155" s="507"/>
      <c r="B155" s="507"/>
      <c r="C155" s="507"/>
      <c r="D155" s="507"/>
      <c r="E155" s="507"/>
      <c r="F155" s="507"/>
      <c r="G155" s="508"/>
      <c r="H155" s="507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  <c r="T155" s="507"/>
      <c r="U155" s="507"/>
      <c r="V155" s="507"/>
      <c r="W155" s="224"/>
      <c r="X155" s="224"/>
      <c r="Y155" s="224"/>
      <c r="Z155" s="224"/>
    </row>
    <row r="156" ht="15.75" customHeight="1">
      <c r="A156" s="507"/>
      <c r="B156" s="507"/>
      <c r="C156" s="507"/>
      <c r="D156" s="507"/>
      <c r="E156" s="507"/>
      <c r="F156" s="507"/>
      <c r="G156" s="508"/>
      <c r="H156" s="507"/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  <c r="T156" s="507"/>
      <c r="U156" s="507"/>
      <c r="V156" s="507"/>
      <c r="W156" s="224"/>
      <c r="X156" s="224"/>
      <c r="Y156" s="224"/>
      <c r="Z156" s="224"/>
    </row>
    <row r="157" ht="15.75" customHeight="1">
      <c r="A157" s="507"/>
      <c r="B157" s="507"/>
      <c r="C157" s="507"/>
      <c r="D157" s="507"/>
      <c r="E157" s="507"/>
      <c r="F157" s="507"/>
      <c r="G157" s="508"/>
      <c r="H157" s="507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  <c r="T157" s="507"/>
      <c r="U157" s="507"/>
      <c r="V157" s="507"/>
      <c r="W157" s="224"/>
      <c r="X157" s="224"/>
      <c r="Y157" s="224"/>
      <c r="Z157" s="224"/>
    </row>
    <row r="158" ht="15.75" customHeight="1">
      <c r="A158" s="507"/>
      <c r="B158" s="507"/>
      <c r="C158" s="507"/>
      <c r="D158" s="507"/>
      <c r="E158" s="507"/>
      <c r="F158" s="507"/>
      <c r="G158" s="508"/>
      <c r="H158" s="507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  <c r="T158" s="507"/>
      <c r="U158" s="507"/>
      <c r="V158" s="507"/>
      <c r="W158" s="224"/>
      <c r="X158" s="224"/>
      <c r="Y158" s="224"/>
      <c r="Z158" s="224"/>
    </row>
    <row r="159" ht="15.75" customHeight="1">
      <c r="A159" s="507"/>
      <c r="B159" s="507"/>
      <c r="C159" s="507"/>
      <c r="D159" s="507"/>
      <c r="E159" s="507"/>
      <c r="F159" s="507"/>
      <c r="G159" s="508"/>
      <c r="H159" s="507"/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  <c r="T159" s="507"/>
      <c r="U159" s="507"/>
      <c r="V159" s="507"/>
      <c r="W159" s="224"/>
      <c r="X159" s="224"/>
      <c r="Y159" s="224"/>
      <c r="Z159" s="224"/>
    </row>
    <row r="160" ht="15.75" customHeight="1">
      <c r="A160" s="507"/>
      <c r="B160" s="507"/>
      <c r="C160" s="507"/>
      <c r="D160" s="507"/>
      <c r="E160" s="507"/>
      <c r="F160" s="507"/>
      <c r="G160" s="508"/>
      <c r="H160" s="507"/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  <c r="T160" s="507"/>
      <c r="U160" s="507"/>
      <c r="V160" s="507"/>
      <c r="W160" s="224"/>
      <c r="X160" s="224"/>
      <c r="Y160" s="224"/>
      <c r="Z160" s="224"/>
    </row>
    <row r="161" ht="15.75" customHeight="1">
      <c r="A161" s="507"/>
      <c r="B161" s="507"/>
      <c r="C161" s="507"/>
      <c r="D161" s="507"/>
      <c r="E161" s="507"/>
      <c r="F161" s="507"/>
      <c r="G161" s="508"/>
      <c r="H161" s="507"/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  <c r="T161" s="507"/>
      <c r="U161" s="507"/>
      <c r="V161" s="507"/>
      <c r="W161" s="224"/>
      <c r="X161" s="224"/>
      <c r="Y161" s="224"/>
      <c r="Z161" s="224"/>
    </row>
    <row r="162" ht="15.75" customHeight="1">
      <c r="A162" s="507"/>
      <c r="B162" s="507"/>
      <c r="C162" s="507"/>
      <c r="D162" s="507"/>
      <c r="E162" s="507"/>
      <c r="F162" s="507"/>
      <c r="G162" s="508"/>
      <c r="H162" s="507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  <c r="T162" s="507"/>
      <c r="U162" s="507"/>
      <c r="V162" s="507"/>
      <c r="W162" s="224"/>
      <c r="X162" s="224"/>
      <c r="Y162" s="224"/>
      <c r="Z162" s="224"/>
    </row>
    <row r="163" ht="15.75" customHeight="1">
      <c r="A163" s="507"/>
      <c r="B163" s="507"/>
      <c r="C163" s="507"/>
      <c r="D163" s="507"/>
      <c r="E163" s="507"/>
      <c r="F163" s="507"/>
      <c r="G163" s="508"/>
      <c r="H163" s="507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  <c r="T163" s="507"/>
      <c r="U163" s="507"/>
      <c r="V163" s="507"/>
      <c r="W163" s="224"/>
      <c r="X163" s="224"/>
      <c r="Y163" s="224"/>
      <c r="Z163" s="224"/>
    </row>
    <row r="164" ht="15.75" customHeight="1">
      <c r="A164" s="507"/>
      <c r="B164" s="507"/>
      <c r="C164" s="507"/>
      <c r="D164" s="507"/>
      <c r="E164" s="507"/>
      <c r="F164" s="507"/>
      <c r="G164" s="508"/>
      <c r="H164" s="507"/>
      <c r="I164" s="507"/>
      <c r="J164" s="507"/>
      <c r="K164" s="507"/>
      <c r="L164" s="507"/>
      <c r="M164" s="507"/>
      <c r="N164" s="507"/>
      <c r="O164" s="507"/>
      <c r="P164" s="507"/>
      <c r="Q164" s="507"/>
      <c r="R164" s="507"/>
      <c r="S164" s="507"/>
      <c r="T164" s="507"/>
      <c r="U164" s="507"/>
      <c r="V164" s="507"/>
      <c r="W164" s="224"/>
      <c r="X164" s="224"/>
      <c r="Y164" s="224"/>
      <c r="Z164" s="224"/>
    </row>
    <row r="165" ht="15.75" customHeight="1">
      <c r="A165" s="507"/>
      <c r="B165" s="507"/>
      <c r="C165" s="507"/>
      <c r="D165" s="507"/>
      <c r="E165" s="507"/>
      <c r="F165" s="507"/>
      <c r="G165" s="508"/>
      <c r="H165" s="507"/>
      <c r="I165" s="507"/>
      <c r="J165" s="507"/>
      <c r="K165" s="507"/>
      <c r="L165" s="507"/>
      <c r="M165" s="507"/>
      <c r="N165" s="507"/>
      <c r="O165" s="507"/>
      <c r="P165" s="507"/>
      <c r="Q165" s="507"/>
      <c r="R165" s="507"/>
      <c r="S165" s="507"/>
      <c r="T165" s="507"/>
      <c r="U165" s="507"/>
      <c r="V165" s="507"/>
      <c r="W165" s="224"/>
      <c r="X165" s="224"/>
      <c r="Y165" s="224"/>
      <c r="Z165" s="224"/>
    </row>
    <row r="166" ht="15.75" customHeight="1">
      <c r="A166" s="507"/>
      <c r="B166" s="507"/>
      <c r="C166" s="507"/>
      <c r="D166" s="507"/>
      <c r="E166" s="507"/>
      <c r="F166" s="507"/>
      <c r="G166" s="508"/>
      <c r="H166" s="507"/>
      <c r="I166" s="507"/>
      <c r="J166" s="507"/>
      <c r="K166" s="507"/>
      <c r="L166" s="507"/>
      <c r="M166" s="507"/>
      <c r="N166" s="507"/>
      <c r="O166" s="507"/>
      <c r="P166" s="507"/>
      <c r="Q166" s="507"/>
      <c r="R166" s="507"/>
      <c r="S166" s="507"/>
      <c r="T166" s="507"/>
      <c r="U166" s="507"/>
      <c r="V166" s="507"/>
      <c r="W166" s="224"/>
      <c r="X166" s="224"/>
      <c r="Y166" s="224"/>
      <c r="Z166" s="224"/>
    </row>
    <row r="167" ht="15.75" customHeight="1">
      <c r="A167" s="507"/>
      <c r="B167" s="507"/>
      <c r="C167" s="507"/>
      <c r="D167" s="507"/>
      <c r="E167" s="507"/>
      <c r="F167" s="507"/>
      <c r="G167" s="508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507"/>
      <c r="U167" s="507"/>
      <c r="V167" s="507"/>
      <c r="W167" s="224"/>
      <c r="X167" s="224"/>
      <c r="Y167" s="224"/>
      <c r="Z167" s="224"/>
    </row>
    <row r="168" ht="15.75" customHeight="1">
      <c r="A168" s="507"/>
      <c r="B168" s="507"/>
      <c r="C168" s="507"/>
      <c r="D168" s="507"/>
      <c r="E168" s="507"/>
      <c r="F168" s="507"/>
      <c r="G168" s="508"/>
      <c r="H168" s="507"/>
      <c r="I168" s="507"/>
      <c r="J168" s="507"/>
      <c r="K168" s="507"/>
      <c r="L168" s="507"/>
      <c r="M168" s="507"/>
      <c r="N168" s="507"/>
      <c r="O168" s="507"/>
      <c r="P168" s="507"/>
      <c r="Q168" s="507"/>
      <c r="R168" s="507"/>
      <c r="S168" s="507"/>
      <c r="T168" s="507"/>
      <c r="U168" s="507"/>
      <c r="V168" s="507"/>
      <c r="W168" s="224"/>
      <c r="X168" s="224"/>
      <c r="Y168" s="224"/>
      <c r="Z168" s="224"/>
    </row>
    <row r="169" ht="15.75" customHeight="1">
      <c r="A169" s="507"/>
      <c r="B169" s="507"/>
      <c r="C169" s="507"/>
      <c r="D169" s="507"/>
      <c r="E169" s="507"/>
      <c r="F169" s="507"/>
      <c r="G169" s="508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507"/>
      <c r="W169" s="224"/>
      <c r="X169" s="224"/>
      <c r="Y169" s="224"/>
      <c r="Z169" s="224"/>
    </row>
    <row r="170" ht="15.75" customHeight="1">
      <c r="A170" s="507"/>
      <c r="B170" s="507"/>
      <c r="C170" s="507"/>
      <c r="D170" s="507"/>
      <c r="E170" s="507"/>
      <c r="F170" s="507"/>
      <c r="G170" s="508"/>
      <c r="H170" s="507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  <c r="T170" s="507"/>
      <c r="U170" s="507"/>
      <c r="V170" s="507"/>
      <c r="W170" s="224"/>
      <c r="X170" s="224"/>
      <c r="Y170" s="224"/>
      <c r="Z170" s="224"/>
    </row>
    <row r="171" ht="15.75" customHeight="1">
      <c r="A171" s="507"/>
      <c r="B171" s="507"/>
      <c r="C171" s="507"/>
      <c r="D171" s="507"/>
      <c r="E171" s="507"/>
      <c r="F171" s="507"/>
      <c r="G171" s="508"/>
      <c r="H171" s="507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  <c r="T171" s="507"/>
      <c r="U171" s="507"/>
      <c r="V171" s="507"/>
      <c r="W171" s="224"/>
      <c r="X171" s="224"/>
      <c r="Y171" s="224"/>
      <c r="Z171" s="224"/>
    </row>
    <row r="172" ht="15.75" customHeight="1">
      <c r="A172" s="507"/>
      <c r="B172" s="507"/>
      <c r="C172" s="507"/>
      <c r="D172" s="507"/>
      <c r="E172" s="507"/>
      <c r="F172" s="507"/>
      <c r="G172" s="508"/>
      <c r="H172" s="507"/>
      <c r="I172" s="507"/>
      <c r="J172" s="507"/>
      <c r="K172" s="507"/>
      <c r="L172" s="507"/>
      <c r="M172" s="507"/>
      <c r="N172" s="507"/>
      <c r="O172" s="507"/>
      <c r="P172" s="507"/>
      <c r="Q172" s="507"/>
      <c r="R172" s="507"/>
      <c r="S172" s="507"/>
      <c r="T172" s="507"/>
      <c r="U172" s="507"/>
      <c r="V172" s="507"/>
      <c r="W172" s="224"/>
      <c r="X172" s="224"/>
      <c r="Y172" s="224"/>
      <c r="Z172" s="224"/>
    </row>
    <row r="173" ht="15.75" customHeight="1">
      <c r="A173" s="507"/>
      <c r="B173" s="507"/>
      <c r="C173" s="507"/>
      <c r="D173" s="507"/>
      <c r="E173" s="507"/>
      <c r="F173" s="507"/>
      <c r="G173" s="508"/>
      <c r="H173" s="507"/>
      <c r="I173" s="507"/>
      <c r="J173" s="507"/>
      <c r="K173" s="507"/>
      <c r="L173" s="507"/>
      <c r="M173" s="507"/>
      <c r="N173" s="507"/>
      <c r="O173" s="507"/>
      <c r="P173" s="507"/>
      <c r="Q173" s="507"/>
      <c r="R173" s="507"/>
      <c r="S173" s="507"/>
      <c r="T173" s="507"/>
      <c r="U173" s="507"/>
      <c r="V173" s="507"/>
      <c r="W173" s="224"/>
      <c r="X173" s="224"/>
      <c r="Y173" s="224"/>
      <c r="Z173" s="224"/>
    </row>
    <row r="174" ht="15.75" customHeight="1">
      <c r="A174" s="507"/>
      <c r="B174" s="507"/>
      <c r="C174" s="507"/>
      <c r="D174" s="507"/>
      <c r="E174" s="507"/>
      <c r="F174" s="507"/>
      <c r="G174" s="508"/>
      <c r="H174" s="507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224"/>
      <c r="X174" s="224"/>
      <c r="Y174" s="224"/>
      <c r="Z174" s="224"/>
    </row>
    <row r="175" ht="15.75" customHeight="1">
      <c r="A175" s="507"/>
      <c r="B175" s="507"/>
      <c r="C175" s="507"/>
      <c r="D175" s="507"/>
      <c r="E175" s="507"/>
      <c r="F175" s="507"/>
      <c r="G175" s="508"/>
      <c r="H175" s="507"/>
      <c r="I175" s="507"/>
      <c r="J175" s="507"/>
      <c r="K175" s="507"/>
      <c r="L175" s="507"/>
      <c r="M175" s="507"/>
      <c r="N175" s="507"/>
      <c r="O175" s="507"/>
      <c r="P175" s="507"/>
      <c r="Q175" s="507"/>
      <c r="R175" s="507"/>
      <c r="S175" s="507"/>
      <c r="T175" s="507"/>
      <c r="U175" s="507"/>
      <c r="V175" s="507"/>
      <c r="W175" s="224"/>
      <c r="X175" s="224"/>
      <c r="Y175" s="224"/>
      <c r="Z175" s="224"/>
    </row>
    <row r="176" ht="15.75" customHeight="1">
      <c r="A176" s="507"/>
      <c r="B176" s="507"/>
      <c r="C176" s="507"/>
      <c r="D176" s="507"/>
      <c r="E176" s="507"/>
      <c r="F176" s="507"/>
      <c r="G176" s="508"/>
      <c r="H176" s="507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224"/>
      <c r="X176" s="224"/>
      <c r="Y176" s="224"/>
      <c r="Z176" s="224"/>
    </row>
    <row r="177" ht="15.75" customHeight="1">
      <c r="A177" s="507"/>
      <c r="B177" s="507"/>
      <c r="C177" s="507"/>
      <c r="D177" s="507"/>
      <c r="E177" s="507"/>
      <c r="F177" s="507"/>
      <c r="G177" s="508"/>
      <c r="H177" s="507"/>
      <c r="I177" s="507"/>
      <c r="J177" s="507"/>
      <c r="K177" s="507"/>
      <c r="L177" s="507"/>
      <c r="M177" s="507"/>
      <c r="N177" s="507"/>
      <c r="O177" s="507"/>
      <c r="P177" s="507"/>
      <c r="Q177" s="507"/>
      <c r="R177" s="507"/>
      <c r="S177" s="507"/>
      <c r="T177" s="507"/>
      <c r="U177" s="507"/>
      <c r="V177" s="507"/>
      <c r="W177" s="224"/>
      <c r="X177" s="224"/>
      <c r="Y177" s="224"/>
      <c r="Z177" s="224"/>
    </row>
    <row r="178" ht="15.75" customHeight="1">
      <c r="A178" s="507"/>
      <c r="B178" s="507"/>
      <c r="C178" s="507"/>
      <c r="D178" s="507"/>
      <c r="E178" s="507"/>
      <c r="F178" s="507"/>
      <c r="G178" s="508"/>
      <c r="H178" s="507"/>
      <c r="I178" s="507"/>
      <c r="J178" s="507"/>
      <c r="K178" s="507"/>
      <c r="L178" s="507"/>
      <c r="M178" s="507"/>
      <c r="N178" s="507"/>
      <c r="O178" s="507"/>
      <c r="P178" s="507"/>
      <c r="Q178" s="507"/>
      <c r="R178" s="507"/>
      <c r="S178" s="507"/>
      <c r="T178" s="507"/>
      <c r="U178" s="507"/>
      <c r="V178" s="507"/>
      <c r="W178" s="224"/>
      <c r="X178" s="224"/>
      <c r="Y178" s="224"/>
      <c r="Z178" s="224"/>
    </row>
    <row r="179" ht="15.75" customHeight="1">
      <c r="A179" s="507"/>
      <c r="B179" s="507"/>
      <c r="C179" s="507"/>
      <c r="D179" s="507"/>
      <c r="E179" s="507"/>
      <c r="F179" s="507"/>
      <c r="G179" s="508"/>
      <c r="H179" s="507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  <c r="T179" s="507"/>
      <c r="U179" s="507"/>
      <c r="V179" s="507"/>
      <c r="W179" s="224"/>
      <c r="X179" s="224"/>
      <c r="Y179" s="224"/>
      <c r="Z179" s="224"/>
    </row>
    <row r="180" ht="15.75" customHeight="1">
      <c r="A180" s="507"/>
      <c r="B180" s="507"/>
      <c r="C180" s="507"/>
      <c r="D180" s="507"/>
      <c r="E180" s="507"/>
      <c r="F180" s="507"/>
      <c r="G180" s="508"/>
      <c r="H180" s="507"/>
      <c r="I180" s="507"/>
      <c r="J180" s="507"/>
      <c r="K180" s="507"/>
      <c r="L180" s="507"/>
      <c r="M180" s="507"/>
      <c r="N180" s="507"/>
      <c r="O180" s="507"/>
      <c r="P180" s="507"/>
      <c r="Q180" s="507"/>
      <c r="R180" s="507"/>
      <c r="S180" s="507"/>
      <c r="T180" s="507"/>
      <c r="U180" s="507"/>
      <c r="V180" s="507"/>
      <c r="W180" s="224"/>
      <c r="X180" s="224"/>
      <c r="Y180" s="224"/>
      <c r="Z180" s="224"/>
    </row>
    <row r="181" ht="15.75" customHeight="1">
      <c r="A181" s="507"/>
      <c r="B181" s="507"/>
      <c r="C181" s="507"/>
      <c r="D181" s="507"/>
      <c r="E181" s="507"/>
      <c r="F181" s="507"/>
      <c r="G181" s="508"/>
      <c r="H181" s="507"/>
      <c r="I181" s="507"/>
      <c r="J181" s="507"/>
      <c r="K181" s="507"/>
      <c r="L181" s="507"/>
      <c r="M181" s="507"/>
      <c r="N181" s="507"/>
      <c r="O181" s="507"/>
      <c r="P181" s="507"/>
      <c r="Q181" s="507"/>
      <c r="R181" s="507"/>
      <c r="S181" s="507"/>
      <c r="T181" s="507"/>
      <c r="U181" s="507"/>
      <c r="V181" s="507"/>
      <c r="W181" s="224"/>
      <c r="X181" s="224"/>
      <c r="Y181" s="224"/>
      <c r="Z181" s="224"/>
    </row>
    <row r="182" ht="15.75" customHeight="1">
      <c r="A182" s="507"/>
      <c r="B182" s="507"/>
      <c r="C182" s="507"/>
      <c r="D182" s="507"/>
      <c r="E182" s="507"/>
      <c r="F182" s="507"/>
      <c r="G182" s="508"/>
      <c r="H182" s="507"/>
      <c r="I182" s="507"/>
      <c r="J182" s="507"/>
      <c r="K182" s="507"/>
      <c r="L182" s="507"/>
      <c r="M182" s="507"/>
      <c r="N182" s="507"/>
      <c r="O182" s="507"/>
      <c r="P182" s="507"/>
      <c r="Q182" s="507"/>
      <c r="R182" s="507"/>
      <c r="S182" s="507"/>
      <c r="T182" s="507"/>
      <c r="U182" s="507"/>
      <c r="V182" s="507"/>
      <c r="W182" s="224"/>
      <c r="X182" s="224"/>
      <c r="Y182" s="224"/>
      <c r="Z182" s="224"/>
    </row>
    <row r="183" ht="15.75" customHeight="1">
      <c r="A183" s="507"/>
      <c r="B183" s="507"/>
      <c r="C183" s="507"/>
      <c r="D183" s="507"/>
      <c r="E183" s="507"/>
      <c r="F183" s="507"/>
      <c r="G183" s="508"/>
      <c r="H183" s="507"/>
      <c r="I183" s="507"/>
      <c r="J183" s="507"/>
      <c r="K183" s="507"/>
      <c r="L183" s="507"/>
      <c r="M183" s="507"/>
      <c r="N183" s="507"/>
      <c r="O183" s="507"/>
      <c r="P183" s="507"/>
      <c r="Q183" s="507"/>
      <c r="R183" s="507"/>
      <c r="S183" s="507"/>
      <c r="T183" s="507"/>
      <c r="U183" s="507"/>
      <c r="V183" s="507"/>
      <c r="W183" s="224"/>
      <c r="X183" s="224"/>
      <c r="Y183" s="224"/>
      <c r="Z183" s="224"/>
    </row>
    <row r="184" ht="15.75" customHeight="1">
      <c r="A184" s="507"/>
      <c r="B184" s="507"/>
      <c r="C184" s="507"/>
      <c r="D184" s="507"/>
      <c r="E184" s="507"/>
      <c r="F184" s="507"/>
      <c r="G184" s="508"/>
      <c r="H184" s="507"/>
      <c r="I184" s="507"/>
      <c r="J184" s="507"/>
      <c r="K184" s="507"/>
      <c r="L184" s="507"/>
      <c r="M184" s="507"/>
      <c r="N184" s="507"/>
      <c r="O184" s="507"/>
      <c r="P184" s="507"/>
      <c r="Q184" s="507"/>
      <c r="R184" s="507"/>
      <c r="S184" s="507"/>
      <c r="T184" s="507"/>
      <c r="U184" s="507"/>
      <c r="V184" s="507"/>
      <c r="W184" s="224"/>
      <c r="X184" s="224"/>
      <c r="Y184" s="224"/>
      <c r="Z184" s="224"/>
    </row>
    <row r="185" ht="15.75" customHeight="1">
      <c r="A185" s="507"/>
      <c r="B185" s="507"/>
      <c r="C185" s="507"/>
      <c r="D185" s="507"/>
      <c r="E185" s="507"/>
      <c r="F185" s="507"/>
      <c r="G185" s="508"/>
      <c r="H185" s="507"/>
      <c r="I185" s="507"/>
      <c r="J185" s="507"/>
      <c r="K185" s="507"/>
      <c r="L185" s="507"/>
      <c r="M185" s="507"/>
      <c r="N185" s="507"/>
      <c r="O185" s="507"/>
      <c r="P185" s="507"/>
      <c r="Q185" s="507"/>
      <c r="R185" s="507"/>
      <c r="S185" s="507"/>
      <c r="T185" s="507"/>
      <c r="U185" s="507"/>
      <c r="V185" s="507"/>
      <c r="W185" s="224"/>
      <c r="X185" s="224"/>
      <c r="Y185" s="224"/>
      <c r="Z185" s="224"/>
    </row>
    <row r="186" ht="15.75" customHeight="1">
      <c r="A186" s="507"/>
      <c r="B186" s="507"/>
      <c r="C186" s="507"/>
      <c r="D186" s="507"/>
      <c r="E186" s="507"/>
      <c r="F186" s="507"/>
      <c r="G186" s="508"/>
      <c r="H186" s="507"/>
      <c r="I186" s="507"/>
      <c r="J186" s="507"/>
      <c r="K186" s="507"/>
      <c r="L186" s="507"/>
      <c r="M186" s="507"/>
      <c r="N186" s="507"/>
      <c r="O186" s="507"/>
      <c r="P186" s="507"/>
      <c r="Q186" s="507"/>
      <c r="R186" s="507"/>
      <c r="S186" s="507"/>
      <c r="T186" s="507"/>
      <c r="U186" s="507"/>
      <c r="V186" s="507"/>
      <c r="W186" s="224"/>
      <c r="X186" s="224"/>
      <c r="Y186" s="224"/>
      <c r="Z186" s="224"/>
    </row>
    <row r="187" ht="15.75" customHeight="1">
      <c r="A187" s="507"/>
      <c r="B187" s="507"/>
      <c r="C187" s="507"/>
      <c r="D187" s="507"/>
      <c r="E187" s="507"/>
      <c r="F187" s="507"/>
      <c r="G187" s="508"/>
      <c r="H187" s="507"/>
      <c r="I187" s="507"/>
      <c r="J187" s="507"/>
      <c r="K187" s="507"/>
      <c r="L187" s="507"/>
      <c r="M187" s="507"/>
      <c r="N187" s="507"/>
      <c r="O187" s="507"/>
      <c r="P187" s="507"/>
      <c r="Q187" s="507"/>
      <c r="R187" s="507"/>
      <c r="S187" s="507"/>
      <c r="T187" s="507"/>
      <c r="U187" s="507"/>
      <c r="V187" s="507"/>
      <c r="W187" s="224"/>
      <c r="X187" s="224"/>
      <c r="Y187" s="224"/>
      <c r="Z187" s="224"/>
    </row>
    <row r="188" ht="15.75" customHeight="1">
      <c r="A188" s="507"/>
      <c r="B188" s="507"/>
      <c r="C188" s="507"/>
      <c r="D188" s="507"/>
      <c r="E188" s="507"/>
      <c r="F188" s="507"/>
      <c r="G188" s="508"/>
      <c r="H188" s="507"/>
      <c r="I188" s="507"/>
      <c r="J188" s="507"/>
      <c r="K188" s="507"/>
      <c r="L188" s="507"/>
      <c r="M188" s="507"/>
      <c r="N188" s="507"/>
      <c r="O188" s="507"/>
      <c r="P188" s="507"/>
      <c r="Q188" s="507"/>
      <c r="R188" s="507"/>
      <c r="S188" s="507"/>
      <c r="T188" s="507"/>
      <c r="U188" s="507"/>
      <c r="V188" s="507"/>
      <c r="W188" s="224"/>
      <c r="X188" s="224"/>
      <c r="Y188" s="224"/>
      <c r="Z188" s="224"/>
    </row>
    <row r="189" ht="15.75" customHeight="1">
      <c r="A189" s="507"/>
      <c r="B189" s="507"/>
      <c r="C189" s="507"/>
      <c r="D189" s="507"/>
      <c r="E189" s="507"/>
      <c r="F189" s="507"/>
      <c r="G189" s="508"/>
      <c r="H189" s="507"/>
      <c r="I189" s="507"/>
      <c r="J189" s="507"/>
      <c r="K189" s="507"/>
      <c r="L189" s="507"/>
      <c r="M189" s="507"/>
      <c r="N189" s="507"/>
      <c r="O189" s="507"/>
      <c r="P189" s="507"/>
      <c r="Q189" s="507"/>
      <c r="R189" s="507"/>
      <c r="S189" s="507"/>
      <c r="T189" s="507"/>
      <c r="U189" s="507"/>
      <c r="V189" s="507"/>
      <c r="W189" s="224"/>
      <c r="X189" s="224"/>
      <c r="Y189" s="224"/>
      <c r="Z189" s="224"/>
    </row>
    <row r="190" ht="15.75" customHeight="1">
      <c r="A190" s="507"/>
      <c r="B190" s="507"/>
      <c r="C190" s="507"/>
      <c r="D190" s="507"/>
      <c r="E190" s="507"/>
      <c r="F190" s="507"/>
      <c r="G190" s="508"/>
      <c r="H190" s="507"/>
      <c r="I190" s="507"/>
      <c r="J190" s="507"/>
      <c r="K190" s="507"/>
      <c r="L190" s="507"/>
      <c r="M190" s="507"/>
      <c r="N190" s="507"/>
      <c r="O190" s="507"/>
      <c r="P190" s="507"/>
      <c r="Q190" s="507"/>
      <c r="R190" s="507"/>
      <c r="S190" s="507"/>
      <c r="T190" s="507"/>
      <c r="U190" s="507"/>
      <c r="V190" s="507"/>
      <c r="W190" s="224"/>
      <c r="X190" s="224"/>
      <c r="Y190" s="224"/>
      <c r="Z190" s="224"/>
    </row>
    <row r="191" ht="15.75" customHeight="1">
      <c r="A191" s="507"/>
      <c r="B191" s="507"/>
      <c r="C191" s="507"/>
      <c r="D191" s="507"/>
      <c r="E191" s="507"/>
      <c r="F191" s="507"/>
      <c r="G191" s="508"/>
      <c r="H191" s="507"/>
      <c r="I191" s="507"/>
      <c r="J191" s="507"/>
      <c r="K191" s="507"/>
      <c r="L191" s="507"/>
      <c r="M191" s="507"/>
      <c r="N191" s="507"/>
      <c r="O191" s="507"/>
      <c r="P191" s="507"/>
      <c r="Q191" s="507"/>
      <c r="R191" s="507"/>
      <c r="S191" s="507"/>
      <c r="T191" s="507"/>
      <c r="U191" s="507"/>
      <c r="V191" s="507"/>
      <c r="W191" s="224"/>
      <c r="X191" s="224"/>
      <c r="Y191" s="224"/>
      <c r="Z191" s="224"/>
    </row>
    <row r="192" ht="15.75" customHeight="1">
      <c r="A192" s="507"/>
      <c r="B192" s="507"/>
      <c r="C192" s="507"/>
      <c r="D192" s="507"/>
      <c r="E192" s="507"/>
      <c r="F192" s="507"/>
      <c r="G192" s="508"/>
      <c r="H192" s="507"/>
      <c r="I192" s="507"/>
      <c r="J192" s="507"/>
      <c r="K192" s="507"/>
      <c r="L192" s="507"/>
      <c r="M192" s="507"/>
      <c r="N192" s="507"/>
      <c r="O192" s="507"/>
      <c r="P192" s="507"/>
      <c r="Q192" s="507"/>
      <c r="R192" s="507"/>
      <c r="S192" s="507"/>
      <c r="T192" s="507"/>
      <c r="U192" s="507"/>
      <c r="V192" s="507"/>
      <c r="W192" s="224"/>
      <c r="X192" s="224"/>
      <c r="Y192" s="224"/>
      <c r="Z192" s="224"/>
    </row>
    <row r="193" ht="15.75" customHeight="1">
      <c r="A193" s="507"/>
      <c r="B193" s="507"/>
      <c r="C193" s="507"/>
      <c r="D193" s="507"/>
      <c r="E193" s="507"/>
      <c r="F193" s="507"/>
      <c r="G193" s="508"/>
      <c r="H193" s="507"/>
      <c r="I193" s="507"/>
      <c r="J193" s="507"/>
      <c r="K193" s="507"/>
      <c r="L193" s="507"/>
      <c r="M193" s="507"/>
      <c r="N193" s="507"/>
      <c r="O193" s="507"/>
      <c r="P193" s="507"/>
      <c r="Q193" s="507"/>
      <c r="R193" s="507"/>
      <c r="S193" s="507"/>
      <c r="T193" s="507"/>
      <c r="U193" s="507"/>
      <c r="V193" s="507"/>
      <c r="W193" s="224"/>
      <c r="X193" s="224"/>
      <c r="Y193" s="224"/>
      <c r="Z193" s="224"/>
    </row>
    <row r="194" ht="15.75" customHeight="1">
      <c r="A194" s="507"/>
      <c r="B194" s="507"/>
      <c r="C194" s="507"/>
      <c r="D194" s="507"/>
      <c r="E194" s="507"/>
      <c r="F194" s="507"/>
      <c r="G194" s="508"/>
      <c r="H194" s="507"/>
      <c r="I194" s="507"/>
      <c r="J194" s="507"/>
      <c r="K194" s="507"/>
      <c r="L194" s="507"/>
      <c r="M194" s="507"/>
      <c r="N194" s="507"/>
      <c r="O194" s="507"/>
      <c r="P194" s="507"/>
      <c r="Q194" s="507"/>
      <c r="R194" s="507"/>
      <c r="S194" s="507"/>
      <c r="T194" s="507"/>
      <c r="U194" s="507"/>
      <c r="V194" s="507"/>
      <c r="W194" s="224"/>
      <c r="X194" s="224"/>
      <c r="Y194" s="224"/>
      <c r="Z194" s="224"/>
    </row>
    <row r="195" ht="15.75" customHeight="1">
      <c r="A195" s="507"/>
      <c r="B195" s="507"/>
      <c r="C195" s="507"/>
      <c r="D195" s="507"/>
      <c r="E195" s="507"/>
      <c r="F195" s="507"/>
      <c r="G195" s="508"/>
      <c r="H195" s="507"/>
      <c r="I195" s="507"/>
      <c r="J195" s="507"/>
      <c r="K195" s="507"/>
      <c r="L195" s="507"/>
      <c r="M195" s="507"/>
      <c r="N195" s="507"/>
      <c r="O195" s="507"/>
      <c r="P195" s="507"/>
      <c r="Q195" s="507"/>
      <c r="R195" s="507"/>
      <c r="S195" s="507"/>
      <c r="T195" s="507"/>
      <c r="U195" s="507"/>
      <c r="V195" s="507"/>
      <c r="W195" s="224"/>
      <c r="X195" s="224"/>
      <c r="Y195" s="224"/>
      <c r="Z195" s="224"/>
    </row>
    <row r="196" ht="15.75" customHeight="1">
      <c r="A196" s="507"/>
      <c r="B196" s="507"/>
      <c r="C196" s="507"/>
      <c r="D196" s="507"/>
      <c r="E196" s="507"/>
      <c r="F196" s="507"/>
      <c r="G196" s="508"/>
      <c r="H196" s="507"/>
      <c r="I196" s="507"/>
      <c r="J196" s="507"/>
      <c r="K196" s="507"/>
      <c r="L196" s="507"/>
      <c r="M196" s="507"/>
      <c r="N196" s="507"/>
      <c r="O196" s="507"/>
      <c r="P196" s="507"/>
      <c r="Q196" s="507"/>
      <c r="R196" s="507"/>
      <c r="S196" s="507"/>
      <c r="T196" s="507"/>
      <c r="U196" s="507"/>
      <c r="V196" s="507"/>
      <c r="W196" s="224"/>
      <c r="X196" s="224"/>
      <c r="Y196" s="224"/>
      <c r="Z196" s="224"/>
    </row>
    <row r="197" ht="15.75" customHeight="1">
      <c r="A197" s="507"/>
      <c r="B197" s="507"/>
      <c r="C197" s="507"/>
      <c r="D197" s="507"/>
      <c r="E197" s="507"/>
      <c r="F197" s="507"/>
      <c r="G197" s="508"/>
      <c r="H197" s="507"/>
      <c r="I197" s="507"/>
      <c r="J197" s="507"/>
      <c r="K197" s="507"/>
      <c r="L197" s="507"/>
      <c r="M197" s="507"/>
      <c r="N197" s="507"/>
      <c r="O197" s="507"/>
      <c r="P197" s="507"/>
      <c r="Q197" s="507"/>
      <c r="R197" s="507"/>
      <c r="S197" s="507"/>
      <c r="T197" s="507"/>
      <c r="U197" s="507"/>
      <c r="V197" s="507"/>
      <c r="W197" s="224"/>
      <c r="X197" s="224"/>
      <c r="Y197" s="224"/>
      <c r="Z197" s="224"/>
    </row>
    <row r="198" ht="15.75" customHeight="1">
      <c r="A198" s="507"/>
      <c r="B198" s="507"/>
      <c r="C198" s="507"/>
      <c r="D198" s="507"/>
      <c r="E198" s="507"/>
      <c r="F198" s="507"/>
      <c r="G198" s="508"/>
      <c r="H198" s="507"/>
      <c r="I198" s="507"/>
      <c r="J198" s="507"/>
      <c r="K198" s="507"/>
      <c r="L198" s="507"/>
      <c r="M198" s="507"/>
      <c r="N198" s="507"/>
      <c r="O198" s="507"/>
      <c r="P198" s="507"/>
      <c r="Q198" s="507"/>
      <c r="R198" s="507"/>
      <c r="S198" s="507"/>
      <c r="T198" s="507"/>
      <c r="U198" s="507"/>
      <c r="V198" s="507"/>
      <c r="W198" s="224"/>
      <c r="X198" s="224"/>
      <c r="Y198" s="224"/>
      <c r="Z198" s="224"/>
    </row>
    <row r="199" ht="15.75" customHeight="1">
      <c r="A199" s="507"/>
      <c r="B199" s="507"/>
      <c r="C199" s="507"/>
      <c r="D199" s="507"/>
      <c r="E199" s="507"/>
      <c r="F199" s="507"/>
      <c r="G199" s="508"/>
      <c r="H199" s="507"/>
      <c r="I199" s="507"/>
      <c r="J199" s="507"/>
      <c r="K199" s="507"/>
      <c r="L199" s="507"/>
      <c r="M199" s="507"/>
      <c r="N199" s="507"/>
      <c r="O199" s="507"/>
      <c r="P199" s="507"/>
      <c r="Q199" s="507"/>
      <c r="R199" s="507"/>
      <c r="S199" s="507"/>
      <c r="T199" s="507"/>
      <c r="U199" s="507"/>
      <c r="V199" s="507"/>
      <c r="W199" s="224"/>
      <c r="X199" s="224"/>
      <c r="Y199" s="224"/>
      <c r="Z199" s="224"/>
    </row>
    <row r="200" ht="15.75" customHeight="1">
      <c r="A200" s="507"/>
      <c r="B200" s="507"/>
      <c r="C200" s="507"/>
      <c r="D200" s="507"/>
      <c r="E200" s="507"/>
      <c r="F200" s="507"/>
      <c r="G200" s="508"/>
      <c r="H200" s="507"/>
      <c r="I200" s="507"/>
      <c r="J200" s="507"/>
      <c r="K200" s="507"/>
      <c r="L200" s="507"/>
      <c r="M200" s="507"/>
      <c r="N200" s="507"/>
      <c r="O200" s="507"/>
      <c r="P200" s="507"/>
      <c r="Q200" s="507"/>
      <c r="R200" s="507"/>
      <c r="S200" s="507"/>
      <c r="T200" s="507"/>
      <c r="U200" s="507"/>
      <c r="V200" s="507"/>
      <c r="W200" s="224"/>
      <c r="X200" s="224"/>
      <c r="Y200" s="224"/>
      <c r="Z200" s="224"/>
    </row>
    <row r="201" ht="15.75" customHeight="1">
      <c r="A201" s="507"/>
      <c r="B201" s="507"/>
      <c r="C201" s="507"/>
      <c r="D201" s="507"/>
      <c r="E201" s="507"/>
      <c r="F201" s="507"/>
      <c r="G201" s="508"/>
      <c r="H201" s="507"/>
      <c r="I201" s="507"/>
      <c r="J201" s="507"/>
      <c r="K201" s="507"/>
      <c r="L201" s="507"/>
      <c r="M201" s="507"/>
      <c r="N201" s="507"/>
      <c r="O201" s="507"/>
      <c r="P201" s="507"/>
      <c r="Q201" s="507"/>
      <c r="R201" s="507"/>
      <c r="S201" s="507"/>
      <c r="T201" s="507"/>
      <c r="U201" s="507"/>
      <c r="V201" s="507"/>
      <c r="W201" s="224"/>
      <c r="X201" s="224"/>
      <c r="Y201" s="224"/>
      <c r="Z201" s="224"/>
    </row>
    <row r="202" ht="15.75" customHeight="1">
      <c r="A202" s="507"/>
      <c r="B202" s="507"/>
      <c r="C202" s="507"/>
      <c r="D202" s="507"/>
      <c r="E202" s="507"/>
      <c r="F202" s="507"/>
      <c r="G202" s="508"/>
      <c r="H202" s="507"/>
      <c r="I202" s="507"/>
      <c r="J202" s="507"/>
      <c r="K202" s="507"/>
      <c r="L202" s="507"/>
      <c r="M202" s="507"/>
      <c r="N202" s="507"/>
      <c r="O202" s="507"/>
      <c r="P202" s="507"/>
      <c r="Q202" s="507"/>
      <c r="R202" s="507"/>
      <c r="S202" s="507"/>
      <c r="T202" s="507"/>
      <c r="U202" s="507"/>
      <c r="V202" s="507"/>
      <c r="W202" s="224"/>
      <c r="X202" s="224"/>
      <c r="Y202" s="224"/>
      <c r="Z202" s="224"/>
    </row>
    <row r="203" ht="15.75" customHeight="1">
      <c r="A203" s="507"/>
      <c r="B203" s="507"/>
      <c r="C203" s="507"/>
      <c r="D203" s="507"/>
      <c r="E203" s="507"/>
      <c r="F203" s="507"/>
      <c r="G203" s="508"/>
      <c r="H203" s="507"/>
      <c r="I203" s="507"/>
      <c r="J203" s="507"/>
      <c r="K203" s="507"/>
      <c r="L203" s="507"/>
      <c r="M203" s="507"/>
      <c r="N203" s="507"/>
      <c r="O203" s="507"/>
      <c r="P203" s="507"/>
      <c r="Q203" s="507"/>
      <c r="R203" s="507"/>
      <c r="S203" s="507"/>
      <c r="T203" s="507"/>
      <c r="U203" s="507"/>
      <c r="V203" s="507"/>
      <c r="W203" s="224"/>
      <c r="X203" s="224"/>
      <c r="Y203" s="224"/>
      <c r="Z203" s="224"/>
    </row>
    <row r="204" ht="15.75" customHeight="1">
      <c r="A204" s="507"/>
      <c r="B204" s="507"/>
      <c r="C204" s="507"/>
      <c r="D204" s="507"/>
      <c r="E204" s="507"/>
      <c r="F204" s="507"/>
      <c r="G204" s="508"/>
      <c r="H204" s="507"/>
      <c r="I204" s="507"/>
      <c r="J204" s="507"/>
      <c r="K204" s="507"/>
      <c r="L204" s="507"/>
      <c r="M204" s="507"/>
      <c r="N204" s="507"/>
      <c r="O204" s="507"/>
      <c r="P204" s="507"/>
      <c r="Q204" s="507"/>
      <c r="R204" s="507"/>
      <c r="S204" s="507"/>
      <c r="T204" s="507"/>
      <c r="U204" s="507"/>
      <c r="V204" s="507"/>
      <c r="W204" s="224"/>
      <c r="X204" s="224"/>
      <c r="Y204" s="224"/>
      <c r="Z204" s="224"/>
    </row>
    <row r="205" ht="15.75" customHeight="1">
      <c r="A205" s="507"/>
      <c r="B205" s="507"/>
      <c r="C205" s="507"/>
      <c r="D205" s="507"/>
      <c r="E205" s="507"/>
      <c r="F205" s="507"/>
      <c r="G205" s="508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R205" s="507"/>
      <c r="S205" s="507"/>
      <c r="T205" s="507"/>
      <c r="U205" s="507"/>
      <c r="V205" s="507"/>
      <c r="W205" s="224"/>
      <c r="X205" s="224"/>
      <c r="Y205" s="224"/>
      <c r="Z205" s="224"/>
    </row>
    <row r="206" ht="15.75" customHeight="1">
      <c r="A206" s="507"/>
      <c r="B206" s="507"/>
      <c r="C206" s="507"/>
      <c r="D206" s="507"/>
      <c r="E206" s="507"/>
      <c r="F206" s="507"/>
      <c r="G206" s="508"/>
      <c r="H206" s="507"/>
      <c r="I206" s="507"/>
      <c r="J206" s="507"/>
      <c r="K206" s="507"/>
      <c r="L206" s="507"/>
      <c r="M206" s="507"/>
      <c r="N206" s="507"/>
      <c r="O206" s="507"/>
      <c r="P206" s="507"/>
      <c r="Q206" s="507"/>
      <c r="R206" s="507"/>
      <c r="S206" s="507"/>
      <c r="T206" s="507"/>
      <c r="U206" s="507"/>
      <c r="V206" s="507"/>
      <c r="W206" s="224"/>
      <c r="X206" s="224"/>
      <c r="Y206" s="224"/>
      <c r="Z206" s="224"/>
    </row>
    <row r="207" ht="15.75" customHeight="1">
      <c r="A207" s="507"/>
      <c r="B207" s="507"/>
      <c r="C207" s="507"/>
      <c r="D207" s="507"/>
      <c r="E207" s="507"/>
      <c r="F207" s="507"/>
      <c r="G207" s="508"/>
      <c r="H207" s="507"/>
      <c r="I207" s="507"/>
      <c r="J207" s="507"/>
      <c r="K207" s="507"/>
      <c r="L207" s="507"/>
      <c r="M207" s="507"/>
      <c r="N207" s="507"/>
      <c r="O207" s="507"/>
      <c r="P207" s="507"/>
      <c r="Q207" s="507"/>
      <c r="R207" s="507"/>
      <c r="S207" s="507"/>
      <c r="T207" s="507"/>
      <c r="U207" s="507"/>
      <c r="V207" s="507"/>
      <c r="W207" s="224"/>
      <c r="X207" s="224"/>
      <c r="Y207" s="224"/>
      <c r="Z207" s="224"/>
    </row>
    <row r="208" ht="15.75" customHeight="1">
      <c r="A208" s="507"/>
      <c r="B208" s="507"/>
      <c r="C208" s="507"/>
      <c r="D208" s="507"/>
      <c r="E208" s="507"/>
      <c r="F208" s="507"/>
      <c r="G208" s="508"/>
      <c r="H208" s="507"/>
      <c r="I208" s="507"/>
      <c r="J208" s="507"/>
      <c r="K208" s="507"/>
      <c r="L208" s="507"/>
      <c r="M208" s="507"/>
      <c r="N208" s="507"/>
      <c r="O208" s="507"/>
      <c r="P208" s="507"/>
      <c r="Q208" s="507"/>
      <c r="R208" s="507"/>
      <c r="S208" s="507"/>
      <c r="T208" s="507"/>
      <c r="U208" s="507"/>
      <c r="V208" s="507"/>
      <c r="W208" s="224"/>
      <c r="X208" s="224"/>
      <c r="Y208" s="224"/>
      <c r="Z208" s="224"/>
    </row>
    <row r="209" ht="15.75" customHeight="1">
      <c r="A209" s="507"/>
      <c r="B209" s="507"/>
      <c r="C209" s="507"/>
      <c r="D209" s="507"/>
      <c r="E209" s="507"/>
      <c r="F209" s="507"/>
      <c r="G209" s="508"/>
      <c r="H209" s="507"/>
      <c r="I209" s="507"/>
      <c r="J209" s="507"/>
      <c r="K209" s="507"/>
      <c r="L209" s="507"/>
      <c r="M209" s="507"/>
      <c r="N209" s="507"/>
      <c r="O209" s="507"/>
      <c r="P209" s="507"/>
      <c r="Q209" s="507"/>
      <c r="R209" s="507"/>
      <c r="S209" s="507"/>
      <c r="T209" s="507"/>
      <c r="U209" s="507"/>
      <c r="V209" s="507"/>
      <c r="W209" s="224"/>
      <c r="X209" s="224"/>
      <c r="Y209" s="224"/>
      <c r="Z209" s="224"/>
    </row>
    <row r="210" ht="15.75" customHeight="1">
      <c r="A210" s="507"/>
      <c r="B210" s="507"/>
      <c r="C210" s="507"/>
      <c r="D210" s="507"/>
      <c r="E210" s="507"/>
      <c r="F210" s="507"/>
      <c r="G210" s="508"/>
      <c r="H210" s="507"/>
      <c r="I210" s="507"/>
      <c r="J210" s="507"/>
      <c r="K210" s="507"/>
      <c r="L210" s="507"/>
      <c r="M210" s="507"/>
      <c r="N210" s="507"/>
      <c r="O210" s="507"/>
      <c r="P210" s="507"/>
      <c r="Q210" s="507"/>
      <c r="R210" s="507"/>
      <c r="S210" s="507"/>
      <c r="T210" s="507"/>
      <c r="U210" s="507"/>
      <c r="V210" s="507"/>
      <c r="W210" s="224"/>
      <c r="X210" s="224"/>
      <c r="Y210" s="224"/>
      <c r="Z210" s="224"/>
    </row>
    <row r="211" ht="15.75" customHeight="1">
      <c r="A211" s="507"/>
      <c r="B211" s="507"/>
      <c r="C211" s="507"/>
      <c r="D211" s="507"/>
      <c r="E211" s="507"/>
      <c r="F211" s="507"/>
      <c r="G211" s="508"/>
      <c r="H211" s="507"/>
      <c r="I211" s="507"/>
      <c r="J211" s="507"/>
      <c r="K211" s="507"/>
      <c r="L211" s="507"/>
      <c r="M211" s="507"/>
      <c r="N211" s="507"/>
      <c r="O211" s="507"/>
      <c r="P211" s="507"/>
      <c r="Q211" s="507"/>
      <c r="R211" s="507"/>
      <c r="S211" s="507"/>
      <c r="T211" s="507"/>
      <c r="U211" s="507"/>
      <c r="V211" s="507"/>
      <c r="W211" s="224"/>
      <c r="X211" s="224"/>
      <c r="Y211" s="224"/>
      <c r="Z211" s="224"/>
    </row>
    <row r="212" ht="15.75" customHeight="1">
      <c r="A212" s="507"/>
      <c r="B212" s="507"/>
      <c r="C212" s="507"/>
      <c r="D212" s="507"/>
      <c r="E212" s="507"/>
      <c r="F212" s="507"/>
      <c r="G212" s="508"/>
      <c r="H212" s="507"/>
      <c r="I212" s="507"/>
      <c r="J212" s="507"/>
      <c r="K212" s="507"/>
      <c r="L212" s="507"/>
      <c r="M212" s="507"/>
      <c r="N212" s="507"/>
      <c r="O212" s="507"/>
      <c r="P212" s="507"/>
      <c r="Q212" s="507"/>
      <c r="R212" s="507"/>
      <c r="S212" s="507"/>
      <c r="T212" s="507"/>
      <c r="U212" s="507"/>
      <c r="V212" s="507"/>
      <c r="W212" s="224"/>
      <c r="X212" s="224"/>
      <c r="Y212" s="224"/>
      <c r="Z212" s="224"/>
    </row>
    <row r="213" ht="15.75" customHeight="1">
      <c r="A213" s="507"/>
      <c r="B213" s="507"/>
      <c r="C213" s="507"/>
      <c r="D213" s="507"/>
      <c r="E213" s="507"/>
      <c r="F213" s="507"/>
      <c r="G213" s="508"/>
      <c r="H213" s="507"/>
      <c r="I213" s="507"/>
      <c r="J213" s="507"/>
      <c r="K213" s="507"/>
      <c r="L213" s="507"/>
      <c r="M213" s="507"/>
      <c r="N213" s="507"/>
      <c r="O213" s="507"/>
      <c r="P213" s="507"/>
      <c r="Q213" s="507"/>
      <c r="R213" s="507"/>
      <c r="S213" s="507"/>
      <c r="T213" s="507"/>
      <c r="U213" s="507"/>
      <c r="V213" s="507"/>
      <c r="W213" s="224"/>
      <c r="X213" s="224"/>
      <c r="Y213" s="224"/>
      <c r="Z213" s="224"/>
    </row>
    <row r="214" ht="15.75" customHeight="1">
      <c r="A214" s="507"/>
      <c r="B214" s="507"/>
      <c r="C214" s="507"/>
      <c r="D214" s="507"/>
      <c r="E214" s="507"/>
      <c r="F214" s="507"/>
      <c r="G214" s="508"/>
      <c r="H214" s="507"/>
      <c r="I214" s="507"/>
      <c r="J214" s="507"/>
      <c r="K214" s="507"/>
      <c r="L214" s="507"/>
      <c r="M214" s="507"/>
      <c r="N214" s="507"/>
      <c r="O214" s="507"/>
      <c r="P214" s="507"/>
      <c r="Q214" s="507"/>
      <c r="R214" s="507"/>
      <c r="S214" s="507"/>
      <c r="T214" s="507"/>
      <c r="U214" s="507"/>
      <c r="V214" s="507"/>
      <c r="W214" s="224"/>
      <c r="X214" s="224"/>
      <c r="Y214" s="224"/>
      <c r="Z214" s="224"/>
    </row>
    <row r="215" ht="15.75" customHeight="1">
      <c r="A215" s="507"/>
      <c r="B215" s="507"/>
      <c r="C215" s="507"/>
      <c r="D215" s="507"/>
      <c r="E215" s="507"/>
      <c r="F215" s="507"/>
      <c r="G215" s="508"/>
      <c r="H215" s="507"/>
      <c r="I215" s="507"/>
      <c r="J215" s="507"/>
      <c r="K215" s="507"/>
      <c r="L215" s="507"/>
      <c r="M215" s="507"/>
      <c r="N215" s="507"/>
      <c r="O215" s="507"/>
      <c r="P215" s="507"/>
      <c r="Q215" s="507"/>
      <c r="R215" s="507"/>
      <c r="S215" s="507"/>
      <c r="T215" s="507"/>
      <c r="U215" s="507"/>
      <c r="V215" s="507"/>
      <c r="W215" s="224"/>
      <c r="X215" s="224"/>
      <c r="Y215" s="224"/>
      <c r="Z215" s="224"/>
    </row>
    <row r="216" ht="15.75" customHeight="1">
      <c r="A216" s="507"/>
      <c r="B216" s="507"/>
      <c r="C216" s="507"/>
      <c r="D216" s="507"/>
      <c r="E216" s="507"/>
      <c r="F216" s="507"/>
      <c r="G216" s="508"/>
      <c r="H216" s="507"/>
      <c r="I216" s="507"/>
      <c r="J216" s="507"/>
      <c r="K216" s="507"/>
      <c r="L216" s="507"/>
      <c r="M216" s="507"/>
      <c r="N216" s="507"/>
      <c r="O216" s="507"/>
      <c r="P216" s="507"/>
      <c r="Q216" s="507"/>
      <c r="R216" s="507"/>
      <c r="S216" s="507"/>
      <c r="T216" s="507"/>
      <c r="U216" s="507"/>
      <c r="V216" s="507"/>
      <c r="W216" s="224"/>
      <c r="X216" s="224"/>
      <c r="Y216" s="224"/>
      <c r="Z216" s="224"/>
    </row>
    <row r="217" ht="15.75" customHeight="1">
      <c r="A217" s="507"/>
      <c r="B217" s="507"/>
      <c r="C217" s="507"/>
      <c r="D217" s="507"/>
      <c r="E217" s="507"/>
      <c r="F217" s="507"/>
      <c r="G217" s="508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  <c r="T217" s="507"/>
      <c r="U217" s="507"/>
      <c r="V217" s="507"/>
      <c r="W217" s="224"/>
      <c r="X217" s="224"/>
      <c r="Y217" s="224"/>
      <c r="Z217" s="224"/>
    </row>
    <row r="218" ht="15.75" customHeight="1">
      <c r="A218" s="507"/>
      <c r="B218" s="507"/>
      <c r="C218" s="507"/>
      <c r="D218" s="507"/>
      <c r="E218" s="507"/>
      <c r="F218" s="507"/>
      <c r="G218" s="508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  <c r="T218" s="507"/>
      <c r="U218" s="507"/>
      <c r="V218" s="507"/>
      <c r="W218" s="224"/>
      <c r="X218" s="224"/>
      <c r="Y218" s="224"/>
      <c r="Z218" s="224"/>
    </row>
    <row r="219" ht="15.75" customHeight="1">
      <c r="A219" s="507"/>
      <c r="B219" s="507"/>
      <c r="C219" s="507"/>
      <c r="D219" s="507"/>
      <c r="E219" s="507"/>
      <c r="F219" s="507"/>
      <c r="G219" s="508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  <c r="T219" s="507"/>
      <c r="U219" s="507"/>
      <c r="V219" s="507"/>
      <c r="W219" s="224"/>
      <c r="X219" s="224"/>
      <c r="Y219" s="224"/>
      <c r="Z219" s="224"/>
    </row>
    <row r="220" ht="15.75" customHeight="1">
      <c r="A220" s="507"/>
      <c r="B220" s="507"/>
      <c r="C220" s="507"/>
      <c r="D220" s="507"/>
      <c r="E220" s="507"/>
      <c r="F220" s="507"/>
      <c r="G220" s="508"/>
      <c r="H220" s="507"/>
      <c r="I220" s="507"/>
      <c r="J220" s="507"/>
      <c r="K220" s="507"/>
      <c r="L220" s="507"/>
      <c r="M220" s="507"/>
      <c r="N220" s="507"/>
      <c r="O220" s="507"/>
      <c r="P220" s="507"/>
      <c r="Q220" s="507"/>
      <c r="R220" s="507"/>
      <c r="S220" s="507"/>
      <c r="T220" s="507"/>
      <c r="U220" s="507"/>
      <c r="V220" s="507"/>
      <c r="W220" s="224"/>
      <c r="X220" s="224"/>
      <c r="Y220" s="224"/>
      <c r="Z220" s="224"/>
    </row>
    <row r="221" ht="15.75" customHeight="1">
      <c r="A221" s="507"/>
      <c r="B221" s="507"/>
      <c r="C221" s="507"/>
      <c r="D221" s="507"/>
      <c r="E221" s="507"/>
      <c r="F221" s="507"/>
      <c r="G221" s="508"/>
      <c r="H221" s="507"/>
      <c r="I221" s="507"/>
      <c r="J221" s="507"/>
      <c r="K221" s="507"/>
      <c r="L221" s="507"/>
      <c r="M221" s="507"/>
      <c r="N221" s="507"/>
      <c r="O221" s="507"/>
      <c r="P221" s="507"/>
      <c r="Q221" s="507"/>
      <c r="R221" s="507"/>
      <c r="S221" s="507"/>
      <c r="T221" s="507"/>
      <c r="U221" s="507"/>
      <c r="V221" s="507"/>
      <c r="W221" s="224"/>
      <c r="X221" s="224"/>
      <c r="Y221" s="224"/>
      <c r="Z221" s="224"/>
    </row>
    <row r="222" ht="15.75" customHeight="1">
      <c r="A222" s="507"/>
      <c r="B222" s="507"/>
      <c r="C222" s="507"/>
      <c r="D222" s="507"/>
      <c r="E222" s="507"/>
      <c r="F222" s="507"/>
      <c r="G222" s="508"/>
      <c r="H222" s="507"/>
      <c r="I222" s="507"/>
      <c r="J222" s="507"/>
      <c r="K222" s="507"/>
      <c r="L222" s="507"/>
      <c r="M222" s="507"/>
      <c r="N222" s="507"/>
      <c r="O222" s="507"/>
      <c r="P222" s="507"/>
      <c r="Q222" s="507"/>
      <c r="R222" s="507"/>
      <c r="S222" s="507"/>
      <c r="T222" s="507"/>
      <c r="U222" s="507"/>
      <c r="V222" s="507"/>
      <c r="W222" s="224"/>
      <c r="X222" s="224"/>
      <c r="Y222" s="224"/>
      <c r="Z222" s="224"/>
    </row>
    <row r="223" ht="15.75" customHeight="1">
      <c r="A223" s="507"/>
      <c r="B223" s="507"/>
      <c r="C223" s="507"/>
      <c r="D223" s="507"/>
      <c r="E223" s="507"/>
      <c r="F223" s="507"/>
      <c r="G223" s="508"/>
      <c r="H223" s="507"/>
      <c r="I223" s="507"/>
      <c r="J223" s="507"/>
      <c r="K223" s="507"/>
      <c r="L223" s="507"/>
      <c r="M223" s="507"/>
      <c r="N223" s="507"/>
      <c r="O223" s="507"/>
      <c r="P223" s="507"/>
      <c r="Q223" s="507"/>
      <c r="R223" s="507"/>
      <c r="S223" s="507"/>
      <c r="T223" s="507"/>
      <c r="U223" s="507"/>
      <c r="V223" s="507"/>
      <c r="W223" s="224"/>
      <c r="X223" s="224"/>
      <c r="Y223" s="224"/>
      <c r="Z223" s="224"/>
    </row>
    <row r="224" ht="15.75" customHeight="1">
      <c r="A224" s="507"/>
      <c r="B224" s="507"/>
      <c r="C224" s="507"/>
      <c r="D224" s="507"/>
      <c r="E224" s="507"/>
      <c r="F224" s="507"/>
      <c r="G224" s="508"/>
      <c r="H224" s="507"/>
      <c r="I224" s="507"/>
      <c r="J224" s="507"/>
      <c r="K224" s="507"/>
      <c r="L224" s="507"/>
      <c r="M224" s="507"/>
      <c r="N224" s="507"/>
      <c r="O224" s="507"/>
      <c r="P224" s="507"/>
      <c r="Q224" s="507"/>
      <c r="R224" s="507"/>
      <c r="S224" s="507"/>
      <c r="T224" s="507"/>
      <c r="U224" s="507"/>
      <c r="V224" s="507"/>
      <c r="W224" s="224"/>
      <c r="X224" s="224"/>
      <c r="Y224" s="224"/>
      <c r="Z224" s="224"/>
    </row>
    <row r="225" ht="15.75" customHeight="1">
      <c r="A225" s="507"/>
      <c r="B225" s="507"/>
      <c r="C225" s="507"/>
      <c r="D225" s="507"/>
      <c r="E225" s="507"/>
      <c r="F225" s="507"/>
      <c r="G225" s="508"/>
      <c r="H225" s="507"/>
      <c r="I225" s="507"/>
      <c r="J225" s="507"/>
      <c r="K225" s="507"/>
      <c r="L225" s="507"/>
      <c r="M225" s="507"/>
      <c r="N225" s="507"/>
      <c r="O225" s="507"/>
      <c r="P225" s="507"/>
      <c r="Q225" s="507"/>
      <c r="R225" s="507"/>
      <c r="S225" s="507"/>
      <c r="T225" s="507"/>
      <c r="U225" s="507"/>
      <c r="V225" s="507"/>
      <c r="W225" s="224"/>
      <c r="X225" s="224"/>
      <c r="Y225" s="224"/>
      <c r="Z225" s="224"/>
    </row>
    <row r="226" ht="15.75" customHeight="1">
      <c r="A226" s="507"/>
      <c r="B226" s="507"/>
      <c r="C226" s="507"/>
      <c r="D226" s="507"/>
      <c r="E226" s="507"/>
      <c r="F226" s="507"/>
      <c r="G226" s="508"/>
      <c r="H226" s="507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  <c r="T226" s="507"/>
      <c r="U226" s="507"/>
      <c r="V226" s="507"/>
      <c r="W226" s="224"/>
      <c r="X226" s="224"/>
      <c r="Y226" s="224"/>
      <c r="Z226" s="224"/>
    </row>
    <row r="227" ht="15.75" customHeight="1">
      <c r="A227" s="507"/>
      <c r="B227" s="507"/>
      <c r="C227" s="507"/>
      <c r="D227" s="507"/>
      <c r="E227" s="507"/>
      <c r="F227" s="507"/>
      <c r="G227" s="508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  <c r="T227" s="507"/>
      <c r="U227" s="507"/>
      <c r="V227" s="507"/>
      <c r="W227" s="224"/>
      <c r="X227" s="224"/>
      <c r="Y227" s="224"/>
      <c r="Z227" s="224"/>
    </row>
    <row r="228" ht="15.75" customHeight="1">
      <c r="A228" s="507"/>
      <c r="B228" s="507"/>
      <c r="C228" s="507"/>
      <c r="D228" s="507"/>
      <c r="E228" s="507"/>
      <c r="F228" s="507"/>
      <c r="G228" s="508"/>
      <c r="H228" s="507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  <c r="T228" s="507"/>
      <c r="U228" s="507"/>
      <c r="V228" s="507"/>
      <c r="W228" s="224"/>
      <c r="X228" s="224"/>
      <c r="Y228" s="224"/>
      <c r="Z228" s="224"/>
    </row>
    <row r="229" ht="15.75" customHeight="1">
      <c r="A229" s="507"/>
      <c r="B229" s="507"/>
      <c r="C229" s="507"/>
      <c r="D229" s="507"/>
      <c r="E229" s="507"/>
      <c r="F229" s="507"/>
      <c r="G229" s="508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507"/>
      <c r="V229" s="507"/>
      <c r="W229" s="224"/>
      <c r="X229" s="224"/>
      <c r="Y229" s="224"/>
      <c r="Z229" s="224"/>
    </row>
    <row r="230" ht="15.75" customHeight="1">
      <c r="A230" s="507"/>
      <c r="B230" s="507"/>
      <c r="C230" s="507"/>
      <c r="D230" s="507"/>
      <c r="E230" s="507"/>
      <c r="F230" s="507"/>
      <c r="G230" s="508"/>
      <c r="H230" s="507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  <c r="T230" s="507"/>
      <c r="U230" s="507"/>
      <c r="V230" s="507"/>
      <c r="W230" s="224"/>
      <c r="X230" s="224"/>
      <c r="Y230" s="224"/>
      <c r="Z230" s="224"/>
    </row>
    <row r="231" ht="15.75" customHeight="1">
      <c r="A231" s="507"/>
      <c r="B231" s="507"/>
      <c r="C231" s="507"/>
      <c r="D231" s="507"/>
      <c r="E231" s="507"/>
      <c r="F231" s="507"/>
      <c r="G231" s="508"/>
      <c r="H231" s="507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  <c r="T231" s="507"/>
      <c r="U231" s="507"/>
      <c r="V231" s="507"/>
      <c r="W231" s="224"/>
      <c r="X231" s="224"/>
      <c r="Y231" s="224"/>
      <c r="Z231" s="224"/>
    </row>
    <row r="232" ht="15.75" customHeight="1">
      <c r="A232" s="507"/>
      <c r="B232" s="507"/>
      <c r="C232" s="507"/>
      <c r="D232" s="507"/>
      <c r="E232" s="507"/>
      <c r="F232" s="507"/>
      <c r="G232" s="508"/>
      <c r="H232" s="507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  <c r="T232" s="507"/>
      <c r="U232" s="507"/>
      <c r="V232" s="507"/>
      <c r="W232" s="224"/>
      <c r="X232" s="224"/>
      <c r="Y232" s="224"/>
      <c r="Z232" s="224"/>
    </row>
    <row r="233" ht="15.75" customHeight="1">
      <c r="A233" s="507"/>
      <c r="B233" s="507"/>
      <c r="C233" s="507"/>
      <c r="D233" s="507"/>
      <c r="E233" s="507"/>
      <c r="F233" s="507"/>
      <c r="G233" s="508"/>
      <c r="H233" s="507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  <c r="T233" s="507"/>
      <c r="U233" s="507"/>
      <c r="V233" s="507"/>
      <c r="W233" s="224"/>
      <c r="X233" s="224"/>
      <c r="Y233" s="224"/>
      <c r="Z233" s="224"/>
    </row>
    <row r="234" ht="15.75" customHeight="1">
      <c r="A234" s="507"/>
      <c r="B234" s="507"/>
      <c r="C234" s="507"/>
      <c r="D234" s="507"/>
      <c r="E234" s="507"/>
      <c r="F234" s="507"/>
      <c r="G234" s="508"/>
      <c r="H234" s="507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  <c r="T234" s="507"/>
      <c r="U234" s="507"/>
      <c r="V234" s="507"/>
      <c r="W234" s="224"/>
      <c r="X234" s="224"/>
      <c r="Y234" s="224"/>
      <c r="Z234" s="224"/>
    </row>
    <row r="235" ht="15.75" customHeight="1">
      <c r="A235" s="507"/>
      <c r="B235" s="507"/>
      <c r="C235" s="507"/>
      <c r="D235" s="507"/>
      <c r="E235" s="507"/>
      <c r="F235" s="507"/>
      <c r="G235" s="508"/>
      <c r="H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  <c r="T235" s="507"/>
      <c r="U235" s="507"/>
      <c r="V235" s="507"/>
      <c r="W235" s="224"/>
      <c r="X235" s="224"/>
      <c r="Y235" s="224"/>
      <c r="Z235" s="224"/>
    </row>
    <row r="236" ht="15.75" customHeight="1">
      <c r="A236" s="507"/>
      <c r="B236" s="507"/>
      <c r="C236" s="507"/>
      <c r="D236" s="507"/>
      <c r="E236" s="507"/>
      <c r="F236" s="507"/>
      <c r="G236" s="508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  <c r="T236" s="507"/>
      <c r="U236" s="507"/>
      <c r="V236" s="507"/>
      <c r="W236" s="224"/>
      <c r="X236" s="224"/>
      <c r="Y236" s="224"/>
      <c r="Z236" s="224"/>
    </row>
    <row r="237" ht="15.75" customHeight="1">
      <c r="A237" s="507"/>
      <c r="B237" s="507"/>
      <c r="C237" s="507"/>
      <c r="D237" s="507"/>
      <c r="E237" s="507"/>
      <c r="F237" s="507"/>
      <c r="G237" s="508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507"/>
      <c r="W237" s="224"/>
      <c r="X237" s="224"/>
      <c r="Y237" s="224"/>
      <c r="Z237" s="224"/>
    </row>
    <row r="238" ht="15.75" customHeight="1">
      <c r="A238" s="507"/>
      <c r="B238" s="507"/>
      <c r="C238" s="507"/>
      <c r="D238" s="507"/>
      <c r="E238" s="507"/>
      <c r="F238" s="507"/>
      <c r="G238" s="508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  <c r="T238" s="507"/>
      <c r="U238" s="507"/>
      <c r="V238" s="507"/>
      <c r="W238" s="224"/>
      <c r="X238" s="224"/>
      <c r="Y238" s="224"/>
      <c r="Z238" s="224"/>
    </row>
    <row r="239" ht="15.75" customHeight="1">
      <c r="A239" s="507"/>
      <c r="B239" s="507"/>
      <c r="C239" s="507"/>
      <c r="D239" s="507"/>
      <c r="E239" s="507"/>
      <c r="F239" s="507"/>
      <c r="G239" s="508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  <c r="T239" s="507"/>
      <c r="U239" s="507"/>
      <c r="V239" s="507"/>
      <c r="W239" s="224"/>
      <c r="X239" s="224"/>
      <c r="Y239" s="224"/>
      <c r="Z239" s="224"/>
    </row>
    <row r="240" ht="15.75" customHeight="1">
      <c r="A240" s="507"/>
      <c r="B240" s="507"/>
      <c r="C240" s="507"/>
      <c r="D240" s="507"/>
      <c r="E240" s="507"/>
      <c r="F240" s="507"/>
      <c r="G240" s="508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  <c r="T240" s="507"/>
      <c r="U240" s="507"/>
      <c r="V240" s="507"/>
      <c r="W240" s="224"/>
      <c r="X240" s="224"/>
      <c r="Y240" s="224"/>
      <c r="Z240" s="224"/>
    </row>
    <row r="241" ht="15.75" customHeight="1">
      <c r="A241" s="507"/>
      <c r="B241" s="507"/>
      <c r="C241" s="507"/>
      <c r="D241" s="507"/>
      <c r="E241" s="507"/>
      <c r="F241" s="507"/>
      <c r="G241" s="508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  <c r="T241" s="507"/>
      <c r="U241" s="507"/>
      <c r="V241" s="507"/>
      <c r="W241" s="224"/>
      <c r="X241" s="224"/>
      <c r="Y241" s="224"/>
      <c r="Z241" s="224"/>
    </row>
    <row r="242" ht="15.75" customHeight="1">
      <c r="A242" s="507"/>
      <c r="B242" s="507"/>
      <c r="C242" s="507"/>
      <c r="D242" s="507"/>
      <c r="E242" s="507"/>
      <c r="F242" s="507"/>
      <c r="G242" s="508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  <c r="T242" s="507"/>
      <c r="U242" s="507"/>
      <c r="V242" s="507"/>
      <c r="W242" s="224"/>
      <c r="X242" s="224"/>
      <c r="Y242" s="224"/>
      <c r="Z242" s="224"/>
    </row>
    <row r="243" ht="15.75" customHeight="1">
      <c r="A243" s="507"/>
      <c r="B243" s="507"/>
      <c r="C243" s="507"/>
      <c r="D243" s="507"/>
      <c r="E243" s="507"/>
      <c r="F243" s="507"/>
      <c r="G243" s="508"/>
      <c r="H243" s="507"/>
      <c r="I243" s="507"/>
      <c r="J243" s="507"/>
      <c r="K243" s="507"/>
      <c r="L243" s="507"/>
      <c r="M243" s="507"/>
      <c r="N243" s="507"/>
      <c r="O243" s="507"/>
      <c r="P243" s="507"/>
      <c r="Q243" s="507"/>
      <c r="R243" s="507"/>
      <c r="S243" s="507"/>
      <c r="T243" s="507"/>
      <c r="U243" s="507"/>
      <c r="V243" s="507"/>
      <c r="W243" s="224"/>
      <c r="X243" s="224"/>
      <c r="Y243" s="224"/>
      <c r="Z243" s="224"/>
    </row>
    <row r="244" ht="15.75" customHeight="1">
      <c r="A244" s="507"/>
      <c r="B244" s="507"/>
      <c r="C244" s="507"/>
      <c r="D244" s="507"/>
      <c r="E244" s="507"/>
      <c r="F244" s="507"/>
      <c r="G244" s="508"/>
      <c r="H244" s="507"/>
      <c r="I244" s="507"/>
      <c r="J244" s="507"/>
      <c r="K244" s="507"/>
      <c r="L244" s="507"/>
      <c r="M244" s="507"/>
      <c r="N244" s="507"/>
      <c r="O244" s="507"/>
      <c r="P244" s="507"/>
      <c r="Q244" s="507"/>
      <c r="R244" s="507"/>
      <c r="S244" s="507"/>
      <c r="T244" s="507"/>
      <c r="U244" s="507"/>
      <c r="V244" s="507"/>
      <c r="W244" s="224"/>
      <c r="X244" s="224"/>
      <c r="Y244" s="224"/>
      <c r="Z244" s="224"/>
    </row>
    <row r="245" ht="15.75" customHeight="1">
      <c r="A245" s="507"/>
      <c r="B245" s="507"/>
      <c r="C245" s="507"/>
      <c r="D245" s="507"/>
      <c r="E245" s="507"/>
      <c r="F245" s="507"/>
      <c r="G245" s="508"/>
      <c r="H245" s="507"/>
      <c r="I245" s="507"/>
      <c r="J245" s="507"/>
      <c r="K245" s="507"/>
      <c r="L245" s="507"/>
      <c r="M245" s="507"/>
      <c r="N245" s="507"/>
      <c r="O245" s="507"/>
      <c r="P245" s="507"/>
      <c r="Q245" s="507"/>
      <c r="R245" s="507"/>
      <c r="S245" s="507"/>
      <c r="T245" s="507"/>
      <c r="U245" s="507"/>
      <c r="V245" s="507"/>
      <c r="W245" s="224"/>
      <c r="X245" s="224"/>
      <c r="Y245" s="224"/>
      <c r="Z245" s="224"/>
    </row>
    <row r="246" ht="15.75" customHeight="1">
      <c r="A246" s="507"/>
      <c r="B246" s="507"/>
      <c r="C246" s="507"/>
      <c r="D246" s="507"/>
      <c r="E246" s="507"/>
      <c r="F246" s="507"/>
      <c r="G246" s="508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R246" s="507"/>
      <c r="S246" s="507"/>
      <c r="T246" s="507"/>
      <c r="U246" s="507"/>
      <c r="V246" s="507"/>
      <c r="W246" s="224"/>
      <c r="X246" s="224"/>
      <c r="Y246" s="224"/>
      <c r="Z246" s="224"/>
    </row>
    <row r="247" ht="15.75" customHeight="1">
      <c r="A247" s="507"/>
      <c r="B247" s="507"/>
      <c r="C247" s="507"/>
      <c r="D247" s="507"/>
      <c r="E247" s="507"/>
      <c r="F247" s="507"/>
      <c r="G247" s="508"/>
      <c r="H247" s="507"/>
      <c r="I247" s="507"/>
      <c r="J247" s="507"/>
      <c r="K247" s="507"/>
      <c r="L247" s="507"/>
      <c r="M247" s="507"/>
      <c r="N247" s="507"/>
      <c r="O247" s="507"/>
      <c r="P247" s="507"/>
      <c r="Q247" s="507"/>
      <c r="R247" s="507"/>
      <c r="S247" s="507"/>
      <c r="T247" s="507"/>
      <c r="U247" s="507"/>
      <c r="V247" s="507"/>
      <c r="W247" s="224"/>
      <c r="X247" s="224"/>
      <c r="Y247" s="224"/>
      <c r="Z247" s="224"/>
    </row>
    <row r="248" ht="15.75" customHeight="1">
      <c r="A248" s="507"/>
      <c r="B248" s="507"/>
      <c r="C248" s="507"/>
      <c r="D248" s="507"/>
      <c r="E248" s="507"/>
      <c r="F248" s="507"/>
      <c r="G248" s="508"/>
      <c r="H248" s="507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  <c r="T248" s="507"/>
      <c r="U248" s="507"/>
      <c r="V248" s="507"/>
      <c r="W248" s="224"/>
      <c r="X248" s="224"/>
      <c r="Y248" s="224"/>
      <c r="Z248" s="224"/>
    </row>
    <row r="249" ht="15.75" customHeight="1">
      <c r="A249" s="507"/>
      <c r="B249" s="507"/>
      <c r="C249" s="507"/>
      <c r="D249" s="507"/>
      <c r="E249" s="507"/>
      <c r="F249" s="507"/>
      <c r="G249" s="508"/>
      <c r="H249" s="507"/>
      <c r="I249" s="507"/>
      <c r="J249" s="507"/>
      <c r="K249" s="507"/>
      <c r="L249" s="507"/>
      <c r="M249" s="507"/>
      <c r="N249" s="507"/>
      <c r="O249" s="507"/>
      <c r="P249" s="507"/>
      <c r="Q249" s="507"/>
      <c r="R249" s="507"/>
      <c r="S249" s="507"/>
      <c r="T249" s="507"/>
      <c r="U249" s="507"/>
      <c r="V249" s="507"/>
      <c r="W249" s="224"/>
      <c r="X249" s="224"/>
      <c r="Y249" s="224"/>
      <c r="Z249" s="224"/>
    </row>
    <row r="250" ht="15.75" customHeight="1">
      <c r="A250" s="507"/>
      <c r="B250" s="507"/>
      <c r="C250" s="507"/>
      <c r="D250" s="507"/>
      <c r="E250" s="507"/>
      <c r="F250" s="507"/>
      <c r="G250" s="508"/>
      <c r="H250" s="507"/>
      <c r="I250" s="507"/>
      <c r="J250" s="507"/>
      <c r="K250" s="507"/>
      <c r="L250" s="507"/>
      <c r="M250" s="507"/>
      <c r="N250" s="507"/>
      <c r="O250" s="507"/>
      <c r="P250" s="507"/>
      <c r="Q250" s="507"/>
      <c r="R250" s="507"/>
      <c r="S250" s="507"/>
      <c r="T250" s="507"/>
      <c r="U250" s="507"/>
      <c r="V250" s="507"/>
      <c r="W250" s="224"/>
      <c r="X250" s="224"/>
      <c r="Y250" s="224"/>
      <c r="Z250" s="224"/>
    </row>
    <row r="251" ht="15.75" customHeight="1">
      <c r="A251" s="507"/>
      <c r="B251" s="507"/>
      <c r="C251" s="507"/>
      <c r="D251" s="507"/>
      <c r="E251" s="507"/>
      <c r="F251" s="507"/>
      <c r="G251" s="508"/>
      <c r="H251" s="507"/>
      <c r="I251" s="507"/>
      <c r="J251" s="507"/>
      <c r="K251" s="507"/>
      <c r="L251" s="507"/>
      <c r="M251" s="507"/>
      <c r="N251" s="507"/>
      <c r="O251" s="507"/>
      <c r="P251" s="507"/>
      <c r="Q251" s="507"/>
      <c r="R251" s="507"/>
      <c r="S251" s="507"/>
      <c r="T251" s="507"/>
      <c r="U251" s="507"/>
      <c r="V251" s="507"/>
      <c r="W251" s="224"/>
      <c r="X251" s="224"/>
      <c r="Y251" s="224"/>
      <c r="Z251" s="224"/>
    </row>
    <row r="252" ht="15.75" customHeight="1">
      <c r="A252" s="507"/>
      <c r="B252" s="507"/>
      <c r="C252" s="507"/>
      <c r="D252" s="507"/>
      <c r="E252" s="507"/>
      <c r="F252" s="507"/>
      <c r="G252" s="508"/>
      <c r="H252" s="507"/>
      <c r="I252" s="507"/>
      <c r="J252" s="507"/>
      <c r="K252" s="507"/>
      <c r="L252" s="507"/>
      <c r="M252" s="507"/>
      <c r="N252" s="507"/>
      <c r="O252" s="507"/>
      <c r="P252" s="507"/>
      <c r="Q252" s="507"/>
      <c r="R252" s="507"/>
      <c r="S252" s="507"/>
      <c r="T252" s="507"/>
      <c r="U252" s="507"/>
      <c r="V252" s="507"/>
      <c r="W252" s="224"/>
      <c r="X252" s="224"/>
      <c r="Y252" s="224"/>
      <c r="Z252" s="224"/>
    </row>
    <row r="253" ht="15.75" customHeight="1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</row>
    <row r="254" ht="15.75" customHeight="1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</row>
    <row r="255" ht="15.75" customHeight="1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</row>
    <row r="256" ht="15.75" customHeight="1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</row>
    <row r="257" ht="15.75" customHeight="1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</row>
    <row r="258" ht="15.75" customHeight="1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</row>
    <row r="259" ht="15.75" customHeight="1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</row>
    <row r="260" ht="15.75" customHeight="1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</row>
    <row r="261" ht="15.75" customHeight="1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</row>
    <row r="262" ht="15.75" customHeight="1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</row>
    <row r="263" ht="15.75" customHeight="1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</row>
    <row r="264" ht="15.75" customHeight="1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</row>
    <row r="265" ht="15.75" customHeight="1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</row>
    <row r="266" ht="15.75" customHeight="1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</row>
    <row r="267" ht="15.75" customHeight="1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</row>
    <row r="268" ht="15.75" customHeight="1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</row>
    <row r="269" ht="15.75" customHeight="1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</row>
    <row r="270" ht="15.75" customHeight="1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</row>
    <row r="271" ht="15.75" customHeight="1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</row>
    <row r="272" ht="15.75" customHeight="1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</row>
    <row r="273" ht="15.75" customHeight="1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</row>
    <row r="274" ht="15.75" customHeight="1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</row>
    <row r="275" ht="15.75" customHeight="1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</row>
    <row r="276" ht="15.75" customHeight="1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</row>
    <row r="277" ht="15.75" customHeight="1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</row>
    <row r="278" ht="15.75" customHeight="1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</row>
    <row r="279" ht="15.75" customHeight="1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</row>
    <row r="280" ht="15.75" customHeight="1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</row>
    <row r="281" ht="15.75" customHeight="1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</row>
    <row r="282" ht="15.75" customHeight="1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</row>
    <row r="283" ht="15.75" customHeight="1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</row>
    <row r="284" ht="15.75" customHeight="1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</row>
    <row r="285" ht="15.75" customHeight="1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</row>
    <row r="286" ht="15.75" customHeight="1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</row>
    <row r="287" ht="15.75" customHeight="1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</row>
    <row r="288" ht="15.75" customHeight="1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</row>
    <row r="289" ht="15.75" customHeight="1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</row>
    <row r="290" ht="15.75" customHeight="1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</row>
    <row r="291" ht="15.75" customHeight="1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</row>
    <row r="292" ht="15.75" customHeight="1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</row>
    <row r="293" ht="15.75" customHeight="1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</row>
    <row r="294" ht="15.75" customHeight="1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</row>
    <row r="295" ht="15.75" customHeight="1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</row>
    <row r="296" ht="15.75" customHeight="1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</row>
    <row r="297" ht="15.75" customHeight="1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</row>
    <row r="298" ht="15.75" customHeight="1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</row>
    <row r="299" ht="15.75" customHeight="1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</row>
    <row r="300" ht="15.75" customHeight="1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</row>
    <row r="301" ht="15.75" customHeight="1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</row>
    <row r="302" ht="15.75" customHeight="1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</row>
    <row r="303" ht="15.75" customHeight="1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</row>
    <row r="304" ht="15.75" customHeight="1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</row>
    <row r="305" ht="15.75" customHeight="1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</row>
    <row r="306" ht="15.75" customHeight="1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</row>
    <row r="307" ht="15.75" customHeight="1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</row>
    <row r="308" ht="15.75" customHeight="1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</row>
    <row r="309" ht="15.75" customHeight="1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</row>
    <row r="310" ht="15.75" customHeight="1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</row>
    <row r="311" ht="15.75" customHeight="1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</row>
    <row r="312" ht="15.75" customHeight="1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</row>
    <row r="313" ht="15.75" customHeight="1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</row>
    <row r="314" ht="15.75" customHeight="1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</row>
    <row r="315" ht="15.75" customHeight="1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</row>
    <row r="316" ht="15.75" customHeight="1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</row>
    <row r="317" ht="15.75" customHeight="1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</row>
    <row r="318" ht="15.75" customHeight="1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</row>
    <row r="319" ht="15.75" customHeight="1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</row>
    <row r="320" ht="15.75" customHeight="1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</row>
    <row r="321" ht="15.75" customHeight="1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</row>
    <row r="322" ht="15.75" customHeight="1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</row>
    <row r="323" ht="15.75" customHeight="1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</row>
    <row r="324" ht="15.75" customHeight="1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</row>
    <row r="325" ht="15.75" customHeight="1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</row>
    <row r="326" ht="15.75" customHeight="1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</row>
    <row r="327" ht="15.75" customHeight="1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</row>
    <row r="328" ht="15.75" customHeight="1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</row>
    <row r="329" ht="15.75" customHeight="1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</row>
    <row r="330" ht="15.75" customHeight="1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</row>
    <row r="331" ht="15.75" customHeight="1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</row>
    <row r="332" ht="15.75" customHeight="1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</row>
    <row r="333" ht="15.75" customHeight="1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</row>
    <row r="334" ht="15.75" customHeight="1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</row>
    <row r="335" ht="15.75" customHeight="1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</row>
    <row r="336" ht="15.75" customHeight="1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</row>
    <row r="337" ht="15.75" customHeight="1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</row>
    <row r="338" ht="15.75" customHeight="1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</row>
    <row r="339" ht="15.75" customHeight="1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</row>
    <row r="340" ht="15.75" customHeight="1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</row>
    <row r="341" ht="15.75" customHeight="1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</row>
    <row r="342" ht="15.75" customHeight="1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</row>
    <row r="343" ht="15.75" customHeight="1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</row>
    <row r="344" ht="15.75" customHeight="1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</row>
    <row r="345" ht="15.75" customHeight="1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</row>
    <row r="346" ht="15.75" customHeight="1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</row>
    <row r="347" ht="15.75" customHeight="1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</row>
    <row r="348" ht="15.75" customHeight="1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</row>
    <row r="349" ht="15.75" customHeight="1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</row>
    <row r="350" ht="15.75" customHeight="1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</row>
    <row r="351" ht="15.75" customHeight="1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</row>
    <row r="352" ht="15.75" customHeight="1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</row>
    <row r="353" ht="15.75" customHeight="1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</row>
    <row r="354" ht="15.75" customHeight="1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</row>
    <row r="355" ht="15.75" customHeight="1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</row>
    <row r="356" ht="15.75" customHeight="1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</row>
    <row r="357" ht="15.75" customHeight="1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</row>
    <row r="358" ht="15.75" customHeight="1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</row>
    <row r="359" ht="15.75" customHeight="1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</row>
    <row r="360" ht="15.75" customHeight="1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</row>
    <row r="361" ht="15.75" customHeight="1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</row>
    <row r="362" ht="15.75" customHeight="1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</row>
    <row r="363" ht="15.75" customHeight="1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</row>
    <row r="364" ht="15.75" customHeight="1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</row>
    <row r="365" ht="15.75" customHeight="1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</row>
    <row r="366" ht="15.75" customHeight="1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</row>
    <row r="367" ht="15.75" customHeight="1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</row>
    <row r="368" ht="15.75" customHeight="1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</row>
    <row r="369" ht="15.75" customHeight="1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</row>
    <row r="370" ht="15.75" customHeight="1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</row>
    <row r="371" ht="15.75" customHeight="1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</row>
    <row r="372" ht="15.75" customHeight="1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</row>
    <row r="373" ht="15.75" customHeight="1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</row>
    <row r="374" ht="15.75" customHeight="1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</row>
    <row r="375" ht="15.75" customHeight="1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</row>
    <row r="376" ht="15.75" customHeight="1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</row>
    <row r="377" ht="15.75" customHeight="1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</row>
    <row r="378" ht="15.75" customHeight="1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</row>
    <row r="379" ht="15.75" customHeight="1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</row>
    <row r="380" ht="15.75" customHeight="1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</row>
    <row r="381" ht="15.75" customHeight="1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</row>
    <row r="382" ht="15.75" customHeight="1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</row>
    <row r="383" ht="15.75" customHeight="1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</row>
    <row r="384" ht="15.75" customHeight="1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</row>
    <row r="385" ht="15.75" customHeight="1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</row>
    <row r="386" ht="15.75" customHeight="1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</row>
    <row r="387" ht="15.75" customHeight="1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</row>
    <row r="388" ht="15.75" customHeight="1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</row>
    <row r="389" ht="15.75" customHeight="1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</row>
    <row r="390" ht="15.75" customHeight="1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</row>
    <row r="391" ht="15.75" customHeight="1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</row>
    <row r="392" ht="15.75" customHeight="1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</row>
    <row r="393" ht="15.75" customHeight="1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</row>
    <row r="394" ht="15.75" customHeight="1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</row>
    <row r="395" ht="15.75" customHeight="1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</row>
    <row r="396" ht="15.75" customHeight="1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</row>
    <row r="397" ht="15.75" customHeight="1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</row>
    <row r="398" ht="15.75" customHeight="1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</row>
    <row r="399" ht="15.75" customHeight="1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</row>
    <row r="400" ht="15.75" customHeight="1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</row>
    <row r="401" ht="15.75" customHeight="1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</row>
    <row r="402" ht="15.75" customHeight="1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</row>
    <row r="403" ht="15.75" customHeight="1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</row>
    <row r="404" ht="15.75" customHeight="1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</row>
    <row r="405" ht="15.75" customHeight="1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</row>
    <row r="406" ht="15.75" customHeight="1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</row>
    <row r="407" ht="15.75" customHeight="1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</row>
    <row r="408" ht="15.75" customHeight="1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</row>
    <row r="409" ht="15.75" customHeight="1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</row>
    <row r="410" ht="15.75" customHeight="1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</row>
    <row r="411" ht="15.75" customHeight="1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</row>
    <row r="412" ht="15.75" customHeight="1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</row>
    <row r="413" ht="15.75" customHeight="1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</row>
    <row r="414" ht="15.75" customHeight="1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</row>
    <row r="415" ht="15.75" customHeight="1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</row>
    <row r="416" ht="15.75" customHeight="1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</row>
    <row r="417" ht="15.75" customHeight="1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</row>
    <row r="418" ht="15.75" customHeight="1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</row>
    <row r="419" ht="15.75" customHeight="1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</row>
    <row r="420" ht="15.75" customHeight="1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</row>
    <row r="421" ht="15.75" customHeight="1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</row>
    <row r="422" ht="15.75" customHeight="1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</row>
    <row r="423" ht="15.75" customHeight="1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</row>
    <row r="424" ht="15.75" customHeight="1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</row>
    <row r="425" ht="15.75" customHeight="1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</row>
    <row r="426" ht="15.75" customHeight="1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</row>
    <row r="427" ht="15.75" customHeight="1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</row>
    <row r="428" ht="15.75" customHeight="1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</row>
    <row r="429" ht="15.75" customHeight="1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</row>
    <row r="430" ht="15.75" customHeight="1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</row>
    <row r="431" ht="15.75" customHeight="1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</row>
    <row r="432" ht="15.75" customHeight="1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</row>
    <row r="433" ht="15.75" customHeight="1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</row>
    <row r="434" ht="15.75" customHeight="1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</row>
    <row r="435" ht="15.75" customHeight="1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</row>
    <row r="436" ht="15.75" customHeight="1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</row>
    <row r="437" ht="15.75" customHeight="1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</row>
    <row r="438" ht="15.75" customHeight="1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</row>
    <row r="439" ht="15.75" customHeight="1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</row>
    <row r="440" ht="15.75" customHeight="1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</row>
    <row r="441" ht="15.75" customHeight="1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</row>
    <row r="442" ht="15.75" customHeight="1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</row>
    <row r="443" ht="15.75" customHeight="1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</row>
    <row r="444" ht="15.75" customHeight="1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</row>
    <row r="445" ht="15.75" customHeight="1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</row>
    <row r="446" ht="15.75" customHeight="1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</row>
    <row r="447" ht="15.75" customHeight="1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</row>
    <row r="448" ht="15.75" customHeight="1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</row>
    <row r="449" ht="15.75" customHeight="1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</row>
    <row r="450" ht="15.75" customHeight="1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</row>
    <row r="451" ht="15.75" customHeight="1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</row>
    <row r="452" ht="15.75" customHeight="1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</row>
    <row r="453" ht="15.75" customHeight="1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</row>
    <row r="454" ht="15.75" customHeight="1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</row>
    <row r="455" ht="15.75" customHeight="1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</row>
    <row r="456" ht="15.75" customHeight="1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</row>
    <row r="457" ht="15.75" customHeight="1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</row>
    <row r="458" ht="15.75" customHeight="1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</row>
    <row r="459" ht="15.75" customHeight="1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</row>
    <row r="460" ht="15.75" customHeight="1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</row>
    <row r="461" ht="15.75" customHeight="1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</row>
    <row r="462" ht="15.75" customHeight="1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</row>
    <row r="463" ht="15.75" customHeight="1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</row>
    <row r="464" ht="15.75" customHeight="1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</row>
    <row r="465" ht="15.75" customHeight="1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</row>
    <row r="466" ht="15.75" customHeight="1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</row>
    <row r="467" ht="15.75" customHeight="1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</row>
    <row r="468" ht="15.75" customHeight="1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</row>
    <row r="469" ht="15.75" customHeight="1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</row>
    <row r="470" ht="15.75" customHeight="1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</row>
    <row r="471" ht="15.75" customHeight="1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</row>
    <row r="472" ht="15.75" customHeight="1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</row>
    <row r="473" ht="15.75" customHeight="1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</row>
    <row r="474" ht="15.75" customHeight="1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</row>
    <row r="475" ht="15.75" customHeight="1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</row>
    <row r="476" ht="15.75" customHeight="1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</row>
    <row r="477" ht="15.75" customHeight="1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</row>
    <row r="478" ht="15.75" customHeight="1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</row>
    <row r="479" ht="15.75" customHeight="1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</row>
    <row r="480" ht="15.75" customHeight="1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</row>
    <row r="481" ht="15.75" customHeight="1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</row>
    <row r="482" ht="15.75" customHeight="1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</row>
    <row r="483" ht="15.75" customHeight="1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</row>
    <row r="484" ht="15.75" customHeight="1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</row>
    <row r="485" ht="15.75" customHeight="1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</row>
    <row r="486" ht="15.75" customHeight="1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</row>
    <row r="487" ht="15.75" customHeight="1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</row>
    <row r="488" ht="15.75" customHeight="1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</row>
    <row r="489" ht="15.75" customHeight="1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</row>
    <row r="490" ht="15.75" customHeight="1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</row>
    <row r="491" ht="15.75" customHeight="1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</row>
    <row r="492" ht="15.75" customHeight="1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</row>
    <row r="493" ht="15.75" customHeight="1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</row>
    <row r="494" ht="15.75" customHeight="1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</row>
    <row r="495" ht="15.75" customHeight="1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</row>
    <row r="496" ht="15.75" customHeight="1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</row>
    <row r="497" ht="15.75" customHeight="1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</row>
    <row r="498" ht="15.75" customHeight="1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</row>
    <row r="499" ht="15.75" customHeight="1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</row>
    <row r="500" ht="15.75" customHeight="1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</row>
    <row r="501" ht="15.75" customHeight="1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</row>
    <row r="502" ht="15.75" customHeight="1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</row>
    <row r="503" ht="15.75" customHeight="1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</row>
    <row r="504" ht="15.75" customHeight="1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</row>
    <row r="505" ht="15.75" customHeight="1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</row>
    <row r="506" ht="15.75" customHeight="1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</row>
    <row r="507" ht="15.75" customHeight="1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</row>
    <row r="508" ht="15.75" customHeight="1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</row>
    <row r="509" ht="15.75" customHeight="1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</row>
    <row r="510" ht="15.75" customHeight="1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</row>
    <row r="512" ht="15.75" customHeight="1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</row>
    <row r="513" ht="15.75" customHeight="1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</row>
    <row r="514" ht="15.75" customHeight="1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</row>
    <row r="515" ht="15.75" customHeight="1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</row>
    <row r="516" ht="15.75" customHeight="1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</row>
    <row r="517" ht="15.75" customHeight="1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</row>
    <row r="518" ht="15.75" customHeight="1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</row>
    <row r="519" ht="15.75" customHeight="1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</row>
    <row r="520" ht="15.75" customHeight="1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</row>
    <row r="521" ht="15.75" customHeight="1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</row>
    <row r="522" ht="15.75" customHeight="1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</row>
    <row r="523" ht="15.75" customHeight="1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</row>
    <row r="524" ht="15.75" customHeight="1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</row>
    <row r="525" ht="15.75" customHeight="1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</row>
    <row r="526" ht="15.75" customHeight="1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</row>
    <row r="527" ht="15.75" customHeight="1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</row>
    <row r="528" ht="15.75" customHeight="1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</row>
    <row r="529" ht="15.75" customHeight="1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</row>
    <row r="530" ht="15.75" customHeight="1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</row>
    <row r="531" ht="15.75" customHeight="1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</row>
    <row r="532" ht="15.75" customHeight="1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</row>
    <row r="533" ht="15.75" customHeight="1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</row>
    <row r="534" ht="15.75" customHeight="1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</row>
    <row r="535" ht="15.75" customHeight="1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</row>
    <row r="536" ht="15.75" customHeight="1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</row>
    <row r="537" ht="15.75" customHeight="1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</row>
    <row r="538" ht="15.75" customHeight="1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</row>
    <row r="539" ht="15.75" customHeight="1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</row>
    <row r="540" ht="15.75" customHeight="1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</row>
    <row r="541" ht="15.75" customHeight="1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</row>
    <row r="542" ht="15.75" customHeight="1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</row>
    <row r="543" ht="15.75" customHeight="1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</row>
    <row r="544" ht="15.75" customHeight="1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</row>
    <row r="545" ht="15.75" customHeight="1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</row>
    <row r="546" ht="15.75" customHeight="1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</row>
    <row r="547" ht="15.75" customHeight="1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</row>
    <row r="548" ht="15.75" customHeight="1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</row>
    <row r="549" ht="15.75" customHeight="1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</row>
    <row r="550" ht="15.75" customHeight="1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</row>
    <row r="551" ht="15.75" customHeight="1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</row>
    <row r="552" ht="15.75" customHeight="1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</row>
    <row r="553" ht="15.75" customHeight="1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</row>
    <row r="554" ht="15.75" customHeight="1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</row>
    <row r="555" ht="15.75" customHeight="1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</row>
    <row r="556" ht="15.75" customHeight="1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</row>
    <row r="557" ht="15.75" customHeight="1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</row>
    <row r="558" ht="15.75" customHeight="1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</row>
    <row r="559" ht="15.75" customHeight="1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</row>
    <row r="560" ht="15.75" customHeight="1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</row>
    <row r="561" ht="15.75" customHeight="1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</row>
    <row r="562" ht="15.75" customHeight="1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</row>
    <row r="563" ht="15.75" customHeight="1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</row>
    <row r="564" ht="15.75" customHeight="1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</row>
    <row r="565" ht="15.75" customHeight="1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</row>
    <row r="566" ht="15.75" customHeight="1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</row>
    <row r="567" ht="15.75" customHeight="1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</row>
    <row r="568" ht="15.75" customHeight="1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</row>
    <row r="569" ht="15.75" customHeight="1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</row>
    <row r="570" ht="15.75" customHeight="1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</row>
    <row r="571" ht="15.75" customHeight="1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</row>
    <row r="572" ht="15.75" customHeight="1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</row>
    <row r="573" ht="15.75" customHeight="1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</row>
    <row r="574" ht="15.75" customHeight="1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</row>
    <row r="575" ht="15.75" customHeight="1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</row>
    <row r="576" ht="15.75" customHeight="1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</row>
    <row r="577" ht="15.75" customHeight="1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</row>
    <row r="578" ht="15.75" customHeight="1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</row>
    <row r="579" ht="15.75" customHeight="1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</row>
    <row r="580" ht="15.75" customHeight="1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</row>
    <row r="581" ht="15.75" customHeight="1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</row>
    <row r="582" ht="15.75" customHeight="1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</row>
    <row r="583" ht="15.75" customHeight="1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</row>
    <row r="584" ht="15.75" customHeight="1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</row>
    <row r="585" ht="15.75" customHeight="1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</row>
    <row r="586" ht="15.75" customHeight="1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</row>
    <row r="587" ht="15.75" customHeight="1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</row>
    <row r="588" ht="15.75" customHeight="1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</row>
    <row r="589" ht="15.75" customHeight="1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</row>
    <row r="590" ht="15.75" customHeight="1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</row>
    <row r="591" ht="15.75" customHeight="1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</row>
    <row r="592" ht="15.75" customHeight="1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</row>
    <row r="593" ht="15.75" customHeight="1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</row>
    <row r="594" ht="15.75" customHeight="1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</row>
    <row r="595" ht="15.75" customHeight="1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</row>
    <row r="596" ht="15.75" customHeight="1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</row>
    <row r="597" ht="15.75" customHeight="1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</row>
    <row r="598" ht="15.75" customHeight="1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</row>
    <row r="599" ht="15.75" customHeight="1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</row>
    <row r="600" ht="15.75" customHeight="1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</row>
    <row r="601" ht="15.75" customHeight="1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</row>
    <row r="602" ht="15.75" customHeight="1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</row>
    <row r="603" ht="15.75" customHeight="1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</row>
    <row r="604" ht="15.75" customHeight="1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</row>
    <row r="605" ht="15.75" customHeight="1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</row>
    <row r="606" ht="15.75" customHeight="1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</row>
    <row r="607" ht="15.75" customHeight="1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</row>
    <row r="608" ht="15.75" customHeight="1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</row>
    <row r="609" ht="15.75" customHeight="1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</row>
    <row r="610" ht="15.75" customHeight="1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</row>
    <row r="611" ht="15.75" customHeight="1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</row>
    <row r="612" ht="15.75" customHeight="1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</row>
    <row r="613" ht="15.75" customHeight="1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</row>
    <row r="614" ht="15.75" customHeight="1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</row>
    <row r="615" ht="15.75" customHeight="1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</row>
    <row r="616" ht="15.75" customHeight="1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</row>
    <row r="617" ht="15.75" customHeight="1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</row>
    <row r="618" ht="15.75" customHeight="1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</row>
    <row r="619" ht="15.75" customHeight="1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</row>
    <row r="620" ht="15.75" customHeight="1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</row>
    <row r="621" ht="15.75" customHeight="1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</row>
    <row r="622" ht="15.75" customHeight="1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</row>
    <row r="623" ht="15.75" customHeight="1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</row>
    <row r="624" ht="15.75" customHeight="1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</row>
    <row r="625" ht="15.75" customHeight="1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</row>
    <row r="626" ht="15.75" customHeight="1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</row>
    <row r="627" ht="15.75" customHeight="1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</row>
    <row r="628" ht="15.75" customHeight="1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</row>
    <row r="629" ht="15.75" customHeight="1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</row>
    <row r="630" ht="15.75" customHeight="1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</row>
    <row r="631" ht="15.75" customHeight="1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</row>
    <row r="632" ht="15.75" customHeight="1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</row>
    <row r="633" ht="15.75" customHeight="1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</row>
    <row r="634" ht="15.75" customHeight="1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</row>
    <row r="635" ht="15.75" customHeight="1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</row>
    <row r="636" ht="15.75" customHeight="1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</row>
    <row r="637" ht="15.75" customHeight="1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</row>
    <row r="638" ht="15.75" customHeight="1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</row>
    <row r="639" ht="15.75" customHeight="1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</row>
    <row r="640" ht="15.75" customHeight="1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</row>
    <row r="641" ht="15.75" customHeight="1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</row>
    <row r="642" ht="15.75" customHeight="1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</row>
    <row r="643" ht="15.75" customHeight="1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</row>
    <row r="644" ht="15.75" customHeight="1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</row>
    <row r="645" ht="15.75" customHeight="1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</row>
    <row r="646" ht="15.75" customHeight="1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</row>
    <row r="647" ht="15.75" customHeight="1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</row>
    <row r="648" ht="15.75" customHeight="1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</row>
    <row r="649" ht="15.75" customHeight="1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</row>
    <row r="650" ht="15.75" customHeight="1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</row>
    <row r="651" ht="15.75" customHeight="1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</row>
    <row r="652" ht="15.75" customHeight="1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</row>
    <row r="653" ht="15.75" customHeight="1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</row>
    <row r="654" ht="15.75" customHeight="1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</row>
    <row r="655" ht="15.75" customHeight="1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</row>
    <row r="656" ht="15.75" customHeight="1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</row>
    <row r="657" ht="15.75" customHeight="1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</row>
    <row r="658" ht="15.75" customHeight="1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</row>
    <row r="659" ht="15.75" customHeight="1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</row>
    <row r="660" ht="15.75" customHeight="1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</row>
    <row r="661" ht="15.75" customHeight="1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</row>
    <row r="662" ht="15.75" customHeight="1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</row>
    <row r="663" ht="15.75" customHeight="1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</row>
    <row r="664" ht="15.75" customHeight="1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</row>
    <row r="665" ht="15.75" customHeight="1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</row>
    <row r="666" ht="15.75" customHeight="1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</row>
    <row r="667" ht="15.75" customHeight="1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</row>
    <row r="668" ht="15.75" customHeight="1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</row>
    <row r="669" ht="15.75" customHeight="1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</row>
    <row r="670" ht="15.75" customHeight="1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</row>
    <row r="671" ht="15.75" customHeight="1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</row>
    <row r="672" ht="15.75" customHeight="1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</row>
    <row r="673" ht="15.75" customHeight="1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</row>
    <row r="674" ht="15.75" customHeight="1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</row>
    <row r="675" ht="15.75" customHeight="1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</row>
    <row r="676" ht="15.75" customHeight="1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</row>
    <row r="677" ht="15.75" customHeight="1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</row>
    <row r="678" ht="15.75" customHeight="1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</row>
    <row r="679" ht="15.75" customHeight="1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</row>
    <row r="680" ht="15.75" customHeight="1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</row>
    <row r="681" ht="15.75" customHeight="1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</row>
    <row r="682" ht="15.75" customHeight="1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</row>
    <row r="683" ht="15.75" customHeight="1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</row>
    <row r="684" ht="15.75" customHeight="1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</row>
    <row r="685" ht="15.75" customHeight="1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</row>
    <row r="686" ht="15.75" customHeight="1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</row>
    <row r="687" ht="15.75" customHeight="1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</row>
    <row r="688" ht="15.75" customHeight="1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</row>
    <row r="689" ht="15.75" customHeight="1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</row>
    <row r="690" ht="15.75" customHeight="1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</row>
    <row r="691" ht="15.75" customHeight="1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</row>
    <row r="692" ht="15.75" customHeight="1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</row>
    <row r="693" ht="15.75" customHeight="1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</row>
    <row r="694" ht="15.75" customHeight="1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</row>
    <row r="695" ht="15.75" customHeight="1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</row>
    <row r="696" ht="15.75" customHeight="1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</row>
    <row r="697" ht="15.75" customHeight="1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</row>
    <row r="698" ht="15.75" customHeight="1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</row>
    <row r="699" ht="15.75" customHeight="1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</row>
    <row r="700" ht="15.75" customHeight="1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</row>
    <row r="701" ht="15.75" customHeight="1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</row>
    <row r="702" ht="15.75" customHeight="1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</row>
    <row r="703" ht="15.75" customHeight="1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</row>
    <row r="704" ht="15.75" customHeight="1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</row>
    <row r="705" ht="15.75" customHeight="1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</row>
    <row r="706" ht="15.75" customHeight="1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</row>
    <row r="707" ht="15.75" customHeight="1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</row>
    <row r="708" ht="15.75" customHeight="1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</row>
    <row r="709" ht="15.75" customHeight="1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</row>
    <row r="710" ht="15.75" customHeight="1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</row>
    <row r="711" ht="15.75" customHeight="1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</row>
    <row r="712" ht="15.75" customHeight="1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</row>
    <row r="713" ht="15.75" customHeight="1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</row>
    <row r="714" ht="15.75" customHeight="1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</row>
    <row r="715" ht="15.75" customHeight="1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</row>
    <row r="716" ht="15.75" customHeight="1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</row>
    <row r="717" ht="15.75" customHeight="1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</row>
    <row r="718" ht="15.75" customHeight="1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</row>
    <row r="719" ht="15.75" customHeight="1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</row>
    <row r="720" ht="15.75" customHeight="1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</row>
    <row r="721" ht="15.75" customHeight="1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</row>
    <row r="722" ht="15.75" customHeight="1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</row>
    <row r="723" ht="15.75" customHeight="1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</row>
    <row r="724" ht="15.75" customHeight="1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</row>
    <row r="725" ht="15.75" customHeight="1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</row>
    <row r="726" ht="15.75" customHeight="1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</row>
    <row r="727" ht="15.75" customHeight="1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</row>
    <row r="728" ht="15.75" customHeight="1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</row>
    <row r="729" ht="15.75" customHeight="1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</row>
    <row r="730" ht="15.75" customHeight="1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</row>
    <row r="731" ht="15.75" customHeight="1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</row>
    <row r="732" ht="15.75" customHeight="1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</row>
    <row r="733" ht="15.75" customHeight="1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</row>
    <row r="734" ht="15.75" customHeight="1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</row>
    <row r="735" ht="15.75" customHeight="1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</row>
    <row r="736" ht="15.75" customHeight="1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</row>
    <row r="737" ht="15.75" customHeight="1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</row>
    <row r="738" ht="15.75" customHeight="1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</row>
    <row r="739" ht="15.75" customHeight="1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</row>
    <row r="740" ht="15.75" customHeight="1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</row>
    <row r="741" ht="15.75" customHeight="1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</row>
    <row r="742" ht="15.75" customHeight="1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</row>
    <row r="743" ht="15.75" customHeight="1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</row>
    <row r="744" ht="15.75" customHeight="1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</row>
    <row r="745" ht="15.75" customHeight="1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</row>
    <row r="746" ht="15.75" customHeight="1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</row>
    <row r="747" ht="15.75" customHeight="1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</row>
    <row r="748" ht="15.75" customHeight="1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</row>
    <row r="749" ht="15.75" customHeight="1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</row>
    <row r="750" ht="15.75" customHeight="1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</row>
    <row r="751" ht="15.75" customHeight="1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</row>
    <row r="752" ht="15.75" customHeight="1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</row>
    <row r="753" ht="15.75" customHeight="1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</row>
    <row r="754" ht="15.75" customHeight="1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</row>
    <row r="755" ht="15.75" customHeight="1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</row>
    <row r="756" ht="15.75" customHeight="1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</row>
    <row r="757" ht="15.75" customHeight="1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</row>
    <row r="758" ht="15.75" customHeight="1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</row>
    <row r="759" ht="15.75" customHeight="1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</row>
    <row r="760" ht="15.75" customHeight="1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</row>
    <row r="761" ht="15.75" customHeight="1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</row>
    <row r="762" ht="15.75" customHeight="1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</row>
    <row r="763" ht="15.75" customHeight="1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</row>
    <row r="764" ht="15.75" customHeight="1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</row>
    <row r="765" ht="15.75" customHeight="1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</row>
    <row r="766" ht="15.75" customHeight="1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</row>
    <row r="767" ht="15.75" customHeight="1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</row>
    <row r="768" ht="15.75" customHeight="1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</row>
    <row r="769" ht="15.75" customHeight="1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</row>
    <row r="770" ht="15.75" customHeight="1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</row>
    <row r="771" ht="15.75" customHeight="1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</row>
    <row r="772" ht="15.75" customHeight="1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</row>
    <row r="773" ht="15.75" customHeight="1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</row>
    <row r="774" ht="15.75" customHeight="1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</row>
    <row r="775" ht="15.75" customHeight="1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</row>
    <row r="776" ht="15.75" customHeight="1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</row>
    <row r="777" ht="15.75" customHeight="1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</row>
    <row r="778" ht="15.75" customHeight="1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</row>
    <row r="779" ht="15.75" customHeight="1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</row>
    <row r="780" ht="15.75" customHeight="1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</row>
    <row r="781" ht="15.75" customHeight="1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</row>
    <row r="782" ht="15.75" customHeight="1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</row>
    <row r="783" ht="15.75" customHeight="1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</row>
    <row r="784" ht="15.75" customHeight="1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</row>
    <row r="785" ht="15.75" customHeight="1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</row>
    <row r="786" ht="15.75" customHeight="1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</row>
    <row r="787" ht="15.75" customHeight="1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</row>
    <row r="788" ht="15.75" customHeight="1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</row>
    <row r="789" ht="15.75" customHeight="1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</row>
    <row r="790" ht="15.75" customHeight="1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</row>
    <row r="791" ht="15.75" customHeight="1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</row>
    <row r="792" ht="15.75" customHeight="1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</row>
    <row r="793" ht="15.75" customHeight="1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</row>
    <row r="794" ht="15.75" customHeight="1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</row>
    <row r="795" ht="15.75" customHeight="1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</row>
    <row r="796" ht="15.75" customHeight="1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</row>
    <row r="797" ht="15.75" customHeight="1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</row>
    <row r="798" ht="15.75" customHeight="1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</row>
    <row r="799" ht="15.75" customHeight="1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</row>
    <row r="800" ht="15.75" customHeight="1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</row>
    <row r="801" ht="15.75" customHeight="1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</row>
    <row r="802" ht="15.75" customHeight="1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</row>
    <row r="803" ht="15.75" customHeight="1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</row>
    <row r="804" ht="15.75" customHeight="1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</row>
    <row r="805" ht="15.75" customHeight="1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</row>
    <row r="806" ht="15.75" customHeight="1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</row>
    <row r="807" ht="15.75" customHeight="1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</row>
    <row r="808" ht="15.75" customHeight="1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</row>
    <row r="809" ht="15.75" customHeight="1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</row>
    <row r="810" ht="15.75" customHeight="1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</row>
    <row r="811" ht="15.75" customHeight="1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</row>
    <row r="812" ht="15.75" customHeight="1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</row>
    <row r="813" ht="15.75" customHeight="1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</row>
    <row r="814" ht="15.75" customHeight="1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</row>
    <row r="815" ht="15.75" customHeight="1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</row>
    <row r="816" ht="15.75" customHeight="1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</row>
    <row r="817" ht="15.75" customHeight="1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</row>
    <row r="818" ht="15.75" customHeight="1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</row>
    <row r="819" ht="15.75" customHeight="1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</row>
    <row r="820" ht="15.75" customHeight="1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</row>
    <row r="821" ht="15.75" customHeight="1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</row>
    <row r="822" ht="15.75" customHeight="1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</row>
    <row r="823" ht="15.75" customHeight="1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</row>
    <row r="824" ht="15.75" customHeight="1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</row>
    <row r="825" ht="15.75" customHeight="1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</row>
    <row r="826" ht="15.75" customHeight="1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</row>
    <row r="827" ht="15.75" customHeight="1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</row>
    <row r="828" ht="15.75" customHeight="1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</row>
    <row r="829" ht="15.75" customHeight="1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</row>
    <row r="830" ht="15.75" customHeight="1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</row>
    <row r="831" ht="15.75" customHeight="1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</row>
    <row r="832" ht="15.75" customHeight="1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</row>
    <row r="833" ht="15.75" customHeight="1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</row>
    <row r="834" ht="15.75" customHeight="1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</row>
    <row r="835" ht="15.75" customHeight="1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</row>
    <row r="836" ht="15.75" customHeight="1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</row>
    <row r="837" ht="15.75" customHeight="1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</row>
    <row r="838" ht="15.75" customHeight="1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</row>
    <row r="839" ht="15.75" customHeight="1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</row>
    <row r="840" ht="15.75" customHeight="1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</row>
    <row r="841" ht="15.75" customHeight="1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</row>
    <row r="842" ht="15.75" customHeight="1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</row>
    <row r="843" ht="15.75" customHeight="1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</row>
    <row r="844" ht="15.75" customHeight="1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</row>
    <row r="845" ht="15.75" customHeight="1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</row>
    <row r="846" ht="15.75" customHeight="1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</row>
    <row r="847" ht="15.75" customHeight="1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</row>
    <row r="848" ht="15.75" customHeight="1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</row>
    <row r="849" ht="15.75" customHeight="1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</row>
    <row r="850" ht="15.75" customHeight="1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</row>
    <row r="851" ht="15.75" customHeight="1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</row>
    <row r="852" ht="15.75" customHeight="1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</row>
    <row r="853" ht="15.75" customHeight="1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</row>
    <row r="854" ht="15.75" customHeight="1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</row>
    <row r="855" ht="15.75" customHeight="1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</row>
    <row r="856" ht="15.75" customHeight="1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</row>
    <row r="857" ht="15.75" customHeight="1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</row>
    <row r="858" ht="15.75" customHeight="1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</row>
    <row r="859" ht="15.75" customHeight="1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</row>
    <row r="860" ht="15.75" customHeight="1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</row>
    <row r="861" ht="15.75" customHeight="1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</row>
    <row r="862" ht="15.75" customHeight="1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</row>
    <row r="863" ht="15.75" customHeight="1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</row>
    <row r="864" ht="15.75" customHeight="1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</row>
    <row r="865" ht="15.75" customHeight="1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</row>
    <row r="866" ht="15.75" customHeight="1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</row>
    <row r="867" ht="15.75" customHeight="1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</row>
    <row r="868" ht="15.75" customHeight="1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</row>
    <row r="869" ht="15.75" customHeight="1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</row>
    <row r="870" ht="15.75" customHeight="1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</row>
    <row r="871" ht="15.75" customHeight="1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</row>
    <row r="872" ht="15.75" customHeight="1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</row>
    <row r="873" ht="15.75" customHeight="1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</row>
    <row r="874" ht="15.75" customHeight="1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</row>
    <row r="875" ht="15.75" customHeight="1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</row>
    <row r="876" ht="15.75" customHeight="1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</row>
    <row r="877" ht="15.75" customHeight="1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</row>
    <row r="878" ht="15.75" customHeight="1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</row>
    <row r="879" ht="15.75" customHeight="1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</row>
    <row r="880" ht="15.75" customHeight="1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</row>
    <row r="881" ht="15.75" customHeight="1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</row>
    <row r="882" ht="15.75" customHeight="1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</row>
    <row r="883" ht="15.75" customHeight="1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</row>
    <row r="884" ht="15.75" customHeight="1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</row>
    <row r="885" ht="15.75" customHeight="1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</row>
    <row r="886" ht="15.75" customHeight="1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</row>
    <row r="887" ht="15.75" customHeight="1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</row>
    <row r="888" ht="15.75" customHeight="1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</row>
    <row r="889" ht="15.75" customHeight="1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</row>
    <row r="890" ht="15.75" customHeight="1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</row>
    <row r="891" ht="15.75" customHeight="1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</row>
    <row r="892" ht="15.75" customHeight="1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</row>
    <row r="893" ht="15.75" customHeight="1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</row>
    <row r="894" ht="15.75" customHeight="1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</row>
    <row r="895" ht="15.75" customHeight="1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</row>
    <row r="896" ht="15.75" customHeight="1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</row>
    <row r="897" ht="15.75" customHeight="1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</row>
    <row r="898" ht="15.75" customHeight="1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</row>
    <row r="899" ht="15.75" customHeight="1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</row>
    <row r="900" ht="15.75" customHeight="1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</row>
    <row r="901" ht="15.75" customHeight="1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</row>
    <row r="902" ht="15.75" customHeight="1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</row>
    <row r="903" ht="15.75" customHeight="1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</row>
    <row r="904" ht="15.75" customHeight="1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</row>
    <row r="905" ht="15.75" customHeight="1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</row>
    <row r="906" ht="15.75" customHeight="1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</row>
    <row r="907" ht="15.75" customHeight="1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</row>
    <row r="908" ht="15.75" customHeight="1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</row>
    <row r="909" ht="15.75" customHeight="1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</row>
    <row r="910" ht="15.75" customHeight="1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</row>
    <row r="911" ht="15.75" customHeight="1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</row>
    <row r="912" ht="15.75" customHeight="1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</row>
    <row r="913" ht="15.75" customHeight="1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</row>
    <row r="914" ht="15.75" customHeight="1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</row>
    <row r="915" ht="15.75" customHeight="1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</row>
    <row r="916" ht="15.75" customHeight="1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</row>
    <row r="917" ht="15.75" customHeight="1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</row>
    <row r="918" ht="15.75" customHeight="1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</row>
    <row r="919" ht="15.75" customHeight="1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</row>
    <row r="920" ht="15.75" customHeight="1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</row>
    <row r="921" ht="15.75" customHeight="1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</row>
    <row r="922" ht="15.75" customHeight="1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</row>
    <row r="923" ht="15.75" customHeight="1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</row>
    <row r="924" ht="15.75" customHeight="1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</row>
    <row r="925" ht="15.75" customHeight="1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</row>
    <row r="926" ht="15.75" customHeight="1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</row>
    <row r="927" ht="15.75" customHeight="1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</row>
    <row r="928" ht="15.75" customHeight="1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</row>
    <row r="929" ht="15.75" customHeight="1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</row>
    <row r="930" ht="15.75" customHeight="1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</row>
    <row r="931" ht="15.75" customHeight="1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</row>
    <row r="932" ht="15.75" customHeight="1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</row>
    <row r="933" ht="15.75" customHeight="1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</row>
    <row r="934" ht="15.75" customHeight="1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</row>
    <row r="935" ht="15.75" customHeight="1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</row>
    <row r="936" ht="15.75" customHeight="1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</row>
    <row r="937" ht="15.75" customHeight="1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</row>
    <row r="938" ht="15.75" customHeight="1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</row>
    <row r="939" ht="15.75" customHeight="1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</row>
    <row r="940" ht="15.75" customHeight="1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</row>
    <row r="941" ht="15.75" customHeight="1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</row>
    <row r="942" ht="15.75" customHeight="1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</row>
    <row r="943" ht="15.75" customHeight="1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</row>
    <row r="944" ht="15.75" customHeight="1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</row>
    <row r="945" ht="15.75" customHeight="1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</row>
    <row r="946" ht="15.75" customHeight="1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</row>
    <row r="947" ht="15.75" customHeight="1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</row>
    <row r="948" ht="15.75" customHeight="1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</row>
    <row r="949" ht="15.75" customHeight="1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</row>
    <row r="950" ht="15.75" customHeight="1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</row>
    <row r="951" ht="15.75" customHeight="1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</row>
    <row r="952" ht="15.75" customHeight="1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</row>
    <row r="953" ht="15.75" customHeight="1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</row>
    <row r="954" ht="15.75" customHeight="1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</row>
    <row r="955" ht="15.75" customHeight="1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</row>
    <row r="956" ht="15.75" customHeight="1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</row>
    <row r="957" ht="15.75" customHeight="1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</row>
    <row r="958" ht="15.75" customHeight="1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</row>
    <row r="959" ht="15.75" customHeight="1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</row>
    <row r="960" ht="15.75" customHeight="1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</row>
    <row r="961" ht="15.75" customHeight="1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</row>
    <row r="962" ht="15.75" customHeight="1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</row>
    <row r="963" ht="15.75" customHeight="1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</row>
    <row r="964" ht="15.75" customHeight="1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</row>
    <row r="965" ht="15.75" customHeight="1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</row>
    <row r="966" ht="15.75" customHeight="1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</row>
    <row r="967" ht="15.75" customHeight="1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</row>
    <row r="968" ht="15.75" customHeight="1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</row>
    <row r="969" ht="15.75" customHeight="1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</row>
    <row r="970" ht="15.75" customHeight="1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</row>
    <row r="971" ht="15.75" customHeight="1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</row>
    <row r="972" ht="15.75" customHeight="1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</row>
    <row r="973" ht="15.75" customHeight="1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</row>
    <row r="974" ht="15.75" customHeight="1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</row>
    <row r="975" ht="15.75" customHeight="1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</row>
    <row r="976" ht="15.75" customHeight="1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</row>
    <row r="977" ht="15.75" customHeight="1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</row>
    <row r="978" ht="15.75" customHeight="1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</row>
    <row r="979" ht="15.75" customHeight="1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</row>
    <row r="980" ht="15.75" customHeight="1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</row>
    <row r="981" ht="15.75" customHeight="1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</row>
    <row r="982" ht="15.75" customHeight="1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</row>
    <row r="983" ht="15.75" customHeight="1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</row>
    <row r="984" ht="15.75" customHeight="1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</row>
    <row r="985" ht="15.75" customHeight="1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</row>
    <row r="986" ht="15.75" customHeight="1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</row>
    <row r="987" ht="15.75" customHeight="1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</row>
    <row r="988" ht="15.75" customHeight="1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</row>
    <row r="989" ht="15.75" customHeight="1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</row>
    <row r="990" ht="15.75" customHeight="1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</row>
    <row r="991" ht="15.75" customHeight="1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</row>
    <row r="992" ht="15.75" customHeight="1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</row>
    <row r="993" ht="15.75" customHeight="1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</row>
    <row r="994" ht="15.75" customHeight="1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</row>
    <row r="995" ht="15.75" customHeight="1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</row>
    <row r="996" ht="15.75" customHeight="1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</row>
    <row r="997" ht="15.75" customHeight="1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</row>
    <row r="998" ht="15.75" customHeight="1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</row>
    <row r="999" ht="15.75" customHeight="1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</row>
    <row r="1000" ht="15.75" customHeight="1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</row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09" t="s">
        <v>2021</v>
      </c>
      <c r="B1" s="509" t="s">
        <v>2022</v>
      </c>
      <c r="C1" s="509" t="s">
        <v>2023</v>
      </c>
      <c r="D1" s="509" t="s">
        <v>2024</v>
      </c>
      <c r="E1" s="509" t="s">
        <v>2025</v>
      </c>
      <c r="F1" s="509" t="s">
        <v>2026</v>
      </c>
      <c r="G1" s="509" t="s">
        <v>2027</v>
      </c>
      <c r="H1" s="509" t="s">
        <v>2028</v>
      </c>
      <c r="I1" s="509" t="s">
        <v>2029</v>
      </c>
      <c r="J1" s="509" t="s">
        <v>2030</v>
      </c>
      <c r="K1" s="509" t="s">
        <v>2031</v>
      </c>
      <c r="L1" s="509" t="s">
        <v>2032</v>
      </c>
      <c r="M1" s="509" t="s">
        <v>2033</v>
      </c>
      <c r="N1" s="510" t="s">
        <v>2034</v>
      </c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12" t="s">
        <v>1894</v>
      </c>
      <c r="B2" s="512" t="s">
        <v>163</v>
      </c>
      <c r="C2" s="512" t="s">
        <v>71</v>
      </c>
      <c r="D2" s="512" t="s">
        <v>574</v>
      </c>
      <c r="E2" s="513" t="s">
        <v>377</v>
      </c>
      <c r="F2" s="514">
        <v>52261.0</v>
      </c>
      <c r="G2" s="514">
        <v>36960.0</v>
      </c>
      <c r="H2" s="514">
        <v>70.72</v>
      </c>
      <c r="I2" s="514">
        <v>65.27</v>
      </c>
      <c r="J2" s="514">
        <v>64.7</v>
      </c>
      <c r="K2" s="514">
        <v>56244.0</v>
      </c>
      <c r="L2" s="514">
        <v>86166.0</v>
      </c>
      <c r="M2" s="514">
        <v>1.0762</v>
      </c>
      <c r="N2" s="6">
        <v>1.5218</v>
      </c>
    </row>
    <row r="3">
      <c r="A3" s="512" t="s">
        <v>1894</v>
      </c>
      <c r="B3" s="512" t="s">
        <v>163</v>
      </c>
      <c r="C3" s="512" t="s">
        <v>71</v>
      </c>
      <c r="D3" s="512" t="s">
        <v>574</v>
      </c>
      <c r="E3" s="513" t="s">
        <v>42</v>
      </c>
      <c r="F3" s="514">
        <v>52261.0</v>
      </c>
      <c r="G3" s="514">
        <v>12067.0</v>
      </c>
      <c r="H3" s="514">
        <v>23.09</v>
      </c>
      <c r="I3" s="514">
        <v>17.81</v>
      </c>
      <c r="J3" s="514">
        <v>17.94</v>
      </c>
      <c r="K3" s="514">
        <v>15345.0</v>
      </c>
      <c r="L3" s="514">
        <v>86166.0</v>
      </c>
      <c r="M3" s="514">
        <v>0.2936</v>
      </c>
      <c r="N3" s="6">
        <v>1.2716</v>
      </c>
    </row>
    <row r="4">
      <c r="A4" s="512" t="s">
        <v>1894</v>
      </c>
      <c r="B4" s="512" t="s">
        <v>163</v>
      </c>
      <c r="C4" s="512" t="s">
        <v>71</v>
      </c>
      <c r="D4" s="512" t="s">
        <v>574</v>
      </c>
      <c r="E4" s="513" t="s">
        <v>49</v>
      </c>
      <c r="F4" s="514">
        <v>52261.0</v>
      </c>
      <c r="G4" s="514">
        <v>4522.0</v>
      </c>
      <c r="H4" s="514">
        <v>8.65</v>
      </c>
      <c r="I4" s="514">
        <v>5.77</v>
      </c>
      <c r="J4" s="514">
        <v>6.05</v>
      </c>
      <c r="K4" s="514">
        <v>4976.0</v>
      </c>
      <c r="L4" s="514">
        <v>86166.0</v>
      </c>
      <c r="M4" s="514">
        <v>0.0952</v>
      </c>
      <c r="N4" s="6">
        <v>1.1004</v>
      </c>
    </row>
    <row r="5">
      <c r="A5" s="512" t="s">
        <v>1894</v>
      </c>
      <c r="B5" s="512" t="s">
        <v>163</v>
      </c>
      <c r="C5" s="512" t="s">
        <v>71</v>
      </c>
      <c r="D5" s="512" t="s">
        <v>574</v>
      </c>
      <c r="E5" s="513" t="s">
        <v>380</v>
      </c>
      <c r="F5" s="514">
        <v>52261.0</v>
      </c>
      <c r="G5" s="514">
        <v>3158.0</v>
      </c>
      <c r="H5" s="514">
        <v>6.04</v>
      </c>
      <c r="I5" s="514">
        <v>5.08</v>
      </c>
      <c r="J5" s="514">
        <v>4.55</v>
      </c>
      <c r="K5" s="514">
        <v>4381.0</v>
      </c>
      <c r="L5" s="514">
        <v>86166.0</v>
      </c>
      <c r="M5" s="514">
        <v>0.0838</v>
      </c>
      <c r="N5" s="6">
        <v>1.3873</v>
      </c>
    </row>
    <row r="6">
      <c r="A6" s="512" t="s">
        <v>1894</v>
      </c>
      <c r="B6" s="512" t="s">
        <v>163</v>
      </c>
      <c r="C6" s="512" t="s">
        <v>71</v>
      </c>
      <c r="D6" s="512" t="s">
        <v>574</v>
      </c>
      <c r="E6" s="513" t="s">
        <v>44</v>
      </c>
      <c r="F6" s="514">
        <v>52261.0</v>
      </c>
      <c r="G6" s="514">
        <v>2351.0</v>
      </c>
      <c r="H6" s="514">
        <v>4.5</v>
      </c>
      <c r="I6" s="514">
        <v>2.92</v>
      </c>
      <c r="J6" s="514">
        <v>3.14</v>
      </c>
      <c r="K6" s="514">
        <v>2520.0</v>
      </c>
      <c r="L6" s="514">
        <v>86166.0</v>
      </c>
      <c r="M6" s="514">
        <v>0.0482</v>
      </c>
      <c r="N6" s="6">
        <v>1.0719</v>
      </c>
    </row>
    <row r="7">
      <c r="A7" s="512" t="s">
        <v>1894</v>
      </c>
      <c r="B7" s="512" t="s">
        <v>163</v>
      </c>
      <c r="C7" s="512" t="s">
        <v>71</v>
      </c>
      <c r="D7" s="512" t="s">
        <v>574</v>
      </c>
      <c r="E7" s="513" t="s">
        <v>50</v>
      </c>
      <c r="F7" s="514">
        <v>52261.0</v>
      </c>
      <c r="G7" s="514">
        <v>1133.0</v>
      </c>
      <c r="H7" s="514">
        <v>2.17</v>
      </c>
      <c r="I7" s="514">
        <v>1.36</v>
      </c>
      <c r="J7" s="514">
        <v>1.75</v>
      </c>
      <c r="K7" s="514">
        <v>1172.0</v>
      </c>
      <c r="L7" s="514">
        <v>86166.0</v>
      </c>
      <c r="M7" s="514">
        <v>0.0224</v>
      </c>
      <c r="N7" s="6">
        <v>1.0344</v>
      </c>
    </row>
    <row r="8">
      <c r="A8" s="512" t="s">
        <v>1894</v>
      </c>
      <c r="B8" s="512" t="s">
        <v>163</v>
      </c>
      <c r="C8" s="512" t="s">
        <v>71</v>
      </c>
      <c r="D8" s="512" t="s">
        <v>574</v>
      </c>
      <c r="E8" s="513" t="s">
        <v>379</v>
      </c>
      <c r="F8" s="514">
        <v>52261.0</v>
      </c>
      <c r="G8" s="514">
        <v>636.0</v>
      </c>
      <c r="H8" s="514">
        <v>1.22</v>
      </c>
      <c r="I8" s="514">
        <v>0.77</v>
      </c>
      <c r="J8" s="514">
        <v>0.89</v>
      </c>
      <c r="K8" s="514">
        <v>666.0</v>
      </c>
      <c r="L8" s="514">
        <v>86166.0</v>
      </c>
      <c r="M8" s="514">
        <v>0.0127</v>
      </c>
      <c r="N8" s="6">
        <v>1.0472</v>
      </c>
    </row>
    <row r="9">
      <c r="A9" s="512" t="s">
        <v>1894</v>
      </c>
      <c r="B9" s="512" t="s">
        <v>163</v>
      </c>
      <c r="C9" s="512" t="s">
        <v>71</v>
      </c>
      <c r="D9" s="512" t="s">
        <v>574</v>
      </c>
      <c r="E9" s="513" t="s">
        <v>43</v>
      </c>
      <c r="F9" s="514">
        <v>52261.0</v>
      </c>
      <c r="G9" s="514">
        <v>434.0</v>
      </c>
      <c r="H9" s="514">
        <v>0.83</v>
      </c>
      <c r="I9" s="514">
        <v>0.52</v>
      </c>
      <c r="J9" s="514">
        <v>0.53</v>
      </c>
      <c r="K9" s="514">
        <v>449.0</v>
      </c>
      <c r="L9" s="514">
        <v>86166.0</v>
      </c>
      <c r="M9" s="514">
        <v>0.0086</v>
      </c>
      <c r="N9" s="6">
        <v>1.0346</v>
      </c>
    </row>
    <row r="10">
      <c r="A10" s="512" t="s">
        <v>1894</v>
      </c>
      <c r="B10" s="512" t="s">
        <v>163</v>
      </c>
      <c r="C10" s="512" t="s">
        <v>71</v>
      </c>
      <c r="D10" s="512" t="s">
        <v>574</v>
      </c>
      <c r="E10" s="513" t="s">
        <v>372</v>
      </c>
      <c r="F10" s="514">
        <v>52261.0</v>
      </c>
      <c r="G10" s="514">
        <v>161.0</v>
      </c>
      <c r="H10" s="514">
        <v>0.31</v>
      </c>
      <c r="I10" s="514">
        <v>0.22</v>
      </c>
      <c r="J10" s="514">
        <v>0.24</v>
      </c>
      <c r="K10" s="514">
        <v>192.0</v>
      </c>
      <c r="L10" s="514">
        <v>86166.0</v>
      </c>
      <c r="M10" s="514">
        <v>0.0037</v>
      </c>
      <c r="N10" s="6">
        <v>1.1925</v>
      </c>
    </row>
    <row r="11">
      <c r="A11" s="512" t="s">
        <v>1894</v>
      </c>
      <c r="B11" s="512" t="s">
        <v>163</v>
      </c>
      <c r="C11" s="512" t="s">
        <v>71</v>
      </c>
      <c r="D11" s="512" t="s">
        <v>574</v>
      </c>
      <c r="E11" s="513" t="s">
        <v>134</v>
      </c>
      <c r="F11" s="514">
        <v>52261.0</v>
      </c>
      <c r="G11" s="514">
        <v>125.0</v>
      </c>
      <c r="H11" s="514">
        <v>0.24</v>
      </c>
      <c r="I11" s="514">
        <v>0.16</v>
      </c>
      <c r="J11" s="514">
        <v>0.13</v>
      </c>
      <c r="K11" s="514">
        <v>138.0</v>
      </c>
      <c r="L11" s="514">
        <v>86166.0</v>
      </c>
      <c r="M11" s="514">
        <v>0.0026</v>
      </c>
      <c r="N11" s="6">
        <v>1.104</v>
      </c>
    </row>
    <row r="12">
      <c r="A12" s="512" t="s">
        <v>1894</v>
      </c>
      <c r="B12" s="512" t="s">
        <v>163</v>
      </c>
      <c r="C12" s="512" t="s">
        <v>71</v>
      </c>
      <c r="D12" s="512" t="s">
        <v>574</v>
      </c>
      <c r="E12" s="513" t="s">
        <v>375</v>
      </c>
      <c r="F12" s="514">
        <v>52261.0</v>
      </c>
      <c r="G12" s="514">
        <v>21.0</v>
      </c>
      <c r="H12" s="514">
        <v>0.04</v>
      </c>
      <c r="I12" s="514">
        <v>0.03</v>
      </c>
      <c r="J12" s="514">
        <v>0.02</v>
      </c>
      <c r="K12" s="514">
        <v>23.0</v>
      </c>
      <c r="L12" s="514">
        <v>86166.0</v>
      </c>
      <c r="M12" s="514">
        <v>4.0E-4</v>
      </c>
      <c r="N12" s="6">
        <v>1.0952</v>
      </c>
    </row>
    <row r="13">
      <c r="A13" s="512" t="s">
        <v>1894</v>
      </c>
      <c r="B13" s="512" t="s">
        <v>163</v>
      </c>
      <c r="C13" s="512" t="s">
        <v>71</v>
      </c>
      <c r="D13" s="512" t="s">
        <v>574</v>
      </c>
      <c r="E13" s="513" t="s">
        <v>382</v>
      </c>
      <c r="F13" s="514">
        <v>52261.0</v>
      </c>
      <c r="G13" s="514">
        <v>6.0</v>
      </c>
      <c r="H13" s="514">
        <v>0.01</v>
      </c>
      <c r="I13" s="514">
        <v>0.03</v>
      </c>
      <c r="J13" s="514">
        <v>0.01</v>
      </c>
      <c r="K13" s="514">
        <v>22.0</v>
      </c>
      <c r="L13" s="514">
        <v>86166.0</v>
      </c>
      <c r="M13" s="514">
        <v>4.0E-4</v>
      </c>
      <c r="N13" s="6">
        <v>3.6667</v>
      </c>
    </row>
    <row r="14">
      <c r="A14" s="512" t="s">
        <v>1894</v>
      </c>
      <c r="B14" s="512" t="s">
        <v>163</v>
      </c>
      <c r="C14" s="512" t="s">
        <v>71</v>
      </c>
      <c r="D14" s="512" t="s">
        <v>574</v>
      </c>
      <c r="E14" s="513" t="s">
        <v>35</v>
      </c>
      <c r="F14" s="514">
        <v>52261.0</v>
      </c>
      <c r="G14" s="514">
        <v>17.0</v>
      </c>
      <c r="H14" s="514">
        <v>0.03</v>
      </c>
      <c r="I14" s="514">
        <v>0.02</v>
      </c>
      <c r="J14" s="514">
        <v>0.02</v>
      </c>
      <c r="K14" s="514">
        <v>17.0</v>
      </c>
      <c r="L14" s="514">
        <v>86166.0</v>
      </c>
      <c r="M14" s="514">
        <v>3.0E-4</v>
      </c>
      <c r="N14" s="6">
        <v>1.0</v>
      </c>
    </row>
    <row r="15">
      <c r="A15" s="512" t="s">
        <v>1894</v>
      </c>
      <c r="B15" s="512" t="s">
        <v>163</v>
      </c>
      <c r="C15" s="512" t="s">
        <v>71</v>
      </c>
      <c r="D15" s="512" t="s">
        <v>574</v>
      </c>
      <c r="E15" s="513" t="s">
        <v>312</v>
      </c>
      <c r="F15" s="514">
        <v>52261.0</v>
      </c>
      <c r="G15" s="514">
        <v>4.0</v>
      </c>
      <c r="H15" s="514">
        <v>0.01</v>
      </c>
      <c r="I15" s="514">
        <v>0.01</v>
      </c>
      <c r="J15" s="514">
        <v>0.01</v>
      </c>
      <c r="K15" s="514">
        <v>5.0</v>
      </c>
      <c r="L15" s="514">
        <v>86166.0</v>
      </c>
      <c r="M15" s="514">
        <v>1.0E-4</v>
      </c>
      <c r="N15" s="6">
        <v>1.25</v>
      </c>
    </row>
    <row r="16">
      <c r="A16" s="512" t="s">
        <v>1894</v>
      </c>
      <c r="B16" s="512" t="s">
        <v>163</v>
      </c>
      <c r="C16" s="512" t="s">
        <v>71</v>
      </c>
      <c r="D16" s="512" t="s">
        <v>574</v>
      </c>
      <c r="E16" s="513" t="s">
        <v>189</v>
      </c>
      <c r="F16" s="514">
        <v>52261.0</v>
      </c>
      <c r="G16" s="514">
        <v>10.0</v>
      </c>
      <c r="H16" s="514">
        <v>0.02</v>
      </c>
      <c r="I16" s="514">
        <v>0.01</v>
      </c>
      <c r="J16" s="514">
        <v>0.01</v>
      </c>
      <c r="K16" s="514">
        <v>10.0</v>
      </c>
      <c r="L16" s="514">
        <v>86166.0</v>
      </c>
      <c r="M16" s="514">
        <v>2.0E-4</v>
      </c>
      <c r="N16" s="6">
        <v>1.0</v>
      </c>
    </row>
    <row r="17">
      <c r="A17" s="512" t="s">
        <v>1894</v>
      </c>
      <c r="B17" s="512" t="s">
        <v>163</v>
      </c>
      <c r="C17" s="512" t="s">
        <v>71</v>
      </c>
      <c r="D17" s="512" t="s">
        <v>574</v>
      </c>
      <c r="E17" s="513" t="s">
        <v>32</v>
      </c>
      <c r="F17" s="514">
        <v>52261.0</v>
      </c>
      <c r="G17" s="514">
        <v>1.0</v>
      </c>
      <c r="H17" s="514">
        <v>0.0</v>
      </c>
      <c r="I17" s="514">
        <v>0.0</v>
      </c>
      <c r="J17" s="514">
        <v>0.0</v>
      </c>
      <c r="K17" s="514">
        <v>2.0</v>
      </c>
      <c r="L17" s="514">
        <v>86166.0</v>
      </c>
      <c r="M17" s="514">
        <v>0.0</v>
      </c>
      <c r="N17" s="6">
        <v>2.0</v>
      </c>
    </row>
    <row r="18">
      <c r="A18" s="512" t="s">
        <v>1894</v>
      </c>
      <c r="B18" s="512" t="s">
        <v>163</v>
      </c>
      <c r="C18" s="512" t="s">
        <v>71</v>
      </c>
      <c r="D18" s="512" t="s">
        <v>574</v>
      </c>
      <c r="E18" s="513" t="s">
        <v>374</v>
      </c>
      <c r="F18" s="514">
        <v>52261.0</v>
      </c>
      <c r="G18" s="514">
        <v>2.0</v>
      </c>
      <c r="H18" s="514">
        <v>0.0</v>
      </c>
      <c r="I18" s="514">
        <v>0.0</v>
      </c>
      <c r="J18" s="514">
        <v>0.0</v>
      </c>
      <c r="K18" s="514">
        <v>4.0</v>
      </c>
      <c r="L18" s="514">
        <v>86166.0</v>
      </c>
      <c r="M18" s="514">
        <v>1.0E-4</v>
      </c>
      <c r="N18" s="6">
        <v>2.0</v>
      </c>
    </row>
    <row r="19">
      <c r="A19" s="512" t="s">
        <v>1894</v>
      </c>
      <c r="B19" s="512" t="s">
        <v>163</v>
      </c>
      <c r="C19" s="512" t="s">
        <v>70</v>
      </c>
      <c r="D19" s="512" t="s">
        <v>574</v>
      </c>
      <c r="E19" s="513" t="s">
        <v>377</v>
      </c>
      <c r="F19" s="514">
        <v>72872.0</v>
      </c>
      <c r="G19" s="514">
        <v>37214.0</v>
      </c>
      <c r="H19" s="514">
        <v>51.07</v>
      </c>
      <c r="I19" s="514">
        <v>39.41</v>
      </c>
      <c r="J19" s="514">
        <v>39.59</v>
      </c>
      <c r="K19" s="514">
        <v>55930.0</v>
      </c>
      <c r="L19" s="514">
        <v>141918.0</v>
      </c>
      <c r="M19" s="514">
        <v>0.7675</v>
      </c>
      <c r="N19" s="6">
        <v>1.5029</v>
      </c>
    </row>
    <row r="20">
      <c r="A20" s="512" t="s">
        <v>1894</v>
      </c>
      <c r="B20" s="512" t="s">
        <v>163</v>
      </c>
      <c r="C20" s="512" t="s">
        <v>70</v>
      </c>
      <c r="D20" s="512" t="s">
        <v>574</v>
      </c>
      <c r="E20" s="513" t="s">
        <v>380</v>
      </c>
      <c r="F20" s="514">
        <v>72872.0</v>
      </c>
      <c r="G20" s="514">
        <v>25240.0</v>
      </c>
      <c r="H20" s="514">
        <v>34.64</v>
      </c>
      <c r="I20" s="514">
        <v>28.93</v>
      </c>
      <c r="J20" s="514">
        <v>24.82</v>
      </c>
      <c r="K20" s="514">
        <v>41061.0</v>
      </c>
      <c r="L20" s="514">
        <v>141918.0</v>
      </c>
      <c r="M20" s="514">
        <v>0.5635</v>
      </c>
      <c r="N20" s="6">
        <v>1.6268</v>
      </c>
    </row>
    <row r="21">
      <c r="A21" s="512" t="s">
        <v>1894</v>
      </c>
      <c r="B21" s="512" t="s">
        <v>163</v>
      </c>
      <c r="C21" s="512" t="s">
        <v>70</v>
      </c>
      <c r="D21" s="512" t="s">
        <v>574</v>
      </c>
      <c r="E21" s="513" t="s">
        <v>375</v>
      </c>
      <c r="F21" s="514">
        <v>72872.0</v>
      </c>
      <c r="G21" s="514">
        <v>12911.0</v>
      </c>
      <c r="H21" s="514">
        <v>17.72</v>
      </c>
      <c r="I21" s="514">
        <v>11.82</v>
      </c>
      <c r="J21" s="514">
        <v>12.72</v>
      </c>
      <c r="K21" s="514">
        <v>16771.0</v>
      </c>
      <c r="L21" s="514">
        <v>141918.0</v>
      </c>
      <c r="M21" s="514">
        <v>0.2301</v>
      </c>
      <c r="N21" s="6">
        <v>1.299</v>
      </c>
    </row>
    <row r="22">
      <c r="A22" s="512" t="s">
        <v>1894</v>
      </c>
      <c r="B22" s="512" t="s">
        <v>163</v>
      </c>
      <c r="C22" s="512" t="s">
        <v>70</v>
      </c>
      <c r="D22" s="512" t="s">
        <v>574</v>
      </c>
      <c r="E22" s="513" t="s">
        <v>42</v>
      </c>
      <c r="F22" s="514">
        <v>72872.0</v>
      </c>
      <c r="G22" s="514">
        <v>5842.0</v>
      </c>
      <c r="H22" s="514">
        <v>8.02</v>
      </c>
      <c r="I22" s="514">
        <v>4.8</v>
      </c>
      <c r="J22" s="514">
        <v>5.25</v>
      </c>
      <c r="K22" s="514">
        <v>6809.0</v>
      </c>
      <c r="L22" s="514">
        <v>141918.0</v>
      </c>
      <c r="M22" s="514">
        <v>0.0934</v>
      </c>
      <c r="N22" s="6">
        <v>1.1655</v>
      </c>
    </row>
    <row r="23">
      <c r="A23" s="512" t="s">
        <v>1894</v>
      </c>
      <c r="B23" s="512" t="s">
        <v>163</v>
      </c>
      <c r="C23" s="512" t="s">
        <v>70</v>
      </c>
      <c r="D23" s="512" t="s">
        <v>574</v>
      </c>
      <c r="E23" s="513" t="s">
        <v>44</v>
      </c>
      <c r="F23" s="514">
        <v>72872.0</v>
      </c>
      <c r="G23" s="514">
        <v>5799.0</v>
      </c>
      <c r="H23" s="514">
        <v>7.96</v>
      </c>
      <c r="I23" s="514">
        <v>4.46</v>
      </c>
      <c r="J23" s="514">
        <v>5.51</v>
      </c>
      <c r="K23" s="514">
        <v>6335.0</v>
      </c>
      <c r="L23" s="514">
        <v>141918.0</v>
      </c>
      <c r="M23" s="514">
        <v>0.0869</v>
      </c>
      <c r="N23" s="6">
        <v>1.0924</v>
      </c>
    </row>
    <row r="24">
      <c r="A24" s="512" t="s">
        <v>1894</v>
      </c>
      <c r="B24" s="512" t="s">
        <v>163</v>
      </c>
      <c r="C24" s="512" t="s">
        <v>70</v>
      </c>
      <c r="D24" s="512" t="s">
        <v>574</v>
      </c>
      <c r="E24" s="513" t="s">
        <v>49</v>
      </c>
      <c r="F24" s="514">
        <v>72872.0</v>
      </c>
      <c r="G24" s="514">
        <v>4522.0</v>
      </c>
      <c r="H24" s="514">
        <v>6.21</v>
      </c>
      <c r="I24" s="514">
        <v>3.51</v>
      </c>
      <c r="J24" s="514">
        <v>3.93</v>
      </c>
      <c r="K24" s="514">
        <v>4976.0</v>
      </c>
      <c r="L24" s="514">
        <v>141918.0</v>
      </c>
      <c r="M24" s="514">
        <v>0.0683</v>
      </c>
      <c r="N24" s="6">
        <v>1.1004</v>
      </c>
    </row>
    <row r="25">
      <c r="A25" s="512" t="s">
        <v>1894</v>
      </c>
      <c r="B25" s="512" t="s">
        <v>163</v>
      </c>
      <c r="C25" s="512" t="s">
        <v>70</v>
      </c>
      <c r="D25" s="512" t="s">
        <v>574</v>
      </c>
      <c r="E25" s="513" t="s">
        <v>189</v>
      </c>
      <c r="F25" s="514">
        <v>72872.0</v>
      </c>
      <c r="G25" s="514">
        <v>4546.0</v>
      </c>
      <c r="H25" s="514">
        <v>6.24</v>
      </c>
      <c r="I25" s="514">
        <v>3.32</v>
      </c>
      <c r="J25" s="514">
        <v>4.1</v>
      </c>
      <c r="K25" s="514">
        <v>4718.0</v>
      </c>
      <c r="L25" s="514">
        <v>141918.0</v>
      </c>
      <c r="M25" s="514">
        <v>0.0647</v>
      </c>
      <c r="N25" s="6">
        <v>1.0378</v>
      </c>
    </row>
    <row r="26">
      <c r="A26" s="512" t="s">
        <v>1894</v>
      </c>
      <c r="B26" s="512" t="s">
        <v>163</v>
      </c>
      <c r="C26" s="512" t="s">
        <v>70</v>
      </c>
      <c r="D26" s="512" t="s">
        <v>574</v>
      </c>
      <c r="E26" s="513" t="s">
        <v>35</v>
      </c>
      <c r="F26" s="514">
        <v>72872.0</v>
      </c>
      <c r="G26" s="514">
        <v>1778.0</v>
      </c>
      <c r="H26" s="514">
        <v>2.44</v>
      </c>
      <c r="I26" s="514">
        <v>1.32</v>
      </c>
      <c r="J26" s="514">
        <v>1.42</v>
      </c>
      <c r="K26" s="514">
        <v>1879.0</v>
      </c>
      <c r="L26" s="514">
        <v>141918.0</v>
      </c>
      <c r="M26" s="514">
        <v>0.0258</v>
      </c>
      <c r="N26" s="6">
        <v>1.0568</v>
      </c>
    </row>
    <row r="27">
      <c r="A27" s="512" t="s">
        <v>1894</v>
      </c>
      <c r="B27" s="512" t="s">
        <v>163</v>
      </c>
      <c r="C27" s="512" t="s">
        <v>70</v>
      </c>
      <c r="D27" s="512" t="s">
        <v>574</v>
      </c>
      <c r="E27" s="513" t="s">
        <v>379</v>
      </c>
      <c r="F27" s="514">
        <v>72872.0</v>
      </c>
      <c r="G27" s="514">
        <v>1375.0</v>
      </c>
      <c r="H27" s="514">
        <v>1.89</v>
      </c>
      <c r="I27" s="514">
        <v>1.17</v>
      </c>
      <c r="J27" s="514">
        <v>1.24</v>
      </c>
      <c r="K27" s="514">
        <v>1667.0</v>
      </c>
      <c r="L27" s="514">
        <v>141918.0</v>
      </c>
      <c r="M27" s="514">
        <v>0.0229</v>
      </c>
      <c r="N27" s="6">
        <v>1.2124</v>
      </c>
    </row>
    <row r="28">
      <c r="A28" s="512" t="s">
        <v>1894</v>
      </c>
      <c r="B28" s="512" t="s">
        <v>163</v>
      </c>
      <c r="C28" s="512" t="s">
        <v>70</v>
      </c>
      <c r="D28" s="512" t="s">
        <v>574</v>
      </c>
      <c r="E28" s="513" t="s">
        <v>50</v>
      </c>
      <c r="F28" s="514">
        <v>72872.0</v>
      </c>
      <c r="G28" s="514">
        <v>618.0</v>
      </c>
      <c r="H28" s="514">
        <v>0.85</v>
      </c>
      <c r="I28" s="514">
        <v>0.45</v>
      </c>
      <c r="J28" s="514">
        <v>0.59</v>
      </c>
      <c r="K28" s="514">
        <v>635.0</v>
      </c>
      <c r="L28" s="514">
        <v>141918.0</v>
      </c>
      <c r="M28" s="514">
        <v>0.0087</v>
      </c>
      <c r="N28" s="6">
        <v>1.0275</v>
      </c>
    </row>
    <row r="29">
      <c r="A29" s="512" t="s">
        <v>1894</v>
      </c>
      <c r="B29" s="512" t="s">
        <v>163</v>
      </c>
      <c r="C29" s="512" t="s">
        <v>70</v>
      </c>
      <c r="D29" s="512" t="s">
        <v>574</v>
      </c>
      <c r="E29" s="513" t="s">
        <v>43</v>
      </c>
      <c r="F29" s="514">
        <v>72872.0</v>
      </c>
      <c r="G29" s="514">
        <v>485.0</v>
      </c>
      <c r="H29" s="514">
        <v>0.67</v>
      </c>
      <c r="I29" s="514">
        <v>0.35</v>
      </c>
      <c r="J29" s="514">
        <v>0.4</v>
      </c>
      <c r="K29" s="514">
        <v>495.0</v>
      </c>
      <c r="L29" s="514">
        <v>141918.0</v>
      </c>
      <c r="M29" s="514">
        <v>0.0068</v>
      </c>
      <c r="N29" s="6">
        <v>1.0206</v>
      </c>
    </row>
    <row r="30">
      <c r="A30" s="512" t="s">
        <v>1894</v>
      </c>
      <c r="B30" s="512" t="s">
        <v>163</v>
      </c>
      <c r="C30" s="512" t="s">
        <v>70</v>
      </c>
      <c r="D30" s="512" t="s">
        <v>574</v>
      </c>
      <c r="E30" s="513" t="s">
        <v>372</v>
      </c>
      <c r="F30" s="514">
        <v>72872.0</v>
      </c>
      <c r="G30" s="514">
        <v>212.0</v>
      </c>
      <c r="H30" s="514">
        <v>0.29</v>
      </c>
      <c r="I30" s="514">
        <v>0.2</v>
      </c>
      <c r="J30" s="514">
        <v>0.19</v>
      </c>
      <c r="K30" s="514">
        <v>278.0</v>
      </c>
      <c r="L30" s="514">
        <v>141918.0</v>
      </c>
      <c r="M30" s="514">
        <v>0.0038</v>
      </c>
      <c r="N30" s="6">
        <v>1.3113</v>
      </c>
    </row>
    <row r="31">
      <c r="A31" s="512" t="s">
        <v>1894</v>
      </c>
      <c r="B31" s="512" t="s">
        <v>163</v>
      </c>
      <c r="C31" s="512" t="s">
        <v>70</v>
      </c>
      <c r="D31" s="512" t="s">
        <v>574</v>
      </c>
      <c r="E31" s="513" t="s">
        <v>374</v>
      </c>
      <c r="F31" s="514">
        <v>72872.0</v>
      </c>
      <c r="G31" s="514">
        <v>233.0</v>
      </c>
      <c r="H31" s="514">
        <v>0.32</v>
      </c>
      <c r="I31" s="514">
        <v>0.19</v>
      </c>
      <c r="J31" s="514">
        <v>0.17</v>
      </c>
      <c r="K31" s="514">
        <v>263.0</v>
      </c>
      <c r="L31" s="514">
        <v>141918.0</v>
      </c>
      <c r="M31" s="514">
        <v>0.0036</v>
      </c>
      <c r="N31" s="6">
        <v>1.1288</v>
      </c>
    </row>
    <row r="32">
      <c r="A32" s="512" t="s">
        <v>1894</v>
      </c>
      <c r="B32" s="512" t="s">
        <v>163</v>
      </c>
      <c r="C32" s="512" t="s">
        <v>70</v>
      </c>
      <c r="D32" s="512" t="s">
        <v>574</v>
      </c>
      <c r="E32" s="513" t="s">
        <v>134</v>
      </c>
      <c r="F32" s="514">
        <v>72872.0</v>
      </c>
      <c r="G32" s="514">
        <v>84.0</v>
      </c>
      <c r="H32" s="514">
        <v>0.12</v>
      </c>
      <c r="I32" s="514">
        <v>0.06</v>
      </c>
      <c r="J32" s="514">
        <v>0.05</v>
      </c>
      <c r="K32" s="514">
        <v>90.0</v>
      </c>
      <c r="L32" s="514">
        <v>141918.0</v>
      </c>
      <c r="M32" s="514">
        <v>0.0012</v>
      </c>
      <c r="N32" s="6">
        <v>1.0714</v>
      </c>
    </row>
    <row r="33">
      <c r="A33" s="512" t="s">
        <v>1894</v>
      </c>
      <c r="B33" s="512" t="s">
        <v>163</v>
      </c>
      <c r="C33" s="512" t="s">
        <v>70</v>
      </c>
      <c r="D33" s="512" t="s">
        <v>574</v>
      </c>
      <c r="E33" s="513" t="s">
        <v>373</v>
      </c>
      <c r="F33" s="514">
        <v>72872.0</v>
      </c>
      <c r="G33" s="514">
        <v>2.0</v>
      </c>
      <c r="H33" s="514">
        <v>0.0</v>
      </c>
      <c r="I33" s="514">
        <v>0.0</v>
      </c>
      <c r="J33" s="514">
        <v>0.0</v>
      </c>
      <c r="K33" s="514">
        <v>3.0</v>
      </c>
      <c r="L33" s="514">
        <v>141918.0</v>
      </c>
      <c r="M33" s="514">
        <v>0.0</v>
      </c>
      <c r="N33" s="6">
        <v>1.5</v>
      </c>
    </row>
    <row r="34">
      <c r="A34" s="512" t="s">
        <v>1894</v>
      </c>
      <c r="B34" s="512" t="s">
        <v>163</v>
      </c>
      <c r="C34" s="512" t="s">
        <v>70</v>
      </c>
      <c r="D34" s="512" t="s">
        <v>574</v>
      </c>
      <c r="E34" s="513" t="s">
        <v>32</v>
      </c>
      <c r="F34" s="514">
        <v>72872.0</v>
      </c>
      <c r="G34" s="514">
        <v>5.0</v>
      </c>
      <c r="H34" s="514">
        <v>0.01</v>
      </c>
      <c r="I34" s="514">
        <v>0.0</v>
      </c>
      <c r="J34" s="514">
        <v>0.01</v>
      </c>
      <c r="K34" s="514">
        <v>6.0</v>
      </c>
      <c r="L34" s="514">
        <v>141918.0</v>
      </c>
      <c r="M34" s="514">
        <v>1.0E-4</v>
      </c>
      <c r="N34" s="6">
        <v>1.2</v>
      </c>
    </row>
    <row r="35">
      <c r="A35" s="512" t="s">
        <v>1894</v>
      </c>
      <c r="B35" s="512" t="s">
        <v>163</v>
      </c>
      <c r="C35" s="512" t="s">
        <v>70</v>
      </c>
      <c r="D35" s="512" t="s">
        <v>574</v>
      </c>
      <c r="E35" s="513" t="s">
        <v>382</v>
      </c>
      <c r="F35" s="514">
        <v>72872.0</v>
      </c>
      <c r="G35" s="514">
        <v>1.0</v>
      </c>
      <c r="H35" s="514">
        <v>0.0</v>
      </c>
      <c r="I35" s="514">
        <v>0.0</v>
      </c>
      <c r="J35" s="514">
        <v>0.0</v>
      </c>
      <c r="K35" s="514">
        <v>2.0</v>
      </c>
      <c r="L35" s="514">
        <v>141918.0</v>
      </c>
      <c r="M35" s="514">
        <v>0.0</v>
      </c>
      <c r="N35" s="6">
        <v>2.0</v>
      </c>
    </row>
    <row r="36">
      <c r="A36" s="512" t="s">
        <v>1894</v>
      </c>
      <c r="B36" s="512" t="s">
        <v>163</v>
      </c>
      <c r="C36" s="512" t="s">
        <v>74</v>
      </c>
      <c r="D36" s="512" t="s">
        <v>574</v>
      </c>
      <c r="E36" s="513" t="s">
        <v>42</v>
      </c>
      <c r="F36" s="514">
        <v>34613.0</v>
      </c>
      <c r="G36" s="514">
        <v>20947.0</v>
      </c>
      <c r="H36" s="514">
        <v>60.52</v>
      </c>
      <c r="I36" s="514">
        <v>51.36</v>
      </c>
      <c r="J36" s="514">
        <v>54.68</v>
      </c>
      <c r="K36" s="514">
        <v>28748.0</v>
      </c>
      <c r="L36" s="514">
        <v>55970.0</v>
      </c>
      <c r="M36" s="514">
        <v>0.8306</v>
      </c>
      <c r="N36" s="6">
        <v>1.3724</v>
      </c>
    </row>
    <row r="37">
      <c r="A37" s="512" t="s">
        <v>1894</v>
      </c>
      <c r="B37" s="512" t="s">
        <v>163</v>
      </c>
      <c r="C37" s="512" t="s">
        <v>74</v>
      </c>
      <c r="D37" s="512" t="s">
        <v>574</v>
      </c>
      <c r="E37" s="513" t="s">
        <v>367</v>
      </c>
      <c r="F37" s="514">
        <v>34613.0</v>
      </c>
      <c r="G37" s="514">
        <v>6007.0</v>
      </c>
      <c r="H37" s="514">
        <v>17.35</v>
      </c>
      <c r="I37" s="514">
        <v>18.03</v>
      </c>
      <c r="J37" s="514">
        <v>14.08</v>
      </c>
      <c r="K37" s="514">
        <v>10090.0</v>
      </c>
      <c r="L37" s="514">
        <v>55970.0</v>
      </c>
      <c r="M37" s="514">
        <v>0.2915</v>
      </c>
      <c r="N37" s="6">
        <v>1.6797</v>
      </c>
    </row>
    <row r="38">
      <c r="A38" s="512" t="s">
        <v>1894</v>
      </c>
      <c r="B38" s="512" t="s">
        <v>163</v>
      </c>
      <c r="C38" s="512" t="s">
        <v>74</v>
      </c>
      <c r="D38" s="512" t="s">
        <v>574</v>
      </c>
      <c r="E38" s="513" t="s">
        <v>373</v>
      </c>
      <c r="F38" s="514">
        <v>34613.0</v>
      </c>
      <c r="G38" s="514">
        <v>8118.0</v>
      </c>
      <c r="H38" s="514">
        <v>23.45</v>
      </c>
      <c r="I38" s="514">
        <v>17.21</v>
      </c>
      <c r="J38" s="514">
        <v>18.36</v>
      </c>
      <c r="K38" s="514">
        <v>9634.0</v>
      </c>
      <c r="L38" s="514">
        <v>55970.0</v>
      </c>
      <c r="M38" s="514">
        <v>0.2783</v>
      </c>
      <c r="N38" s="6">
        <v>1.1867</v>
      </c>
    </row>
    <row r="39">
      <c r="A39" s="512" t="s">
        <v>1894</v>
      </c>
      <c r="B39" s="512" t="s">
        <v>163</v>
      </c>
      <c r="C39" s="512" t="s">
        <v>74</v>
      </c>
      <c r="D39" s="512" t="s">
        <v>574</v>
      </c>
      <c r="E39" s="513" t="s">
        <v>40</v>
      </c>
      <c r="F39" s="514">
        <v>34613.0</v>
      </c>
      <c r="G39" s="514">
        <v>1703.0</v>
      </c>
      <c r="H39" s="514">
        <v>4.92</v>
      </c>
      <c r="I39" s="514">
        <v>5.0</v>
      </c>
      <c r="J39" s="514">
        <v>3.92</v>
      </c>
      <c r="K39" s="514">
        <v>2800.0</v>
      </c>
      <c r="L39" s="514">
        <v>55970.0</v>
      </c>
      <c r="M39" s="514">
        <v>0.0809</v>
      </c>
      <c r="N39" s="6">
        <v>1.6442</v>
      </c>
    </row>
    <row r="40">
      <c r="A40" s="512" t="s">
        <v>1894</v>
      </c>
      <c r="B40" s="512" t="s">
        <v>163</v>
      </c>
      <c r="C40" s="512" t="s">
        <v>74</v>
      </c>
      <c r="D40" s="512" t="s">
        <v>574</v>
      </c>
      <c r="E40" s="513" t="s">
        <v>377</v>
      </c>
      <c r="F40" s="514">
        <v>34613.0</v>
      </c>
      <c r="G40" s="514">
        <v>862.0</v>
      </c>
      <c r="H40" s="514">
        <v>2.49</v>
      </c>
      <c r="I40" s="514">
        <v>1.97</v>
      </c>
      <c r="J40" s="514">
        <v>1.54</v>
      </c>
      <c r="K40" s="514">
        <v>1100.0</v>
      </c>
      <c r="L40" s="514">
        <v>55970.0</v>
      </c>
      <c r="M40" s="514">
        <v>0.0318</v>
      </c>
      <c r="N40" s="6">
        <v>1.2761</v>
      </c>
    </row>
    <row r="41">
      <c r="A41" s="512" t="s">
        <v>1894</v>
      </c>
      <c r="B41" s="512" t="s">
        <v>163</v>
      </c>
      <c r="C41" s="512" t="s">
        <v>74</v>
      </c>
      <c r="D41" s="512" t="s">
        <v>574</v>
      </c>
      <c r="E41" s="513" t="s">
        <v>50</v>
      </c>
      <c r="F41" s="514">
        <v>34613.0</v>
      </c>
      <c r="G41" s="514">
        <v>971.0</v>
      </c>
      <c r="H41" s="514">
        <v>2.81</v>
      </c>
      <c r="I41" s="514">
        <v>1.82</v>
      </c>
      <c r="J41" s="514">
        <v>2.28</v>
      </c>
      <c r="K41" s="514">
        <v>1017.0</v>
      </c>
      <c r="L41" s="514">
        <v>55970.0</v>
      </c>
      <c r="M41" s="514">
        <v>0.0294</v>
      </c>
      <c r="N41" s="6">
        <v>1.0474</v>
      </c>
    </row>
    <row r="42">
      <c r="A42" s="512" t="s">
        <v>1894</v>
      </c>
      <c r="B42" s="512" t="s">
        <v>163</v>
      </c>
      <c r="C42" s="512" t="s">
        <v>74</v>
      </c>
      <c r="D42" s="512" t="s">
        <v>574</v>
      </c>
      <c r="E42" s="513" t="s">
        <v>379</v>
      </c>
      <c r="F42" s="514">
        <v>34613.0</v>
      </c>
      <c r="G42" s="514">
        <v>513.0</v>
      </c>
      <c r="H42" s="514">
        <v>1.48</v>
      </c>
      <c r="I42" s="514">
        <v>0.97</v>
      </c>
      <c r="J42" s="514">
        <v>1.18</v>
      </c>
      <c r="K42" s="514">
        <v>542.0</v>
      </c>
      <c r="L42" s="514">
        <v>55970.0</v>
      </c>
      <c r="M42" s="514">
        <v>0.0157</v>
      </c>
      <c r="N42" s="6">
        <v>1.0565</v>
      </c>
    </row>
    <row r="43">
      <c r="A43" s="512" t="s">
        <v>1894</v>
      </c>
      <c r="B43" s="512" t="s">
        <v>163</v>
      </c>
      <c r="C43" s="512" t="s">
        <v>74</v>
      </c>
      <c r="D43" s="512" t="s">
        <v>574</v>
      </c>
      <c r="E43" s="513" t="s">
        <v>312</v>
      </c>
      <c r="F43" s="514">
        <v>34613.0</v>
      </c>
      <c r="G43" s="514">
        <v>395.0</v>
      </c>
      <c r="H43" s="514">
        <v>1.14</v>
      </c>
      <c r="I43" s="514">
        <v>0.74</v>
      </c>
      <c r="J43" s="514">
        <v>0.84</v>
      </c>
      <c r="K43" s="514">
        <v>413.0</v>
      </c>
      <c r="L43" s="514">
        <v>55970.0</v>
      </c>
      <c r="M43" s="514">
        <v>0.0119</v>
      </c>
      <c r="N43" s="6">
        <v>1.0456</v>
      </c>
    </row>
    <row r="44">
      <c r="A44" s="512" t="s">
        <v>1894</v>
      </c>
      <c r="B44" s="512" t="s">
        <v>163</v>
      </c>
      <c r="C44" s="512" t="s">
        <v>74</v>
      </c>
      <c r="D44" s="512" t="s">
        <v>574</v>
      </c>
      <c r="E44" s="513" t="s">
        <v>310</v>
      </c>
      <c r="F44" s="514">
        <v>34613.0</v>
      </c>
      <c r="G44" s="514">
        <v>331.0</v>
      </c>
      <c r="H44" s="514">
        <v>0.96</v>
      </c>
      <c r="I44" s="514">
        <v>0.62</v>
      </c>
      <c r="J44" s="514">
        <v>0.79</v>
      </c>
      <c r="K44" s="514">
        <v>346.0</v>
      </c>
      <c r="L44" s="514">
        <v>55970.0</v>
      </c>
      <c r="M44" s="514">
        <v>0.01</v>
      </c>
      <c r="N44" s="6">
        <v>1.0453</v>
      </c>
    </row>
    <row r="45">
      <c r="A45" s="512" t="s">
        <v>1894</v>
      </c>
      <c r="B45" s="512" t="s">
        <v>163</v>
      </c>
      <c r="C45" s="512" t="s">
        <v>74</v>
      </c>
      <c r="D45" s="512" t="s">
        <v>574</v>
      </c>
      <c r="E45" s="513" t="s">
        <v>32</v>
      </c>
      <c r="F45" s="514">
        <v>34613.0</v>
      </c>
      <c r="G45" s="514">
        <v>327.0</v>
      </c>
      <c r="H45" s="514">
        <v>0.94</v>
      </c>
      <c r="I45" s="514">
        <v>0.61</v>
      </c>
      <c r="J45" s="514">
        <v>0.72</v>
      </c>
      <c r="K45" s="514">
        <v>339.0</v>
      </c>
      <c r="L45" s="514">
        <v>55970.0</v>
      </c>
      <c r="M45" s="514">
        <v>0.0098</v>
      </c>
      <c r="N45" s="6">
        <v>1.0367</v>
      </c>
    </row>
    <row r="46">
      <c r="A46" s="512" t="s">
        <v>1894</v>
      </c>
      <c r="B46" s="512" t="s">
        <v>163</v>
      </c>
      <c r="C46" s="512" t="s">
        <v>74</v>
      </c>
      <c r="D46" s="512" t="s">
        <v>574</v>
      </c>
      <c r="E46" s="513" t="s">
        <v>44</v>
      </c>
      <c r="F46" s="514">
        <v>34613.0</v>
      </c>
      <c r="G46" s="514">
        <v>285.0</v>
      </c>
      <c r="H46" s="514">
        <v>0.82</v>
      </c>
      <c r="I46" s="514">
        <v>0.54</v>
      </c>
      <c r="J46" s="514">
        <v>0.45</v>
      </c>
      <c r="K46" s="514">
        <v>305.0</v>
      </c>
      <c r="L46" s="514">
        <v>55970.0</v>
      </c>
      <c r="M46" s="514">
        <v>0.0088</v>
      </c>
      <c r="N46" s="6">
        <v>1.0702</v>
      </c>
    </row>
    <row r="47">
      <c r="A47" s="512" t="s">
        <v>1894</v>
      </c>
      <c r="B47" s="512" t="s">
        <v>163</v>
      </c>
      <c r="C47" s="512" t="s">
        <v>74</v>
      </c>
      <c r="D47" s="512" t="s">
        <v>574</v>
      </c>
      <c r="E47" s="513" t="s">
        <v>134</v>
      </c>
      <c r="F47" s="514">
        <v>34613.0</v>
      </c>
      <c r="G47" s="514">
        <v>173.0</v>
      </c>
      <c r="H47" s="514">
        <v>0.5</v>
      </c>
      <c r="I47" s="514">
        <v>0.37</v>
      </c>
      <c r="J47" s="514">
        <v>0.29</v>
      </c>
      <c r="K47" s="514">
        <v>207.0</v>
      </c>
      <c r="L47" s="514">
        <v>55970.0</v>
      </c>
      <c r="M47" s="514">
        <v>0.006</v>
      </c>
      <c r="N47" s="6">
        <v>1.1965</v>
      </c>
    </row>
    <row r="48">
      <c r="A48" s="512" t="s">
        <v>1894</v>
      </c>
      <c r="B48" s="512" t="s">
        <v>163</v>
      </c>
      <c r="C48" s="512" t="s">
        <v>74</v>
      </c>
      <c r="D48" s="512" t="s">
        <v>574</v>
      </c>
      <c r="E48" s="513" t="s">
        <v>372</v>
      </c>
      <c r="F48" s="514">
        <v>34613.0</v>
      </c>
      <c r="G48" s="514">
        <v>193.0</v>
      </c>
      <c r="H48" s="514">
        <v>0.56</v>
      </c>
      <c r="I48" s="514">
        <v>0.36</v>
      </c>
      <c r="J48" s="514">
        <v>0.44</v>
      </c>
      <c r="K48" s="514">
        <v>203.0</v>
      </c>
      <c r="L48" s="514">
        <v>55970.0</v>
      </c>
      <c r="M48" s="514">
        <v>0.0059</v>
      </c>
      <c r="N48" s="6">
        <v>1.0518</v>
      </c>
    </row>
    <row r="49">
      <c r="A49" s="512" t="s">
        <v>1894</v>
      </c>
      <c r="B49" s="512" t="s">
        <v>163</v>
      </c>
      <c r="C49" s="512" t="s">
        <v>74</v>
      </c>
      <c r="D49" s="512" t="s">
        <v>574</v>
      </c>
      <c r="E49" s="513" t="s">
        <v>311</v>
      </c>
      <c r="F49" s="514">
        <v>34613.0</v>
      </c>
      <c r="G49" s="514">
        <v>81.0</v>
      </c>
      <c r="H49" s="514">
        <v>0.23</v>
      </c>
      <c r="I49" s="514">
        <v>0.15</v>
      </c>
      <c r="J49" s="514">
        <v>0.2</v>
      </c>
      <c r="K49" s="514">
        <v>83.0</v>
      </c>
      <c r="L49" s="514">
        <v>55970.0</v>
      </c>
      <c r="M49" s="514">
        <v>0.0024</v>
      </c>
      <c r="N49" s="6">
        <v>1.0247</v>
      </c>
    </row>
    <row r="50">
      <c r="A50" s="512" t="s">
        <v>1894</v>
      </c>
      <c r="B50" s="512" t="s">
        <v>163</v>
      </c>
      <c r="C50" s="512" t="s">
        <v>74</v>
      </c>
      <c r="D50" s="512" t="s">
        <v>574</v>
      </c>
      <c r="E50" s="513" t="s">
        <v>43</v>
      </c>
      <c r="F50" s="514">
        <v>34613.0</v>
      </c>
      <c r="G50" s="514">
        <v>77.0</v>
      </c>
      <c r="H50" s="514">
        <v>0.22</v>
      </c>
      <c r="I50" s="514">
        <v>0.14</v>
      </c>
      <c r="J50" s="514">
        <v>0.15</v>
      </c>
      <c r="K50" s="514">
        <v>80.0</v>
      </c>
      <c r="L50" s="514">
        <v>55970.0</v>
      </c>
      <c r="M50" s="514">
        <v>0.0023</v>
      </c>
      <c r="N50" s="6">
        <v>1.039</v>
      </c>
    </row>
    <row r="51">
      <c r="A51" s="512" t="s">
        <v>1894</v>
      </c>
      <c r="B51" s="512" t="s">
        <v>163</v>
      </c>
      <c r="C51" s="512" t="s">
        <v>74</v>
      </c>
      <c r="D51" s="512" t="s">
        <v>574</v>
      </c>
      <c r="E51" s="513" t="s">
        <v>374</v>
      </c>
      <c r="F51" s="514">
        <v>34613.0</v>
      </c>
      <c r="G51" s="514">
        <v>22.0</v>
      </c>
      <c r="H51" s="514">
        <v>0.06</v>
      </c>
      <c r="I51" s="514">
        <v>0.05</v>
      </c>
      <c r="J51" s="514">
        <v>0.03</v>
      </c>
      <c r="K51" s="514">
        <v>28.0</v>
      </c>
      <c r="L51" s="514">
        <v>55970.0</v>
      </c>
      <c r="M51" s="514">
        <v>8.0E-4</v>
      </c>
      <c r="N51" s="6">
        <v>1.2727</v>
      </c>
    </row>
    <row r="52">
      <c r="A52" s="512" t="s">
        <v>1894</v>
      </c>
      <c r="B52" s="512" t="s">
        <v>163</v>
      </c>
      <c r="C52" s="512" t="s">
        <v>74</v>
      </c>
      <c r="D52" s="512" t="s">
        <v>574</v>
      </c>
      <c r="E52" s="513" t="s">
        <v>375</v>
      </c>
      <c r="F52" s="514">
        <v>34613.0</v>
      </c>
      <c r="G52" s="514">
        <v>21.0</v>
      </c>
      <c r="H52" s="514">
        <v>0.06</v>
      </c>
      <c r="I52" s="514">
        <v>0.04</v>
      </c>
      <c r="J52" s="514">
        <v>0.03</v>
      </c>
      <c r="K52" s="514">
        <v>23.0</v>
      </c>
      <c r="L52" s="514">
        <v>55970.0</v>
      </c>
      <c r="M52" s="514">
        <v>7.0E-4</v>
      </c>
      <c r="N52" s="6">
        <v>1.0952</v>
      </c>
    </row>
    <row r="53">
      <c r="A53" s="512" t="s">
        <v>1894</v>
      </c>
      <c r="B53" s="512" t="s">
        <v>163</v>
      </c>
      <c r="C53" s="512" t="s">
        <v>74</v>
      </c>
      <c r="D53" s="512" t="s">
        <v>574</v>
      </c>
      <c r="E53" s="513" t="s">
        <v>189</v>
      </c>
      <c r="F53" s="514">
        <v>34613.0</v>
      </c>
      <c r="G53" s="514">
        <v>10.0</v>
      </c>
      <c r="H53" s="514">
        <v>0.03</v>
      </c>
      <c r="I53" s="514">
        <v>0.02</v>
      </c>
      <c r="J53" s="514">
        <v>0.02</v>
      </c>
      <c r="K53" s="514">
        <v>10.0</v>
      </c>
      <c r="L53" s="514">
        <v>55970.0</v>
      </c>
      <c r="M53" s="514">
        <v>3.0E-4</v>
      </c>
      <c r="N53" s="6">
        <v>1.0</v>
      </c>
    </row>
    <row r="54">
      <c r="A54" s="512" t="s">
        <v>1894</v>
      </c>
      <c r="B54" s="512" t="s">
        <v>163</v>
      </c>
      <c r="C54" s="512" t="s">
        <v>74</v>
      </c>
      <c r="D54" s="512" t="s">
        <v>574</v>
      </c>
      <c r="E54" s="513" t="s">
        <v>382</v>
      </c>
      <c r="F54" s="514">
        <v>34613.0</v>
      </c>
      <c r="G54" s="514">
        <v>1.0</v>
      </c>
      <c r="H54" s="514">
        <v>0.0</v>
      </c>
      <c r="I54" s="514">
        <v>0.0</v>
      </c>
      <c r="J54" s="514">
        <v>0.0</v>
      </c>
      <c r="K54" s="514">
        <v>2.0</v>
      </c>
      <c r="L54" s="514">
        <v>55970.0</v>
      </c>
      <c r="M54" s="514">
        <v>1.0E-4</v>
      </c>
      <c r="N54" s="6">
        <v>2.0</v>
      </c>
    </row>
    <row r="55">
      <c r="A55" s="512" t="s">
        <v>1894</v>
      </c>
      <c r="B55" s="512" t="s">
        <v>163</v>
      </c>
      <c r="C55" s="512" t="s">
        <v>1882</v>
      </c>
      <c r="D55" s="512" t="s">
        <v>1882</v>
      </c>
      <c r="E55" s="513" t="s">
        <v>373</v>
      </c>
      <c r="F55" s="514">
        <v>133759.0</v>
      </c>
      <c r="G55" s="514">
        <v>114899.0</v>
      </c>
      <c r="H55" s="514">
        <v>85.9</v>
      </c>
      <c r="I55" s="514">
        <v>61.91</v>
      </c>
      <c r="J55" s="514">
        <v>64.11</v>
      </c>
      <c r="K55" s="514">
        <v>1.0746825E7</v>
      </c>
      <c r="L55" s="514">
        <v>1.735769E7</v>
      </c>
      <c r="M55" s="514">
        <v>80.3447</v>
      </c>
      <c r="N55" s="6">
        <v>93.5328</v>
      </c>
    </row>
    <row r="56">
      <c r="A56" s="512" t="s">
        <v>1894</v>
      </c>
      <c r="B56" s="512" t="s">
        <v>163</v>
      </c>
      <c r="C56" s="512" t="s">
        <v>1882</v>
      </c>
      <c r="D56" s="512" t="s">
        <v>1882</v>
      </c>
      <c r="E56" s="513" t="s">
        <v>42</v>
      </c>
      <c r="F56" s="514">
        <v>133759.0</v>
      </c>
      <c r="G56" s="514">
        <v>23334.0</v>
      </c>
      <c r="H56" s="514">
        <v>17.44</v>
      </c>
      <c r="I56" s="514">
        <v>11.53</v>
      </c>
      <c r="J56" s="514">
        <v>9.01</v>
      </c>
      <c r="K56" s="514">
        <v>2000710.0</v>
      </c>
      <c r="L56" s="514">
        <v>1.735769E7</v>
      </c>
      <c r="M56" s="514">
        <v>14.9576</v>
      </c>
      <c r="N56" s="6">
        <v>85.7423</v>
      </c>
    </row>
    <row r="57">
      <c r="A57" s="512" t="s">
        <v>1894</v>
      </c>
      <c r="B57" s="512" t="s">
        <v>163</v>
      </c>
      <c r="C57" s="512" t="s">
        <v>1882</v>
      </c>
      <c r="D57" s="512" t="s">
        <v>1882</v>
      </c>
      <c r="E57" s="513" t="s">
        <v>40</v>
      </c>
      <c r="F57" s="514">
        <v>133759.0</v>
      </c>
      <c r="G57" s="514">
        <v>14029.0</v>
      </c>
      <c r="H57" s="514">
        <v>10.49</v>
      </c>
      <c r="I57" s="514">
        <v>7.26</v>
      </c>
      <c r="J57" s="514">
        <v>5.18</v>
      </c>
      <c r="K57" s="514">
        <v>1260570.0</v>
      </c>
      <c r="L57" s="514">
        <v>1.735769E7</v>
      </c>
      <c r="M57" s="514">
        <v>9.4242</v>
      </c>
      <c r="N57" s="6">
        <v>89.8546</v>
      </c>
    </row>
    <row r="58">
      <c r="A58" s="512" t="s">
        <v>1894</v>
      </c>
      <c r="B58" s="512" t="s">
        <v>163</v>
      </c>
      <c r="C58" s="512" t="s">
        <v>1882</v>
      </c>
      <c r="D58" s="512" t="s">
        <v>1882</v>
      </c>
      <c r="E58" s="513" t="s">
        <v>367</v>
      </c>
      <c r="F58" s="514">
        <v>133759.0</v>
      </c>
      <c r="G58" s="514">
        <v>19182.0</v>
      </c>
      <c r="H58" s="514">
        <v>14.34</v>
      </c>
      <c r="I58" s="514">
        <v>5.46</v>
      </c>
      <c r="J58" s="514">
        <v>4.95</v>
      </c>
      <c r="K58" s="514">
        <v>948265.0</v>
      </c>
      <c r="L58" s="514">
        <v>1.735769E7</v>
      </c>
      <c r="M58" s="514">
        <v>7.0894</v>
      </c>
      <c r="N58" s="6">
        <v>49.4351</v>
      </c>
    </row>
    <row r="59">
      <c r="A59" s="512" t="s">
        <v>1894</v>
      </c>
      <c r="B59" s="512" t="s">
        <v>163</v>
      </c>
      <c r="C59" s="512" t="s">
        <v>1882</v>
      </c>
      <c r="D59" s="512" t="s">
        <v>1882</v>
      </c>
      <c r="E59" s="513" t="s">
        <v>380</v>
      </c>
      <c r="F59" s="514">
        <v>133759.0</v>
      </c>
      <c r="G59" s="514">
        <v>28915.0</v>
      </c>
      <c r="H59" s="514">
        <v>21.62</v>
      </c>
      <c r="I59" s="514">
        <v>4.08</v>
      </c>
      <c r="J59" s="514">
        <v>7.32</v>
      </c>
      <c r="K59" s="514">
        <v>707930.0</v>
      </c>
      <c r="L59" s="514">
        <v>1.735769E7</v>
      </c>
      <c r="M59" s="514">
        <v>5.2926</v>
      </c>
      <c r="N59" s="6">
        <v>24.4831</v>
      </c>
    </row>
    <row r="60">
      <c r="A60" s="512" t="s">
        <v>1894</v>
      </c>
      <c r="B60" s="512" t="s">
        <v>163</v>
      </c>
      <c r="C60" s="512" t="s">
        <v>1882</v>
      </c>
      <c r="D60" s="512" t="s">
        <v>1882</v>
      </c>
      <c r="E60" s="513" t="s">
        <v>377</v>
      </c>
      <c r="F60" s="514">
        <v>133759.0</v>
      </c>
      <c r="G60" s="514">
        <v>15343.0</v>
      </c>
      <c r="H60" s="514">
        <v>11.47</v>
      </c>
      <c r="I60" s="514">
        <v>2.91</v>
      </c>
      <c r="J60" s="514">
        <v>2.39</v>
      </c>
      <c r="K60" s="514">
        <v>505790.0</v>
      </c>
      <c r="L60" s="514">
        <v>1.735769E7</v>
      </c>
      <c r="M60" s="514">
        <v>3.7814</v>
      </c>
      <c r="N60" s="6">
        <v>32.9655</v>
      </c>
    </row>
    <row r="61">
      <c r="A61" s="512" t="s">
        <v>1894</v>
      </c>
      <c r="B61" s="512" t="s">
        <v>163</v>
      </c>
      <c r="C61" s="512" t="s">
        <v>1882</v>
      </c>
      <c r="D61" s="512" t="s">
        <v>1882</v>
      </c>
      <c r="E61" s="513" t="s">
        <v>50</v>
      </c>
      <c r="F61" s="514">
        <v>133759.0</v>
      </c>
      <c r="G61" s="514">
        <v>3838.0</v>
      </c>
      <c r="H61" s="514">
        <v>2.87</v>
      </c>
      <c r="I61" s="514">
        <v>1.26</v>
      </c>
      <c r="J61" s="514">
        <v>1.49</v>
      </c>
      <c r="K61" s="514">
        <v>217950.0</v>
      </c>
      <c r="L61" s="514">
        <v>1.735769E7</v>
      </c>
      <c r="M61" s="514">
        <v>1.6294</v>
      </c>
      <c r="N61" s="6">
        <v>56.7874</v>
      </c>
    </row>
    <row r="62">
      <c r="A62" s="512" t="s">
        <v>1894</v>
      </c>
      <c r="B62" s="512" t="s">
        <v>163</v>
      </c>
      <c r="C62" s="512" t="s">
        <v>1882</v>
      </c>
      <c r="D62" s="512" t="s">
        <v>1882</v>
      </c>
      <c r="E62" s="513" t="s">
        <v>312</v>
      </c>
      <c r="F62" s="514">
        <v>133759.0</v>
      </c>
      <c r="G62" s="514">
        <v>1620.0</v>
      </c>
      <c r="H62" s="514">
        <v>1.21</v>
      </c>
      <c r="I62" s="514">
        <v>1.02</v>
      </c>
      <c r="J62" s="514">
        <v>0.65</v>
      </c>
      <c r="K62" s="514">
        <v>176675.0</v>
      </c>
      <c r="L62" s="514">
        <v>1.735769E7</v>
      </c>
      <c r="M62" s="514">
        <v>1.3208</v>
      </c>
      <c r="N62" s="6">
        <v>109.0586</v>
      </c>
    </row>
    <row r="63">
      <c r="A63" s="512" t="s">
        <v>1894</v>
      </c>
      <c r="B63" s="512" t="s">
        <v>163</v>
      </c>
      <c r="C63" s="512" t="s">
        <v>1882</v>
      </c>
      <c r="D63" s="512" t="s">
        <v>1882</v>
      </c>
      <c r="E63" s="513" t="s">
        <v>32</v>
      </c>
      <c r="F63" s="514">
        <v>133759.0</v>
      </c>
      <c r="G63" s="514">
        <v>1620.0</v>
      </c>
      <c r="H63" s="514">
        <v>1.21</v>
      </c>
      <c r="I63" s="514">
        <v>0.94</v>
      </c>
      <c r="J63" s="514">
        <v>0.64</v>
      </c>
      <c r="K63" s="514">
        <v>163845.0</v>
      </c>
      <c r="L63" s="514">
        <v>1.735769E7</v>
      </c>
      <c r="M63" s="514">
        <v>1.2249</v>
      </c>
      <c r="N63" s="6">
        <v>101.1389</v>
      </c>
    </row>
    <row r="64">
      <c r="A64" s="512" t="s">
        <v>1894</v>
      </c>
      <c r="B64" s="512" t="s">
        <v>163</v>
      </c>
      <c r="C64" s="512" t="s">
        <v>1882</v>
      </c>
      <c r="D64" s="512" t="s">
        <v>1882</v>
      </c>
      <c r="E64" s="513" t="s">
        <v>310</v>
      </c>
      <c r="F64" s="514">
        <v>133759.0</v>
      </c>
      <c r="G64" s="514">
        <v>1553.0</v>
      </c>
      <c r="H64" s="514">
        <v>1.16</v>
      </c>
      <c r="I64" s="514">
        <v>0.93</v>
      </c>
      <c r="J64" s="514">
        <v>0.71</v>
      </c>
      <c r="K64" s="514">
        <v>160600.0</v>
      </c>
      <c r="L64" s="514">
        <v>1.735769E7</v>
      </c>
      <c r="M64" s="514">
        <v>1.2007</v>
      </c>
      <c r="N64" s="6">
        <v>103.4127</v>
      </c>
    </row>
    <row r="65">
      <c r="A65" s="512" t="s">
        <v>1894</v>
      </c>
      <c r="B65" s="512" t="s">
        <v>163</v>
      </c>
      <c r="C65" s="512" t="s">
        <v>1882</v>
      </c>
      <c r="D65" s="512" t="s">
        <v>1882</v>
      </c>
      <c r="E65" s="513" t="s">
        <v>43</v>
      </c>
      <c r="F65" s="514">
        <v>133759.0</v>
      </c>
      <c r="G65" s="514">
        <v>518.0</v>
      </c>
      <c r="H65" s="514">
        <v>0.39</v>
      </c>
      <c r="I65" s="514">
        <v>0.51</v>
      </c>
      <c r="J65" s="514">
        <v>0.21</v>
      </c>
      <c r="K65" s="514">
        <v>88650.0</v>
      </c>
      <c r="L65" s="514">
        <v>1.735769E7</v>
      </c>
      <c r="M65" s="514">
        <v>0.6628</v>
      </c>
      <c r="N65" s="6">
        <v>171.139</v>
      </c>
    </row>
    <row r="66">
      <c r="A66" s="512" t="s">
        <v>1894</v>
      </c>
      <c r="B66" s="512" t="s">
        <v>163</v>
      </c>
      <c r="C66" s="512" t="s">
        <v>1882</v>
      </c>
      <c r="D66" s="512" t="s">
        <v>1882</v>
      </c>
      <c r="E66" s="513" t="s">
        <v>44</v>
      </c>
      <c r="F66" s="514">
        <v>133759.0</v>
      </c>
      <c r="G66" s="514">
        <v>6195.0</v>
      </c>
      <c r="H66" s="514">
        <v>4.63</v>
      </c>
      <c r="I66" s="514">
        <v>0.51</v>
      </c>
      <c r="J66" s="514">
        <v>1.0</v>
      </c>
      <c r="K66" s="514">
        <v>88660.0</v>
      </c>
      <c r="L66" s="514">
        <v>1.735769E7</v>
      </c>
      <c r="M66" s="514">
        <v>0.6628</v>
      </c>
      <c r="N66" s="6">
        <v>14.3115</v>
      </c>
    </row>
    <row r="67">
      <c r="A67" s="512" t="s">
        <v>1894</v>
      </c>
      <c r="B67" s="512" t="s">
        <v>163</v>
      </c>
      <c r="C67" s="512" t="s">
        <v>1882</v>
      </c>
      <c r="D67" s="512" t="s">
        <v>1882</v>
      </c>
      <c r="E67" s="513" t="s">
        <v>379</v>
      </c>
      <c r="F67" s="514">
        <v>133759.0</v>
      </c>
      <c r="G67" s="514">
        <v>3146.0</v>
      </c>
      <c r="H67" s="514">
        <v>2.35</v>
      </c>
      <c r="I67" s="514">
        <v>0.44</v>
      </c>
      <c r="J67" s="514">
        <v>0.92</v>
      </c>
      <c r="K67" s="514">
        <v>75745.0</v>
      </c>
      <c r="L67" s="514">
        <v>1.735769E7</v>
      </c>
      <c r="M67" s="514">
        <v>0.5663</v>
      </c>
      <c r="N67" s="6">
        <v>24.0766</v>
      </c>
    </row>
    <row r="68">
      <c r="A68" s="512" t="s">
        <v>1894</v>
      </c>
      <c r="B68" s="512" t="s">
        <v>163</v>
      </c>
      <c r="C68" s="512" t="s">
        <v>1882</v>
      </c>
      <c r="D68" s="512" t="s">
        <v>1882</v>
      </c>
      <c r="E68" s="513" t="s">
        <v>372</v>
      </c>
      <c r="F68" s="514">
        <v>133759.0</v>
      </c>
      <c r="G68" s="514">
        <v>1128.0</v>
      </c>
      <c r="H68" s="514">
        <v>0.84</v>
      </c>
      <c r="I68" s="514">
        <v>0.29</v>
      </c>
      <c r="J68" s="514">
        <v>0.39</v>
      </c>
      <c r="K68" s="514">
        <v>50175.0</v>
      </c>
      <c r="L68" s="514">
        <v>1.735769E7</v>
      </c>
      <c r="M68" s="514">
        <v>0.3751</v>
      </c>
      <c r="N68" s="6">
        <v>44.4814</v>
      </c>
    </row>
    <row r="69">
      <c r="A69" s="512" t="s">
        <v>1894</v>
      </c>
      <c r="B69" s="512" t="s">
        <v>163</v>
      </c>
      <c r="C69" s="512" t="s">
        <v>1882</v>
      </c>
      <c r="D69" s="512" t="s">
        <v>1882</v>
      </c>
      <c r="E69" s="513" t="s">
        <v>311</v>
      </c>
      <c r="F69" s="514">
        <v>133759.0</v>
      </c>
      <c r="G69" s="514">
        <v>412.0</v>
      </c>
      <c r="H69" s="514">
        <v>0.31</v>
      </c>
      <c r="I69" s="514">
        <v>0.24</v>
      </c>
      <c r="J69" s="514">
        <v>0.19</v>
      </c>
      <c r="K69" s="514">
        <v>41300.0</v>
      </c>
      <c r="L69" s="514">
        <v>1.735769E7</v>
      </c>
      <c r="M69" s="514">
        <v>0.3088</v>
      </c>
      <c r="N69" s="6">
        <v>100.2427</v>
      </c>
    </row>
    <row r="70">
      <c r="A70" s="512" t="s">
        <v>1894</v>
      </c>
      <c r="B70" s="512" t="s">
        <v>163</v>
      </c>
      <c r="C70" s="512" t="s">
        <v>1882</v>
      </c>
      <c r="D70" s="512" t="s">
        <v>1882</v>
      </c>
      <c r="E70" s="513" t="s">
        <v>375</v>
      </c>
      <c r="F70" s="514">
        <v>133759.0</v>
      </c>
      <c r="G70" s="514">
        <v>1234.0</v>
      </c>
      <c r="H70" s="514">
        <v>0.92</v>
      </c>
      <c r="I70" s="514">
        <v>0.24</v>
      </c>
      <c r="J70" s="514">
        <v>0.4</v>
      </c>
      <c r="K70" s="514">
        <v>41450.0</v>
      </c>
      <c r="L70" s="514">
        <v>1.735769E7</v>
      </c>
      <c r="M70" s="514">
        <v>0.3099</v>
      </c>
      <c r="N70" s="6">
        <v>33.59</v>
      </c>
    </row>
    <row r="71">
      <c r="A71" s="512" t="s">
        <v>1894</v>
      </c>
      <c r="B71" s="512" t="s">
        <v>163</v>
      </c>
      <c r="C71" s="512" t="s">
        <v>1882</v>
      </c>
      <c r="D71" s="512" t="s">
        <v>1882</v>
      </c>
      <c r="E71" s="513" t="s">
        <v>374</v>
      </c>
      <c r="F71" s="514">
        <v>133759.0</v>
      </c>
      <c r="G71" s="514">
        <v>770.0</v>
      </c>
      <c r="H71" s="514">
        <v>0.58</v>
      </c>
      <c r="I71" s="514">
        <v>0.22</v>
      </c>
      <c r="J71" s="514">
        <v>0.18</v>
      </c>
      <c r="K71" s="514">
        <v>38545.0</v>
      </c>
      <c r="L71" s="514">
        <v>1.735769E7</v>
      </c>
      <c r="M71" s="514">
        <v>0.2882</v>
      </c>
      <c r="N71" s="6">
        <v>50.0584</v>
      </c>
    </row>
    <row r="72">
      <c r="A72" s="512" t="s">
        <v>1894</v>
      </c>
      <c r="B72" s="512" t="s">
        <v>163</v>
      </c>
      <c r="C72" s="512" t="s">
        <v>1882</v>
      </c>
      <c r="D72" s="512" t="s">
        <v>1882</v>
      </c>
      <c r="E72" s="513" t="s">
        <v>134</v>
      </c>
      <c r="F72" s="514">
        <v>133759.0</v>
      </c>
      <c r="G72" s="514">
        <v>217.0</v>
      </c>
      <c r="H72" s="514">
        <v>0.16</v>
      </c>
      <c r="I72" s="514">
        <v>0.09</v>
      </c>
      <c r="J72" s="514">
        <v>0.05</v>
      </c>
      <c r="K72" s="514">
        <v>15755.0</v>
      </c>
      <c r="L72" s="514">
        <v>1.735769E7</v>
      </c>
      <c r="M72" s="514">
        <v>0.1178</v>
      </c>
      <c r="N72" s="6">
        <v>72.6037</v>
      </c>
    </row>
    <row r="73">
      <c r="A73" s="512" t="s">
        <v>1894</v>
      </c>
      <c r="B73" s="512" t="s">
        <v>163</v>
      </c>
      <c r="C73" s="512" t="s">
        <v>1882</v>
      </c>
      <c r="D73" s="512" t="s">
        <v>1882</v>
      </c>
      <c r="E73" s="513" t="s">
        <v>35</v>
      </c>
      <c r="F73" s="514">
        <v>133759.0</v>
      </c>
      <c r="G73" s="514">
        <v>557.0</v>
      </c>
      <c r="H73" s="514">
        <v>0.42</v>
      </c>
      <c r="I73" s="514">
        <v>0.09</v>
      </c>
      <c r="J73" s="514">
        <v>0.11</v>
      </c>
      <c r="K73" s="514">
        <v>16350.0</v>
      </c>
      <c r="L73" s="514">
        <v>1.735769E7</v>
      </c>
      <c r="M73" s="514">
        <v>0.1222</v>
      </c>
      <c r="N73" s="6">
        <v>29.3537</v>
      </c>
    </row>
    <row r="74">
      <c r="A74" s="512" t="s">
        <v>1894</v>
      </c>
      <c r="B74" s="512" t="s">
        <v>163</v>
      </c>
      <c r="C74" s="512" t="s">
        <v>1882</v>
      </c>
      <c r="D74" s="512" t="s">
        <v>1882</v>
      </c>
      <c r="E74" s="513" t="s">
        <v>189</v>
      </c>
      <c r="F74" s="514">
        <v>133759.0</v>
      </c>
      <c r="G74" s="514">
        <v>440.0</v>
      </c>
      <c r="H74" s="514">
        <v>0.33</v>
      </c>
      <c r="I74" s="514">
        <v>0.07</v>
      </c>
      <c r="J74" s="514">
        <v>0.12</v>
      </c>
      <c r="K74" s="514">
        <v>11900.0</v>
      </c>
      <c r="L74" s="514">
        <v>1.735769E7</v>
      </c>
      <c r="M74" s="514">
        <v>0.089</v>
      </c>
      <c r="N74" s="6">
        <v>27.0455</v>
      </c>
    </row>
    <row r="75">
      <c r="A75" s="512" t="s">
        <v>1894</v>
      </c>
      <c r="B75" s="512" t="s">
        <v>163</v>
      </c>
      <c r="C75" s="512" t="s">
        <v>69</v>
      </c>
      <c r="D75" s="512" t="s">
        <v>574</v>
      </c>
      <c r="E75" s="513" t="s">
        <v>377</v>
      </c>
      <c r="F75" s="514">
        <v>62119.0</v>
      </c>
      <c r="G75" s="514">
        <v>37736.0</v>
      </c>
      <c r="H75" s="514">
        <v>60.75</v>
      </c>
      <c r="I75" s="514">
        <v>49.36</v>
      </c>
      <c r="J75" s="514">
        <v>51.52</v>
      </c>
      <c r="K75" s="514">
        <v>56464.0</v>
      </c>
      <c r="L75" s="514">
        <v>114387.0</v>
      </c>
      <c r="M75" s="514">
        <v>0.909</v>
      </c>
      <c r="N75" s="6">
        <v>1.4963</v>
      </c>
    </row>
    <row r="76">
      <c r="A76" s="512" t="s">
        <v>1894</v>
      </c>
      <c r="B76" s="512" t="s">
        <v>163</v>
      </c>
      <c r="C76" s="512" t="s">
        <v>69</v>
      </c>
      <c r="D76" s="512" t="s">
        <v>574</v>
      </c>
      <c r="E76" s="513" t="s">
        <v>380</v>
      </c>
      <c r="F76" s="514">
        <v>62119.0</v>
      </c>
      <c r="G76" s="514">
        <v>17649.0</v>
      </c>
      <c r="H76" s="514">
        <v>28.41</v>
      </c>
      <c r="I76" s="514">
        <v>26.02</v>
      </c>
      <c r="J76" s="514">
        <v>20.61</v>
      </c>
      <c r="K76" s="514">
        <v>29768.0</v>
      </c>
      <c r="L76" s="514">
        <v>114387.0</v>
      </c>
      <c r="M76" s="514">
        <v>0.4792</v>
      </c>
      <c r="N76" s="6">
        <v>1.6867</v>
      </c>
    </row>
    <row r="77">
      <c r="A77" s="512" t="s">
        <v>1894</v>
      </c>
      <c r="B77" s="512" t="s">
        <v>163</v>
      </c>
      <c r="C77" s="512" t="s">
        <v>69</v>
      </c>
      <c r="D77" s="512" t="s">
        <v>574</v>
      </c>
      <c r="E77" s="513" t="s">
        <v>44</v>
      </c>
      <c r="F77" s="514">
        <v>62119.0</v>
      </c>
      <c r="G77" s="514">
        <v>13360.0</v>
      </c>
      <c r="H77" s="514">
        <v>21.51</v>
      </c>
      <c r="I77" s="514">
        <v>13.35</v>
      </c>
      <c r="J77" s="514">
        <v>15.67</v>
      </c>
      <c r="K77" s="514">
        <v>15272.0</v>
      </c>
      <c r="L77" s="514">
        <v>114387.0</v>
      </c>
      <c r="M77" s="514">
        <v>0.2459</v>
      </c>
      <c r="N77" s="6">
        <v>1.1431</v>
      </c>
    </row>
    <row r="78">
      <c r="A78" s="512" t="s">
        <v>1894</v>
      </c>
      <c r="B78" s="512" t="s">
        <v>163</v>
      </c>
      <c r="C78" s="512" t="s">
        <v>69</v>
      </c>
      <c r="D78" s="512" t="s">
        <v>574</v>
      </c>
      <c r="E78" s="513" t="s">
        <v>49</v>
      </c>
      <c r="F78" s="514">
        <v>62119.0</v>
      </c>
      <c r="G78" s="514">
        <v>4522.0</v>
      </c>
      <c r="H78" s="514">
        <v>7.28</v>
      </c>
      <c r="I78" s="514">
        <v>4.35</v>
      </c>
      <c r="J78" s="514">
        <v>4.76</v>
      </c>
      <c r="K78" s="514">
        <v>4976.0</v>
      </c>
      <c r="L78" s="514">
        <v>114387.0</v>
      </c>
      <c r="M78" s="514">
        <v>0.0801</v>
      </c>
      <c r="N78" s="6">
        <v>1.1004</v>
      </c>
    </row>
    <row r="79">
      <c r="A79" s="512" t="s">
        <v>1894</v>
      </c>
      <c r="B79" s="512" t="s">
        <v>163</v>
      </c>
      <c r="C79" s="512" t="s">
        <v>69</v>
      </c>
      <c r="D79" s="512" t="s">
        <v>574</v>
      </c>
      <c r="E79" s="513" t="s">
        <v>42</v>
      </c>
      <c r="F79" s="514">
        <v>62119.0</v>
      </c>
      <c r="G79" s="514">
        <v>3292.0</v>
      </c>
      <c r="H79" s="514">
        <v>5.3</v>
      </c>
      <c r="I79" s="514">
        <v>3.23</v>
      </c>
      <c r="J79" s="514">
        <v>3.48</v>
      </c>
      <c r="K79" s="514">
        <v>3695.0</v>
      </c>
      <c r="L79" s="514">
        <v>114387.0</v>
      </c>
      <c r="M79" s="514">
        <v>0.0595</v>
      </c>
      <c r="N79" s="6">
        <v>1.1224</v>
      </c>
    </row>
    <row r="80">
      <c r="A80" s="512" t="s">
        <v>1894</v>
      </c>
      <c r="B80" s="512" t="s">
        <v>163</v>
      </c>
      <c r="C80" s="512" t="s">
        <v>69</v>
      </c>
      <c r="D80" s="512" t="s">
        <v>574</v>
      </c>
      <c r="E80" s="513" t="s">
        <v>379</v>
      </c>
      <c r="F80" s="514">
        <v>62119.0</v>
      </c>
      <c r="G80" s="514">
        <v>1412.0</v>
      </c>
      <c r="H80" s="514">
        <v>2.27</v>
      </c>
      <c r="I80" s="514">
        <v>1.51</v>
      </c>
      <c r="J80" s="514">
        <v>1.64</v>
      </c>
      <c r="K80" s="514">
        <v>1732.0</v>
      </c>
      <c r="L80" s="514">
        <v>114387.0</v>
      </c>
      <c r="M80" s="514">
        <v>0.0279</v>
      </c>
      <c r="N80" s="6">
        <v>1.2266</v>
      </c>
    </row>
    <row r="81">
      <c r="A81" s="512" t="s">
        <v>1894</v>
      </c>
      <c r="B81" s="512" t="s">
        <v>163</v>
      </c>
      <c r="C81" s="512" t="s">
        <v>69</v>
      </c>
      <c r="D81" s="512" t="s">
        <v>574</v>
      </c>
      <c r="E81" s="513" t="s">
        <v>375</v>
      </c>
      <c r="F81" s="514">
        <v>62119.0</v>
      </c>
      <c r="G81" s="514">
        <v>505.0</v>
      </c>
      <c r="H81" s="514">
        <v>0.81</v>
      </c>
      <c r="I81" s="514">
        <v>0.55</v>
      </c>
      <c r="J81" s="514">
        <v>0.63</v>
      </c>
      <c r="K81" s="514">
        <v>632.0</v>
      </c>
      <c r="L81" s="514">
        <v>114387.0</v>
      </c>
      <c r="M81" s="514">
        <v>0.0102</v>
      </c>
      <c r="N81" s="6">
        <v>1.2515</v>
      </c>
    </row>
    <row r="82">
      <c r="A82" s="512" t="s">
        <v>1894</v>
      </c>
      <c r="B82" s="512" t="s">
        <v>163</v>
      </c>
      <c r="C82" s="512" t="s">
        <v>69</v>
      </c>
      <c r="D82" s="512" t="s">
        <v>574</v>
      </c>
      <c r="E82" s="513" t="s">
        <v>43</v>
      </c>
      <c r="F82" s="514">
        <v>62119.0</v>
      </c>
      <c r="G82" s="514">
        <v>497.0</v>
      </c>
      <c r="H82" s="514">
        <v>0.8</v>
      </c>
      <c r="I82" s="514">
        <v>0.45</v>
      </c>
      <c r="J82" s="514">
        <v>0.48</v>
      </c>
      <c r="K82" s="514">
        <v>512.0</v>
      </c>
      <c r="L82" s="514">
        <v>114387.0</v>
      </c>
      <c r="M82" s="514">
        <v>0.0082</v>
      </c>
      <c r="N82" s="6">
        <v>1.0302</v>
      </c>
    </row>
    <row r="83">
      <c r="A83" s="512" t="s">
        <v>1894</v>
      </c>
      <c r="B83" s="512" t="s">
        <v>163</v>
      </c>
      <c r="C83" s="512" t="s">
        <v>69</v>
      </c>
      <c r="D83" s="512" t="s">
        <v>574</v>
      </c>
      <c r="E83" s="513" t="s">
        <v>374</v>
      </c>
      <c r="F83" s="514">
        <v>62119.0</v>
      </c>
      <c r="G83" s="514">
        <v>396.0</v>
      </c>
      <c r="H83" s="514">
        <v>0.64</v>
      </c>
      <c r="I83" s="514">
        <v>0.39</v>
      </c>
      <c r="J83" s="514">
        <v>0.36</v>
      </c>
      <c r="K83" s="514">
        <v>447.0</v>
      </c>
      <c r="L83" s="514">
        <v>114387.0</v>
      </c>
      <c r="M83" s="514">
        <v>0.0072</v>
      </c>
      <c r="N83" s="6">
        <v>1.1288</v>
      </c>
    </row>
    <row r="84">
      <c r="A84" s="512" t="s">
        <v>1894</v>
      </c>
      <c r="B84" s="512" t="s">
        <v>163</v>
      </c>
      <c r="C84" s="512" t="s">
        <v>69</v>
      </c>
      <c r="D84" s="512" t="s">
        <v>574</v>
      </c>
      <c r="E84" s="513" t="s">
        <v>50</v>
      </c>
      <c r="F84" s="514">
        <v>62119.0</v>
      </c>
      <c r="G84" s="514">
        <v>221.0</v>
      </c>
      <c r="H84" s="514">
        <v>0.36</v>
      </c>
      <c r="I84" s="514">
        <v>0.2</v>
      </c>
      <c r="J84" s="514">
        <v>0.26</v>
      </c>
      <c r="K84" s="514">
        <v>225.0</v>
      </c>
      <c r="L84" s="514">
        <v>114387.0</v>
      </c>
      <c r="M84" s="514">
        <v>0.0036</v>
      </c>
      <c r="N84" s="6">
        <v>1.0181</v>
      </c>
    </row>
    <row r="85">
      <c r="A85" s="512" t="s">
        <v>1894</v>
      </c>
      <c r="B85" s="512" t="s">
        <v>163</v>
      </c>
      <c r="C85" s="512" t="s">
        <v>69</v>
      </c>
      <c r="D85" s="512" t="s">
        <v>574</v>
      </c>
      <c r="E85" s="513" t="s">
        <v>372</v>
      </c>
      <c r="F85" s="514">
        <v>62119.0</v>
      </c>
      <c r="G85" s="514">
        <v>179.0</v>
      </c>
      <c r="H85" s="514">
        <v>0.29</v>
      </c>
      <c r="I85" s="514">
        <v>0.17</v>
      </c>
      <c r="J85" s="514">
        <v>0.19</v>
      </c>
      <c r="K85" s="514">
        <v>196.0</v>
      </c>
      <c r="L85" s="514">
        <v>114387.0</v>
      </c>
      <c r="M85" s="514">
        <v>0.0032</v>
      </c>
      <c r="N85" s="6">
        <v>1.095</v>
      </c>
    </row>
    <row r="86">
      <c r="A86" s="512" t="s">
        <v>1894</v>
      </c>
      <c r="B86" s="512" t="s">
        <v>163</v>
      </c>
      <c r="C86" s="512" t="s">
        <v>69</v>
      </c>
      <c r="D86" s="512" t="s">
        <v>574</v>
      </c>
      <c r="E86" s="513" t="s">
        <v>35</v>
      </c>
      <c r="F86" s="514">
        <v>62119.0</v>
      </c>
      <c r="G86" s="514">
        <v>165.0</v>
      </c>
      <c r="H86" s="514">
        <v>0.27</v>
      </c>
      <c r="I86" s="514">
        <v>0.16</v>
      </c>
      <c r="J86" s="514">
        <v>0.16</v>
      </c>
      <c r="K86" s="514">
        <v>180.0</v>
      </c>
      <c r="L86" s="514">
        <v>114387.0</v>
      </c>
      <c r="M86" s="514">
        <v>0.0029</v>
      </c>
      <c r="N86" s="6">
        <v>1.0909</v>
      </c>
    </row>
    <row r="87">
      <c r="A87" s="512" t="s">
        <v>1894</v>
      </c>
      <c r="B87" s="512" t="s">
        <v>163</v>
      </c>
      <c r="C87" s="512" t="s">
        <v>69</v>
      </c>
      <c r="D87" s="512" t="s">
        <v>574</v>
      </c>
      <c r="E87" s="513" t="s">
        <v>189</v>
      </c>
      <c r="F87" s="514">
        <v>62119.0</v>
      </c>
      <c r="G87" s="514">
        <v>148.0</v>
      </c>
      <c r="H87" s="514">
        <v>0.24</v>
      </c>
      <c r="I87" s="514">
        <v>0.13</v>
      </c>
      <c r="J87" s="514">
        <v>0.16</v>
      </c>
      <c r="K87" s="514">
        <v>154.0</v>
      </c>
      <c r="L87" s="514">
        <v>114387.0</v>
      </c>
      <c r="M87" s="514">
        <v>0.0025</v>
      </c>
      <c r="N87" s="6">
        <v>1.0405</v>
      </c>
    </row>
    <row r="88">
      <c r="A88" s="512" t="s">
        <v>1894</v>
      </c>
      <c r="B88" s="512" t="s">
        <v>163</v>
      </c>
      <c r="C88" s="512" t="s">
        <v>69</v>
      </c>
      <c r="D88" s="512" t="s">
        <v>574</v>
      </c>
      <c r="E88" s="513" t="s">
        <v>134</v>
      </c>
      <c r="F88" s="514">
        <v>62119.0</v>
      </c>
      <c r="G88" s="514">
        <v>90.0</v>
      </c>
      <c r="H88" s="514">
        <v>0.14</v>
      </c>
      <c r="I88" s="514">
        <v>0.09</v>
      </c>
      <c r="J88" s="514">
        <v>0.06</v>
      </c>
      <c r="K88" s="514">
        <v>102.0</v>
      </c>
      <c r="L88" s="514">
        <v>114387.0</v>
      </c>
      <c r="M88" s="514">
        <v>0.0016</v>
      </c>
      <c r="N88" s="6">
        <v>1.1333</v>
      </c>
    </row>
    <row r="89">
      <c r="A89" s="512" t="s">
        <v>1894</v>
      </c>
      <c r="B89" s="512" t="s">
        <v>163</v>
      </c>
      <c r="C89" s="512" t="s">
        <v>69</v>
      </c>
      <c r="D89" s="512" t="s">
        <v>574</v>
      </c>
      <c r="E89" s="513" t="s">
        <v>32</v>
      </c>
      <c r="F89" s="514">
        <v>62119.0</v>
      </c>
      <c r="G89" s="514">
        <v>17.0</v>
      </c>
      <c r="H89" s="514">
        <v>0.03</v>
      </c>
      <c r="I89" s="514">
        <v>0.02</v>
      </c>
      <c r="J89" s="514">
        <v>0.02</v>
      </c>
      <c r="K89" s="514">
        <v>20.0</v>
      </c>
      <c r="L89" s="514">
        <v>114387.0</v>
      </c>
      <c r="M89" s="514">
        <v>3.0E-4</v>
      </c>
      <c r="N89" s="6">
        <v>1.1765</v>
      </c>
    </row>
    <row r="90">
      <c r="A90" s="512" t="s">
        <v>1894</v>
      </c>
      <c r="B90" s="512" t="s">
        <v>163</v>
      </c>
      <c r="C90" s="512" t="s">
        <v>69</v>
      </c>
      <c r="D90" s="512" t="s">
        <v>574</v>
      </c>
      <c r="E90" s="513" t="s">
        <v>311</v>
      </c>
      <c r="F90" s="514">
        <v>62119.0</v>
      </c>
      <c r="G90" s="514">
        <v>2.0</v>
      </c>
      <c r="H90" s="514">
        <v>0.0</v>
      </c>
      <c r="I90" s="514">
        <v>0.0</v>
      </c>
      <c r="J90" s="514">
        <v>0.0</v>
      </c>
      <c r="K90" s="514">
        <v>2.0</v>
      </c>
      <c r="L90" s="514">
        <v>114387.0</v>
      </c>
      <c r="M90" s="514">
        <v>0.0</v>
      </c>
      <c r="N90" s="6">
        <v>1.0</v>
      </c>
    </row>
    <row r="91">
      <c r="A91" s="512" t="s">
        <v>1894</v>
      </c>
      <c r="B91" s="512" t="s">
        <v>163</v>
      </c>
      <c r="C91" s="512" t="s">
        <v>69</v>
      </c>
      <c r="D91" s="512" t="s">
        <v>574</v>
      </c>
      <c r="E91" s="513" t="s">
        <v>310</v>
      </c>
      <c r="F91" s="514">
        <v>62119.0</v>
      </c>
      <c r="G91" s="514">
        <v>2.0</v>
      </c>
      <c r="H91" s="514">
        <v>0.0</v>
      </c>
      <c r="I91" s="514">
        <v>0.0</v>
      </c>
      <c r="J91" s="514">
        <v>0.0</v>
      </c>
      <c r="K91" s="514">
        <v>5.0</v>
      </c>
      <c r="L91" s="514">
        <v>114387.0</v>
      </c>
      <c r="M91" s="514">
        <v>1.0E-4</v>
      </c>
      <c r="N91" s="6">
        <v>2.5</v>
      </c>
    </row>
    <row r="92">
      <c r="A92" s="512" t="s">
        <v>1894</v>
      </c>
      <c r="B92" s="512" t="s">
        <v>163</v>
      </c>
      <c r="C92" s="512" t="s">
        <v>69</v>
      </c>
      <c r="D92" s="512" t="s">
        <v>574</v>
      </c>
      <c r="E92" s="513" t="s">
        <v>312</v>
      </c>
      <c r="F92" s="514">
        <v>62119.0</v>
      </c>
      <c r="G92" s="514">
        <v>3.0</v>
      </c>
      <c r="H92" s="514">
        <v>0.0</v>
      </c>
      <c r="I92" s="514">
        <v>0.0</v>
      </c>
      <c r="J92" s="514">
        <v>0.0</v>
      </c>
      <c r="K92" s="514">
        <v>3.0</v>
      </c>
      <c r="L92" s="514">
        <v>114387.0</v>
      </c>
      <c r="M92" s="514">
        <v>0.0</v>
      </c>
      <c r="N92" s="6">
        <v>1.0</v>
      </c>
    </row>
    <row r="93">
      <c r="A93" s="512" t="s">
        <v>1894</v>
      </c>
      <c r="B93" s="512" t="s">
        <v>163</v>
      </c>
      <c r="C93" s="512" t="s">
        <v>69</v>
      </c>
      <c r="D93" s="512" t="s">
        <v>574</v>
      </c>
      <c r="E93" s="513" t="s">
        <v>383</v>
      </c>
      <c r="F93" s="514">
        <v>62119.0</v>
      </c>
      <c r="G93" s="514">
        <v>1.0</v>
      </c>
      <c r="H93" s="514">
        <v>0.0</v>
      </c>
      <c r="I93" s="514">
        <v>0.0</v>
      </c>
      <c r="J93" s="514">
        <v>0.0</v>
      </c>
      <c r="K93" s="514">
        <v>2.0</v>
      </c>
      <c r="L93" s="514">
        <v>114387.0</v>
      </c>
      <c r="M93" s="514">
        <v>0.0</v>
      </c>
      <c r="N93" s="6">
        <v>2.0</v>
      </c>
    </row>
    <row r="94">
      <c r="A94" s="512" t="s">
        <v>1894</v>
      </c>
      <c r="B94" s="512" t="s">
        <v>163</v>
      </c>
      <c r="C94" s="512" t="s">
        <v>68</v>
      </c>
      <c r="D94" s="512" t="s">
        <v>574</v>
      </c>
      <c r="E94" s="513" t="s">
        <v>377</v>
      </c>
      <c r="F94" s="514">
        <v>44898.0</v>
      </c>
      <c r="G94" s="514">
        <v>35538.0</v>
      </c>
      <c r="H94" s="514">
        <v>79.15</v>
      </c>
      <c r="I94" s="514">
        <v>70.79</v>
      </c>
      <c r="J94" s="514">
        <v>74.57</v>
      </c>
      <c r="K94" s="514">
        <v>2162777.0</v>
      </c>
      <c r="L94" s="514">
        <v>3055032.0</v>
      </c>
      <c r="M94" s="514">
        <v>48.1709</v>
      </c>
      <c r="N94" s="6">
        <v>60.8582</v>
      </c>
    </row>
    <row r="95">
      <c r="A95" s="512" t="s">
        <v>1894</v>
      </c>
      <c r="B95" s="512" t="s">
        <v>163</v>
      </c>
      <c r="C95" s="512" t="s">
        <v>68</v>
      </c>
      <c r="D95" s="512" t="s">
        <v>574</v>
      </c>
      <c r="E95" s="513" t="s">
        <v>43</v>
      </c>
      <c r="F95" s="514">
        <v>44898.0</v>
      </c>
      <c r="G95" s="514">
        <v>5000.0</v>
      </c>
      <c r="H95" s="514">
        <v>11.14</v>
      </c>
      <c r="I95" s="514">
        <v>17.03</v>
      </c>
      <c r="J95" s="514">
        <v>8.96</v>
      </c>
      <c r="K95" s="514">
        <v>520340.0</v>
      </c>
      <c r="L95" s="514">
        <v>3055032.0</v>
      </c>
      <c r="M95" s="514">
        <v>11.5894</v>
      </c>
      <c r="N95" s="6">
        <v>104.068</v>
      </c>
    </row>
    <row r="96">
      <c r="A96" s="512" t="s">
        <v>1894</v>
      </c>
      <c r="B96" s="512" t="s">
        <v>163</v>
      </c>
      <c r="C96" s="512" t="s">
        <v>68</v>
      </c>
      <c r="D96" s="512" t="s">
        <v>574</v>
      </c>
      <c r="E96" s="513" t="s">
        <v>50</v>
      </c>
      <c r="F96" s="514">
        <v>44898.0</v>
      </c>
      <c r="G96" s="514">
        <v>5236.0</v>
      </c>
      <c r="H96" s="514">
        <v>11.66</v>
      </c>
      <c r="I96" s="514">
        <v>9.05</v>
      </c>
      <c r="J96" s="514">
        <v>10.05</v>
      </c>
      <c r="K96" s="514">
        <v>276330.0</v>
      </c>
      <c r="L96" s="514">
        <v>3055032.0</v>
      </c>
      <c r="M96" s="514">
        <v>6.1546</v>
      </c>
      <c r="N96" s="6">
        <v>52.775</v>
      </c>
    </row>
    <row r="97">
      <c r="A97" s="512" t="s">
        <v>1894</v>
      </c>
      <c r="B97" s="512" t="s">
        <v>163</v>
      </c>
      <c r="C97" s="512" t="s">
        <v>68</v>
      </c>
      <c r="D97" s="512" t="s">
        <v>574</v>
      </c>
      <c r="E97" s="513" t="s">
        <v>49</v>
      </c>
      <c r="F97" s="514">
        <v>44898.0</v>
      </c>
      <c r="G97" s="514">
        <v>4223.0</v>
      </c>
      <c r="H97" s="514">
        <v>9.41</v>
      </c>
      <c r="I97" s="514">
        <v>3.04</v>
      </c>
      <c r="J97" s="514">
        <v>6.31</v>
      </c>
      <c r="K97" s="514">
        <v>92860.0</v>
      </c>
      <c r="L97" s="514">
        <v>3055032.0</v>
      </c>
      <c r="M97" s="514">
        <v>2.0682</v>
      </c>
      <c r="N97" s="6">
        <v>21.9891</v>
      </c>
    </row>
    <row r="98">
      <c r="A98" s="512" t="s">
        <v>1894</v>
      </c>
      <c r="B98" s="512" t="s">
        <v>163</v>
      </c>
      <c r="C98" s="512" t="s">
        <v>68</v>
      </c>
      <c r="D98" s="512" t="s">
        <v>574</v>
      </c>
      <c r="E98" s="513" t="s">
        <v>134</v>
      </c>
      <c r="F98" s="514">
        <v>44898.0</v>
      </c>
      <c r="G98" s="514">
        <v>68.0</v>
      </c>
      <c r="H98" s="514">
        <v>0.15</v>
      </c>
      <c r="I98" s="514">
        <v>0.08</v>
      </c>
      <c r="J98" s="514">
        <v>0.09</v>
      </c>
      <c r="K98" s="514">
        <v>2420.0</v>
      </c>
      <c r="L98" s="514">
        <v>3055032.0</v>
      </c>
      <c r="M98" s="514">
        <v>0.0539</v>
      </c>
      <c r="N98" s="6">
        <v>35.5882</v>
      </c>
    </row>
    <row r="99">
      <c r="A99" s="512" t="s">
        <v>1894</v>
      </c>
      <c r="B99" s="512" t="s">
        <v>163</v>
      </c>
      <c r="C99" s="512" t="s">
        <v>68</v>
      </c>
      <c r="D99" s="512" t="s">
        <v>574</v>
      </c>
      <c r="E99" s="513" t="s">
        <v>40</v>
      </c>
      <c r="F99" s="514">
        <v>44898.0</v>
      </c>
      <c r="G99" s="514">
        <v>2.0</v>
      </c>
      <c r="H99" s="514">
        <v>0.0</v>
      </c>
      <c r="I99" s="514">
        <v>0.01</v>
      </c>
      <c r="J99" s="514">
        <v>0.0</v>
      </c>
      <c r="K99" s="514">
        <v>195.0</v>
      </c>
      <c r="L99" s="514">
        <v>3055032.0</v>
      </c>
      <c r="M99" s="514">
        <v>0.0043</v>
      </c>
      <c r="N99" s="6">
        <v>97.5</v>
      </c>
    </row>
    <row r="100">
      <c r="A100" s="512" t="s">
        <v>1894</v>
      </c>
      <c r="B100" s="512" t="s">
        <v>163</v>
      </c>
      <c r="C100" s="512" t="s">
        <v>68</v>
      </c>
      <c r="D100" s="512" t="s">
        <v>574</v>
      </c>
      <c r="E100" s="513" t="s">
        <v>42</v>
      </c>
      <c r="F100" s="514">
        <v>44898.0</v>
      </c>
      <c r="G100" s="514">
        <v>2.0</v>
      </c>
      <c r="H100" s="514">
        <v>0.0</v>
      </c>
      <c r="I100" s="514">
        <v>0.0</v>
      </c>
      <c r="J100" s="514">
        <v>0.0</v>
      </c>
      <c r="K100" s="514">
        <v>40.0</v>
      </c>
      <c r="L100" s="514">
        <v>3055032.0</v>
      </c>
      <c r="M100" s="514">
        <v>9.0E-4</v>
      </c>
      <c r="N100" s="6">
        <v>20.0</v>
      </c>
    </row>
    <row r="101">
      <c r="A101" s="512" t="s">
        <v>1894</v>
      </c>
      <c r="B101" s="512" t="s">
        <v>163</v>
      </c>
      <c r="C101" s="512" t="s">
        <v>68</v>
      </c>
      <c r="D101" s="512" t="s">
        <v>574</v>
      </c>
      <c r="E101" s="513" t="s">
        <v>32</v>
      </c>
      <c r="F101" s="514">
        <v>44898.0</v>
      </c>
      <c r="G101" s="514">
        <v>5.0</v>
      </c>
      <c r="H101" s="514">
        <v>0.01</v>
      </c>
      <c r="I101" s="514">
        <v>0.0</v>
      </c>
      <c r="J101" s="514">
        <v>0.01</v>
      </c>
      <c r="K101" s="514">
        <v>70.0</v>
      </c>
      <c r="L101" s="514">
        <v>3055032.0</v>
      </c>
      <c r="M101" s="514">
        <v>0.0016</v>
      </c>
      <c r="N101" s="6">
        <v>14.0</v>
      </c>
    </row>
    <row r="102">
      <c r="A102" s="512" t="s">
        <v>1894</v>
      </c>
      <c r="B102" s="512" t="s">
        <v>163</v>
      </c>
      <c r="C102" s="512" t="s">
        <v>2035</v>
      </c>
      <c r="D102" s="512" t="s">
        <v>2036</v>
      </c>
      <c r="E102" s="513" t="s">
        <v>373</v>
      </c>
      <c r="F102" s="514">
        <v>155.0</v>
      </c>
      <c r="G102" s="514">
        <v>119.0</v>
      </c>
      <c r="H102" s="514">
        <v>76.77</v>
      </c>
      <c r="I102" s="514">
        <v>78.34</v>
      </c>
      <c r="J102" s="514">
        <v>76.77</v>
      </c>
      <c r="K102" s="514">
        <v>2640.0</v>
      </c>
      <c r="L102" s="514">
        <v>3370.0</v>
      </c>
      <c r="M102" s="514">
        <v>17.0323</v>
      </c>
      <c r="N102" s="6">
        <v>22.1849</v>
      </c>
    </row>
    <row r="103">
      <c r="A103" s="512" t="s">
        <v>1894</v>
      </c>
      <c r="B103" s="512" t="s">
        <v>163</v>
      </c>
      <c r="C103" s="512" t="s">
        <v>2035</v>
      </c>
      <c r="D103" s="512" t="s">
        <v>2036</v>
      </c>
      <c r="E103" s="513" t="s">
        <v>134</v>
      </c>
      <c r="F103" s="514">
        <v>155.0</v>
      </c>
      <c r="G103" s="514">
        <v>33.0</v>
      </c>
      <c r="H103" s="514">
        <v>21.29</v>
      </c>
      <c r="I103" s="514">
        <v>20.33</v>
      </c>
      <c r="J103" s="514">
        <v>21.29</v>
      </c>
      <c r="K103" s="514">
        <v>685.0</v>
      </c>
      <c r="L103" s="514">
        <v>3370.0</v>
      </c>
      <c r="M103" s="514">
        <v>4.4194</v>
      </c>
      <c r="N103" s="6">
        <v>20.7576</v>
      </c>
    </row>
    <row r="104">
      <c r="A104" s="512" t="s">
        <v>1894</v>
      </c>
      <c r="B104" s="512" t="s">
        <v>163</v>
      </c>
      <c r="C104" s="512" t="s">
        <v>2035</v>
      </c>
      <c r="D104" s="512" t="s">
        <v>2036</v>
      </c>
      <c r="E104" s="513" t="s">
        <v>377</v>
      </c>
      <c r="F104" s="514">
        <v>155.0</v>
      </c>
      <c r="G104" s="514">
        <v>3.0</v>
      </c>
      <c r="H104" s="514">
        <v>1.94</v>
      </c>
      <c r="I104" s="514">
        <v>1.34</v>
      </c>
      <c r="J104" s="514">
        <v>1.94</v>
      </c>
      <c r="K104" s="514">
        <v>45.0</v>
      </c>
      <c r="L104" s="514">
        <v>3370.0</v>
      </c>
      <c r="M104" s="514">
        <v>0.2903</v>
      </c>
      <c r="N104" s="6">
        <v>15.0</v>
      </c>
    </row>
    <row r="105">
      <c r="A105" s="512" t="s">
        <v>1894</v>
      </c>
      <c r="B105" s="512" t="s">
        <v>163</v>
      </c>
      <c r="C105" s="512" t="s">
        <v>73</v>
      </c>
      <c r="D105" s="512" t="s">
        <v>574</v>
      </c>
      <c r="E105" s="513" t="s">
        <v>373</v>
      </c>
      <c r="F105" s="514">
        <v>66188.0</v>
      </c>
      <c r="G105" s="514">
        <v>40160.0</v>
      </c>
      <c r="H105" s="514">
        <v>60.68</v>
      </c>
      <c r="I105" s="514">
        <v>50.4</v>
      </c>
      <c r="J105" s="514">
        <v>47.95</v>
      </c>
      <c r="K105" s="514">
        <v>81533.0</v>
      </c>
      <c r="L105" s="514">
        <v>161756.0</v>
      </c>
      <c r="M105" s="514">
        <v>1.2318</v>
      </c>
      <c r="N105" s="6">
        <v>2.0302</v>
      </c>
    </row>
    <row r="106">
      <c r="A106" s="512" t="s">
        <v>1894</v>
      </c>
      <c r="B106" s="512" t="s">
        <v>163</v>
      </c>
      <c r="C106" s="512" t="s">
        <v>73</v>
      </c>
      <c r="D106" s="512" t="s">
        <v>574</v>
      </c>
      <c r="E106" s="513" t="s">
        <v>367</v>
      </c>
      <c r="F106" s="514">
        <v>66188.0</v>
      </c>
      <c r="G106" s="514">
        <v>10579.0</v>
      </c>
      <c r="H106" s="514">
        <v>15.98</v>
      </c>
      <c r="I106" s="514">
        <v>13.82</v>
      </c>
      <c r="J106" s="514">
        <v>9.61</v>
      </c>
      <c r="K106" s="514">
        <v>22351.0</v>
      </c>
      <c r="L106" s="514">
        <v>161756.0</v>
      </c>
      <c r="M106" s="514">
        <v>0.3377</v>
      </c>
      <c r="N106" s="6">
        <v>2.1128</v>
      </c>
    </row>
    <row r="107">
      <c r="A107" s="512" t="s">
        <v>1894</v>
      </c>
      <c r="B107" s="512" t="s">
        <v>163</v>
      </c>
      <c r="C107" s="512" t="s">
        <v>73</v>
      </c>
      <c r="D107" s="512" t="s">
        <v>574</v>
      </c>
      <c r="E107" s="513" t="s">
        <v>42</v>
      </c>
      <c r="F107" s="514">
        <v>66188.0</v>
      </c>
      <c r="G107" s="514">
        <v>14192.0</v>
      </c>
      <c r="H107" s="514">
        <v>21.44</v>
      </c>
      <c r="I107" s="514">
        <v>11.82</v>
      </c>
      <c r="J107" s="514">
        <v>13.8</v>
      </c>
      <c r="K107" s="514">
        <v>19118.0</v>
      </c>
      <c r="L107" s="514">
        <v>161756.0</v>
      </c>
      <c r="M107" s="514">
        <v>0.2888</v>
      </c>
      <c r="N107" s="6">
        <v>1.3471</v>
      </c>
    </row>
    <row r="108">
      <c r="A108" s="512" t="s">
        <v>1894</v>
      </c>
      <c r="B108" s="512" t="s">
        <v>163</v>
      </c>
      <c r="C108" s="512" t="s">
        <v>73</v>
      </c>
      <c r="D108" s="512" t="s">
        <v>574</v>
      </c>
      <c r="E108" s="513" t="s">
        <v>40</v>
      </c>
      <c r="F108" s="514">
        <v>66188.0</v>
      </c>
      <c r="G108" s="514">
        <v>2941.0</v>
      </c>
      <c r="H108" s="514">
        <v>4.44</v>
      </c>
      <c r="I108" s="514">
        <v>5.03</v>
      </c>
      <c r="J108" s="514">
        <v>3.32</v>
      </c>
      <c r="K108" s="514">
        <v>8144.0</v>
      </c>
      <c r="L108" s="514">
        <v>161756.0</v>
      </c>
      <c r="M108" s="514">
        <v>0.123</v>
      </c>
      <c r="N108" s="6">
        <v>2.7691</v>
      </c>
    </row>
    <row r="109">
      <c r="A109" s="512" t="s">
        <v>1894</v>
      </c>
      <c r="B109" s="512" t="s">
        <v>163</v>
      </c>
      <c r="C109" s="512" t="s">
        <v>73</v>
      </c>
      <c r="D109" s="512" t="s">
        <v>574</v>
      </c>
      <c r="E109" s="513" t="s">
        <v>380</v>
      </c>
      <c r="F109" s="514">
        <v>66188.0</v>
      </c>
      <c r="G109" s="514">
        <v>5619.0</v>
      </c>
      <c r="H109" s="514">
        <v>8.49</v>
      </c>
      <c r="I109" s="514">
        <v>4.46</v>
      </c>
      <c r="J109" s="514">
        <v>5.42</v>
      </c>
      <c r="K109" s="514">
        <v>7213.0</v>
      </c>
      <c r="L109" s="514">
        <v>161756.0</v>
      </c>
      <c r="M109" s="514">
        <v>0.109</v>
      </c>
      <c r="N109" s="6">
        <v>1.2837</v>
      </c>
    </row>
    <row r="110">
      <c r="A110" s="512" t="s">
        <v>1894</v>
      </c>
      <c r="B110" s="512" t="s">
        <v>163</v>
      </c>
      <c r="C110" s="512" t="s">
        <v>73</v>
      </c>
      <c r="D110" s="512" t="s">
        <v>574</v>
      </c>
      <c r="E110" s="513" t="s">
        <v>377</v>
      </c>
      <c r="F110" s="514">
        <v>66188.0</v>
      </c>
      <c r="G110" s="514">
        <v>4431.0</v>
      </c>
      <c r="H110" s="514">
        <v>6.69</v>
      </c>
      <c r="I110" s="514">
        <v>3.25</v>
      </c>
      <c r="J110" s="514">
        <v>3.84</v>
      </c>
      <c r="K110" s="514">
        <v>5263.0</v>
      </c>
      <c r="L110" s="514">
        <v>161756.0</v>
      </c>
      <c r="M110" s="514">
        <v>0.0795</v>
      </c>
      <c r="N110" s="6">
        <v>1.1878</v>
      </c>
    </row>
    <row r="111">
      <c r="A111" s="512" t="s">
        <v>1894</v>
      </c>
      <c r="B111" s="512" t="s">
        <v>163</v>
      </c>
      <c r="C111" s="512" t="s">
        <v>73</v>
      </c>
      <c r="D111" s="512" t="s">
        <v>574</v>
      </c>
      <c r="E111" s="513" t="s">
        <v>32</v>
      </c>
      <c r="F111" s="514">
        <v>66188.0</v>
      </c>
      <c r="G111" s="514">
        <v>3666.0</v>
      </c>
      <c r="H111" s="514">
        <v>5.54</v>
      </c>
      <c r="I111" s="514">
        <v>2.38</v>
      </c>
      <c r="J111" s="514">
        <v>3.53</v>
      </c>
      <c r="K111" s="514">
        <v>3852.0</v>
      </c>
      <c r="L111" s="514">
        <v>161756.0</v>
      </c>
      <c r="M111" s="514">
        <v>0.0582</v>
      </c>
      <c r="N111" s="6">
        <v>1.0507</v>
      </c>
    </row>
    <row r="112">
      <c r="A112" s="512" t="s">
        <v>1894</v>
      </c>
      <c r="B112" s="512" t="s">
        <v>163</v>
      </c>
      <c r="C112" s="512" t="s">
        <v>73</v>
      </c>
      <c r="D112" s="512" t="s">
        <v>574</v>
      </c>
      <c r="E112" s="513" t="s">
        <v>312</v>
      </c>
      <c r="F112" s="514">
        <v>66188.0</v>
      </c>
      <c r="G112" s="514">
        <v>3282.0</v>
      </c>
      <c r="H112" s="514">
        <v>4.96</v>
      </c>
      <c r="I112" s="514">
        <v>2.18</v>
      </c>
      <c r="J112" s="514">
        <v>3.03</v>
      </c>
      <c r="K112" s="514">
        <v>3534.0</v>
      </c>
      <c r="L112" s="514">
        <v>161756.0</v>
      </c>
      <c r="M112" s="514">
        <v>0.0534</v>
      </c>
      <c r="N112" s="6">
        <v>1.0768</v>
      </c>
    </row>
    <row r="113">
      <c r="A113" s="512" t="s">
        <v>1894</v>
      </c>
      <c r="B113" s="512" t="s">
        <v>163</v>
      </c>
      <c r="C113" s="512" t="s">
        <v>73</v>
      </c>
      <c r="D113" s="512" t="s">
        <v>574</v>
      </c>
      <c r="E113" s="513" t="s">
        <v>310</v>
      </c>
      <c r="F113" s="514">
        <v>66188.0</v>
      </c>
      <c r="G113" s="514">
        <v>3268.0</v>
      </c>
      <c r="H113" s="514">
        <v>4.94</v>
      </c>
      <c r="I113" s="514">
        <v>2.14</v>
      </c>
      <c r="J113" s="514">
        <v>3.31</v>
      </c>
      <c r="K113" s="514">
        <v>3465.0</v>
      </c>
      <c r="L113" s="514">
        <v>161756.0</v>
      </c>
      <c r="M113" s="514">
        <v>0.0524</v>
      </c>
      <c r="N113" s="6">
        <v>1.0603</v>
      </c>
    </row>
    <row r="114">
      <c r="A114" s="512" t="s">
        <v>1894</v>
      </c>
      <c r="B114" s="512" t="s">
        <v>163</v>
      </c>
      <c r="C114" s="512" t="s">
        <v>73</v>
      </c>
      <c r="D114" s="512" t="s">
        <v>574</v>
      </c>
      <c r="E114" s="513" t="s">
        <v>44</v>
      </c>
      <c r="F114" s="514">
        <v>66188.0</v>
      </c>
      <c r="G114" s="514">
        <v>2351.0</v>
      </c>
      <c r="H114" s="514">
        <v>3.55</v>
      </c>
      <c r="I114" s="514">
        <v>1.56</v>
      </c>
      <c r="J114" s="514">
        <v>1.77</v>
      </c>
      <c r="K114" s="514">
        <v>2520.0</v>
      </c>
      <c r="L114" s="514">
        <v>161756.0</v>
      </c>
      <c r="M114" s="514">
        <v>0.0381</v>
      </c>
      <c r="N114" s="6">
        <v>1.0719</v>
      </c>
    </row>
    <row r="115">
      <c r="A115" s="512" t="s">
        <v>1894</v>
      </c>
      <c r="B115" s="512" t="s">
        <v>163</v>
      </c>
      <c r="C115" s="512" t="s">
        <v>73</v>
      </c>
      <c r="D115" s="512" t="s">
        <v>574</v>
      </c>
      <c r="E115" s="513" t="s">
        <v>50</v>
      </c>
      <c r="F115" s="514">
        <v>66188.0</v>
      </c>
      <c r="G115" s="514">
        <v>1493.0</v>
      </c>
      <c r="H115" s="514">
        <v>2.26</v>
      </c>
      <c r="I115" s="514">
        <v>0.97</v>
      </c>
      <c r="J115" s="514">
        <v>1.54</v>
      </c>
      <c r="K115" s="514">
        <v>1566.0</v>
      </c>
      <c r="L115" s="514">
        <v>161756.0</v>
      </c>
      <c r="M115" s="514">
        <v>0.0237</v>
      </c>
      <c r="N115" s="6">
        <v>1.0489</v>
      </c>
    </row>
    <row r="116">
      <c r="A116" s="512" t="s">
        <v>1894</v>
      </c>
      <c r="B116" s="512" t="s">
        <v>163</v>
      </c>
      <c r="C116" s="512" t="s">
        <v>73</v>
      </c>
      <c r="D116" s="512" t="s">
        <v>574</v>
      </c>
      <c r="E116" s="513" t="s">
        <v>311</v>
      </c>
      <c r="F116" s="514">
        <v>66188.0</v>
      </c>
      <c r="G116" s="514">
        <v>902.0</v>
      </c>
      <c r="H116" s="514">
        <v>1.36</v>
      </c>
      <c r="I116" s="514">
        <v>0.58</v>
      </c>
      <c r="J116" s="514">
        <v>0.94</v>
      </c>
      <c r="K116" s="514">
        <v>935.0</v>
      </c>
      <c r="L116" s="514">
        <v>161756.0</v>
      </c>
      <c r="M116" s="514">
        <v>0.0141</v>
      </c>
      <c r="N116" s="6">
        <v>1.0366</v>
      </c>
    </row>
    <row r="117">
      <c r="A117" s="512" t="s">
        <v>1894</v>
      </c>
      <c r="B117" s="512" t="s">
        <v>163</v>
      </c>
      <c r="C117" s="512" t="s">
        <v>73</v>
      </c>
      <c r="D117" s="512" t="s">
        <v>574</v>
      </c>
      <c r="E117" s="513" t="s">
        <v>379</v>
      </c>
      <c r="F117" s="514">
        <v>66188.0</v>
      </c>
      <c r="G117" s="514">
        <v>775.0</v>
      </c>
      <c r="H117" s="514">
        <v>1.17</v>
      </c>
      <c r="I117" s="514">
        <v>0.54</v>
      </c>
      <c r="J117" s="514">
        <v>0.82</v>
      </c>
      <c r="K117" s="514">
        <v>868.0</v>
      </c>
      <c r="L117" s="514">
        <v>161756.0</v>
      </c>
      <c r="M117" s="514">
        <v>0.0131</v>
      </c>
      <c r="N117" s="6">
        <v>1.12</v>
      </c>
    </row>
    <row r="118">
      <c r="A118" s="512" t="s">
        <v>1894</v>
      </c>
      <c r="B118" s="512" t="s">
        <v>163</v>
      </c>
      <c r="C118" s="512" t="s">
        <v>73</v>
      </c>
      <c r="D118" s="512" t="s">
        <v>574</v>
      </c>
      <c r="E118" s="513" t="s">
        <v>372</v>
      </c>
      <c r="F118" s="514">
        <v>66188.0</v>
      </c>
      <c r="G118" s="514">
        <v>467.0</v>
      </c>
      <c r="H118" s="514">
        <v>0.71</v>
      </c>
      <c r="I118" s="514">
        <v>0.34</v>
      </c>
      <c r="J118" s="514">
        <v>0.49</v>
      </c>
      <c r="K118" s="514">
        <v>545.0</v>
      </c>
      <c r="L118" s="514">
        <v>161756.0</v>
      </c>
      <c r="M118" s="514">
        <v>0.0082</v>
      </c>
      <c r="N118" s="6">
        <v>1.167</v>
      </c>
    </row>
    <row r="119">
      <c r="A119" s="512" t="s">
        <v>1894</v>
      </c>
      <c r="B119" s="512" t="s">
        <v>163</v>
      </c>
      <c r="C119" s="512" t="s">
        <v>73</v>
      </c>
      <c r="D119" s="512" t="s">
        <v>574</v>
      </c>
      <c r="E119" s="513" t="s">
        <v>43</v>
      </c>
      <c r="F119" s="514">
        <v>66188.0</v>
      </c>
      <c r="G119" s="514">
        <v>479.0</v>
      </c>
      <c r="H119" s="514">
        <v>0.72</v>
      </c>
      <c r="I119" s="514">
        <v>0.31</v>
      </c>
      <c r="J119" s="514">
        <v>0.39</v>
      </c>
      <c r="K119" s="514">
        <v>501.0</v>
      </c>
      <c r="L119" s="514">
        <v>161756.0</v>
      </c>
      <c r="M119" s="514">
        <v>0.0076</v>
      </c>
      <c r="N119" s="6">
        <v>1.0459</v>
      </c>
    </row>
    <row r="120">
      <c r="A120" s="512" t="s">
        <v>1894</v>
      </c>
      <c r="B120" s="512" t="s">
        <v>163</v>
      </c>
      <c r="C120" s="512" t="s">
        <v>73</v>
      </c>
      <c r="D120" s="512" t="s">
        <v>574</v>
      </c>
      <c r="E120" s="513" t="s">
        <v>134</v>
      </c>
      <c r="F120" s="514">
        <v>66188.0</v>
      </c>
      <c r="G120" s="514">
        <v>242.0</v>
      </c>
      <c r="H120" s="514">
        <v>0.37</v>
      </c>
      <c r="I120" s="514">
        <v>0.18</v>
      </c>
      <c r="J120" s="514">
        <v>0.19</v>
      </c>
      <c r="K120" s="514">
        <v>293.0</v>
      </c>
      <c r="L120" s="514">
        <v>161756.0</v>
      </c>
      <c r="M120" s="514">
        <v>0.0044</v>
      </c>
      <c r="N120" s="6">
        <v>1.2107</v>
      </c>
    </row>
    <row r="121">
      <c r="A121" s="512" t="s">
        <v>1894</v>
      </c>
      <c r="B121" s="512" t="s">
        <v>163</v>
      </c>
      <c r="C121" s="512" t="s">
        <v>73</v>
      </c>
      <c r="D121" s="512" t="s">
        <v>574</v>
      </c>
      <c r="E121" s="513" t="s">
        <v>35</v>
      </c>
      <c r="F121" s="514">
        <v>66188.0</v>
      </c>
      <c r="G121" s="514">
        <v>34.0</v>
      </c>
      <c r="H121" s="514">
        <v>0.05</v>
      </c>
      <c r="I121" s="514">
        <v>0.02</v>
      </c>
      <c r="J121" s="514">
        <v>0.02</v>
      </c>
      <c r="K121" s="514">
        <v>35.0</v>
      </c>
      <c r="L121" s="514">
        <v>161756.0</v>
      </c>
      <c r="M121" s="514">
        <v>5.0E-4</v>
      </c>
      <c r="N121" s="6">
        <v>1.0294</v>
      </c>
    </row>
    <row r="122">
      <c r="A122" s="512" t="s">
        <v>1894</v>
      </c>
      <c r="B122" s="512" t="s">
        <v>163</v>
      </c>
      <c r="C122" s="512" t="s">
        <v>73</v>
      </c>
      <c r="D122" s="512" t="s">
        <v>574</v>
      </c>
      <c r="E122" s="513" t="s">
        <v>189</v>
      </c>
      <c r="F122" s="514">
        <v>66188.0</v>
      </c>
      <c r="G122" s="514">
        <v>10.0</v>
      </c>
      <c r="H122" s="514">
        <v>0.02</v>
      </c>
      <c r="I122" s="514">
        <v>0.01</v>
      </c>
      <c r="J122" s="514">
        <v>0.01</v>
      </c>
      <c r="K122" s="514">
        <v>11.0</v>
      </c>
      <c r="L122" s="514">
        <v>161756.0</v>
      </c>
      <c r="M122" s="514">
        <v>2.0E-4</v>
      </c>
      <c r="N122" s="6">
        <v>1.1</v>
      </c>
    </row>
    <row r="123">
      <c r="A123" s="512" t="s">
        <v>1894</v>
      </c>
      <c r="B123" s="512" t="s">
        <v>163</v>
      </c>
      <c r="C123" s="512" t="s">
        <v>73</v>
      </c>
      <c r="D123" s="512" t="s">
        <v>574</v>
      </c>
      <c r="E123" s="513" t="s">
        <v>374</v>
      </c>
      <c r="F123" s="514">
        <v>66188.0</v>
      </c>
      <c r="G123" s="514">
        <v>5.0</v>
      </c>
      <c r="H123" s="514">
        <v>0.01</v>
      </c>
      <c r="I123" s="514">
        <v>0.0</v>
      </c>
      <c r="J123" s="514">
        <v>0.01</v>
      </c>
      <c r="K123" s="514">
        <v>8.0</v>
      </c>
      <c r="L123" s="514">
        <v>161756.0</v>
      </c>
      <c r="M123" s="514">
        <v>1.0E-4</v>
      </c>
      <c r="N123" s="6">
        <v>1.6</v>
      </c>
    </row>
    <row r="124">
      <c r="A124" s="512" t="s">
        <v>1894</v>
      </c>
      <c r="B124" s="512" t="s">
        <v>163</v>
      </c>
      <c r="C124" s="512" t="s">
        <v>73</v>
      </c>
      <c r="D124" s="512" t="s">
        <v>574</v>
      </c>
      <c r="E124" s="513" t="s">
        <v>46</v>
      </c>
      <c r="F124" s="514">
        <v>66188.0</v>
      </c>
      <c r="G124" s="514">
        <v>1.0</v>
      </c>
      <c r="H124" s="514">
        <v>0.0</v>
      </c>
      <c r="I124" s="514">
        <v>0.0</v>
      </c>
      <c r="J124" s="514">
        <v>0.0</v>
      </c>
      <c r="K124" s="514">
        <v>1.0</v>
      </c>
      <c r="L124" s="514">
        <v>161756.0</v>
      </c>
      <c r="M124" s="514">
        <v>0.0</v>
      </c>
      <c r="N124" s="6">
        <v>1.0</v>
      </c>
    </row>
    <row r="125">
      <c r="A125" s="512" t="s">
        <v>1894</v>
      </c>
      <c r="B125" s="512" t="s">
        <v>163</v>
      </c>
      <c r="C125" s="512" t="s">
        <v>72</v>
      </c>
      <c r="D125" s="512" t="s">
        <v>574</v>
      </c>
      <c r="E125" s="513" t="s">
        <v>373</v>
      </c>
      <c r="F125" s="514">
        <v>81014.0</v>
      </c>
      <c r="G125" s="514">
        <v>50765.0</v>
      </c>
      <c r="H125" s="514">
        <v>62.66</v>
      </c>
      <c r="I125" s="514">
        <v>53.35</v>
      </c>
      <c r="J125" s="514">
        <v>46.98</v>
      </c>
      <c r="K125" s="514">
        <v>118261.0</v>
      </c>
      <c r="L125" s="514">
        <v>221656.0</v>
      </c>
      <c r="M125" s="514">
        <v>1.4598</v>
      </c>
      <c r="N125" s="6">
        <v>2.3296</v>
      </c>
    </row>
    <row r="126">
      <c r="A126" s="512" t="s">
        <v>1894</v>
      </c>
      <c r="B126" s="512" t="s">
        <v>163</v>
      </c>
      <c r="C126" s="512" t="s">
        <v>72</v>
      </c>
      <c r="D126" s="512" t="s">
        <v>574</v>
      </c>
      <c r="E126" s="513" t="s">
        <v>367</v>
      </c>
      <c r="F126" s="514">
        <v>81014.0</v>
      </c>
      <c r="G126" s="514">
        <v>10622.0</v>
      </c>
      <c r="H126" s="514">
        <v>13.11</v>
      </c>
      <c r="I126" s="514">
        <v>9.96</v>
      </c>
      <c r="J126" s="514">
        <v>6.7</v>
      </c>
      <c r="K126" s="514">
        <v>22074.0</v>
      </c>
      <c r="L126" s="514">
        <v>221656.0</v>
      </c>
      <c r="M126" s="514">
        <v>0.2725</v>
      </c>
      <c r="N126" s="6">
        <v>2.0781</v>
      </c>
    </row>
    <row r="127">
      <c r="A127" s="512" t="s">
        <v>1894</v>
      </c>
      <c r="B127" s="512" t="s">
        <v>163</v>
      </c>
      <c r="C127" s="512" t="s">
        <v>72</v>
      </c>
      <c r="D127" s="512" t="s">
        <v>574</v>
      </c>
      <c r="E127" s="513" t="s">
        <v>40</v>
      </c>
      <c r="F127" s="514">
        <v>81014.0</v>
      </c>
      <c r="G127" s="514">
        <v>11595.0</v>
      </c>
      <c r="H127" s="514">
        <v>14.31</v>
      </c>
      <c r="I127" s="514">
        <v>8.16</v>
      </c>
      <c r="J127" s="514">
        <v>8.65</v>
      </c>
      <c r="K127" s="514">
        <v>18091.0</v>
      </c>
      <c r="L127" s="514">
        <v>221656.0</v>
      </c>
      <c r="M127" s="514">
        <v>0.2233</v>
      </c>
      <c r="N127" s="6">
        <v>1.5602</v>
      </c>
    </row>
    <row r="128">
      <c r="A128" s="512" t="s">
        <v>1894</v>
      </c>
      <c r="B128" s="512" t="s">
        <v>163</v>
      </c>
      <c r="C128" s="512" t="s">
        <v>72</v>
      </c>
      <c r="D128" s="512" t="s">
        <v>574</v>
      </c>
      <c r="E128" s="513" t="s">
        <v>42</v>
      </c>
      <c r="F128" s="514">
        <v>81014.0</v>
      </c>
      <c r="G128" s="514">
        <v>12110.0</v>
      </c>
      <c r="H128" s="514">
        <v>14.95</v>
      </c>
      <c r="I128" s="514">
        <v>7.12</v>
      </c>
      <c r="J128" s="514">
        <v>8.12</v>
      </c>
      <c r="K128" s="514">
        <v>15772.0</v>
      </c>
      <c r="L128" s="514">
        <v>221656.0</v>
      </c>
      <c r="M128" s="514">
        <v>0.1947</v>
      </c>
      <c r="N128" s="6">
        <v>1.3024</v>
      </c>
    </row>
    <row r="129">
      <c r="A129" s="512" t="s">
        <v>1894</v>
      </c>
      <c r="B129" s="512" t="s">
        <v>163</v>
      </c>
      <c r="C129" s="512" t="s">
        <v>72</v>
      </c>
      <c r="D129" s="512" t="s">
        <v>574</v>
      </c>
      <c r="E129" s="513" t="s">
        <v>377</v>
      </c>
      <c r="F129" s="514">
        <v>81014.0</v>
      </c>
      <c r="G129" s="514">
        <v>8397.0</v>
      </c>
      <c r="H129" s="514">
        <v>10.36</v>
      </c>
      <c r="I129" s="514">
        <v>4.22</v>
      </c>
      <c r="J129" s="514">
        <v>5.6</v>
      </c>
      <c r="K129" s="514">
        <v>9353.0</v>
      </c>
      <c r="L129" s="514">
        <v>221656.0</v>
      </c>
      <c r="M129" s="514">
        <v>0.1154</v>
      </c>
      <c r="N129" s="6">
        <v>1.1139</v>
      </c>
    </row>
    <row r="130">
      <c r="A130" s="512" t="s">
        <v>1894</v>
      </c>
      <c r="B130" s="512" t="s">
        <v>163</v>
      </c>
      <c r="C130" s="512" t="s">
        <v>72</v>
      </c>
      <c r="D130" s="512" t="s">
        <v>574</v>
      </c>
      <c r="E130" s="513" t="s">
        <v>32</v>
      </c>
      <c r="F130" s="514">
        <v>81014.0</v>
      </c>
      <c r="G130" s="514">
        <v>8566.0</v>
      </c>
      <c r="H130" s="514">
        <v>10.57</v>
      </c>
      <c r="I130" s="514">
        <v>4.1</v>
      </c>
      <c r="J130" s="514">
        <v>5.82</v>
      </c>
      <c r="K130" s="514">
        <v>9092.0</v>
      </c>
      <c r="L130" s="514">
        <v>221656.0</v>
      </c>
      <c r="M130" s="514">
        <v>0.1122</v>
      </c>
      <c r="N130" s="6">
        <v>1.0614</v>
      </c>
    </row>
    <row r="131">
      <c r="A131" s="512" t="s">
        <v>1894</v>
      </c>
      <c r="B131" s="512" t="s">
        <v>163</v>
      </c>
      <c r="C131" s="512" t="s">
        <v>72</v>
      </c>
      <c r="D131" s="512" t="s">
        <v>574</v>
      </c>
      <c r="E131" s="513" t="s">
        <v>310</v>
      </c>
      <c r="F131" s="514">
        <v>81014.0</v>
      </c>
      <c r="G131" s="514">
        <v>7238.0</v>
      </c>
      <c r="H131" s="514">
        <v>8.93</v>
      </c>
      <c r="I131" s="514">
        <v>3.49</v>
      </c>
      <c r="J131" s="514">
        <v>5.11</v>
      </c>
      <c r="K131" s="514">
        <v>7732.0</v>
      </c>
      <c r="L131" s="514">
        <v>221656.0</v>
      </c>
      <c r="M131" s="514">
        <v>0.0954</v>
      </c>
      <c r="N131" s="6">
        <v>1.0683</v>
      </c>
    </row>
    <row r="132">
      <c r="A132" s="512" t="s">
        <v>1894</v>
      </c>
      <c r="B132" s="512" t="s">
        <v>163</v>
      </c>
      <c r="C132" s="512" t="s">
        <v>72</v>
      </c>
      <c r="D132" s="512" t="s">
        <v>574</v>
      </c>
      <c r="E132" s="513" t="s">
        <v>312</v>
      </c>
      <c r="F132" s="514">
        <v>81014.0</v>
      </c>
      <c r="G132" s="514">
        <v>6893.0</v>
      </c>
      <c r="H132" s="514">
        <v>8.51</v>
      </c>
      <c r="I132" s="514">
        <v>3.34</v>
      </c>
      <c r="J132" s="514">
        <v>4.73</v>
      </c>
      <c r="K132" s="514">
        <v>7393.0</v>
      </c>
      <c r="L132" s="514">
        <v>221656.0</v>
      </c>
      <c r="M132" s="514">
        <v>0.0913</v>
      </c>
      <c r="N132" s="6">
        <v>1.0725</v>
      </c>
    </row>
    <row r="133">
      <c r="A133" s="512" t="s">
        <v>1894</v>
      </c>
      <c r="B133" s="512" t="s">
        <v>163</v>
      </c>
      <c r="C133" s="512" t="s">
        <v>72</v>
      </c>
      <c r="D133" s="512" t="s">
        <v>574</v>
      </c>
      <c r="E133" s="513" t="s">
        <v>49</v>
      </c>
      <c r="F133" s="514">
        <v>81014.0</v>
      </c>
      <c r="G133" s="514">
        <v>4522.0</v>
      </c>
      <c r="H133" s="514">
        <v>5.58</v>
      </c>
      <c r="I133" s="514">
        <v>2.24</v>
      </c>
      <c r="J133" s="514">
        <v>2.65</v>
      </c>
      <c r="K133" s="514">
        <v>4976.0</v>
      </c>
      <c r="L133" s="514">
        <v>221656.0</v>
      </c>
      <c r="M133" s="514">
        <v>0.0614</v>
      </c>
      <c r="N133" s="6">
        <v>1.1004</v>
      </c>
    </row>
    <row r="134">
      <c r="A134" s="512" t="s">
        <v>1894</v>
      </c>
      <c r="B134" s="512" t="s">
        <v>163</v>
      </c>
      <c r="C134" s="512" t="s">
        <v>72</v>
      </c>
      <c r="D134" s="512" t="s">
        <v>574</v>
      </c>
      <c r="E134" s="513" t="s">
        <v>311</v>
      </c>
      <c r="F134" s="514">
        <v>81014.0</v>
      </c>
      <c r="G134" s="514">
        <v>1992.0</v>
      </c>
      <c r="H134" s="514">
        <v>2.46</v>
      </c>
      <c r="I134" s="514">
        <v>0.94</v>
      </c>
      <c r="J134" s="514">
        <v>1.39</v>
      </c>
      <c r="K134" s="514">
        <v>2083.0</v>
      </c>
      <c r="L134" s="514">
        <v>221656.0</v>
      </c>
      <c r="M134" s="514">
        <v>0.0257</v>
      </c>
      <c r="N134" s="6">
        <v>1.0457</v>
      </c>
    </row>
    <row r="135">
      <c r="A135" s="512" t="s">
        <v>1894</v>
      </c>
      <c r="B135" s="512" t="s">
        <v>163</v>
      </c>
      <c r="C135" s="512" t="s">
        <v>72</v>
      </c>
      <c r="D135" s="512" t="s">
        <v>574</v>
      </c>
      <c r="E135" s="513" t="s">
        <v>380</v>
      </c>
      <c r="F135" s="514">
        <v>81014.0</v>
      </c>
      <c r="G135" s="514">
        <v>1483.0</v>
      </c>
      <c r="H135" s="514">
        <v>1.83</v>
      </c>
      <c r="I135" s="514">
        <v>0.84</v>
      </c>
      <c r="J135" s="514">
        <v>1.08</v>
      </c>
      <c r="K135" s="514">
        <v>1870.0</v>
      </c>
      <c r="L135" s="514">
        <v>221656.0</v>
      </c>
      <c r="M135" s="514">
        <v>0.0231</v>
      </c>
      <c r="N135" s="6">
        <v>1.261</v>
      </c>
    </row>
    <row r="136">
      <c r="A136" s="512" t="s">
        <v>1894</v>
      </c>
      <c r="B136" s="512" t="s">
        <v>163</v>
      </c>
      <c r="C136" s="512" t="s">
        <v>72</v>
      </c>
      <c r="D136" s="512" t="s">
        <v>574</v>
      </c>
      <c r="E136" s="513" t="s">
        <v>50</v>
      </c>
      <c r="F136" s="514">
        <v>81014.0</v>
      </c>
      <c r="G136" s="514">
        <v>1465.0</v>
      </c>
      <c r="H136" s="514">
        <v>1.81</v>
      </c>
      <c r="I136" s="514">
        <v>0.68</v>
      </c>
      <c r="J136" s="514">
        <v>1.11</v>
      </c>
      <c r="K136" s="514">
        <v>1518.0</v>
      </c>
      <c r="L136" s="514">
        <v>221656.0</v>
      </c>
      <c r="M136" s="514">
        <v>0.0187</v>
      </c>
      <c r="N136" s="6">
        <v>1.0362</v>
      </c>
    </row>
    <row r="137">
      <c r="A137" s="512" t="s">
        <v>1894</v>
      </c>
      <c r="B137" s="512" t="s">
        <v>163</v>
      </c>
      <c r="C137" s="512" t="s">
        <v>72</v>
      </c>
      <c r="D137" s="512" t="s">
        <v>574</v>
      </c>
      <c r="E137" s="513" t="s">
        <v>43</v>
      </c>
      <c r="F137" s="514">
        <v>81014.0</v>
      </c>
      <c r="G137" s="514">
        <v>884.0</v>
      </c>
      <c r="H137" s="514">
        <v>1.09</v>
      </c>
      <c r="I137" s="514">
        <v>0.42</v>
      </c>
      <c r="J137" s="514">
        <v>0.52</v>
      </c>
      <c r="K137" s="514">
        <v>922.0</v>
      </c>
      <c r="L137" s="514">
        <v>221656.0</v>
      </c>
      <c r="M137" s="514">
        <v>0.0114</v>
      </c>
      <c r="N137" s="6">
        <v>1.043</v>
      </c>
    </row>
    <row r="138">
      <c r="A138" s="512" t="s">
        <v>1894</v>
      </c>
      <c r="B138" s="512" t="s">
        <v>163</v>
      </c>
      <c r="C138" s="512" t="s">
        <v>72</v>
      </c>
      <c r="D138" s="512" t="s">
        <v>574</v>
      </c>
      <c r="E138" s="513" t="s">
        <v>44</v>
      </c>
      <c r="F138" s="514">
        <v>81014.0</v>
      </c>
      <c r="G138" s="514">
        <v>815.0</v>
      </c>
      <c r="H138" s="514">
        <v>1.01</v>
      </c>
      <c r="I138" s="514">
        <v>0.39</v>
      </c>
      <c r="J138" s="514">
        <v>0.52</v>
      </c>
      <c r="K138" s="514">
        <v>874.0</v>
      </c>
      <c r="L138" s="514">
        <v>221656.0</v>
      </c>
      <c r="M138" s="514">
        <v>0.0108</v>
      </c>
      <c r="N138" s="6">
        <v>1.0724</v>
      </c>
    </row>
    <row r="139">
      <c r="A139" s="512" t="s">
        <v>1894</v>
      </c>
      <c r="B139" s="512" t="s">
        <v>163</v>
      </c>
      <c r="C139" s="512" t="s">
        <v>72</v>
      </c>
      <c r="D139" s="512" t="s">
        <v>574</v>
      </c>
      <c r="E139" s="513" t="s">
        <v>379</v>
      </c>
      <c r="F139" s="514">
        <v>81014.0</v>
      </c>
      <c r="G139" s="514">
        <v>647.0</v>
      </c>
      <c r="H139" s="514">
        <v>0.8</v>
      </c>
      <c r="I139" s="514">
        <v>0.33</v>
      </c>
      <c r="J139" s="514">
        <v>0.55</v>
      </c>
      <c r="K139" s="514">
        <v>735.0</v>
      </c>
      <c r="L139" s="514">
        <v>221656.0</v>
      </c>
      <c r="M139" s="514">
        <v>0.0091</v>
      </c>
      <c r="N139" s="6">
        <v>1.136</v>
      </c>
    </row>
    <row r="140">
      <c r="A140" s="512" t="s">
        <v>1894</v>
      </c>
      <c r="B140" s="512" t="s">
        <v>163</v>
      </c>
      <c r="C140" s="512" t="s">
        <v>72</v>
      </c>
      <c r="D140" s="512" t="s">
        <v>574</v>
      </c>
      <c r="E140" s="513" t="s">
        <v>372</v>
      </c>
      <c r="F140" s="514">
        <v>81014.0</v>
      </c>
      <c r="G140" s="514">
        <v>339.0</v>
      </c>
      <c r="H140" s="514">
        <v>0.42</v>
      </c>
      <c r="I140" s="514">
        <v>0.17</v>
      </c>
      <c r="J140" s="514">
        <v>0.27</v>
      </c>
      <c r="K140" s="514">
        <v>387.0</v>
      </c>
      <c r="L140" s="514">
        <v>221656.0</v>
      </c>
      <c r="M140" s="514">
        <v>0.0048</v>
      </c>
      <c r="N140" s="6">
        <v>1.1416</v>
      </c>
    </row>
    <row r="141">
      <c r="A141" s="512" t="s">
        <v>1894</v>
      </c>
      <c r="B141" s="512" t="s">
        <v>163</v>
      </c>
      <c r="C141" s="512" t="s">
        <v>72</v>
      </c>
      <c r="D141" s="512" t="s">
        <v>574</v>
      </c>
      <c r="E141" s="513" t="s">
        <v>374</v>
      </c>
      <c r="F141" s="514">
        <v>81014.0</v>
      </c>
      <c r="G141" s="514">
        <v>255.0</v>
      </c>
      <c r="H141" s="514">
        <v>0.31</v>
      </c>
      <c r="I141" s="514">
        <v>0.13</v>
      </c>
      <c r="J141" s="514">
        <v>0.13</v>
      </c>
      <c r="K141" s="514">
        <v>293.0</v>
      </c>
      <c r="L141" s="514">
        <v>221656.0</v>
      </c>
      <c r="M141" s="514">
        <v>0.0036</v>
      </c>
      <c r="N141" s="6">
        <v>1.149</v>
      </c>
    </row>
    <row r="142">
      <c r="A142" s="512" t="s">
        <v>1894</v>
      </c>
      <c r="B142" s="512" t="s">
        <v>163</v>
      </c>
      <c r="C142" s="512" t="s">
        <v>72</v>
      </c>
      <c r="D142" s="512" t="s">
        <v>574</v>
      </c>
      <c r="E142" s="513" t="s">
        <v>134</v>
      </c>
      <c r="F142" s="514">
        <v>81014.0</v>
      </c>
      <c r="G142" s="514">
        <v>86.0</v>
      </c>
      <c r="H142" s="514">
        <v>0.11</v>
      </c>
      <c r="I142" s="514">
        <v>0.07</v>
      </c>
      <c r="J142" s="514">
        <v>0.04</v>
      </c>
      <c r="K142" s="514">
        <v>157.0</v>
      </c>
      <c r="L142" s="514">
        <v>221656.0</v>
      </c>
      <c r="M142" s="514">
        <v>0.0019</v>
      </c>
      <c r="N142" s="6">
        <v>1.8256</v>
      </c>
    </row>
    <row r="143">
      <c r="A143" s="512" t="s">
        <v>1894</v>
      </c>
      <c r="B143" s="512" t="s">
        <v>163</v>
      </c>
      <c r="C143" s="512" t="s">
        <v>72</v>
      </c>
      <c r="D143" s="512" t="s">
        <v>574</v>
      </c>
      <c r="E143" s="513" t="s">
        <v>375</v>
      </c>
      <c r="F143" s="514">
        <v>81014.0</v>
      </c>
      <c r="G143" s="514">
        <v>51.0</v>
      </c>
      <c r="H143" s="514">
        <v>0.06</v>
      </c>
      <c r="I143" s="514">
        <v>0.02</v>
      </c>
      <c r="J143" s="514">
        <v>0.04</v>
      </c>
      <c r="K143" s="514">
        <v>54.0</v>
      </c>
      <c r="L143" s="514">
        <v>221656.0</v>
      </c>
      <c r="M143" s="514">
        <v>7.0E-4</v>
      </c>
      <c r="N143" s="6">
        <v>1.0588</v>
      </c>
    </row>
    <row r="144">
      <c r="A144" s="512" t="s">
        <v>1894</v>
      </c>
      <c r="B144" s="512" t="s">
        <v>163</v>
      </c>
      <c r="C144" s="512" t="s">
        <v>72</v>
      </c>
      <c r="D144" s="512" t="s">
        <v>574</v>
      </c>
      <c r="E144" s="513" t="s">
        <v>189</v>
      </c>
      <c r="F144" s="514">
        <v>81014.0</v>
      </c>
      <c r="G144" s="514">
        <v>19.0</v>
      </c>
      <c r="H144" s="514">
        <v>0.02</v>
      </c>
      <c r="I144" s="514">
        <v>0.01</v>
      </c>
      <c r="J144" s="514">
        <v>0.01</v>
      </c>
      <c r="K144" s="514">
        <v>19.0</v>
      </c>
      <c r="L144" s="514">
        <v>221656.0</v>
      </c>
      <c r="M144" s="514">
        <v>2.0E-4</v>
      </c>
      <c r="N144" s="6">
        <v>1.0</v>
      </c>
    </row>
    <row r="145">
      <c r="A145" s="512" t="s">
        <v>1894</v>
      </c>
      <c r="B145" s="512" t="s">
        <v>163</v>
      </c>
      <c r="C145" s="512" t="s">
        <v>1883</v>
      </c>
      <c r="D145" s="512" t="s">
        <v>2036</v>
      </c>
      <c r="E145" s="513" t="s">
        <v>373</v>
      </c>
      <c r="F145" s="514">
        <v>7056.0</v>
      </c>
      <c r="G145" s="514">
        <v>6027.0</v>
      </c>
      <c r="H145" s="514">
        <v>85.42</v>
      </c>
      <c r="I145" s="514">
        <v>92.88</v>
      </c>
      <c r="J145" s="514">
        <v>85.29</v>
      </c>
      <c r="K145" s="514">
        <v>215460.0</v>
      </c>
      <c r="L145" s="514">
        <v>231965.0</v>
      </c>
      <c r="M145" s="514">
        <v>30.5357</v>
      </c>
      <c r="N145" s="6">
        <v>35.7491</v>
      </c>
    </row>
    <row r="146">
      <c r="A146" s="512" t="s">
        <v>1894</v>
      </c>
      <c r="B146" s="512" t="s">
        <v>163</v>
      </c>
      <c r="C146" s="512" t="s">
        <v>1883</v>
      </c>
      <c r="D146" s="512" t="s">
        <v>2036</v>
      </c>
      <c r="E146" s="513" t="s">
        <v>375</v>
      </c>
      <c r="F146" s="514">
        <v>7056.0</v>
      </c>
      <c r="G146" s="514">
        <v>520.0</v>
      </c>
      <c r="H146" s="514">
        <v>7.37</v>
      </c>
      <c r="I146" s="514">
        <v>2.76</v>
      </c>
      <c r="J146" s="514">
        <v>7.11</v>
      </c>
      <c r="K146" s="514">
        <v>6400.0</v>
      </c>
      <c r="L146" s="514">
        <v>231965.0</v>
      </c>
      <c r="M146" s="514">
        <v>0.907</v>
      </c>
      <c r="N146" s="6">
        <v>12.3077</v>
      </c>
    </row>
    <row r="147">
      <c r="A147" s="512" t="s">
        <v>1894</v>
      </c>
      <c r="B147" s="512" t="s">
        <v>163</v>
      </c>
      <c r="C147" s="512" t="s">
        <v>1883</v>
      </c>
      <c r="D147" s="512" t="s">
        <v>2036</v>
      </c>
      <c r="E147" s="513" t="s">
        <v>377</v>
      </c>
      <c r="F147" s="514">
        <v>7056.0</v>
      </c>
      <c r="G147" s="514">
        <v>145.0</v>
      </c>
      <c r="H147" s="514">
        <v>2.05</v>
      </c>
      <c r="I147" s="514">
        <v>2.1</v>
      </c>
      <c r="J147" s="514">
        <v>2.03</v>
      </c>
      <c r="K147" s="514">
        <v>4875.0</v>
      </c>
      <c r="L147" s="514">
        <v>231965.0</v>
      </c>
      <c r="M147" s="514">
        <v>0.6909</v>
      </c>
      <c r="N147" s="6">
        <v>33.6207</v>
      </c>
    </row>
    <row r="148">
      <c r="A148" s="512" t="s">
        <v>1894</v>
      </c>
      <c r="B148" s="512" t="s">
        <v>163</v>
      </c>
      <c r="C148" s="512" t="s">
        <v>1883</v>
      </c>
      <c r="D148" s="512" t="s">
        <v>2036</v>
      </c>
      <c r="E148" s="513" t="s">
        <v>189</v>
      </c>
      <c r="F148" s="514">
        <v>7056.0</v>
      </c>
      <c r="G148" s="514">
        <v>214.0</v>
      </c>
      <c r="H148" s="514">
        <v>3.03</v>
      </c>
      <c r="I148" s="514">
        <v>1.0</v>
      </c>
      <c r="J148" s="514">
        <v>2.9</v>
      </c>
      <c r="K148" s="514">
        <v>2310.0</v>
      </c>
      <c r="L148" s="514">
        <v>231965.0</v>
      </c>
      <c r="M148" s="514">
        <v>0.3274</v>
      </c>
      <c r="N148" s="6">
        <v>10.7944</v>
      </c>
    </row>
    <row r="149">
      <c r="A149" s="512" t="s">
        <v>1894</v>
      </c>
      <c r="B149" s="512" t="s">
        <v>163</v>
      </c>
      <c r="C149" s="512" t="s">
        <v>1883</v>
      </c>
      <c r="D149" s="512" t="s">
        <v>2036</v>
      </c>
      <c r="E149" s="513" t="s">
        <v>380</v>
      </c>
      <c r="F149" s="514">
        <v>7056.0</v>
      </c>
      <c r="G149" s="514">
        <v>129.0</v>
      </c>
      <c r="H149" s="514">
        <v>1.83</v>
      </c>
      <c r="I149" s="514">
        <v>0.66</v>
      </c>
      <c r="J149" s="514">
        <v>1.82</v>
      </c>
      <c r="K149" s="514">
        <v>1535.0</v>
      </c>
      <c r="L149" s="514">
        <v>231965.0</v>
      </c>
      <c r="M149" s="514">
        <v>0.2175</v>
      </c>
      <c r="N149" s="6">
        <v>11.8992</v>
      </c>
    </row>
    <row r="150">
      <c r="A150" s="512" t="s">
        <v>1894</v>
      </c>
      <c r="B150" s="512" t="s">
        <v>163</v>
      </c>
      <c r="C150" s="512" t="s">
        <v>1883</v>
      </c>
      <c r="D150" s="512" t="s">
        <v>2036</v>
      </c>
      <c r="E150" s="513" t="s">
        <v>134</v>
      </c>
      <c r="F150" s="514">
        <v>7056.0</v>
      </c>
      <c r="G150" s="514">
        <v>31.0</v>
      </c>
      <c r="H150" s="514">
        <v>0.44</v>
      </c>
      <c r="I150" s="514">
        <v>0.3</v>
      </c>
      <c r="J150" s="514">
        <v>0.37</v>
      </c>
      <c r="K150" s="514">
        <v>690.0</v>
      </c>
      <c r="L150" s="514">
        <v>231965.0</v>
      </c>
      <c r="M150" s="514">
        <v>0.0978</v>
      </c>
      <c r="N150" s="6">
        <v>22.2581</v>
      </c>
    </row>
    <row r="151">
      <c r="A151" s="512" t="s">
        <v>1894</v>
      </c>
      <c r="B151" s="512" t="s">
        <v>163</v>
      </c>
      <c r="C151" s="512" t="s">
        <v>1883</v>
      </c>
      <c r="D151" s="512" t="s">
        <v>2036</v>
      </c>
      <c r="E151" s="513" t="s">
        <v>35</v>
      </c>
      <c r="F151" s="514">
        <v>7056.0</v>
      </c>
      <c r="G151" s="514">
        <v>39.0</v>
      </c>
      <c r="H151" s="514">
        <v>0.55</v>
      </c>
      <c r="I151" s="514">
        <v>0.26</v>
      </c>
      <c r="J151" s="514">
        <v>0.45</v>
      </c>
      <c r="K151" s="514">
        <v>600.0</v>
      </c>
      <c r="L151" s="514">
        <v>231965.0</v>
      </c>
      <c r="M151" s="514">
        <v>0.085</v>
      </c>
      <c r="N151" s="6">
        <v>15.3846</v>
      </c>
    </row>
    <row r="152">
      <c r="A152" s="512" t="s">
        <v>1894</v>
      </c>
      <c r="B152" s="512" t="s">
        <v>163</v>
      </c>
      <c r="C152" s="512" t="s">
        <v>1883</v>
      </c>
      <c r="D152" s="512" t="s">
        <v>2036</v>
      </c>
      <c r="E152" s="513" t="s">
        <v>379</v>
      </c>
      <c r="F152" s="514">
        <v>7056.0</v>
      </c>
      <c r="G152" s="514">
        <v>1.0</v>
      </c>
      <c r="H152" s="514">
        <v>0.01</v>
      </c>
      <c r="I152" s="514">
        <v>0.03</v>
      </c>
      <c r="J152" s="514">
        <v>0.01</v>
      </c>
      <c r="K152" s="514">
        <v>75.0</v>
      </c>
      <c r="L152" s="514">
        <v>231965.0</v>
      </c>
      <c r="M152" s="514">
        <v>0.0106</v>
      </c>
      <c r="N152" s="6">
        <v>75.0</v>
      </c>
    </row>
    <row r="153">
      <c r="A153" s="512" t="s">
        <v>1894</v>
      </c>
      <c r="B153" s="512" t="s">
        <v>163</v>
      </c>
      <c r="C153" s="512" t="s">
        <v>1883</v>
      </c>
      <c r="D153" s="512" t="s">
        <v>2036</v>
      </c>
      <c r="E153" s="513" t="s">
        <v>42</v>
      </c>
      <c r="F153" s="514">
        <v>7056.0</v>
      </c>
      <c r="G153" s="514">
        <v>1.0</v>
      </c>
      <c r="H153" s="514">
        <v>0.01</v>
      </c>
      <c r="I153" s="514">
        <v>0.01</v>
      </c>
      <c r="J153" s="514">
        <v>0.01</v>
      </c>
      <c r="K153" s="514">
        <v>20.0</v>
      </c>
      <c r="L153" s="514">
        <v>231965.0</v>
      </c>
      <c r="M153" s="514">
        <v>0.0028</v>
      </c>
      <c r="N153" s="6">
        <v>20.0</v>
      </c>
    </row>
    <row r="154">
      <c r="A154" s="512" t="s">
        <v>1894</v>
      </c>
      <c r="B154" s="512" t="s">
        <v>163</v>
      </c>
      <c r="C154" s="512" t="s">
        <v>1884</v>
      </c>
      <c r="D154" s="512" t="s">
        <v>2036</v>
      </c>
      <c r="E154" s="513" t="s">
        <v>373</v>
      </c>
      <c r="F154" s="514">
        <v>24506.0</v>
      </c>
      <c r="G154" s="514">
        <v>6624.0</v>
      </c>
      <c r="H154" s="514">
        <v>27.03</v>
      </c>
      <c r="I154" s="514">
        <v>58.51</v>
      </c>
      <c r="J154" s="514">
        <v>25.35</v>
      </c>
      <c r="K154" s="514">
        <v>468690.0</v>
      </c>
      <c r="L154" s="514">
        <v>801100.0</v>
      </c>
      <c r="M154" s="514">
        <v>19.1255</v>
      </c>
      <c r="N154" s="6">
        <v>70.7563</v>
      </c>
    </row>
    <row r="155">
      <c r="A155" s="512" t="s">
        <v>1894</v>
      </c>
      <c r="B155" s="512" t="s">
        <v>163</v>
      </c>
      <c r="C155" s="512" t="s">
        <v>1884</v>
      </c>
      <c r="D155" s="512" t="s">
        <v>2036</v>
      </c>
      <c r="E155" s="513" t="s">
        <v>380</v>
      </c>
      <c r="F155" s="514">
        <v>24506.0</v>
      </c>
      <c r="G155" s="514">
        <v>14802.0</v>
      </c>
      <c r="H155" s="514">
        <v>60.4</v>
      </c>
      <c r="I155" s="514">
        <v>32.6</v>
      </c>
      <c r="J155" s="514">
        <v>54.33</v>
      </c>
      <c r="K155" s="514">
        <v>261165.0</v>
      </c>
      <c r="L155" s="514">
        <v>801100.0</v>
      </c>
      <c r="M155" s="514">
        <v>10.6572</v>
      </c>
      <c r="N155" s="6">
        <v>17.6439</v>
      </c>
    </row>
    <row r="156">
      <c r="A156" s="512" t="s">
        <v>1894</v>
      </c>
      <c r="B156" s="512" t="s">
        <v>163</v>
      </c>
      <c r="C156" s="512" t="s">
        <v>1884</v>
      </c>
      <c r="D156" s="512" t="s">
        <v>2036</v>
      </c>
      <c r="E156" s="513" t="s">
        <v>375</v>
      </c>
      <c r="F156" s="514">
        <v>24506.0</v>
      </c>
      <c r="G156" s="514">
        <v>3862.0</v>
      </c>
      <c r="H156" s="514">
        <v>15.76</v>
      </c>
      <c r="I156" s="514">
        <v>6.1</v>
      </c>
      <c r="J156" s="514">
        <v>14.27</v>
      </c>
      <c r="K156" s="514">
        <v>48840.0</v>
      </c>
      <c r="L156" s="514">
        <v>801100.0</v>
      </c>
      <c r="M156" s="514">
        <v>1.993</v>
      </c>
      <c r="N156" s="6">
        <v>12.6463</v>
      </c>
    </row>
    <row r="157">
      <c r="A157" s="512" t="s">
        <v>1894</v>
      </c>
      <c r="B157" s="512" t="s">
        <v>163</v>
      </c>
      <c r="C157" s="512" t="s">
        <v>1884</v>
      </c>
      <c r="D157" s="512" t="s">
        <v>2036</v>
      </c>
      <c r="E157" s="513" t="s">
        <v>189</v>
      </c>
      <c r="F157" s="514">
        <v>24506.0</v>
      </c>
      <c r="G157" s="514">
        <v>1119.0</v>
      </c>
      <c r="H157" s="514">
        <v>4.57</v>
      </c>
      <c r="I157" s="514">
        <v>1.46</v>
      </c>
      <c r="J157" s="514">
        <v>3.94</v>
      </c>
      <c r="K157" s="514">
        <v>11665.0</v>
      </c>
      <c r="L157" s="514">
        <v>801100.0</v>
      </c>
      <c r="M157" s="514">
        <v>0.476</v>
      </c>
      <c r="N157" s="6">
        <v>10.4245</v>
      </c>
    </row>
    <row r="158">
      <c r="A158" s="512" t="s">
        <v>1894</v>
      </c>
      <c r="B158" s="512" t="s">
        <v>163</v>
      </c>
      <c r="C158" s="512" t="s">
        <v>1884</v>
      </c>
      <c r="D158" s="512" t="s">
        <v>2036</v>
      </c>
      <c r="E158" s="513" t="s">
        <v>377</v>
      </c>
      <c r="F158" s="514">
        <v>24506.0</v>
      </c>
      <c r="G158" s="514">
        <v>149.0</v>
      </c>
      <c r="H158" s="514">
        <v>0.61</v>
      </c>
      <c r="I158" s="514">
        <v>0.61</v>
      </c>
      <c r="J158" s="514">
        <v>0.56</v>
      </c>
      <c r="K158" s="514">
        <v>4905.0</v>
      </c>
      <c r="L158" s="514">
        <v>801100.0</v>
      </c>
      <c r="M158" s="514">
        <v>0.2002</v>
      </c>
      <c r="N158" s="6">
        <v>32.9195</v>
      </c>
    </row>
    <row r="159">
      <c r="A159" s="512" t="s">
        <v>1894</v>
      </c>
      <c r="B159" s="512" t="s">
        <v>163</v>
      </c>
      <c r="C159" s="512" t="s">
        <v>1884</v>
      </c>
      <c r="D159" s="512" t="s">
        <v>2036</v>
      </c>
      <c r="E159" s="513" t="s">
        <v>44</v>
      </c>
      <c r="F159" s="514">
        <v>24506.0</v>
      </c>
      <c r="G159" s="514">
        <v>285.0</v>
      </c>
      <c r="H159" s="514">
        <v>1.16</v>
      </c>
      <c r="I159" s="514">
        <v>0.38</v>
      </c>
      <c r="J159" s="514">
        <v>1.02</v>
      </c>
      <c r="K159" s="514">
        <v>3020.0</v>
      </c>
      <c r="L159" s="514">
        <v>801100.0</v>
      </c>
      <c r="M159" s="514">
        <v>0.1232</v>
      </c>
      <c r="N159" s="6">
        <v>10.5965</v>
      </c>
    </row>
    <row r="160">
      <c r="A160" s="512" t="s">
        <v>1894</v>
      </c>
      <c r="B160" s="512" t="s">
        <v>163</v>
      </c>
      <c r="C160" s="512" t="s">
        <v>1884</v>
      </c>
      <c r="D160" s="512" t="s">
        <v>2036</v>
      </c>
      <c r="E160" s="513" t="s">
        <v>35</v>
      </c>
      <c r="F160" s="514">
        <v>24506.0</v>
      </c>
      <c r="G160" s="514">
        <v>88.0</v>
      </c>
      <c r="H160" s="514">
        <v>0.36</v>
      </c>
      <c r="I160" s="514">
        <v>0.18</v>
      </c>
      <c r="J160" s="514">
        <v>0.31</v>
      </c>
      <c r="K160" s="514">
        <v>1470.0</v>
      </c>
      <c r="L160" s="514">
        <v>801100.0</v>
      </c>
      <c r="M160" s="514">
        <v>0.06</v>
      </c>
      <c r="N160" s="6">
        <v>16.7045</v>
      </c>
    </row>
    <row r="161">
      <c r="A161" s="512" t="s">
        <v>1894</v>
      </c>
      <c r="B161" s="512" t="s">
        <v>163</v>
      </c>
      <c r="C161" s="512" t="s">
        <v>1884</v>
      </c>
      <c r="D161" s="512" t="s">
        <v>2036</v>
      </c>
      <c r="E161" s="513" t="s">
        <v>134</v>
      </c>
      <c r="F161" s="514">
        <v>24506.0</v>
      </c>
      <c r="G161" s="514">
        <v>70.0</v>
      </c>
      <c r="H161" s="514">
        <v>0.29</v>
      </c>
      <c r="I161" s="514">
        <v>0.16</v>
      </c>
      <c r="J161" s="514">
        <v>0.2</v>
      </c>
      <c r="K161" s="514">
        <v>1250.0</v>
      </c>
      <c r="L161" s="514">
        <v>801100.0</v>
      </c>
      <c r="M161" s="514">
        <v>0.051</v>
      </c>
      <c r="N161" s="6">
        <v>17.8571</v>
      </c>
    </row>
    <row r="162">
      <c r="A162" s="512" t="s">
        <v>1894</v>
      </c>
      <c r="B162" s="512" t="s">
        <v>163</v>
      </c>
      <c r="C162" s="512" t="s">
        <v>1884</v>
      </c>
      <c r="D162" s="512" t="s">
        <v>2036</v>
      </c>
      <c r="E162" s="513" t="s">
        <v>46</v>
      </c>
      <c r="F162" s="514">
        <v>24506.0</v>
      </c>
      <c r="G162" s="514">
        <v>2.0</v>
      </c>
      <c r="H162" s="514">
        <v>0.01</v>
      </c>
      <c r="I162" s="514">
        <v>0.01</v>
      </c>
      <c r="J162" s="514">
        <v>0.01</v>
      </c>
      <c r="K162" s="514">
        <v>45.0</v>
      </c>
      <c r="L162" s="514">
        <v>801100.0</v>
      </c>
      <c r="M162" s="514">
        <v>0.0018</v>
      </c>
      <c r="N162" s="6">
        <v>22.5</v>
      </c>
    </row>
    <row r="163">
      <c r="A163" s="512" t="s">
        <v>1894</v>
      </c>
      <c r="B163" s="512" t="s">
        <v>163</v>
      </c>
      <c r="C163" s="512" t="s">
        <v>1884</v>
      </c>
      <c r="D163" s="512" t="s">
        <v>2036</v>
      </c>
      <c r="E163" s="513" t="s">
        <v>40</v>
      </c>
      <c r="F163" s="514">
        <v>24506.0</v>
      </c>
      <c r="G163" s="514">
        <v>1.0</v>
      </c>
      <c r="H163" s="514">
        <v>0.0</v>
      </c>
      <c r="I163" s="514">
        <v>0.0</v>
      </c>
      <c r="J163" s="514">
        <v>0.0</v>
      </c>
      <c r="K163" s="514">
        <v>15.0</v>
      </c>
      <c r="L163" s="514">
        <v>801100.0</v>
      </c>
      <c r="M163" s="514">
        <v>6.0E-4</v>
      </c>
      <c r="N163" s="6">
        <v>15.0</v>
      </c>
    </row>
    <row r="164">
      <c r="A164" s="512" t="s">
        <v>1894</v>
      </c>
      <c r="B164" s="512" t="s">
        <v>163</v>
      </c>
      <c r="C164" s="512" t="s">
        <v>1884</v>
      </c>
      <c r="D164" s="512" t="s">
        <v>2036</v>
      </c>
      <c r="E164" s="513" t="s">
        <v>42</v>
      </c>
      <c r="F164" s="514">
        <v>24506.0</v>
      </c>
      <c r="G164" s="514">
        <v>1.0</v>
      </c>
      <c r="H164" s="514">
        <v>0.0</v>
      </c>
      <c r="I164" s="514">
        <v>0.0</v>
      </c>
      <c r="J164" s="514">
        <v>0.0</v>
      </c>
      <c r="K164" s="514">
        <v>15.0</v>
      </c>
      <c r="L164" s="514">
        <v>801100.0</v>
      </c>
      <c r="M164" s="514">
        <v>6.0E-4</v>
      </c>
      <c r="N164" s="6">
        <v>15.0</v>
      </c>
    </row>
    <row r="165">
      <c r="A165" s="512" t="s">
        <v>1894</v>
      </c>
      <c r="B165" s="512" t="s">
        <v>163</v>
      </c>
      <c r="C165" s="512" t="s">
        <v>1884</v>
      </c>
      <c r="D165" s="512" t="s">
        <v>2036</v>
      </c>
      <c r="E165" s="513" t="s">
        <v>374</v>
      </c>
      <c r="F165" s="514">
        <v>24506.0</v>
      </c>
      <c r="G165" s="514">
        <v>2.0</v>
      </c>
      <c r="H165" s="514">
        <v>0.01</v>
      </c>
      <c r="I165" s="514">
        <v>0.0</v>
      </c>
      <c r="J165" s="514">
        <v>0.01</v>
      </c>
      <c r="K165" s="514">
        <v>20.0</v>
      </c>
      <c r="L165" s="514">
        <v>801100.0</v>
      </c>
      <c r="M165" s="514">
        <v>8.0E-4</v>
      </c>
      <c r="N165" s="6">
        <v>10.0</v>
      </c>
    </row>
    <row r="166">
      <c r="A166" s="512" t="s">
        <v>1894</v>
      </c>
      <c r="B166" s="512" t="s">
        <v>163</v>
      </c>
      <c r="C166" s="512" t="s">
        <v>1885</v>
      </c>
      <c r="D166" s="512" t="s">
        <v>2036</v>
      </c>
      <c r="E166" s="513" t="s">
        <v>373</v>
      </c>
      <c r="F166" s="514">
        <v>35622.0</v>
      </c>
      <c r="G166" s="514">
        <v>7191.0</v>
      </c>
      <c r="H166" s="514">
        <v>20.19</v>
      </c>
      <c r="I166" s="514">
        <v>53.13</v>
      </c>
      <c r="J166" s="514">
        <v>18.82</v>
      </c>
      <c r="K166" s="514">
        <v>503190.0</v>
      </c>
      <c r="L166" s="514">
        <v>947170.0</v>
      </c>
      <c r="M166" s="514">
        <v>14.1258</v>
      </c>
      <c r="N166" s="6">
        <v>69.975</v>
      </c>
    </row>
    <row r="167">
      <c r="A167" s="512" t="s">
        <v>1894</v>
      </c>
      <c r="B167" s="512" t="s">
        <v>163</v>
      </c>
      <c r="C167" s="512" t="s">
        <v>1885</v>
      </c>
      <c r="D167" s="512" t="s">
        <v>2036</v>
      </c>
      <c r="E167" s="513" t="s">
        <v>380</v>
      </c>
      <c r="F167" s="514">
        <v>35622.0</v>
      </c>
      <c r="G167" s="514">
        <v>22229.0</v>
      </c>
      <c r="H167" s="514">
        <v>62.4</v>
      </c>
      <c r="I167" s="514">
        <v>32.7</v>
      </c>
      <c r="J167" s="514">
        <v>55.01</v>
      </c>
      <c r="K167" s="514">
        <v>309745.0</v>
      </c>
      <c r="L167" s="514">
        <v>947170.0</v>
      </c>
      <c r="M167" s="514">
        <v>8.6953</v>
      </c>
      <c r="N167" s="6">
        <v>13.9343</v>
      </c>
    </row>
    <row r="168">
      <c r="A168" s="512" t="s">
        <v>1894</v>
      </c>
      <c r="B168" s="512" t="s">
        <v>163</v>
      </c>
      <c r="C168" s="512" t="s">
        <v>1885</v>
      </c>
      <c r="D168" s="512" t="s">
        <v>2036</v>
      </c>
      <c r="E168" s="513" t="s">
        <v>375</v>
      </c>
      <c r="F168" s="514">
        <v>35622.0</v>
      </c>
      <c r="G168" s="514">
        <v>7269.0</v>
      </c>
      <c r="H168" s="514">
        <v>20.41</v>
      </c>
      <c r="I168" s="514">
        <v>9.73</v>
      </c>
      <c r="J168" s="514">
        <v>18.02</v>
      </c>
      <c r="K168" s="514">
        <v>92180.0</v>
      </c>
      <c r="L168" s="514">
        <v>947170.0</v>
      </c>
      <c r="M168" s="514">
        <v>2.5877</v>
      </c>
      <c r="N168" s="6">
        <v>12.6812</v>
      </c>
    </row>
    <row r="169">
      <c r="A169" s="512" t="s">
        <v>1894</v>
      </c>
      <c r="B169" s="512" t="s">
        <v>163</v>
      </c>
      <c r="C169" s="512" t="s">
        <v>1885</v>
      </c>
      <c r="D169" s="512" t="s">
        <v>2036</v>
      </c>
      <c r="E169" s="513" t="s">
        <v>189</v>
      </c>
      <c r="F169" s="514">
        <v>35622.0</v>
      </c>
      <c r="G169" s="514">
        <v>2109.0</v>
      </c>
      <c r="H169" s="514">
        <v>5.92</v>
      </c>
      <c r="I169" s="514">
        <v>2.33</v>
      </c>
      <c r="J169" s="514">
        <v>4.96</v>
      </c>
      <c r="K169" s="514">
        <v>22050.0</v>
      </c>
      <c r="L169" s="514">
        <v>947170.0</v>
      </c>
      <c r="M169" s="514">
        <v>0.619</v>
      </c>
      <c r="N169" s="6">
        <v>10.4552</v>
      </c>
    </row>
    <row r="170">
      <c r="A170" s="512" t="s">
        <v>1894</v>
      </c>
      <c r="B170" s="512" t="s">
        <v>163</v>
      </c>
      <c r="C170" s="512" t="s">
        <v>1885</v>
      </c>
      <c r="D170" s="512" t="s">
        <v>2036</v>
      </c>
      <c r="E170" s="513" t="s">
        <v>44</v>
      </c>
      <c r="F170" s="514">
        <v>35622.0</v>
      </c>
      <c r="G170" s="514">
        <v>815.0</v>
      </c>
      <c r="H170" s="514">
        <v>2.29</v>
      </c>
      <c r="I170" s="514">
        <v>0.92</v>
      </c>
      <c r="J170" s="514">
        <v>2.01</v>
      </c>
      <c r="K170" s="514">
        <v>8720.0</v>
      </c>
      <c r="L170" s="514">
        <v>947170.0</v>
      </c>
      <c r="M170" s="514">
        <v>0.2448</v>
      </c>
      <c r="N170" s="6">
        <v>10.6994</v>
      </c>
    </row>
    <row r="171">
      <c r="A171" s="512" t="s">
        <v>1894</v>
      </c>
      <c r="B171" s="512" t="s">
        <v>163</v>
      </c>
      <c r="C171" s="512" t="s">
        <v>1885</v>
      </c>
      <c r="D171" s="512" t="s">
        <v>2036</v>
      </c>
      <c r="E171" s="513" t="s">
        <v>377</v>
      </c>
      <c r="F171" s="514">
        <v>35622.0</v>
      </c>
      <c r="G171" s="514">
        <v>160.0</v>
      </c>
      <c r="H171" s="514">
        <v>0.45</v>
      </c>
      <c r="I171" s="514">
        <v>0.54</v>
      </c>
      <c r="J171" s="514">
        <v>0.4</v>
      </c>
      <c r="K171" s="514">
        <v>5150.0</v>
      </c>
      <c r="L171" s="514">
        <v>947170.0</v>
      </c>
      <c r="M171" s="514">
        <v>0.1446</v>
      </c>
      <c r="N171" s="6">
        <v>32.1875</v>
      </c>
    </row>
    <row r="172">
      <c r="A172" s="512" t="s">
        <v>1894</v>
      </c>
      <c r="B172" s="512" t="s">
        <v>163</v>
      </c>
      <c r="C172" s="512" t="s">
        <v>1885</v>
      </c>
      <c r="D172" s="512" t="s">
        <v>2036</v>
      </c>
      <c r="E172" s="513" t="s">
        <v>35</v>
      </c>
      <c r="F172" s="514">
        <v>35622.0</v>
      </c>
      <c r="G172" s="514">
        <v>248.0</v>
      </c>
      <c r="H172" s="514">
        <v>0.7</v>
      </c>
      <c r="I172" s="514">
        <v>0.43</v>
      </c>
      <c r="J172" s="514">
        <v>0.61</v>
      </c>
      <c r="K172" s="514">
        <v>4035.0</v>
      </c>
      <c r="L172" s="514">
        <v>947170.0</v>
      </c>
      <c r="M172" s="514">
        <v>0.1133</v>
      </c>
      <c r="N172" s="6">
        <v>16.2702</v>
      </c>
    </row>
    <row r="173">
      <c r="A173" s="512" t="s">
        <v>1894</v>
      </c>
      <c r="B173" s="512" t="s">
        <v>163</v>
      </c>
      <c r="C173" s="512" t="s">
        <v>1885</v>
      </c>
      <c r="D173" s="512" t="s">
        <v>2036</v>
      </c>
      <c r="E173" s="513" t="s">
        <v>134</v>
      </c>
      <c r="F173" s="514">
        <v>35622.0</v>
      </c>
      <c r="G173" s="514">
        <v>75.0</v>
      </c>
      <c r="H173" s="514">
        <v>0.21</v>
      </c>
      <c r="I173" s="514">
        <v>0.21</v>
      </c>
      <c r="J173" s="514">
        <v>0.15</v>
      </c>
      <c r="K173" s="514">
        <v>2015.0</v>
      </c>
      <c r="L173" s="514">
        <v>947170.0</v>
      </c>
      <c r="M173" s="514">
        <v>0.0566</v>
      </c>
      <c r="N173" s="6">
        <v>26.8667</v>
      </c>
    </row>
    <row r="174">
      <c r="A174" s="512" t="s">
        <v>1894</v>
      </c>
      <c r="B174" s="512" t="s">
        <v>163</v>
      </c>
      <c r="C174" s="512" t="s">
        <v>1885</v>
      </c>
      <c r="D174" s="512" t="s">
        <v>2036</v>
      </c>
      <c r="E174" s="513" t="s">
        <v>40</v>
      </c>
      <c r="F174" s="514">
        <v>35622.0</v>
      </c>
      <c r="G174" s="514">
        <v>1.0</v>
      </c>
      <c r="H174" s="514">
        <v>0.0</v>
      </c>
      <c r="I174" s="514">
        <v>0.0</v>
      </c>
      <c r="J174" s="514">
        <v>0.0</v>
      </c>
      <c r="K174" s="514">
        <v>15.0</v>
      </c>
      <c r="L174" s="514">
        <v>947170.0</v>
      </c>
      <c r="M174" s="514">
        <v>4.0E-4</v>
      </c>
      <c r="N174" s="6">
        <v>15.0</v>
      </c>
    </row>
    <row r="175">
      <c r="A175" s="512" t="s">
        <v>1894</v>
      </c>
      <c r="B175" s="512" t="s">
        <v>163</v>
      </c>
      <c r="C175" s="512" t="s">
        <v>1885</v>
      </c>
      <c r="D175" s="512" t="s">
        <v>2036</v>
      </c>
      <c r="E175" s="513" t="s">
        <v>379</v>
      </c>
      <c r="F175" s="514">
        <v>35622.0</v>
      </c>
      <c r="G175" s="514">
        <v>1.0</v>
      </c>
      <c r="H175" s="514">
        <v>0.0</v>
      </c>
      <c r="I175" s="514">
        <v>0.0</v>
      </c>
      <c r="J175" s="514">
        <v>0.0</v>
      </c>
      <c r="K175" s="514">
        <v>15.0</v>
      </c>
      <c r="L175" s="514">
        <v>947170.0</v>
      </c>
      <c r="M175" s="514">
        <v>4.0E-4</v>
      </c>
      <c r="N175" s="6">
        <v>15.0</v>
      </c>
    </row>
    <row r="176">
      <c r="A176" s="512" t="s">
        <v>1894</v>
      </c>
      <c r="B176" s="512" t="s">
        <v>163</v>
      </c>
      <c r="C176" s="512" t="s">
        <v>1885</v>
      </c>
      <c r="D176" s="512" t="s">
        <v>2036</v>
      </c>
      <c r="E176" s="513" t="s">
        <v>42</v>
      </c>
      <c r="F176" s="514">
        <v>35622.0</v>
      </c>
      <c r="G176" s="514">
        <v>1.0</v>
      </c>
      <c r="H176" s="514">
        <v>0.0</v>
      </c>
      <c r="I176" s="514">
        <v>0.0</v>
      </c>
      <c r="J176" s="514">
        <v>0.0</v>
      </c>
      <c r="K176" s="514">
        <v>15.0</v>
      </c>
      <c r="L176" s="514">
        <v>947170.0</v>
      </c>
      <c r="M176" s="514">
        <v>4.0E-4</v>
      </c>
      <c r="N176" s="6">
        <v>15.0</v>
      </c>
    </row>
    <row r="177">
      <c r="A177" s="512" t="s">
        <v>1894</v>
      </c>
      <c r="B177" s="512" t="s">
        <v>163</v>
      </c>
      <c r="C177" s="512" t="s">
        <v>1885</v>
      </c>
      <c r="D177" s="512" t="s">
        <v>2036</v>
      </c>
      <c r="E177" s="513" t="s">
        <v>382</v>
      </c>
      <c r="F177" s="514">
        <v>35622.0</v>
      </c>
      <c r="G177" s="514">
        <v>4.0</v>
      </c>
      <c r="H177" s="514">
        <v>0.01</v>
      </c>
      <c r="I177" s="514">
        <v>0.0</v>
      </c>
      <c r="J177" s="514">
        <v>0.01</v>
      </c>
      <c r="K177" s="514">
        <v>40.0</v>
      </c>
      <c r="L177" s="514">
        <v>947170.0</v>
      </c>
      <c r="M177" s="514">
        <v>0.0011</v>
      </c>
      <c r="N177" s="6">
        <v>10.0</v>
      </c>
    </row>
    <row r="178">
      <c r="A178" s="512" t="s">
        <v>1894</v>
      </c>
      <c r="B178" s="512" t="s">
        <v>163</v>
      </c>
      <c r="C178" s="512" t="s">
        <v>75</v>
      </c>
      <c r="D178" s="512" t="s">
        <v>2036</v>
      </c>
      <c r="E178" s="513" t="s">
        <v>373</v>
      </c>
      <c r="F178" s="514">
        <v>120227.0</v>
      </c>
      <c r="G178" s="514">
        <v>91862.0</v>
      </c>
      <c r="H178" s="514">
        <v>76.41</v>
      </c>
      <c r="I178" s="514">
        <v>49.14</v>
      </c>
      <c r="J178" s="514">
        <v>49.29</v>
      </c>
      <c r="K178" s="514">
        <v>9262445.0</v>
      </c>
      <c r="L178" s="514">
        <v>1.8850319E7</v>
      </c>
      <c r="M178" s="514">
        <v>77.0413</v>
      </c>
      <c r="N178" s="6">
        <v>100.83</v>
      </c>
    </row>
    <row r="179">
      <c r="A179" s="512" t="s">
        <v>1894</v>
      </c>
      <c r="B179" s="512" t="s">
        <v>163</v>
      </c>
      <c r="C179" s="512" t="s">
        <v>75</v>
      </c>
      <c r="D179" s="512" t="s">
        <v>2036</v>
      </c>
      <c r="E179" s="513" t="s">
        <v>49</v>
      </c>
      <c r="F179" s="514">
        <v>120227.0</v>
      </c>
      <c r="G179" s="514">
        <v>45590.0</v>
      </c>
      <c r="H179" s="514">
        <v>37.92</v>
      </c>
      <c r="I179" s="514">
        <v>30.35</v>
      </c>
      <c r="J179" s="514">
        <v>25.82</v>
      </c>
      <c r="K179" s="514">
        <v>5720580.0</v>
      </c>
      <c r="L179" s="514">
        <v>1.8850319E7</v>
      </c>
      <c r="M179" s="514">
        <v>47.5815</v>
      </c>
      <c r="N179" s="6">
        <v>125.4788</v>
      </c>
    </row>
    <row r="180">
      <c r="A180" s="512" t="s">
        <v>1894</v>
      </c>
      <c r="B180" s="512" t="s">
        <v>163</v>
      </c>
      <c r="C180" s="512" t="s">
        <v>75</v>
      </c>
      <c r="D180" s="512" t="s">
        <v>2036</v>
      </c>
      <c r="E180" s="513" t="s">
        <v>380</v>
      </c>
      <c r="F180" s="514">
        <v>120227.0</v>
      </c>
      <c r="G180" s="514">
        <v>27069.0</v>
      </c>
      <c r="H180" s="514">
        <v>22.51</v>
      </c>
      <c r="I180" s="514">
        <v>10.69</v>
      </c>
      <c r="J180" s="514">
        <v>12.01</v>
      </c>
      <c r="K180" s="514">
        <v>2014545.0</v>
      </c>
      <c r="L180" s="514">
        <v>1.8850319E7</v>
      </c>
      <c r="M180" s="514">
        <v>16.7562</v>
      </c>
      <c r="N180" s="6">
        <v>74.4226</v>
      </c>
    </row>
    <row r="181">
      <c r="A181" s="512" t="s">
        <v>1894</v>
      </c>
      <c r="B181" s="512" t="s">
        <v>163</v>
      </c>
      <c r="C181" s="512" t="s">
        <v>75</v>
      </c>
      <c r="D181" s="512" t="s">
        <v>2036</v>
      </c>
      <c r="E181" s="513" t="s">
        <v>44</v>
      </c>
      <c r="F181" s="514">
        <v>120227.0</v>
      </c>
      <c r="G181" s="514">
        <v>14188.0</v>
      </c>
      <c r="H181" s="514">
        <v>11.8</v>
      </c>
      <c r="I181" s="514">
        <v>5.26</v>
      </c>
      <c r="J181" s="514">
        <v>5.82</v>
      </c>
      <c r="K181" s="514">
        <v>991920.0</v>
      </c>
      <c r="L181" s="514">
        <v>1.8850319E7</v>
      </c>
      <c r="M181" s="514">
        <v>8.2504</v>
      </c>
      <c r="N181" s="6">
        <v>69.9126</v>
      </c>
    </row>
    <row r="182">
      <c r="A182" s="512" t="s">
        <v>1894</v>
      </c>
      <c r="B182" s="512" t="s">
        <v>163</v>
      </c>
      <c r="C182" s="512" t="s">
        <v>75</v>
      </c>
      <c r="D182" s="512" t="s">
        <v>2036</v>
      </c>
      <c r="E182" s="513" t="s">
        <v>367</v>
      </c>
      <c r="F182" s="514">
        <v>120227.0</v>
      </c>
      <c r="G182" s="514">
        <v>11729.0</v>
      </c>
      <c r="H182" s="514">
        <v>9.76</v>
      </c>
      <c r="I182" s="514">
        <v>1.71</v>
      </c>
      <c r="J182" s="514">
        <v>2.11</v>
      </c>
      <c r="K182" s="514">
        <v>321760.0</v>
      </c>
      <c r="L182" s="514">
        <v>1.8850319E7</v>
      </c>
      <c r="M182" s="514">
        <v>2.6763</v>
      </c>
      <c r="N182" s="6">
        <v>27.4329</v>
      </c>
    </row>
    <row r="183">
      <c r="A183" s="512" t="s">
        <v>1894</v>
      </c>
      <c r="B183" s="512" t="s">
        <v>163</v>
      </c>
      <c r="C183" s="512" t="s">
        <v>75</v>
      </c>
      <c r="D183" s="512" t="s">
        <v>2036</v>
      </c>
      <c r="E183" s="513" t="s">
        <v>375</v>
      </c>
      <c r="F183" s="514">
        <v>120227.0</v>
      </c>
      <c r="G183" s="514">
        <v>2406.0</v>
      </c>
      <c r="H183" s="514">
        <v>2.0</v>
      </c>
      <c r="I183" s="514">
        <v>0.61</v>
      </c>
      <c r="J183" s="514">
        <v>1.03</v>
      </c>
      <c r="K183" s="514">
        <v>114240.0</v>
      </c>
      <c r="L183" s="514">
        <v>1.8850319E7</v>
      </c>
      <c r="M183" s="514">
        <v>0.9502</v>
      </c>
      <c r="N183" s="6">
        <v>47.4813</v>
      </c>
    </row>
    <row r="184">
      <c r="A184" s="512" t="s">
        <v>1894</v>
      </c>
      <c r="B184" s="512" t="s">
        <v>163</v>
      </c>
      <c r="C184" s="512" t="s">
        <v>75</v>
      </c>
      <c r="D184" s="512" t="s">
        <v>2036</v>
      </c>
      <c r="E184" s="513" t="s">
        <v>377</v>
      </c>
      <c r="F184" s="514">
        <v>120227.0</v>
      </c>
      <c r="G184" s="514">
        <v>2681.0</v>
      </c>
      <c r="H184" s="514">
        <v>2.23</v>
      </c>
      <c r="I184" s="514">
        <v>0.6</v>
      </c>
      <c r="J184" s="514">
        <v>1.0</v>
      </c>
      <c r="K184" s="514">
        <v>112409.0</v>
      </c>
      <c r="L184" s="514">
        <v>1.8850319E7</v>
      </c>
      <c r="M184" s="514">
        <v>0.935</v>
      </c>
      <c r="N184" s="6">
        <v>41.928</v>
      </c>
    </row>
    <row r="185">
      <c r="A185" s="512" t="s">
        <v>1894</v>
      </c>
      <c r="B185" s="512" t="s">
        <v>163</v>
      </c>
      <c r="C185" s="512" t="s">
        <v>75</v>
      </c>
      <c r="D185" s="512" t="s">
        <v>2036</v>
      </c>
      <c r="E185" s="513" t="s">
        <v>379</v>
      </c>
      <c r="F185" s="514">
        <v>120227.0</v>
      </c>
      <c r="G185" s="514">
        <v>2705.0</v>
      </c>
      <c r="H185" s="514">
        <v>2.25</v>
      </c>
      <c r="I185" s="514">
        <v>0.43</v>
      </c>
      <c r="J185" s="514">
        <v>0.94</v>
      </c>
      <c r="K185" s="514">
        <v>80275.0</v>
      </c>
      <c r="L185" s="514">
        <v>1.8850319E7</v>
      </c>
      <c r="M185" s="514">
        <v>0.6677</v>
      </c>
      <c r="N185" s="6">
        <v>29.6765</v>
      </c>
    </row>
    <row r="186">
      <c r="A186" s="512" t="s">
        <v>1894</v>
      </c>
      <c r="B186" s="512" t="s">
        <v>163</v>
      </c>
      <c r="C186" s="512" t="s">
        <v>75</v>
      </c>
      <c r="D186" s="512" t="s">
        <v>2036</v>
      </c>
      <c r="E186" s="513" t="s">
        <v>43</v>
      </c>
      <c r="F186" s="514">
        <v>120227.0</v>
      </c>
      <c r="G186" s="514">
        <v>1497.0</v>
      </c>
      <c r="H186" s="514">
        <v>1.25</v>
      </c>
      <c r="I186" s="514">
        <v>0.31</v>
      </c>
      <c r="J186" s="514">
        <v>0.35</v>
      </c>
      <c r="K186" s="514">
        <v>57780.0</v>
      </c>
      <c r="L186" s="514">
        <v>1.8850319E7</v>
      </c>
      <c r="M186" s="514">
        <v>0.4806</v>
      </c>
      <c r="N186" s="6">
        <v>38.5972</v>
      </c>
    </row>
    <row r="187">
      <c r="A187" s="512" t="s">
        <v>1894</v>
      </c>
      <c r="B187" s="512" t="s">
        <v>163</v>
      </c>
      <c r="C187" s="512" t="s">
        <v>75</v>
      </c>
      <c r="D187" s="512" t="s">
        <v>2036</v>
      </c>
      <c r="E187" s="513" t="s">
        <v>35</v>
      </c>
      <c r="F187" s="514">
        <v>120227.0</v>
      </c>
      <c r="G187" s="514">
        <v>1224.0</v>
      </c>
      <c r="H187" s="514">
        <v>1.02</v>
      </c>
      <c r="I187" s="514">
        <v>0.26</v>
      </c>
      <c r="J187" s="514">
        <v>0.39</v>
      </c>
      <c r="K187" s="514">
        <v>48540.0</v>
      </c>
      <c r="L187" s="514">
        <v>1.8850319E7</v>
      </c>
      <c r="M187" s="514">
        <v>0.4037</v>
      </c>
      <c r="N187" s="6">
        <v>39.6569</v>
      </c>
    </row>
    <row r="188">
      <c r="A188" s="512" t="s">
        <v>1894</v>
      </c>
      <c r="B188" s="512" t="s">
        <v>163</v>
      </c>
      <c r="C188" s="512" t="s">
        <v>75</v>
      </c>
      <c r="D188" s="512" t="s">
        <v>2036</v>
      </c>
      <c r="E188" s="513" t="s">
        <v>374</v>
      </c>
      <c r="F188" s="514">
        <v>120227.0</v>
      </c>
      <c r="G188" s="514">
        <v>1413.0</v>
      </c>
      <c r="H188" s="514">
        <v>1.18</v>
      </c>
      <c r="I188" s="514">
        <v>0.17</v>
      </c>
      <c r="J188" s="514">
        <v>0.42</v>
      </c>
      <c r="K188" s="514">
        <v>32440.0</v>
      </c>
      <c r="L188" s="514">
        <v>1.8850319E7</v>
      </c>
      <c r="M188" s="514">
        <v>0.2698</v>
      </c>
      <c r="N188" s="6">
        <v>22.9582</v>
      </c>
    </row>
    <row r="189">
      <c r="A189" s="512" t="s">
        <v>1894</v>
      </c>
      <c r="B189" s="512" t="s">
        <v>163</v>
      </c>
      <c r="C189" s="512" t="s">
        <v>75</v>
      </c>
      <c r="D189" s="512" t="s">
        <v>2036</v>
      </c>
      <c r="E189" s="513" t="s">
        <v>372</v>
      </c>
      <c r="F189" s="514">
        <v>120227.0</v>
      </c>
      <c r="G189" s="514">
        <v>619.0</v>
      </c>
      <c r="H189" s="514">
        <v>0.51</v>
      </c>
      <c r="I189" s="514">
        <v>0.16</v>
      </c>
      <c r="J189" s="514">
        <v>0.26</v>
      </c>
      <c r="K189" s="514">
        <v>30960.0</v>
      </c>
      <c r="L189" s="514">
        <v>1.8850319E7</v>
      </c>
      <c r="M189" s="514">
        <v>0.2575</v>
      </c>
      <c r="N189" s="6">
        <v>50.0162</v>
      </c>
    </row>
    <row r="190">
      <c r="A190" s="512" t="s">
        <v>1894</v>
      </c>
      <c r="B190" s="512" t="s">
        <v>163</v>
      </c>
      <c r="C190" s="512" t="s">
        <v>75</v>
      </c>
      <c r="D190" s="512" t="s">
        <v>2036</v>
      </c>
      <c r="E190" s="513" t="s">
        <v>189</v>
      </c>
      <c r="F190" s="514">
        <v>120227.0</v>
      </c>
      <c r="G190" s="514">
        <v>761.0</v>
      </c>
      <c r="H190" s="514">
        <v>0.63</v>
      </c>
      <c r="I190" s="514">
        <v>0.15</v>
      </c>
      <c r="J190" s="514">
        <v>0.28</v>
      </c>
      <c r="K190" s="514">
        <v>28140.0</v>
      </c>
      <c r="L190" s="514">
        <v>1.8850319E7</v>
      </c>
      <c r="M190" s="514">
        <v>0.2341</v>
      </c>
      <c r="N190" s="6">
        <v>36.9777</v>
      </c>
    </row>
    <row r="191">
      <c r="A191" s="512" t="s">
        <v>1894</v>
      </c>
      <c r="B191" s="512" t="s">
        <v>163</v>
      </c>
      <c r="C191" s="512" t="s">
        <v>75</v>
      </c>
      <c r="D191" s="512" t="s">
        <v>2036</v>
      </c>
      <c r="E191" s="513" t="s">
        <v>50</v>
      </c>
      <c r="F191" s="514">
        <v>120227.0</v>
      </c>
      <c r="G191" s="514">
        <v>472.0</v>
      </c>
      <c r="H191" s="514">
        <v>0.39</v>
      </c>
      <c r="I191" s="514">
        <v>0.13</v>
      </c>
      <c r="J191" s="514">
        <v>0.23</v>
      </c>
      <c r="K191" s="514">
        <v>24845.0</v>
      </c>
      <c r="L191" s="514">
        <v>1.8850319E7</v>
      </c>
      <c r="M191" s="514">
        <v>0.2067</v>
      </c>
      <c r="N191" s="6">
        <v>52.6377</v>
      </c>
    </row>
    <row r="192">
      <c r="A192" s="512" t="s">
        <v>1894</v>
      </c>
      <c r="B192" s="512" t="s">
        <v>163</v>
      </c>
      <c r="C192" s="512" t="s">
        <v>75</v>
      </c>
      <c r="D192" s="512" t="s">
        <v>2036</v>
      </c>
      <c r="E192" s="513" t="s">
        <v>32</v>
      </c>
      <c r="F192" s="514">
        <v>120227.0</v>
      </c>
      <c r="G192" s="514">
        <v>233.0</v>
      </c>
      <c r="H192" s="514">
        <v>0.19</v>
      </c>
      <c r="I192" s="514">
        <v>0.04</v>
      </c>
      <c r="J192" s="514">
        <v>0.06</v>
      </c>
      <c r="K192" s="514">
        <v>8270.0</v>
      </c>
      <c r="L192" s="514">
        <v>1.8850319E7</v>
      </c>
      <c r="M192" s="514">
        <v>0.0688</v>
      </c>
      <c r="N192" s="6">
        <v>35.4936</v>
      </c>
    </row>
    <row r="193">
      <c r="A193" s="512" t="s">
        <v>1894</v>
      </c>
      <c r="B193" s="512" t="s">
        <v>163</v>
      </c>
      <c r="C193" s="512" t="s">
        <v>75</v>
      </c>
      <c r="D193" s="512" t="s">
        <v>2036</v>
      </c>
      <c r="E193" s="513" t="s">
        <v>134</v>
      </c>
      <c r="F193" s="514">
        <v>120227.0</v>
      </c>
      <c r="G193" s="514">
        <v>32.0</v>
      </c>
      <c r="H193" s="514">
        <v>0.03</v>
      </c>
      <c r="I193" s="514">
        <v>0.0</v>
      </c>
      <c r="J193" s="514">
        <v>0.01</v>
      </c>
      <c r="K193" s="514">
        <v>705.0</v>
      </c>
      <c r="L193" s="514">
        <v>1.8850319E7</v>
      </c>
      <c r="M193" s="514">
        <v>0.0059</v>
      </c>
      <c r="N193" s="6">
        <v>22.0313</v>
      </c>
    </row>
    <row r="194">
      <c r="A194" s="512" t="s">
        <v>1894</v>
      </c>
      <c r="B194" s="512" t="s">
        <v>163</v>
      </c>
      <c r="C194" s="512" t="s">
        <v>75</v>
      </c>
      <c r="D194" s="512" t="s">
        <v>2036</v>
      </c>
      <c r="E194" s="513" t="s">
        <v>40</v>
      </c>
      <c r="F194" s="514">
        <v>120227.0</v>
      </c>
      <c r="G194" s="514">
        <v>2.0</v>
      </c>
      <c r="H194" s="514">
        <v>0.0</v>
      </c>
      <c r="I194" s="514">
        <v>0.0</v>
      </c>
      <c r="J194" s="514">
        <v>0.0</v>
      </c>
      <c r="K194" s="514">
        <v>130.0</v>
      </c>
      <c r="L194" s="514">
        <v>1.8850319E7</v>
      </c>
      <c r="M194" s="514">
        <v>0.0011</v>
      </c>
      <c r="N194" s="6">
        <v>65.0</v>
      </c>
    </row>
    <row r="195">
      <c r="A195" s="512" t="s">
        <v>1894</v>
      </c>
      <c r="B195" s="512" t="s">
        <v>163</v>
      </c>
      <c r="C195" s="512" t="s">
        <v>75</v>
      </c>
      <c r="D195" s="512" t="s">
        <v>2036</v>
      </c>
      <c r="E195" s="513" t="s">
        <v>42</v>
      </c>
      <c r="F195" s="514">
        <v>120227.0</v>
      </c>
      <c r="G195" s="514">
        <v>4.0</v>
      </c>
      <c r="H195" s="514">
        <v>0.0</v>
      </c>
      <c r="I195" s="514">
        <v>0.0</v>
      </c>
      <c r="J195" s="514">
        <v>0.0</v>
      </c>
      <c r="K195" s="514">
        <v>190.0</v>
      </c>
      <c r="L195" s="514">
        <v>1.8850319E7</v>
      </c>
      <c r="M195" s="514">
        <v>0.0016</v>
      </c>
      <c r="N195" s="6">
        <v>47.5</v>
      </c>
    </row>
    <row r="196">
      <c r="A196" s="512" t="s">
        <v>1894</v>
      </c>
      <c r="B196" s="512" t="s">
        <v>163</v>
      </c>
      <c r="C196" s="512" t="s">
        <v>75</v>
      </c>
      <c r="D196" s="512" t="s">
        <v>2036</v>
      </c>
      <c r="E196" s="513" t="s">
        <v>382</v>
      </c>
      <c r="F196" s="514">
        <v>120227.0</v>
      </c>
      <c r="G196" s="514">
        <v>1.0</v>
      </c>
      <c r="H196" s="514">
        <v>0.0</v>
      </c>
      <c r="I196" s="514">
        <v>0.0</v>
      </c>
      <c r="J196" s="514">
        <v>0.0</v>
      </c>
      <c r="K196" s="514">
        <v>15.0</v>
      </c>
      <c r="L196" s="514">
        <v>1.8850319E7</v>
      </c>
      <c r="M196" s="514">
        <v>1.0E-4</v>
      </c>
      <c r="N196" s="6">
        <v>15.0</v>
      </c>
    </row>
    <row r="197">
      <c r="A197" s="512" t="s">
        <v>1894</v>
      </c>
      <c r="B197" s="512" t="s">
        <v>163</v>
      </c>
      <c r="C197" s="512" t="s">
        <v>75</v>
      </c>
      <c r="D197" s="512" t="s">
        <v>2036</v>
      </c>
      <c r="E197" s="513" t="s">
        <v>46</v>
      </c>
      <c r="F197" s="514">
        <v>120227.0</v>
      </c>
      <c r="G197" s="514">
        <v>2.0</v>
      </c>
      <c r="H197" s="514">
        <v>0.0</v>
      </c>
      <c r="I197" s="514">
        <v>0.0</v>
      </c>
      <c r="J197" s="514">
        <v>0.0</v>
      </c>
      <c r="K197" s="514">
        <v>130.0</v>
      </c>
      <c r="L197" s="514">
        <v>1.8850319E7</v>
      </c>
      <c r="M197" s="514">
        <v>0.0011</v>
      </c>
      <c r="N197" s="6">
        <v>65.0</v>
      </c>
    </row>
    <row r="198">
      <c r="A198" s="512" t="s">
        <v>1894</v>
      </c>
      <c r="B198" s="512" t="s">
        <v>1867</v>
      </c>
      <c r="C198" s="512" t="s">
        <v>71</v>
      </c>
      <c r="D198" s="512" t="s">
        <v>574</v>
      </c>
      <c r="E198" s="513" t="s">
        <v>377</v>
      </c>
      <c r="F198" s="514">
        <v>38644.0</v>
      </c>
      <c r="G198" s="514">
        <v>28439.0</v>
      </c>
      <c r="H198" s="514">
        <v>73.59</v>
      </c>
      <c r="I198" s="514">
        <v>66.63</v>
      </c>
      <c r="J198" s="514">
        <v>66.25</v>
      </c>
      <c r="K198" s="514">
        <v>45106.0</v>
      </c>
      <c r="L198" s="514">
        <v>67697.0</v>
      </c>
      <c r="M198" s="514">
        <v>1.1672</v>
      </c>
      <c r="N198" s="6">
        <v>1.5861</v>
      </c>
    </row>
    <row r="199">
      <c r="A199" s="512" t="s">
        <v>1894</v>
      </c>
      <c r="B199" s="512" t="s">
        <v>1867</v>
      </c>
      <c r="C199" s="512" t="s">
        <v>71</v>
      </c>
      <c r="D199" s="512" t="s">
        <v>574</v>
      </c>
      <c r="E199" s="513" t="s">
        <v>42</v>
      </c>
      <c r="F199" s="514">
        <v>38644.0</v>
      </c>
      <c r="G199" s="514">
        <v>9237.0</v>
      </c>
      <c r="H199" s="514">
        <v>23.9</v>
      </c>
      <c r="I199" s="514">
        <v>17.38</v>
      </c>
      <c r="J199" s="514">
        <v>17.78</v>
      </c>
      <c r="K199" s="514">
        <v>11769.0</v>
      </c>
      <c r="L199" s="514">
        <v>67697.0</v>
      </c>
      <c r="M199" s="514">
        <v>0.3045</v>
      </c>
      <c r="N199" s="6">
        <v>1.2741</v>
      </c>
    </row>
    <row r="200">
      <c r="A200" s="512" t="s">
        <v>1894</v>
      </c>
      <c r="B200" s="512" t="s">
        <v>1867</v>
      </c>
      <c r="C200" s="512" t="s">
        <v>71</v>
      </c>
      <c r="D200" s="512" t="s">
        <v>574</v>
      </c>
      <c r="E200" s="513" t="s">
        <v>49</v>
      </c>
      <c r="F200" s="514">
        <v>38644.0</v>
      </c>
      <c r="G200" s="514">
        <v>3630.0</v>
      </c>
      <c r="H200" s="514">
        <v>9.39</v>
      </c>
      <c r="I200" s="514">
        <v>5.98</v>
      </c>
      <c r="J200" s="514">
        <v>6.25</v>
      </c>
      <c r="K200" s="514">
        <v>4046.0</v>
      </c>
      <c r="L200" s="514">
        <v>67697.0</v>
      </c>
      <c r="M200" s="514">
        <v>0.1047</v>
      </c>
      <c r="N200" s="6">
        <v>1.1146</v>
      </c>
    </row>
    <row r="201">
      <c r="A201" s="512" t="s">
        <v>1894</v>
      </c>
      <c r="B201" s="512" t="s">
        <v>1867</v>
      </c>
      <c r="C201" s="512" t="s">
        <v>71</v>
      </c>
      <c r="D201" s="512" t="s">
        <v>574</v>
      </c>
      <c r="E201" s="513" t="s">
        <v>380</v>
      </c>
      <c r="F201" s="514">
        <v>38644.0</v>
      </c>
      <c r="G201" s="514">
        <v>2911.0</v>
      </c>
      <c r="H201" s="514">
        <v>7.53</v>
      </c>
      <c r="I201" s="514">
        <v>5.87</v>
      </c>
      <c r="J201" s="514">
        <v>5.15</v>
      </c>
      <c r="K201" s="514">
        <v>3977.0</v>
      </c>
      <c r="L201" s="514">
        <v>67697.0</v>
      </c>
      <c r="M201" s="514">
        <v>0.1029</v>
      </c>
      <c r="N201" s="6">
        <v>1.3662</v>
      </c>
    </row>
    <row r="202">
      <c r="A202" s="512" t="s">
        <v>1894</v>
      </c>
      <c r="B202" s="512" t="s">
        <v>1867</v>
      </c>
      <c r="C202" s="512" t="s">
        <v>71</v>
      </c>
      <c r="D202" s="512" t="s">
        <v>574</v>
      </c>
      <c r="E202" s="513" t="s">
        <v>44</v>
      </c>
      <c r="F202" s="514">
        <v>38644.0</v>
      </c>
      <c r="G202" s="514">
        <v>1351.0</v>
      </c>
      <c r="H202" s="514">
        <v>3.5</v>
      </c>
      <c r="I202" s="514">
        <v>2.13</v>
      </c>
      <c r="J202" s="514">
        <v>2.31</v>
      </c>
      <c r="K202" s="514">
        <v>1440.0</v>
      </c>
      <c r="L202" s="514">
        <v>67697.0</v>
      </c>
      <c r="M202" s="514">
        <v>0.0373</v>
      </c>
      <c r="N202" s="6">
        <v>1.0659</v>
      </c>
    </row>
    <row r="203">
      <c r="A203" s="512" t="s">
        <v>1894</v>
      </c>
      <c r="B203" s="512" t="s">
        <v>1867</v>
      </c>
      <c r="C203" s="512" t="s">
        <v>71</v>
      </c>
      <c r="D203" s="512" t="s">
        <v>574</v>
      </c>
      <c r="E203" s="513" t="s">
        <v>50</v>
      </c>
      <c r="F203" s="514">
        <v>38644.0</v>
      </c>
      <c r="G203" s="514">
        <v>549.0</v>
      </c>
      <c r="H203" s="514">
        <v>1.42</v>
      </c>
      <c r="I203" s="514">
        <v>0.83</v>
      </c>
      <c r="J203" s="514">
        <v>1.06</v>
      </c>
      <c r="K203" s="514">
        <v>564.0</v>
      </c>
      <c r="L203" s="514">
        <v>67697.0</v>
      </c>
      <c r="M203" s="514">
        <v>0.0146</v>
      </c>
      <c r="N203" s="6">
        <v>1.0273</v>
      </c>
    </row>
    <row r="204">
      <c r="A204" s="512" t="s">
        <v>1894</v>
      </c>
      <c r="B204" s="512" t="s">
        <v>1867</v>
      </c>
      <c r="C204" s="512" t="s">
        <v>71</v>
      </c>
      <c r="D204" s="512" t="s">
        <v>574</v>
      </c>
      <c r="E204" s="513" t="s">
        <v>43</v>
      </c>
      <c r="F204" s="514">
        <v>38644.0</v>
      </c>
      <c r="G204" s="514">
        <v>304.0</v>
      </c>
      <c r="H204" s="514">
        <v>0.79</v>
      </c>
      <c r="I204" s="514">
        <v>0.47</v>
      </c>
      <c r="J204" s="514">
        <v>0.5</v>
      </c>
      <c r="K204" s="514">
        <v>318.0</v>
      </c>
      <c r="L204" s="514">
        <v>67697.0</v>
      </c>
      <c r="M204" s="514">
        <v>0.0082</v>
      </c>
      <c r="N204" s="6">
        <v>1.0461</v>
      </c>
    </row>
    <row r="205">
      <c r="A205" s="512" t="s">
        <v>1894</v>
      </c>
      <c r="B205" s="512" t="s">
        <v>1867</v>
      </c>
      <c r="C205" s="512" t="s">
        <v>71</v>
      </c>
      <c r="D205" s="512" t="s">
        <v>574</v>
      </c>
      <c r="E205" s="513" t="s">
        <v>379</v>
      </c>
      <c r="F205" s="514">
        <v>38644.0</v>
      </c>
      <c r="G205" s="514">
        <v>281.0</v>
      </c>
      <c r="H205" s="514">
        <v>0.73</v>
      </c>
      <c r="I205" s="514">
        <v>0.44</v>
      </c>
      <c r="J205" s="514">
        <v>0.48</v>
      </c>
      <c r="K205" s="514">
        <v>296.0</v>
      </c>
      <c r="L205" s="514">
        <v>67697.0</v>
      </c>
      <c r="M205" s="514">
        <v>0.0077</v>
      </c>
      <c r="N205" s="6">
        <v>1.0534</v>
      </c>
    </row>
    <row r="206">
      <c r="A206" s="512" t="s">
        <v>1894</v>
      </c>
      <c r="B206" s="512" t="s">
        <v>1867</v>
      </c>
      <c r="C206" s="512" t="s">
        <v>71</v>
      </c>
      <c r="D206" s="512" t="s">
        <v>574</v>
      </c>
      <c r="E206" s="513" t="s">
        <v>134</v>
      </c>
      <c r="F206" s="514">
        <v>38644.0</v>
      </c>
      <c r="G206" s="514">
        <v>59.0</v>
      </c>
      <c r="H206" s="514">
        <v>0.15</v>
      </c>
      <c r="I206" s="514">
        <v>0.1</v>
      </c>
      <c r="J206" s="514">
        <v>0.07</v>
      </c>
      <c r="K206" s="514">
        <v>71.0</v>
      </c>
      <c r="L206" s="514">
        <v>67697.0</v>
      </c>
      <c r="M206" s="514">
        <v>0.0018</v>
      </c>
      <c r="N206" s="6">
        <v>1.2034</v>
      </c>
    </row>
    <row r="207">
      <c r="A207" s="512" t="s">
        <v>1894</v>
      </c>
      <c r="B207" s="512" t="s">
        <v>1867</v>
      </c>
      <c r="C207" s="512" t="s">
        <v>71</v>
      </c>
      <c r="D207" s="512" t="s">
        <v>574</v>
      </c>
      <c r="E207" s="513" t="s">
        <v>372</v>
      </c>
      <c r="F207" s="514">
        <v>38644.0</v>
      </c>
      <c r="G207" s="514">
        <v>56.0</v>
      </c>
      <c r="H207" s="514">
        <v>0.14</v>
      </c>
      <c r="I207" s="514">
        <v>0.08</v>
      </c>
      <c r="J207" s="514">
        <v>0.09</v>
      </c>
      <c r="K207" s="514">
        <v>57.0</v>
      </c>
      <c r="L207" s="514">
        <v>67697.0</v>
      </c>
      <c r="M207" s="514">
        <v>0.0015</v>
      </c>
      <c r="N207" s="6">
        <v>1.0179</v>
      </c>
    </row>
    <row r="208">
      <c r="A208" s="512" t="s">
        <v>1894</v>
      </c>
      <c r="B208" s="512" t="s">
        <v>1867</v>
      </c>
      <c r="C208" s="512" t="s">
        <v>71</v>
      </c>
      <c r="D208" s="512" t="s">
        <v>574</v>
      </c>
      <c r="E208" s="513" t="s">
        <v>375</v>
      </c>
      <c r="F208" s="514">
        <v>38644.0</v>
      </c>
      <c r="G208" s="514">
        <v>17.0</v>
      </c>
      <c r="H208" s="514">
        <v>0.04</v>
      </c>
      <c r="I208" s="514">
        <v>0.03</v>
      </c>
      <c r="J208" s="514">
        <v>0.01</v>
      </c>
      <c r="K208" s="514">
        <v>18.0</v>
      </c>
      <c r="L208" s="514">
        <v>67697.0</v>
      </c>
      <c r="M208" s="514">
        <v>5.0E-4</v>
      </c>
      <c r="N208" s="6">
        <v>1.0588</v>
      </c>
    </row>
    <row r="209">
      <c r="A209" s="512" t="s">
        <v>1894</v>
      </c>
      <c r="B209" s="512" t="s">
        <v>1867</v>
      </c>
      <c r="C209" s="512" t="s">
        <v>71</v>
      </c>
      <c r="D209" s="512" t="s">
        <v>574</v>
      </c>
      <c r="E209" s="513" t="s">
        <v>35</v>
      </c>
      <c r="F209" s="514">
        <v>38644.0</v>
      </c>
      <c r="G209" s="514">
        <v>15.0</v>
      </c>
      <c r="H209" s="514">
        <v>0.04</v>
      </c>
      <c r="I209" s="514">
        <v>0.02</v>
      </c>
      <c r="J209" s="514">
        <v>0.02</v>
      </c>
      <c r="K209" s="514">
        <v>16.0</v>
      </c>
      <c r="L209" s="514">
        <v>67697.0</v>
      </c>
      <c r="M209" s="514">
        <v>4.0E-4</v>
      </c>
      <c r="N209" s="6">
        <v>1.0667</v>
      </c>
    </row>
    <row r="210">
      <c r="A210" s="512" t="s">
        <v>1894</v>
      </c>
      <c r="B210" s="512" t="s">
        <v>1867</v>
      </c>
      <c r="C210" s="512" t="s">
        <v>71</v>
      </c>
      <c r="D210" s="512" t="s">
        <v>574</v>
      </c>
      <c r="E210" s="513" t="s">
        <v>382</v>
      </c>
      <c r="F210" s="514">
        <v>38644.0</v>
      </c>
      <c r="G210" s="514">
        <v>1.0</v>
      </c>
      <c r="H210" s="514">
        <v>0.0</v>
      </c>
      <c r="I210" s="514">
        <v>0.02</v>
      </c>
      <c r="J210" s="514">
        <v>0.0</v>
      </c>
      <c r="K210" s="514">
        <v>11.0</v>
      </c>
      <c r="L210" s="514">
        <v>67697.0</v>
      </c>
      <c r="M210" s="514">
        <v>3.0E-4</v>
      </c>
      <c r="N210" s="6">
        <v>11.0</v>
      </c>
    </row>
    <row r="211">
      <c r="A211" s="512" t="s">
        <v>1894</v>
      </c>
      <c r="B211" s="512" t="s">
        <v>1867</v>
      </c>
      <c r="C211" s="512" t="s">
        <v>71</v>
      </c>
      <c r="D211" s="512" t="s">
        <v>574</v>
      </c>
      <c r="E211" s="513" t="s">
        <v>189</v>
      </c>
      <c r="F211" s="514">
        <v>38644.0</v>
      </c>
      <c r="G211" s="514">
        <v>6.0</v>
      </c>
      <c r="H211" s="514">
        <v>0.02</v>
      </c>
      <c r="I211" s="514">
        <v>0.01</v>
      </c>
      <c r="J211" s="514">
        <v>0.01</v>
      </c>
      <c r="K211" s="514">
        <v>6.0</v>
      </c>
      <c r="L211" s="514">
        <v>67697.0</v>
      </c>
      <c r="M211" s="514">
        <v>2.0E-4</v>
      </c>
      <c r="N211" s="6">
        <v>1.0</v>
      </c>
    </row>
    <row r="212">
      <c r="A212" s="512" t="s">
        <v>1894</v>
      </c>
      <c r="B212" s="512" t="s">
        <v>1867</v>
      </c>
      <c r="C212" s="512" t="s">
        <v>71</v>
      </c>
      <c r="D212" s="512" t="s">
        <v>574</v>
      </c>
      <c r="E212" s="513" t="s">
        <v>374</v>
      </c>
      <c r="F212" s="514">
        <v>38644.0</v>
      </c>
      <c r="G212" s="514">
        <v>1.0</v>
      </c>
      <c r="H212" s="514">
        <v>0.0</v>
      </c>
      <c r="I212" s="514">
        <v>0.0</v>
      </c>
      <c r="J212" s="514">
        <v>0.0</v>
      </c>
      <c r="K212" s="514">
        <v>1.0</v>
      </c>
      <c r="L212" s="514">
        <v>67697.0</v>
      </c>
      <c r="M212" s="514">
        <v>0.0</v>
      </c>
      <c r="N212" s="6">
        <v>1.0</v>
      </c>
    </row>
    <row r="213">
      <c r="A213" s="512" t="s">
        <v>1894</v>
      </c>
      <c r="B213" s="512" t="s">
        <v>1867</v>
      </c>
      <c r="C213" s="512" t="s">
        <v>71</v>
      </c>
      <c r="D213" s="512" t="s">
        <v>574</v>
      </c>
      <c r="E213" s="513" t="s">
        <v>32</v>
      </c>
      <c r="F213" s="514">
        <v>38644.0</v>
      </c>
      <c r="G213" s="514">
        <v>1.0</v>
      </c>
      <c r="H213" s="514">
        <v>0.0</v>
      </c>
      <c r="I213" s="514">
        <v>0.0</v>
      </c>
      <c r="J213" s="514">
        <v>0.0</v>
      </c>
      <c r="K213" s="514">
        <v>1.0</v>
      </c>
      <c r="L213" s="514">
        <v>67697.0</v>
      </c>
      <c r="M213" s="514">
        <v>0.0</v>
      </c>
      <c r="N213" s="6">
        <v>1.0</v>
      </c>
    </row>
    <row r="214">
      <c r="A214" s="512" t="s">
        <v>1894</v>
      </c>
      <c r="B214" s="512" t="s">
        <v>1867</v>
      </c>
      <c r="C214" s="512" t="s">
        <v>70</v>
      </c>
      <c r="D214" s="512" t="s">
        <v>574</v>
      </c>
      <c r="E214" s="513" t="s">
        <v>377</v>
      </c>
      <c r="F214" s="514">
        <v>48968.0</v>
      </c>
      <c r="G214" s="514">
        <v>28530.0</v>
      </c>
      <c r="H214" s="514">
        <v>58.26</v>
      </c>
      <c r="I214" s="514">
        <v>45.77</v>
      </c>
      <c r="J214" s="514">
        <v>45.32</v>
      </c>
      <c r="K214" s="514">
        <v>44654.0</v>
      </c>
      <c r="L214" s="514">
        <v>97569.0</v>
      </c>
      <c r="M214" s="514">
        <v>0.9119</v>
      </c>
      <c r="N214" s="6">
        <v>1.5652</v>
      </c>
    </row>
    <row r="215">
      <c r="A215" s="512" t="s">
        <v>1894</v>
      </c>
      <c r="B215" s="512" t="s">
        <v>1867</v>
      </c>
      <c r="C215" s="512" t="s">
        <v>70</v>
      </c>
      <c r="D215" s="512" t="s">
        <v>574</v>
      </c>
      <c r="E215" s="513" t="s">
        <v>380</v>
      </c>
      <c r="F215" s="514">
        <v>48968.0</v>
      </c>
      <c r="G215" s="514">
        <v>15046.0</v>
      </c>
      <c r="H215" s="514">
        <v>30.73</v>
      </c>
      <c r="I215" s="514">
        <v>22.75</v>
      </c>
      <c r="J215" s="514">
        <v>20.27</v>
      </c>
      <c r="K215" s="514">
        <v>22200.0</v>
      </c>
      <c r="L215" s="514">
        <v>97569.0</v>
      </c>
      <c r="M215" s="514">
        <v>0.4534</v>
      </c>
      <c r="N215" s="6">
        <v>1.4755</v>
      </c>
    </row>
    <row r="216">
      <c r="A216" s="512" t="s">
        <v>1894</v>
      </c>
      <c r="B216" s="512" t="s">
        <v>1867</v>
      </c>
      <c r="C216" s="512" t="s">
        <v>70</v>
      </c>
      <c r="D216" s="512" t="s">
        <v>574</v>
      </c>
      <c r="E216" s="513" t="s">
        <v>375</v>
      </c>
      <c r="F216" s="514">
        <v>48968.0</v>
      </c>
      <c r="G216" s="514">
        <v>8240.0</v>
      </c>
      <c r="H216" s="514">
        <v>16.83</v>
      </c>
      <c r="I216" s="514">
        <v>11.15</v>
      </c>
      <c r="J216" s="514">
        <v>11.59</v>
      </c>
      <c r="K216" s="514">
        <v>10877.0</v>
      </c>
      <c r="L216" s="514">
        <v>97569.0</v>
      </c>
      <c r="M216" s="514">
        <v>0.2221</v>
      </c>
      <c r="N216" s="6">
        <v>1.32</v>
      </c>
    </row>
    <row r="217">
      <c r="A217" s="512" t="s">
        <v>1894</v>
      </c>
      <c r="B217" s="512" t="s">
        <v>1867</v>
      </c>
      <c r="C217" s="512" t="s">
        <v>70</v>
      </c>
      <c r="D217" s="512" t="s">
        <v>574</v>
      </c>
      <c r="E217" s="513" t="s">
        <v>42</v>
      </c>
      <c r="F217" s="514">
        <v>48968.0</v>
      </c>
      <c r="G217" s="514">
        <v>5105.0</v>
      </c>
      <c r="H217" s="514">
        <v>10.43</v>
      </c>
      <c r="I217" s="514">
        <v>6.18</v>
      </c>
      <c r="J217" s="514">
        <v>6.58</v>
      </c>
      <c r="K217" s="514">
        <v>6027.0</v>
      </c>
      <c r="L217" s="514">
        <v>97569.0</v>
      </c>
      <c r="M217" s="514">
        <v>0.1231</v>
      </c>
      <c r="N217" s="6">
        <v>1.1806</v>
      </c>
    </row>
    <row r="218">
      <c r="A218" s="512" t="s">
        <v>1894</v>
      </c>
      <c r="B218" s="512" t="s">
        <v>1867</v>
      </c>
      <c r="C218" s="512" t="s">
        <v>70</v>
      </c>
      <c r="D218" s="512" t="s">
        <v>574</v>
      </c>
      <c r="E218" s="513" t="s">
        <v>49</v>
      </c>
      <c r="F218" s="514">
        <v>48968.0</v>
      </c>
      <c r="G218" s="514">
        <v>3630.0</v>
      </c>
      <c r="H218" s="514">
        <v>7.41</v>
      </c>
      <c r="I218" s="514">
        <v>4.15</v>
      </c>
      <c r="J218" s="514">
        <v>4.51</v>
      </c>
      <c r="K218" s="514">
        <v>4046.0</v>
      </c>
      <c r="L218" s="514">
        <v>97569.0</v>
      </c>
      <c r="M218" s="514">
        <v>0.0826</v>
      </c>
      <c r="N218" s="6">
        <v>1.1146</v>
      </c>
    </row>
    <row r="219">
      <c r="A219" s="512" t="s">
        <v>1894</v>
      </c>
      <c r="B219" s="512" t="s">
        <v>1867</v>
      </c>
      <c r="C219" s="512" t="s">
        <v>70</v>
      </c>
      <c r="D219" s="512" t="s">
        <v>574</v>
      </c>
      <c r="E219" s="513" t="s">
        <v>44</v>
      </c>
      <c r="F219" s="514">
        <v>48968.0</v>
      </c>
      <c r="G219" s="514">
        <v>3681.0</v>
      </c>
      <c r="H219" s="514">
        <v>7.52</v>
      </c>
      <c r="I219" s="514">
        <v>4.1</v>
      </c>
      <c r="J219" s="514">
        <v>4.97</v>
      </c>
      <c r="K219" s="514">
        <v>4003.0</v>
      </c>
      <c r="L219" s="514">
        <v>97569.0</v>
      </c>
      <c r="M219" s="514">
        <v>0.0817</v>
      </c>
      <c r="N219" s="6">
        <v>1.0875</v>
      </c>
    </row>
    <row r="220">
      <c r="A220" s="512" t="s">
        <v>1894</v>
      </c>
      <c r="B220" s="512" t="s">
        <v>1867</v>
      </c>
      <c r="C220" s="512" t="s">
        <v>70</v>
      </c>
      <c r="D220" s="512" t="s">
        <v>574</v>
      </c>
      <c r="E220" s="513" t="s">
        <v>189</v>
      </c>
      <c r="F220" s="514">
        <v>48968.0</v>
      </c>
      <c r="G220" s="514">
        <v>2780.0</v>
      </c>
      <c r="H220" s="514">
        <v>5.68</v>
      </c>
      <c r="I220" s="514">
        <v>2.92</v>
      </c>
      <c r="J220" s="514">
        <v>3.55</v>
      </c>
      <c r="K220" s="514">
        <v>2847.0</v>
      </c>
      <c r="L220" s="514">
        <v>97569.0</v>
      </c>
      <c r="M220" s="514">
        <v>0.0581</v>
      </c>
      <c r="N220" s="6">
        <v>1.0241</v>
      </c>
    </row>
    <row r="221">
      <c r="A221" s="512" t="s">
        <v>1894</v>
      </c>
      <c r="B221" s="512" t="s">
        <v>1867</v>
      </c>
      <c r="C221" s="512" t="s">
        <v>70</v>
      </c>
      <c r="D221" s="512" t="s">
        <v>574</v>
      </c>
      <c r="E221" s="513" t="s">
        <v>35</v>
      </c>
      <c r="F221" s="514">
        <v>48968.0</v>
      </c>
      <c r="G221" s="514">
        <v>1247.0</v>
      </c>
      <c r="H221" s="514">
        <v>2.55</v>
      </c>
      <c r="I221" s="514">
        <v>1.34</v>
      </c>
      <c r="J221" s="514">
        <v>1.33</v>
      </c>
      <c r="K221" s="514">
        <v>1306.0</v>
      </c>
      <c r="L221" s="514">
        <v>97569.0</v>
      </c>
      <c r="M221" s="514">
        <v>0.0267</v>
      </c>
      <c r="N221" s="6">
        <v>1.0473</v>
      </c>
    </row>
    <row r="222">
      <c r="A222" s="512" t="s">
        <v>1894</v>
      </c>
      <c r="B222" s="512" t="s">
        <v>1867</v>
      </c>
      <c r="C222" s="512" t="s">
        <v>70</v>
      </c>
      <c r="D222" s="512" t="s">
        <v>574</v>
      </c>
      <c r="E222" s="513" t="s">
        <v>379</v>
      </c>
      <c r="F222" s="514">
        <v>48968.0</v>
      </c>
      <c r="G222" s="514">
        <v>588.0</v>
      </c>
      <c r="H222" s="514">
        <v>1.2</v>
      </c>
      <c r="I222" s="514">
        <v>0.63</v>
      </c>
      <c r="J222" s="514">
        <v>0.73</v>
      </c>
      <c r="K222" s="514">
        <v>611.0</v>
      </c>
      <c r="L222" s="514">
        <v>97569.0</v>
      </c>
      <c r="M222" s="514">
        <v>0.0125</v>
      </c>
      <c r="N222" s="6">
        <v>1.0391</v>
      </c>
    </row>
    <row r="223">
      <c r="A223" s="512" t="s">
        <v>1894</v>
      </c>
      <c r="B223" s="512" t="s">
        <v>1867</v>
      </c>
      <c r="C223" s="512" t="s">
        <v>70</v>
      </c>
      <c r="D223" s="512" t="s">
        <v>574</v>
      </c>
      <c r="E223" s="513" t="s">
        <v>43</v>
      </c>
      <c r="F223" s="514">
        <v>48968.0</v>
      </c>
      <c r="G223" s="514">
        <v>403.0</v>
      </c>
      <c r="H223" s="514">
        <v>0.82</v>
      </c>
      <c r="I223" s="514">
        <v>0.43</v>
      </c>
      <c r="J223" s="514">
        <v>0.49</v>
      </c>
      <c r="K223" s="514">
        <v>422.0</v>
      </c>
      <c r="L223" s="514">
        <v>97569.0</v>
      </c>
      <c r="M223" s="514">
        <v>0.0086</v>
      </c>
      <c r="N223" s="6">
        <v>1.0471</v>
      </c>
    </row>
    <row r="224">
      <c r="A224" s="512" t="s">
        <v>1894</v>
      </c>
      <c r="B224" s="512" t="s">
        <v>1867</v>
      </c>
      <c r="C224" s="512" t="s">
        <v>70</v>
      </c>
      <c r="D224" s="512" t="s">
        <v>574</v>
      </c>
      <c r="E224" s="513" t="s">
        <v>50</v>
      </c>
      <c r="F224" s="514">
        <v>48968.0</v>
      </c>
      <c r="G224" s="514">
        <v>319.0</v>
      </c>
      <c r="H224" s="514">
        <v>0.65</v>
      </c>
      <c r="I224" s="514">
        <v>0.33</v>
      </c>
      <c r="J224" s="514">
        <v>0.42</v>
      </c>
      <c r="K224" s="514">
        <v>319.0</v>
      </c>
      <c r="L224" s="514">
        <v>97569.0</v>
      </c>
      <c r="M224" s="514">
        <v>0.0065</v>
      </c>
      <c r="N224" s="6">
        <v>1.0</v>
      </c>
    </row>
    <row r="225">
      <c r="A225" s="512" t="s">
        <v>1894</v>
      </c>
      <c r="B225" s="512" t="s">
        <v>1867</v>
      </c>
      <c r="C225" s="512" t="s">
        <v>70</v>
      </c>
      <c r="D225" s="512" t="s">
        <v>574</v>
      </c>
      <c r="E225" s="513" t="s">
        <v>374</v>
      </c>
      <c r="F225" s="514">
        <v>48968.0</v>
      </c>
      <c r="G225" s="514">
        <v>110.0</v>
      </c>
      <c r="H225" s="514">
        <v>0.22</v>
      </c>
      <c r="I225" s="514">
        <v>0.13</v>
      </c>
      <c r="J225" s="514">
        <v>0.11</v>
      </c>
      <c r="K225" s="514">
        <v>129.0</v>
      </c>
      <c r="L225" s="514">
        <v>97569.0</v>
      </c>
      <c r="M225" s="514">
        <v>0.0026</v>
      </c>
      <c r="N225" s="6">
        <v>1.1727</v>
      </c>
    </row>
    <row r="226">
      <c r="A226" s="512" t="s">
        <v>1894</v>
      </c>
      <c r="B226" s="512" t="s">
        <v>1867</v>
      </c>
      <c r="C226" s="512" t="s">
        <v>70</v>
      </c>
      <c r="D226" s="512" t="s">
        <v>574</v>
      </c>
      <c r="E226" s="513" t="s">
        <v>134</v>
      </c>
      <c r="F226" s="514">
        <v>48968.0</v>
      </c>
      <c r="G226" s="514">
        <v>57.0</v>
      </c>
      <c r="H226" s="514">
        <v>0.12</v>
      </c>
      <c r="I226" s="514">
        <v>0.07</v>
      </c>
      <c r="J226" s="514">
        <v>0.06</v>
      </c>
      <c r="K226" s="514">
        <v>65.0</v>
      </c>
      <c r="L226" s="514">
        <v>97569.0</v>
      </c>
      <c r="M226" s="514">
        <v>0.0013</v>
      </c>
      <c r="N226" s="6">
        <v>1.1404</v>
      </c>
    </row>
    <row r="227">
      <c r="A227" s="512" t="s">
        <v>1894</v>
      </c>
      <c r="B227" s="512" t="s">
        <v>1867</v>
      </c>
      <c r="C227" s="512" t="s">
        <v>70</v>
      </c>
      <c r="D227" s="512" t="s">
        <v>574</v>
      </c>
      <c r="E227" s="513" t="s">
        <v>372</v>
      </c>
      <c r="F227" s="514">
        <v>48968.0</v>
      </c>
      <c r="G227" s="514">
        <v>49.0</v>
      </c>
      <c r="H227" s="514">
        <v>0.1</v>
      </c>
      <c r="I227" s="514">
        <v>0.05</v>
      </c>
      <c r="J227" s="514">
        <v>0.05</v>
      </c>
      <c r="K227" s="514">
        <v>53.0</v>
      </c>
      <c r="L227" s="514">
        <v>97569.0</v>
      </c>
      <c r="M227" s="514">
        <v>0.0011</v>
      </c>
      <c r="N227" s="6">
        <v>1.0816</v>
      </c>
    </row>
    <row r="228">
      <c r="A228" s="512" t="s">
        <v>1894</v>
      </c>
      <c r="B228" s="512" t="s">
        <v>1867</v>
      </c>
      <c r="C228" s="512" t="s">
        <v>70</v>
      </c>
      <c r="D228" s="512" t="s">
        <v>574</v>
      </c>
      <c r="E228" s="513" t="s">
        <v>382</v>
      </c>
      <c r="F228" s="514">
        <v>48968.0</v>
      </c>
      <c r="G228" s="514">
        <v>1.0</v>
      </c>
      <c r="H228" s="514">
        <v>0.0</v>
      </c>
      <c r="I228" s="514">
        <v>0.01</v>
      </c>
      <c r="J228" s="514">
        <v>0.0</v>
      </c>
      <c r="K228" s="514">
        <v>8.0</v>
      </c>
      <c r="L228" s="514">
        <v>97569.0</v>
      </c>
      <c r="M228" s="514">
        <v>2.0E-4</v>
      </c>
      <c r="N228" s="6">
        <v>8.0</v>
      </c>
    </row>
    <row r="229">
      <c r="A229" s="512" t="s">
        <v>1894</v>
      </c>
      <c r="B229" s="512" t="s">
        <v>1867</v>
      </c>
      <c r="C229" s="512" t="s">
        <v>70</v>
      </c>
      <c r="D229" s="512" t="s">
        <v>574</v>
      </c>
      <c r="E229" s="513" t="s">
        <v>32</v>
      </c>
      <c r="F229" s="514">
        <v>48968.0</v>
      </c>
      <c r="G229" s="514">
        <v>2.0</v>
      </c>
      <c r="H229" s="514">
        <v>0.0</v>
      </c>
      <c r="I229" s="514">
        <v>0.0</v>
      </c>
      <c r="J229" s="514">
        <v>0.0</v>
      </c>
      <c r="K229" s="514">
        <v>2.0</v>
      </c>
      <c r="L229" s="514">
        <v>97569.0</v>
      </c>
      <c r="M229" s="514">
        <v>0.0</v>
      </c>
      <c r="N229" s="6">
        <v>1.0</v>
      </c>
    </row>
    <row r="230">
      <c r="A230" s="512" t="s">
        <v>1894</v>
      </c>
      <c r="B230" s="512" t="s">
        <v>1867</v>
      </c>
      <c r="C230" s="512" t="s">
        <v>74</v>
      </c>
      <c r="D230" s="512" t="s">
        <v>574</v>
      </c>
      <c r="E230" s="513" t="s">
        <v>42</v>
      </c>
      <c r="F230" s="514">
        <v>28852.0</v>
      </c>
      <c r="G230" s="514">
        <v>17775.0</v>
      </c>
      <c r="H230" s="514">
        <v>61.61</v>
      </c>
      <c r="I230" s="514">
        <v>47.33</v>
      </c>
      <c r="J230" s="514">
        <v>53.33</v>
      </c>
      <c r="K230" s="514">
        <v>24304.0</v>
      </c>
      <c r="L230" s="514">
        <v>51347.0</v>
      </c>
      <c r="M230" s="514">
        <v>0.8424</v>
      </c>
      <c r="N230" s="6">
        <v>1.3673</v>
      </c>
    </row>
    <row r="231">
      <c r="A231" s="512" t="s">
        <v>1894</v>
      </c>
      <c r="B231" s="512" t="s">
        <v>1867</v>
      </c>
      <c r="C231" s="512" t="s">
        <v>74</v>
      </c>
      <c r="D231" s="512" t="s">
        <v>574</v>
      </c>
      <c r="E231" s="513" t="s">
        <v>367</v>
      </c>
      <c r="F231" s="514">
        <v>28852.0</v>
      </c>
      <c r="G231" s="514">
        <v>7434.0</v>
      </c>
      <c r="H231" s="514">
        <v>25.77</v>
      </c>
      <c r="I231" s="514">
        <v>24.81</v>
      </c>
      <c r="J231" s="514">
        <v>19.9</v>
      </c>
      <c r="K231" s="514">
        <v>12741.0</v>
      </c>
      <c r="L231" s="514">
        <v>51347.0</v>
      </c>
      <c r="M231" s="514">
        <v>0.4416</v>
      </c>
      <c r="N231" s="6">
        <v>1.7139</v>
      </c>
    </row>
    <row r="232">
      <c r="A232" s="512" t="s">
        <v>1894</v>
      </c>
      <c r="B232" s="512" t="s">
        <v>1867</v>
      </c>
      <c r="C232" s="512" t="s">
        <v>74</v>
      </c>
      <c r="D232" s="512" t="s">
        <v>574</v>
      </c>
      <c r="E232" s="513" t="s">
        <v>373</v>
      </c>
      <c r="F232" s="514">
        <v>28852.0</v>
      </c>
      <c r="G232" s="514">
        <v>5838.0</v>
      </c>
      <c r="H232" s="514">
        <v>20.23</v>
      </c>
      <c r="I232" s="514">
        <v>13.48</v>
      </c>
      <c r="J232" s="514">
        <v>13.9</v>
      </c>
      <c r="K232" s="514">
        <v>6921.0</v>
      </c>
      <c r="L232" s="514">
        <v>51347.0</v>
      </c>
      <c r="M232" s="514">
        <v>0.2399</v>
      </c>
      <c r="N232" s="6">
        <v>1.1855</v>
      </c>
    </row>
    <row r="233">
      <c r="A233" s="512" t="s">
        <v>1894</v>
      </c>
      <c r="B233" s="512" t="s">
        <v>1867</v>
      </c>
      <c r="C233" s="512" t="s">
        <v>74</v>
      </c>
      <c r="D233" s="512" t="s">
        <v>574</v>
      </c>
      <c r="E233" s="513" t="s">
        <v>40</v>
      </c>
      <c r="F233" s="514">
        <v>28852.0</v>
      </c>
      <c r="G233" s="514">
        <v>1841.0</v>
      </c>
      <c r="H233" s="514">
        <v>6.38</v>
      </c>
      <c r="I233" s="514">
        <v>6.15</v>
      </c>
      <c r="J233" s="514">
        <v>4.76</v>
      </c>
      <c r="K233" s="514">
        <v>3160.0</v>
      </c>
      <c r="L233" s="514">
        <v>51347.0</v>
      </c>
      <c r="M233" s="514">
        <v>0.1095</v>
      </c>
      <c r="N233" s="6">
        <v>1.7165</v>
      </c>
    </row>
    <row r="234">
      <c r="A234" s="512" t="s">
        <v>1894</v>
      </c>
      <c r="B234" s="512" t="s">
        <v>1867</v>
      </c>
      <c r="C234" s="512" t="s">
        <v>74</v>
      </c>
      <c r="D234" s="512" t="s">
        <v>574</v>
      </c>
      <c r="E234" s="513" t="s">
        <v>380</v>
      </c>
      <c r="F234" s="514">
        <v>28852.0</v>
      </c>
      <c r="G234" s="514">
        <v>869.0</v>
      </c>
      <c r="H234" s="514">
        <v>3.01</v>
      </c>
      <c r="I234" s="514">
        <v>2.18</v>
      </c>
      <c r="J234" s="514">
        <v>2.21</v>
      </c>
      <c r="K234" s="514">
        <v>1121.0</v>
      </c>
      <c r="L234" s="514">
        <v>51347.0</v>
      </c>
      <c r="M234" s="514">
        <v>0.0389</v>
      </c>
      <c r="N234" s="6">
        <v>1.29</v>
      </c>
    </row>
    <row r="235">
      <c r="A235" s="512" t="s">
        <v>1894</v>
      </c>
      <c r="B235" s="512" t="s">
        <v>1867</v>
      </c>
      <c r="C235" s="512" t="s">
        <v>74</v>
      </c>
      <c r="D235" s="512" t="s">
        <v>574</v>
      </c>
      <c r="E235" s="513" t="s">
        <v>377</v>
      </c>
      <c r="F235" s="514">
        <v>28852.0</v>
      </c>
      <c r="G235" s="514">
        <v>677.0</v>
      </c>
      <c r="H235" s="514">
        <v>2.35</v>
      </c>
      <c r="I235" s="514">
        <v>1.77</v>
      </c>
      <c r="J235" s="514">
        <v>1.3</v>
      </c>
      <c r="K235" s="514">
        <v>909.0</v>
      </c>
      <c r="L235" s="514">
        <v>51347.0</v>
      </c>
      <c r="M235" s="514">
        <v>0.0315</v>
      </c>
      <c r="N235" s="6">
        <v>1.3427</v>
      </c>
    </row>
    <row r="236">
      <c r="A236" s="512" t="s">
        <v>1894</v>
      </c>
      <c r="B236" s="512" t="s">
        <v>1867</v>
      </c>
      <c r="C236" s="512" t="s">
        <v>74</v>
      </c>
      <c r="D236" s="512" t="s">
        <v>574</v>
      </c>
      <c r="E236" s="513" t="s">
        <v>50</v>
      </c>
      <c r="F236" s="514">
        <v>28852.0</v>
      </c>
      <c r="G236" s="514">
        <v>605.0</v>
      </c>
      <c r="H236" s="514">
        <v>2.1</v>
      </c>
      <c r="I236" s="514">
        <v>1.26</v>
      </c>
      <c r="J236" s="514">
        <v>1.52</v>
      </c>
      <c r="K236" s="514">
        <v>647.0</v>
      </c>
      <c r="L236" s="514">
        <v>51347.0</v>
      </c>
      <c r="M236" s="514">
        <v>0.0224</v>
      </c>
      <c r="N236" s="6">
        <v>1.0694</v>
      </c>
    </row>
    <row r="237">
      <c r="A237" s="512" t="s">
        <v>1894</v>
      </c>
      <c r="B237" s="512" t="s">
        <v>1867</v>
      </c>
      <c r="C237" s="512" t="s">
        <v>74</v>
      </c>
      <c r="D237" s="512" t="s">
        <v>574</v>
      </c>
      <c r="E237" s="513" t="s">
        <v>312</v>
      </c>
      <c r="F237" s="514">
        <v>28852.0</v>
      </c>
      <c r="G237" s="514">
        <v>289.0</v>
      </c>
      <c r="H237" s="514">
        <v>1.0</v>
      </c>
      <c r="I237" s="514">
        <v>0.59</v>
      </c>
      <c r="J237" s="514">
        <v>0.64</v>
      </c>
      <c r="K237" s="514">
        <v>305.0</v>
      </c>
      <c r="L237" s="514">
        <v>51347.0</v>
      </c>
      <c r="M237" s="514">
        <v>0.0106</v>
      </c>
      <c r="N237" s="6">
        <v>1.0554</v>
      </c>
    </row>
    <row r="238">
      <c r="A238" s="512" t="s">
        <v>1894</v>
      </c>
      <c r="B238" s="512" t="s">
        <v>1867</v>
      </c>
      <c r="C238" s="512" t="s">
        <v>74</v>
      </c>
      <c r="D238" s="512" t="s">
        <v>574</v>
      </c>
      <c r="E238" s="513" t="s">
        <v>379</v>
      </c>
      <c r="F238" s="514">
        <v>28852.0</v>
      </c>
      <c r="G238" s="514">
        <v>228.0</v>
      </c>
      <c r="H238" s="514">
        <v>0.79</v>
      </c>
      <c r="I238" s="514">
        <v>0.45</v>
      </c>
      <c r="J238" s="514">
        <v>0.53</v>
      </c>
      <c r="K238" s="514">
        <v>233.0</v>
      </c>
      <c r="L238" s="514">
        <v>51347.0</v>
      </c>
      <c r="M238" s="514">
        <v>0.0081</v>
      </c>
      <c r="N238" s="6">
        <v>1.0219</v>
      </c>
    </row>
    <row r="239">
      <c r="A239" s="512" t="s">
        <v>1894</v>
      </c>
      <c r="B239" s="512" t="s">
        <v>1867</v>
      </c>
      <c r="C239" s="512" t="s">
        <v>74</v>
      </c>
      <c r="D239" s="512" t="s">
        <v>574</v>
      </c>
      <c r="E239" s="513" t="s">
        <v>32</v>
      </c>
      <c r="F239" s="514">
        <v>28852.0</v>
      </c>
      <c r="G239" s="514">
        <v>218.0</v>
      </c>
      <c r="H239" s="514">
        <v>0.76</v>
      </c>
      <c r="I239" s="514">
        <v>0.44</v>
      </c>
      <c r="J239" s="514">
        <v>0.53</v>
      </c>
      <c r="K239" s="514">
        <v>226.0</v>
      </c>
      <c r="L239" s="514">
        <v>51347.0</v>
      </c>
      <c r="M239" s="514">
        <v>0.0078</v>
      </c>
      <c r="N239" s="6">
        <v>1.0367</v>
      </c>
    </row>
    <row r="240">
      <c r="A240" s="512" t="s">
        <v>1894</v>
      </c>
      <c r="B240" s="512" t="s">
        <v>1867</v>
      </c>
      <c r="C240" s="512" t="s">
        <v>74</v>
      </c>
      <c r="D240" s="512" t="s">
        <v>574</v>
      </c>
      <c r="E240" s="513" t="s">
        <v>310</v>
      </c>
      <c r="F240" s="514">
        <v>28852.0</v>
      </c>
      <c r="G240" s="514">
        <v>212.0</v>
      </c>
      <c r="H240" s="514">
        <v>0.73</v>
      </c>
      <c r="I240" s="514">
        <v>0.43</v>
      </c>
      <c r="J240" s="514">
        <v>0.52</v>
      </c>
      <c r="K240" s="514">
        <v>220.0</v>
      </c>
      <c r="L240" s="514">
        <v>51347.0</v>
      </c>
      <c r="M240" s="514">
        <v>0.0076</v>
      </c>
      <c r="N240" s="6">
        <v>1.0377</v>
      </c>
    </row>
    <row r="241">
      <c r="A241" s="512" t="s">
        <v>1894</v>
      </c>
      <c r="B241" s="512" t="s">
        <v>1867</v>
      </c>
      <c r="C241" s="512" t="s">
        <v>74</v>
      </c>
      <c r="D241" s="512" t="s">
        <v>574</v>
      </c>
      <c r="E241" s="513" t="s">
        <v>134</v>
      </c>
      <c r="F241" s="514">
        <v>28852.0</v>
      </c>
      <c r="G241" s="514">
        <v>116.0</v>
      </c>
      <c r="H241" s="514">
        <v>0.4</v>
      </c>
      <c r="I241" s="514">
        <v>0.31</v>
      </c>
      <c r="J241" s="514">
        <v>0.2</v>
      </c>
      <c r="K241" s="514">
        <v>159.0</v>
      </c>
      <c r="L241" s="514">
        <v>51347.0</v>
      </c>
      <c r="M241" s="514">
        <v>0.0055</v>
      </c>
      <c r="N241" s="6">
        <v>1.3707</v>
      </c>
    </row>
    <row r="242">
      <c r="A242" s="512" t="s">
        <v>1894</v>
      </c>
      <c r="B242" s="512" t="s">
        <v>1867</v>
      </c>
      <c r="C242" s="512" t="s">
        <v>74</v>
      </c>
      <c r="D242" s="512" t="s">
        <v>574</v>
      </c>
      <c r="E242" s="513" t="s">
        <v>44</v>
      </c>
      <c r="F242" s="514">
        <v>28852.0</v>
      </c>
      <c r="G242" s="514">
        <v>129.0</v>
      </c>
      <c r="H242" s="514">
        <v>0.45</v>
      </c>
      <c r="I242" s="514">
        <v>0.29</v>
      </c>
      <c r="J242" s="514">
        <v>0.2</v>
      </c>
      <c r="K242" s="514">
        <v>148.0</v>
      </c>
      <c r="L242" s="514">
        <v>51347.0</v>
      </c>
      <c r="M242" s="514">
        <v>0.0051</v>
      </c>
      <c r="N242" s="6">
        <v>1.1473</v>
      </c>
    </row>
    <row r="243">
      <c r="A243" s="512" t="s">
        <v>1894</v>
      </c>
      <c r="B243" s="512" t="s">
        <v>1867</v>
      </c>
      <c r="C243" s="512" t="s">
        <v>74</v>
      </c>
      <c r="D243" s="512" t="s">
        <v>574</v>
      </c>
      <c r="E243" s="513" t="s">
        <v>311</v>
      </c>
      <c r="F243" s="514">
        <v>28852.0</v>
      </c>
      <c r="G243" s="514">
        <v>71.0</v>
      </c>
      <c r="H243" s="514">
        <v>0.25</v>
      </c>
      <c r="I243" s="514">
        <v>0.15</v>
      </c>
      <c r="J243" s="514">
        <v>0.19</v>
      </c>
      <c r="K243" s="514">
        <v>75.0</v>
      </c>
      <c r="L243" s="514">
        <v>51347.0</v>
      </c>
      <c r="M243" s="514">
        <v>0.0026</v>
      </c>
      <c r="N243" s="6">
        <v>1.0563</v>
      </c>
    </row>
    <row r="244">
      <c r="A244" s="512" t="s">
        <v>1894</v>
      </c>
      <c r="B244" s="512" t="s">
        <v>1867</v>
      </c>
      <c r="C244" s="512" t="s">
        <v>74</v>
      </c>
      <c r="D244" s="512" t="s">
        <v>574</v>
      </c>
      <c r="E244" s="513" t="s">
        <v>372</v>
      </c>
      <c r="F244" s="514">
        <v>28852.0</v>
      </c>
      <c r="G244" s="514">
        <v>64.0</v>
      </c>
      <c r="H244" s="514">
        <v>0.22</v>
      </c>
      <c r="I244" s="514">
        <v>0.13</v>
      </c>
      <c r="J244" s="514">
        <v>0.13</v>
      </c>
      <c r="K244" s="514">
        <v>66.0</v>
      </c>
      <c r="L244" s="514">
        <v>51347.0</v>
      </c>
      <c r="M244" s="514">
        <v>0.0023</v>
      </c>
      <c r="N244" s="6">
        <v>1.0313</v>
      </c>
    </row>
    <row r="245">
      <c r="A245" s="512" t="s">
        <v>1894</v>
      </c>
      <c r="B245" s="512" t="s">
        <v>1867</v>
      </c>
      <c r="C245" s="512" t="s">
        <v>74</v>
      </c>
      <c r="D245" s="512" t="s">
        <v>574</v>
      </c>
      <c r="E245" s="513" t="s">
        <v>43</v>
      </c>
      <c r="F245" s="514">
        <v>28852.0</v>
      </c>
      <c r="G245" s="514">
        <v>45.0</v>
      </c>
      <c r="H245" s="514">
        <v>0.16</v>
      </c>
      <c r="I245" s="514">
        <v>0.09</v>
      </c>
      <c r="J245" s="514">
        <v>0.11</v>
      </c>
      <c r="K245" s="514">
        <v>47.0</v>
      </c>
      <c r="L245" s="514">
        <v>51347.0</v>
      </c>
      <c r="M245" s="514">
        <v>0.0016</v>
      </c>
      <c r="N245" s="6">
        <v>1.0444</v>
      </c>
    </row>
    <row r="246">
      <c r="A246" s="512" t="s">
        <v>1894</v>
      </c>
      <c r="B246" s="512" t="s">
        <v>1867</v>
      </c>
      <c r="C246" s="512" t="s">
        <v>74</v>
      </c>
      <c r="D246" s="512" t="s">
        <v>574</v>
      </c>
      <c r="E246" s="513" t="s">
        <v>374</v>
      </c>
      <c r="F246" s="514">
        <v>28852.0</v>
      </c>
      <c r="G246" s="514">
        <v>16.0</v>
      </c>
      <c r="H246" s="514">
        <v>0.06</v>
      </c>
      <c r="I246" s="514">
        <v>0.06</v>
      </c>
      <c r="J246" s="514">
        <v>0.01</v>
      </c>
      <c r="K246" s="514">
        <v>30.0</v>
      </c>
      <c r="L246" s="514">
        <v>51347.0</v>
      </c>
      <c r="M246" s="514">
        <v>0.001</v>
      </c>
      <c r="N246" s="6">
        <v>1.875</v>
      </c>
    </row>
    <row r="247">
      <c r="A247" s="512" t="s">
        <v>1894</v>
      </c>
      <c r="B247" s="512" t="s">
        <v>1867</v>
      </c>
      <c r="C247" s="512" t="s">
        <v>74</v>
      </c>
      <c r="D247" s="512" t="s">
        <v>574</v>
      </c>
      <c r="E247" s="513" t="s">
        <v>375</v>
      </c>
      <c r="F247" s="514">
        <v>28852.0</v>
      </c>
      <c r="G247" s="514">
        <v>17.0</v>
      </c>
      <c r="H247" s="514">
        <v>0.06</v>
      </c>
      <c r="I247" s="514">
        <v>0.04</v>
      </c>
      <c r="J247" s="514">
        <v>0.01</v>
      </c>
      <c r="K247" s="514">
        <v>18.0</v>
      </c>
      <c r="L247" s="514">
        <v>51347.0</v>
      </c>
      <c r="M247" s="514">
        <v>6.0E-4</v>
      </c>
      <c r="N247" s="6">
        <v>1.0588</v>
      </c>
    </row>
    <row r="248">
      <c r="A248" s="512" t="s">
        <v>1894</v>
      </c>
      <c r="B248" s="512" t="s">
        <v>1867</v>
      </c>
      <c r="C248" s="512" t="s">
        <v>74</v>
      </c>
      <c r="D248" s="512" t="s">
        <v>574</v>
      </c>
      <c r="E248" s="513" t="s">
        <v>382</v>
      </c>
      <c r="F248" s="514">
        <v>28852.0</v>
      </c>
      <c r="G248" s="514">
        <v>1.0</v>
      </c>
      <c r="H248" s="514">
        <v>0.0</v>
      </c>
      <c r="I248" s="514">
        <v>0.02</v>
      </c>
      <c r="J248" s="514">
        <v>0.0</v>
      </c>
      <c r="K248" s="514">
        <v>11.0</v>
      </c>
      <c r="L248" s="514">
        <v>51347.0</v>
      </c>
      <c r="M248" s="514">
        <v>4.0E-4</v>
      </c>
      <c r="N248" s="6">
        <v>11.0</v>
      </c>
    </row>
    <row r="249">
      <c r="A249" s="512" t="s">
        <v>1894</v>
      </c>
      <c r="B249" s="512" t="s">
        <v>1867</v>
      </c>
      <c r="C249" s="512" t="s">
        <v>74</v>
      </c>
      <c r="D249" s="512" t="s">
        <v>574</v>
      </c>
      <c r="E249" s="513" t="s">
        <v>189</v>
      </c>
      <c r="F249" s="514">
        <v>28852.0</v>
      </c>
      <c r="G249" s="514">
        <v>6.0</v>
      </c>
      <c r="H249" s="514">
        <v>0.02</v>
      </c>
      <c r="I249" s="514">
        <v>0.01</v>
      </c>
      <c r="J249" s="514">
        <v>0.0</v>
      </c>
      <c r="K249" s="514">
        <v>6.0</v>
      </c>
      <c r="L249" s="514">
        <v>51347.0</v>
      </c>
      <c r="M249" s="514">
        <v>2.0E-4</v>
      </c>
      <c r="N249" s="6">
        <v>1.0</v>
      </c>
    </row>
    <row r="250">
      <c r="A250" s="512" t="s">
        <v>1894</v>
      </c>
      <c r="B250" s="512" t="s">
        <v>1867</v>
      </c>
      <c r="C250" s="512" t="s">
        <v>1882</v>
      </c>
      <c r="D250" s="512" t="s">
        <v>1882</v>
      </c>
      <c r="E250" s="513" t="s">
        <v>373</v>
      </c>
      <c r="F250" s="514">
        <v>89069.0</v>
      </c>
      <c r="G250" s="514">
        <v>75587.0</v>
      </c>
      <c r="H250" s="514">
        <v>84.86</v>
      </c>
      <c r="I250" s="514">
        <v>56.65</v>
      </c>
      <c r="J250" s="514">
        <v>58.9</v>
      </c>
      <c r="K250" s="514">
        <v>7454185.0</v>
      </c>
      <c r="L250" s="514">
        <v>1.3158546E7</v>
      </c>
      <c r="M250" s="514">
        <v>83.69</v>
      </c>
      <c r="N250" s="6">
        <v>98.6173</v>
      </c>
    </row>
    <row r="251">
      <c r="A251" s="512" t="s">
        <v>1894</v>
      </c>
      <c r="B251" s="512" t="s">
        <v>1867</v>
      </c>
      <c r="C251" s="512" t="s">
        <v>1882</v>
      </c>
      <c r="D251" s="512" t="s">
        <v>1882</v>
      </c>
      <c r="E251" s="513" t="s">
        <v>42</v>
      </c>
      <c r="F251" s="514">
        <v>89069.0</v>
      </c>
      <c r="G251" s="514">
        <v>19693.0</v>
      </c>
      <c r="H251" s="514">
        <v>22.11</v>
      </c>
      <c r="I251" s="514">
        <v>12.84</v>
      </c>
      <c r="J251" s="514">
        <v>10.83</v>
      </c>
      <c r="K251" s="514">
        <v>1689135.0</v>
      </c>
      <c r="L251" s="514">
        <v>1.3158546E7</v>
      </c>
      <c r="M251" s="514">
        <v>18.9643</v>
      </c>
      <c r="N251" s="6">
        <v>85.7734</v>
      </c>
    </row>
    <row r="252">
      <c r="A252" s="512" t="s">
        <v>1894</v>
      </c>
      <c r="B252" s="512" t="s">
        <v>1867</v>
      </c>
      <c r="C252" s="512" t="s">
        <v>1882</v>
      </c>
      <c r="D252" s="512" t="s">
        <v>1882</v>
      </c>
      <c r="E252" s="513" t="s">
        <v>40</v>
      </c>
      <c r="F252" s="514">
        <v>89069.0</v>
      </c>
      <c r="G252" s="514">
        <v>12736.0</v>
      </c>
      <c r="H252" s="514">
        <v>14.3</v>
      </c>
      <c r="I252" s="514">
        <v>9.66</v>
      </c>
      <c r="J252" s="514">
        <v>6.93</v>
      </c>
      <c r="K252" s="514">
        <v>1271230.0</v>
      </c>
      <c r="L252" s="514">
        <v>1.3158546E7</v>
      </c>
      <c r="M252" s="514">
        <v>14.2724</v>
      </c>
      <c r="N252" s="6">
        <v>99.8139</v>
      </c>
    </row>
    <row r="253">
      <c r="A253" s="512" t="s">
        <v>1894</v>
      </c>
      <c r="B253" s="512" t="s">
        <v>1867</v>
      </c>
      <c r="C253" s="512" t="s">
        <v>1882</v>
      </c>
      <c r="D253" s="512" t="s">
        <v>1882</v>
      </c>
      <c r="E253" s="513" t="s">
        <v>367</v>
      </c>
      <c r="F253" s="514">
        <v>89069.0</v>
      </c>
      <c r="G253" s="514">
        <v>21152.0</v>
      </c>
      <c r="H253" s="514">
        <v>23.75</v>
      </c>
      <c r="I253" s="514">
        <v>9.13</v>
      </c>
      <c r="J253" s="514">
        <v>8.59</v>
      </c>
      <c r="K253" s="514">
        <v>1201360.0</v>
      </c>
      <c r="L253" s="514">
        <v>1.3158546E7</v>
      </c>
      <c r="M253" s="514">
        <v>13.488</v>
      </c>
      <c r="N253" s="6">
        <v>56.7965</v>
      </c>
    </row>
    <row r="254">
      <c r="A254" s="512" t="s">
        <v>1894</v>
      </c>
      <c r="B254" s="512" t="s">
        <v>1867</v>
      </c>
      <c r="C254" s="512" t="s">
        <v>1882</v>
      </c>
      <c r="D254" s="512" t="s">
        <v>1882</v>
      </c>
      <c r="E254" s="513" t="s">
        <v>380</v>
      </c>
      <c r="F254" s="514">
        <v>89069.0</v>
      </c>
      <c r="G254" s="514">
        <v>17746.0</v>
      </c>
      <c r="H254" s="514">
        <v>19.92</v>
      </c>
      <c r="I254" s="514">
        <v>3.25</v>
      </c>
      <c r="J254" s="514">
        <v>5.83</v>
      </c>
      <c r="K254" s="514">
        <v>428240.0</v>
      </c>
      <c r="L254" s="514">
        <v>1.3158546E7</v>
      </c>
      <c r="M254" s="514">
        <v>4.808</v>
      </c>
      <c r="N254" s="6">
        <v>24.1316</v>
      </c>
    </row>
    <row r="255">
      <c r="A255" s="512" t="s">
        <v>1894</v>
      </c>
      <c r="B255" s="512" t="s">
        <v>1867</v>
      </c>
      <c r="C255" s="512" t="s">
        <v>1882</v>
      </c>
      <c r="D255" s="512" t="s">
        <v>1882</v>
      </c>
      <c r="E255" s="513" t="s">
        <v>377</v>
      </c>
      <c r="F255" s="514">
        <v>89069.0</v>
      </c>
      <c r="G255" s="514">
        <v>17990.0</v>
      </c>
      <c r="H255" s="514">
        <v>20.2</v>
      </c>
      <c r="I255" s="514">
        <v>2.87</v>
      </c>
      <c r="J255" s="514">
        <v>3.42</v>
      </c>
      <c r="K255" s="514">
        <v>377321.0</v>
      </c>
      <c r="L255" s="514">
        <v>1.3158546E7</v>
      </c>
      <c r="M255" s="514">
        <v>4.2363</v>
      </c>
      <c r="N255" s="6">
        <v>20.9739</v>
      </c>
    </row>
    <row r="256">
      <c r="A256" s="512" t="s">
        <v>1894</v>
      </c>
      <c r="B256" s="512" t="s">
        <v>1867</v>
      </c>
      <c r="C256" s="512" t="s">
        <v>1882</v>
      </c>
      <c r="D256" s="512" t="s">
        <v>1882</v>
      </c>
      <c r="E256" s="513" t="s">
        <v>312</v>
      </c>
      <c r="F256" s="514">
        <v>89069.0</v>
      </c>
      <c r="G256" s="514">
        <v>1230.0</v>
      </c>
      <c r="H256" s="514">
        <v>1.38</v>
      </c>
      <c r="I256" s="514">
        <v>1.02</v>
      </c>
      <c r="J256" s="514">
        <v>0.67</v>
      </c>
      <c r="K256" s="514">
        <v>134100.0</v>
      </c>
      <c r="L256" s="514">
        <v>1.3158546E7</v>
      </c>
      <c r="M256" s="514">
        <v>1.5056</v>
      </c>
      <c r="N256" s="6">
        <v>109.0244</v>
      </c>
    </row>
    <row r="257">
      <c r="A257" s="512" t="s">
        <v>1894</v>
      </c>
      <c r="B257" s="512" t="s">
        <v>1867</v>
      </c>
      <c r="C257" s="512" t="s">
        <v>1882</v>
      </c>
      <c r="D257" s="512" t="s">
        <v>1882</v>
      </c>
      <c r="E257" s="513" t="s">
        <v>50</v>
      </c>
      <c r="F257" s="514">
        <v>89069.0</v>
      </c>
      <c r="G257" s="514">
        <v>2044.0</v>
      </c>
      <c r="H257" s="514">
        <v>2.29</v>
      </c>
      <c r="I257" s="514">
        <v>0.94</v>
      </c>
      <c r="J257" s="514">
        <v>1.09</v>
      </c>
      <c r="K257" s="514">
        <v>124000.0</v>
      </c>
      <c r="L257" s="514">
        <v>1.3158546E7</v>
      </c>
      <c r="M257" s="514">
        <v>1.3922</v>
      </c>
      <c r="N257" s="6">
        <v>60.6654</v>
      </c>
    </row>
    <row r="258">
      <c r="A258" s="512" t="s">
        <v>1894</v>
      </c>
      <c r="B258" s="512" t="s">
        <v>1867</v>
      </c>
      <c r="C258" s="512" t="s">
        <v>1882</v>
      </c>
      <c r="D258" s="512" t="s">
        <v>1882</v>
      </c>
      <c r="E258" s="513" t="s">
        <v>32</v>
      </c>
      <c r="F258" s="514">
        <v>89069.0</v>
      </c>
      <c r="G258" s="514">
        <v>1064.0</v>
      </c>
      <c r="H258" s="514">
        <v>1.19</v>
      </c>
      <c r="I258" s="514">
        <v>0.82</v>
      </c>
      <c r="J258" s="514">
        <v>0.59</v>
      </c>
      <c r="K258" s="514">
        <v>107700.0</v>
      </c>
      <c r="L258" s="514">
        <v>1.3158546E7</v>
      </c>
      <c r="M258" s="514">
        <v>1.2092</v>
      </c>
      <c r="N258" s="6">
        <v>101.2218</v>
      </c>
    </row>
    <row r="259">
      <c r="A259" s="512" t="s">
        <v>1894</v>
      </c>
      <c r="B259" s="512" t="s">
        <v>1867</v>
      </c>
      <c r="C259" s="512" t="s">
        <v>1882</v>
      </c>
      <c r="D259" s="512" t="s">
        <v>1882</v>
      </c>
      <c r="E259" s="513" t="s">
        <v>310</v>
      </c>
      <c r="F259" s="514">
        <v>89069.0</v>
      </c>
      <c r="G259" s="514">
        <v>963.0</v>
      </c>
      <c r="H259" s="514">
        <v>1.08</v>
      </c>
      <c r="I259" s="514">
        <v>0.76</v>
      </c>
      <c r="J259" s="514">
        <v>0.6</v>
      </c>
      <c r="K259" s="514">
        <v>100050.0</v>
      </c>
      <c r="L259" s="514">
        <v>1.3158546E7</v>
      </c>
      <c r="M259" s="514">
        <v>1.1233</v>
      </c>
      <c r="N259" s="6">
        <v>103.8941</v>
      </c>
    </row>
    <row r="260">
      <c r="A260" s="512" t="s">
        <v>1894</v>
      </c>
      <c r="B260" s="512" t="s">
        <v>1867</v>
      </c>
      <c r="C260" s="512" t="s">
        <v>1882</v>
      </c>
      <c r="D260" s="512" t="s">
        <v>1882</v>
      </c>
      <c r="E260" s="513" t="s">
        <v>43</v>
      </c>
      <c r="F260" s="514">
        <v>89069.0</v>
      </c>
      <c r="G260" s="514">
        <v>360.0</v>
      </c>
      <c r="H260" s="514">
        <v>0.4</v>
      </c>
      <c r="I260" s="514">
        <v>0.45</v>
      </c>
      <c r="J260" s="514">
        <v>0.21</v>
      </c>
      <c r="K260" s="514">
        <v>59725.0</v>
      </c>
      <c r="L260" s="514">
        <v>1.3158546E7</v>
      </c>
      <c r="M260" s="514">
        <v>0.6705</v>
      </c>
      <c r="N260" s="6">
        <v>165.9028</v>
      </c>
    </row>
    <row r="261">
      <c r="A261" s="512" t="s">
        <v>1894</v>
      </c>
      <c r="B261" s="512" t="s">
        <v>1867</v>
      </c>
      <c r="C261" s="512" t="s">
        <v>1882</v>
      </c>
      <c r="D261" s="512" t="s">
        <v>1882</v>
      </c>
      <c r="E261" s="513" t="s">
        <v>44</v>
      </c>
      <c r="F261" s="514">
        <v>89069.0</v>
      </c>
      <c r="G261" s="514">
        <v>3951.0</v>
      </c>
      <c r="H261" s="514">
        <v>4.44</v>
      </c>
      <c r="I261" s="514">
        <v>0.4</v>
      </c>
      <c r="J261" s="514">
        <v>0.85</v>
      </c>
      <c r="K261" s="514">
        <v>52505.0</v>
      </c>
      <c r="L261" s="514">
        <v>1.3158546E7</v>
      </c>
      <c r="M261" s="514">
        <v>0.5895</v>
      </c>
      <c r="N261" s="6">
        <v>13.289</v>
      </c>
    </row>
    <row r="262">
      <c r="A262" s="512" t="s">
        <v>1894</v>
      </c>
      <c r="B262" s="512" t="s">
        <v>1867</v>
      </c>
      <c r="C262" s="512" t="s">
        <v>1882</v>
      </c>
      <c r="D262" s="512" t="s">
        <v>1882</v>
      </c>
      <c r="E262" s="513" t="s">
        <v>374</v>
      </c>
      <c r="F262" s="514">
        <v>89069.0</v>
      </c>
      <c r="G262" s="514">
        <v>458.0</v>
      </c>
      <c r="H262" s="514">
        <v>0.51</v>
      </c>
      <c r="I262" s="514">
        <v>0.26</v>
      </c>
      <c r="J262" s="514">
        <v>0.14</v>
      </c>
      <c r="K262" s="514">
        <v>33985.0</v>
      </c>
      <c r="L262" s="514">
        <v>1.3158546E7</v>
      </c>
      <c r="M262" s="514">
        <v>0.3816</v>
      </c>
      <c r="N262" s="6">
        <v>74.2031</v>
      </c>
    </row>
    <row r="263">
      <c r="A263" s="512" t="s">
        <v>1894</v>
      </c>
      <c r="B263" s="512" t="s">
        <v>1867</v>
      </c>
      <c r="C263" s="512" t="s">
        <v>1882</v>
      </c>
      <c r="D263" s="512" t="s">
        <v>1882</v>
      </c>
      <c r="E263" s="513" t="s">
        <v>311</v>
      </c>
      <c r="F263" s="514">
        <v>89069.0</v>
      </c>
      <c r="G263" s="514">
        <v>288.0</v>
      </c>
      <c r="H263" s="514">
        <v>0.32</v>
      </c>
      <c r="I263" s="514">
        <v>0.23</v>
      </c>
      <c r="J263" s="514">
        <v>0.17</v>
      </c>
      <c r="K263" s="514">
        <v>30300.0</v>
      </c>
      <c r="L263" s="514">
        <v>1.3158546E7</v>
      </c>
      <c r="M263" s="514">
        <v>0.3402</v>
      </c>
      <c r="N263" s="6">
        <v>105.2083</v>
      </c>
    </row>
    <row r="264">
      <c r="A264" s="512" t="s">
        <v>1894</v>
      </c>
      <c r="B264" s="512" t="s">
        <v>1867</v>
      </c>
      <c r="C264" s="512" t="s">
        <v>1882</v>
      </c>
      <c r="D264" s="512" t="s">
        <v>1882</v>
      </c>
      <c r="E264" s="513" t="s">
        <v>379</v>
      </c>
      <c r="F264" s="514">
        <v>89069.0</v>
      </c>
      <c r="G264" s="514">
        <v>1272.0</v>
      </c>
      <c r="H264" s="514">
        <v>1.43</v>
      </c>
      <c r="I264" s="514">
        <v>0.19</v>
      </c>
      <c r="J264" s="514">
        <v>0.47</v>
      </c>
      <c r="K264" s="514">
        <v>25245.0</v>
      </c>
      <c r="L264" s="514">
        <v>1.3158546E7</v>
      </c>
      <c r="M264" s="514">
        <v>0.2834</v>
      </c>
      <c r="N264" s="6">
        <v>19.8467</v>
      </c>
    </row>
    <row r="265">
      <c r="A265" s="512" t="s">
        <v>1894</v>
      </c>
      <c r="B265" s="512" t="s">
        <v>1867</v>
      </c>
      <c r="C265" s="512" t="s">
        <v>1882</v>
      </c>
      <c r="D265" s="512" t="s">
        <v>1882</v>
      </c>
      <c r="E265" s="513" t="s">
        <v>375</v>
      </c>
      <c r="F265" s="514">
        <v>89069.0</v>
      </c>
      <c r="G265" s="514">
        <v>684.0</v>
      </c>
      <c r="H265" s="514">
        <v>0.77</v>
      </c>
      <c r="I265" s="514">
        <v>0.18</v>
      </c>
      <c r="J265" s="514">
        <v>0.3</v>
      </c>
      <c r="K265" s="514">
        <v>23075.0</v>
      </c>
      <c r="L265" s="514">
        <v>1.3158546E7</v>
      </c>
      <c r="M265" s="514">
        <v>0.2591</v>
      </c>
      <c r="N265" s="6">
        <v>33.7354</v>
      </c>
    </row>
    <row r="266">
      <c r="A266" s="512" t="s">
        <v>1894</v>
      </c>
      <c r="B266" s="512" t="s">
        <v>1867</v>
      </c>
      <c r="C266" s="512" t="s">
        <v>1882</v>
      </c>
      <c r="D266" s="512" t="s">
        <v>1882</v>
      </c>
      <c r="E266" s="513" t="s">
        <v>372</v>
      </c>
      <c r="F266" s="514">
        <v>89069.0</v>
      </c>
      <c r="G266" s="514">
        <v>389.0</v>
      </c>
      <c r="H266" s="514">
        <v>0.44</v>
      </c>
      <c r="I266" s="514">
        <v>0.12</v>
      </c>
      <c r="J266" s="514">
        <v>0.16</v>
      </c>
      <c r="K266" s="514">
        <v>15495.0</v>
      </c>
      <c r="L266" s="514">
        <v>1.3158546E7</v>
      </c>
      <c r="M266" s="514">
        <v>0.174</v>
      </c>
      <c r="N266" s="6">
        <v>39.8329</v>
      </c>
    </row>
    <row r="267">
      <c r="A267" s="512" t="s">
        <v>1894</v>
      </c>
      <c r="B267" s="512" t="s">
        <v>1867</v>
      </c>
      <c r="C267" s="512" t="s">
        <v>1882</v>
      </c>
      <c r="D267" s="512" t="s">
        <v>1882</v>
      </c>
      <c r="E267" s="513" t="s">
        <v>134</v>
      </c>
      <c r="F267" s="514">
        <v>89069.0</v>
      </c>
      <c r="G267" s="514">
        <v>150.0</v>
      </c>
      <c r="H267" s="514">
        <v>0.17</v>
      </c>
      <c r="I267" s="514">
        <v>0.1</v>
      </c>
      <c r="J267" s="514">
        <v>0.04</v>
      </c>
      <c r="K267" s="514">
        <v>12995.0</v>
      </c>
      <c r="L267" s="514">
        <v>1.3158546E7</v>
      </c>
      <c r="M267" s="514">
        <v>0.1459</v>
      </c>
      <c r="N267" s="6">
        <v>86.6333</v>
      </c>
    </row>
    <row r="268">
      <c r="A268" s="512" t="s">
        <v>1894</v>
      </c>
      <c r="B268" s="512" t="s">
        <v>1867</v>
      </c>
      <c r="C268" s="512" t="s">
        <v>1882</v>
      </c>
      <c r="D268" s="512" t="s">
        <v>1882</v>
      </c>
      <c r="E268" s="513" t="s">
        <v>35</v>
      </c>
      <c r="F268" s="514">
        <v>89069.0</v>
      </c>
      <c r="G268" s="514">
        <v>385.0</v>
      </c>
      <c r="H268" s="514">
        <v>0.43</v>
      </c>
      <c r="I268" s="514">
        <v>0.09</v>
      </c>
      <c r="J268" s="514">
        <v>0.11</v>
      </c>
      <c r="K268" s="514">
        <v>11325.0</v>
      </c>
      <c r="L268" s="514">
        <v>1.3158546E7</v>
      </c>
      <c r="M268" s="514">
        <v>0.1271</v>
      </c>
      <c r="N268" s="6">
        <v>29.4156</v>
      </c>
    </row>
    <row r="269">
      <c r="A269" s="512" t="s">
        <v>1894</v>
      </c>
      <c r="B269" s="512" t="s">
        <v>1867</v>
      </c>
      <c r="C269" s="512" t="s">
        <v>1882</v>
      </c>
      <c r="D269" s="512" t="s">
        <v>1882</v>
      </c>
      <c r="E269" s="513" t="s">
        <v>189</v>
      </c>
      <c r="F269" s="514">
        <v>89069.0</v>
      </c>
      <c r="G269" s="514">
        <v>222.0</v>
      </c>
      <c r="H269" s="514">
        <v>0.25</v>
      </c>
      <c r="I269" s="514">
        <v>0.05</v>
      </c>
      <c r="J269" s="514">
        <v>0.08</v>
      </c>
      <c r="K269" s="514">
        <v>5975.0</v>
      </c>
      <c r="L269" s="514">
        <v>1.3158546E7</v>
      </c>
      <c r="M269" s="514">
        <v>0.0671</v>
      </c>
      <c r="N269" s="6">
        <v>26.9144</v>
      </c>
    </row>
    <row r="270">
      <c r="A270" s="512" t="s">
        <v>1894</v>
      </c>
      <c r="B270" s="512" t="s">
        <v>1867</v>
      </c>
      <c r="C270" s="512" t="s">
        <v>1882</v>
      </c>
      <c r="D270" s="512" t="s">
        <v>1882</v>
      </c>
      <c r="E270" s="513" t="s">
        <v>382</v>
      </c>
      <c r="F270" s="514">
        <v>89069.0</v>
      </c>
      <c r="G270" s="514">
        <v>1.0</v>
      </c>
      <c r="H270" s="514">
        <v>0.0</v>
      </c>
      <c r="I270" s="514">
        <v>0.0</v>
      </c>
      <c r="J270" s="514">
        <v>0.0</v>
      </c>
      <c r="K270" s="514">
        <v>600.0</v>
      </c>
      <c r="L270" s="514">
        <v>1.3158546E7</v>
      </c>
      <c r="M270" s="514">
        <v>0.0067</v>
      </c>
      <c r="N270" s="6">
        <v>600.0</v>
      </c>
    </row>
    <row r="271">
      <c r="A271" s="512" t="s">
        <v>1894</v>
      </c>
      <c r="B271" s="512" t="s">
        <v>1867</v>
      </c>
      <c r="C271" s="512" t="s">
        <v>69</v>
      </c>
      <c r="D271" s="512" t="s">
        <v>574</v>
      </c>
      <c r="E271" s="513" t="s">
        <v>377</v>
      </c>
      <c r="F271" s="514">
        <v>43925.0</v>
      </c>
      <c r="G271" s="514">
        <v>28633.0</v>
      </c>
      <c r="H271" s="514">
        <v>65.19</v>
      </c>
      <c r="I271" s="514">
        <v>53.76</v>
      </c>
      <c r="J271" s="514">
        <v>54.43</v>
      </c>
      <c r="K271" s="514">
        <v>44364.0</v>
      </c>
      <c r="L271" s="514">
        <v>82521.0</v>
      </c>
      <c r="M271" s="514">
        <v>1.01</v>
      </c>
      <c r="N271" s="6">
        <v>1.5494</v>
      </c>
    </row>
    <row r="272">
      <c r="A272" s="512" t="s">
        <v>1894</v>
      </c>
      <c r="B272" s="512" t="s">
        <v>1867</v>
      </c>
      <c r="C272" s="512" t="s">
        <v>69</v>
      </c>
      <c r="D272" s="512" t="s">
        <v>574</v>
      </c>
      <c r="E272" s="513" t="s">
        <v>380</v>
      </c>
      <c r="F272" s="514">
        <v>43925.0</v>
      </c>
      <c r="G272" s="514">
        <v>12039.0</v>
      </c>
      <c r="H272" s="514">
        <v>27.41</v>
      </c>
      <c r="I272" s="514">
        <v>21.63</v>
      </c>
      <c r="J272" s="514">
        <v>18.4</v>
      </c>
      <c r="K272" s="514">
        <v>17847.0</v>
      </c>
      <c r="L272" s="514">
        <v>82521.0</v>
      </c>
      <c r="M272" s="514">
        <v>0.4063</v>
      </c>
      <c r="N272" s="6">
        <v>1.4824</v>
      </c>
    </row>
    <row r="273">
      <c r="A273" s="512" t="s">
        <v>1894</v>
      </c>
      <c r="B273" s="512" t="s">
        <v>1867</v>
      </c>
      <c r="C273" s="512" t="s">
        <v>69</v>
      </c>
      <c r="D273" s="512" t="s">
        <v>574</v>
      </c>
      <c r="E273" s="513" t="s">
        <v>44</v>
      </c>
      <c r="F273" s="514">
        <v>43925.0</v>
      </c>
      <c r="G273" s="514">
        <v>9455.0</v>
      </c>
      <c r="H273" s="514">
        <v>21.53</v>
      </c>
      <c r="I273" s="514">
        <v>13.03</v>
      </c>
      <c r="J273" s="514">
        <v>14.87</v>
      </c>
      <c r="K273" s="514">
        <v>10752.0</v>
      </c>
      <c r="L273" s="514">
        <v>82521.0</v>
      </c>
      <c r="M273" s="514">
        <v>0.2448</v>
      </c>
      <c r="N273" s="6">
        <v>1.1372</v>
      </c>
    </row>
    <row r="274">
      <c r="A274" s="512" t="s">
        <v>1894</v>
      </c>
      <c r="B274" s="512" t="s">
        <v>1867</v>
      </c>
      <c r="C274" s="512" t="s">
        <v>69</v>
      </c>
      <c r="D274" s="512" t="s">
        <v>574</v>
      </c>
      <c r="E274" s="513" t="s">
        <v>49</v>
      </c>
      <c r="F274" s="514">
        <v>43925.0</v>
      </c>
      <c r="G274" s="514">
        <v>3630.0</v>
      </c>
      <c r="H274" s="514">
        <v>8.26</v>
      </c>
      <c r="I274" s="514">
        <v>4.9</v>
      </c>
      <c r="J274" s="514">
        <v>5.22</v>
      </c>
      <c r="K274" s="514">
        <v>4046.0</v>
      </c>
      <c r="L274" s="514">
        <v>82521.0</v>
      </c>
      <c r="M274" s="514">
        <v>0.0921</v>
      </c>
      <c r="N274" s="6">
        <v>1.1146</v>
      </c>
    </row>
    <row r="275">
      <c r="A275" s="512" t="s">
        <v>1894</v>
      </c>
      <c r="B275" s="512" t="s">
        <v>1867</v>
      </c>
      <c r="C275" s="512" t="s">
        <v>69</v>
      </c>
      <c r="D275" s="512" t="s">
        <v>574</v>
      </c>
      <c r="E275" s="513" t="s">
        <v>42</v>
      </c>
      <c r="F275" s="514">
        <v>43925.0</v>
      </c>
      <c r="G275" s="514">
        <v>2992.0</v>
      </c>
      <c r="H275" s="514">
        <v>6.81</v>
      </c>
      <c r="I275" s="514">
        <v>4.07</v>
      </c>
      <c r="J275" s="514">
        <v>4.35</v>
      </c>
      <c r="K275" s="514">
        <v>3359.0</v>
      </c>
      <c r="L275" s="514">
        <v>82521.0</v>
      </c>
      <c r="M275" s="514">
        <v>0.0765</v>
      </c>
      <c r="N275" s="6">
        <v>1.1227</v>
      </c>
    </row>
    <row r="276">
      <c r="A276" s="512" t="s">
        <v>1894</v>
      </c>
      <c r="B276" s="512" t="s">
        <v>1867</v>
      </c>
      <c r="C276" s="512" t="s">
        <v>69</v>
      </c>
      <c r="D276" s="512" t="s">
        <v>574</v>
      </c>
      <c r="E276" s="513" t="s">
        <v>379</v>
      </c>
      <c r="F276" s="514">
        <v>43925.0</v>
      </c>
      <c r="G276" s="514">
        <v>572.0</v>
      </c>
      <c r="H276" s="514">
        <v>1.3</v>
      </c>
      <c r="I276" s="514">
        <v>0.73</v>
      </c>
      <c r="J276" s="514">
        <v>0.82</v>
      </c>
      <c r="K276" s="514">
        <v>601.0</v>
      </c>
      <c r="L276" s="514">
        <v>82521.0</v>
      </c>
      <c r="M276" s="514">
        <v>0.0137</v>
      </c>
      <c r="N276" s="6">
        <v>1.0507</v>
      </c>
    </row>
    <row r="277">
      <c r="A277" s="512" t="s">
        <v>1894</v>
      </c>
      <c r="B277" s="512" t="s">
        <v>1867</v>
      </c>
      <c r="C277" s="512" t="s">
        <v>69</v>
      </c>
      <c r="D277" s="512" t="s">
        <v>574</v>
      </c>
      <c r="E277" s="513" t="s">
        <v>43</v>
      </c>
      <c r="F277" s="514">
        <v>43925.0</v>
      </c>
      <c r="G277" s="514">
        <v>402.0</v>
      </c>
      <c r="H277" s="514">
        <v>0.92</v>
      </c>
      <c r="I277" s="514">
        <v>0.49</v>
      </c>
      <c r="J277" s="514">
        <v>0.52</v>
      </c>
      <c r="K277" s="514">
        <v>408.0</v>
      </c>
      <c r="L277" s="514">
        <v>82521.0</v>
      </c>
      <c r="M277" s="514">
        <v>0.0093</v>
      </c>
      <c r="N277" s="6">
        <v>1.0149</v>
      </c>
    </row>
    <row r="278">
      <c r="A278" s="512" t="s">
        <v>1894</v>
      </c>
      <c r="B278" s="512" t="s">
        <v>1867</v>
      </c>
      <c r="C278" s="512" t="s">
        <v>69</v>
      </c>
      <c r="D278" s="512" t="s">
        <v>574</v>
      </c>
      <c r="E278" s="513" t="s">
        <v>375</v>
      </c>
      <c r="F278" s="514">
        <v>43925.0</v>
      </c>
      <c r="G278" s="514">
        <v>259.0</v>
      </c>
      <c r="H278" s="514">
        <v>0.59</v>
      </c>
      <c r="I278" s="514">
        <v>0.4</v>
      </c>
      <c r="J278" s="514">
        <v>0.44</v>
      </c>
      <c r="K278" s="514">
        <v>328.0</v>
      </c>
      <c r="L278" s="514">
        <v>82521.0</v>
      </c>
      <c r="M278" s="514">
        <v>0.0075</v>
      </c>
      <c r="N278" s="6">
        <v>1.2664</v>
      </c>
    </row>
    <row r="279">
      <c r="A279" s="512" t="s">
        <v>1894</v>
      </c>
      <c r="B279" s="512" t="s">
        <v>1867</v>
      </c>
      <c r="C279" s="512" t="s">
        <v>69</v>
      </c>
      <c r="D279" s="512" t="s">
        <v>574</v>
      </c>
      <c r="E279" s="513" t="s">
        <v>374</v>
      </c>
      <c r="F279" s="514">
        <v>43925.0</v>
      </c>
      <c r="G279" s="514">
        <v>251.0</v>
      </c>
      <c r="H279" s="514">
        <v>0.57</v>
      </c>
      <c r="I279" s="514">
        <v>0.4</v>
      </c>
      <c r="J279" s="514">
        <v>0.32</v>
      </c>
      <c r="K279" s="514">
        <v>327.0</v>
      </c>
      <c r="L279" s="514">
        <v>82521.0</v>
      </c>
      <c r="M279" s="514">
        <v>0.0074</v>
      </c>
      <c r="N279" s="6">
        <v>1.3028</v>
      </c>
    </row>
    <row r="280">
      <c r="A280" s="512" t="s">
        <v>1894</v>
      </c>
      <c r="B280" s="512" t="s">
        <v>1867</v>
      </c>
      <c r="C280" s="512" t="s">
        <v>69</v>
      </c>
      <c r="D280" s="512" t="s">
        <v>574</v>
      </c>
      <c r="E280" s="513" t="s">
        <v>35</v>
      </c>
      <c r="F280" s="514">
        <v>43925.0</v>
      </c>
      <c r="G280" s="514">
        <v>121.0</v>
      </c>
      <c r="H280" s="514">
        <v>0.28</v>
      </c>
      <c r="I280" s="514">
        <v>0.16</v>
      </c>
      <c r="J280" s="514">
        <v>0.17</v>
      </c>
      <c r="K280" s="514">
        <v>131.0</v>
      </c>
      <c r="L280" s="514">
        <v>82521.0</v>
      </c>
      <c r="M280" s="514">
        <v>0.003</v>
      </c>
      <c r="N280" s="6">
        <v>1.0826</v>
      </c>
    </row>
    <row r="281">
      <c r="A281" s="512" t="s">
        <v>1894</v>
      </c>
      <c r="B281" s="512" t="s">
        <v>1867</v>
      </c>
      <c r="C281" s="512" t="s">
        <v>69</v>
      </c>
      <c r="D281" s="512" t="s">
        <v>574</v>
      </c>
      <c r="E281" s="513" t="s">
        <v>50</v>
      </c>
      <c r="F281" s="514">
        <v>43925.0</v>
      </c>
      <c r="G281" s="514">
        <v>117.0</v>
      </c>
      <c r="H281" s="514">
        <v>0.27</v>
      </c>
      <c r="I281" s="514">
        <v>0.14</v>
      </c>
      <c r="J281" s="514">
        <v>0.19</v>
      </c>
      <c r="K281" s="514">
        <v>118.0</v>
      </c>
      <c r="L281" s="514">
        <v>82521.0</v>
      </c>
      <c r="M281" s="514">
        <v>0.0027</v>
      </c>
      <c r="N281" s="6">
        <v>1.0085</v>
      </c>
    </row>
    <row r="282">
      <c r="A282" s="512" t="s">
        <v>1894</v>
      </c>
      <c r="B282" s="512" t="s">
        <v>1867</v>
      </c>
      <c r="C282" s="512" t="s">
        <v>69</v>
      </c>
      <c r="D282" s="512" t="s">
        <v>574</v>
      </c>
      <c r="E282" s="513" t="s">
        <v>134</v>
      </c>
      <c r="F282" s="514">
        <v>43925.0</v>
      </c>
      <c r="G282" s="514">
        <v>66.0</v>
      </c>
      <c r="H282" s="514">
        <v>0.15</v>
      </c>
      <c r="I282" s="514">
        <v>0.11</v>
      </c>
      <c r="J282" s="514">
        <v>0.07</v>
      </c>
      <c r="K282" s="514">
        <v>88.0</v>
      </c>
      <c r="L282" s="514">
        <v>82521.0</v>
      </c>
      <c r="M282" s="514">
        <v>0.002</v>
      </c>
      <c r="N282" s="6">
        <v>1.3333</v>
      </c>
    </row>
    <row r="283">
      <c r="A283" s="512" t="s">
        <v>1894</v>
      </c>
      <c r="B283" s="512" t="s">
        <v>1867</v>
      </c>
      <c r="C283" s="512" t="s">
        <v>69</v>
      </c>
      <c r="D283" s="512" t="s">
        <v>574</v>
      </c>
      <c r="E283" s="513" t="s">
        <v>189</v>
      </c>
      <c r="F283" s="514">
        <v>43925.0</v>
      </c>
      <c r="G283" s="514">
        <v>82.0</v>
      </c>
      <c r="H283" s="514">
        <v>0.19</v>
      </c>
      <c r="I283" s="514">
        <v>0.1</v>
      </c>
      <c r="J283" s="514">
        <v>0.12</v>
      </c>
      <c r="K283" s="514">
        <v>83.0</v>
      </c>
      <c r="L283" s="514">
        <v>82521.0</v>
      </c>
      <c r="M283" s="514">
        <v>0.0019</v>
      </c>
      <c r="N283" s="6">
        <v>1.0122</v>
      </c>
    </row>
    <row r="284">
      <c r="A284" s="512" t="s">
        <v>1894</v>
      </c>
      <c r="B284" s="512" t="s">
        <v>1867</v>
      </c>
      <c r="C284" s="512" t="s">
        <v>69</v>
      </c>
      <c r="D284" s="512" t="s">
        <v>574</v>
      </c>
      <c r="E284" s="513" t="s">
        <v>372</v>
      </c>
      <c r="F284" s="514">
        <v>43925.0</v>
      </c>
      <c r="G284" s="514">
        <v>59.0</v>
      </c>
      <c r="H284" s="514">
        <v>0.13</v>
      </c>
      <c r="I284" s="514">
        <v>0.07</v>
      </c>
      <c r="J284" s="514">
        <v>0.08</v>
      </c>
      <c r="K284" s="514">
        <v>60.0</v>
      </c>
      <c r="L284" s="514">
        <v>82521.0</v>
      </c>
      <c r="M284" s="514">
        <v>0.0014</v>
      </c>
      <c r="N284" s="6">
        <v>1.0169</v>
      </c>
    </row>
    <row r="285">
      <c r="A285" s="512" t="s">
        <v>1894</v>
      </c>
      <c r="B285" s="512" t="s">
        <v>1867</v>
      </c>
      <c r="C285" s="512" t="s">
        <v>69</v>
      </c>
      <c r="D285" s="512" t="s">
        <v>574</v>
      </c>
      <c r="E285" s="513" t="s">
        <v>32</v>
      </c>
      <c r="F285" s="514">
        <v>43925.0</v>
      </c>
      <c r="G285" s="514">
        <v>8.0</v>
      </c>
      <c r="H285" s="514">
        <v>0.02</v>
      </c>
      <c r="I285" s="514">
        <v>0.01</v>
      </c>
      <c r="J285" s="514">
        <v>0.02</v>
      </c>
      <c r="K285" s="514">
        <v>9.0</v>
      </c>
      <c r="L285" s="514">
        <v>82521.0</v>
      </c>
      <c r="M285" s="514">
        <v>2.0E-4</v>
      </c>
      <c r="N285" s="6">
        <v>1.125</v>
      </c>
    </row>
    <row r="286">
      <c r="A286" s="512" t="s">
        <v>1894</v>
      </c>
      <c r="B286" s="512" t="s">
        <v>1867</v>
      </c>
      <c r="C286" s="512" t="s">
        <v>68</v>
      </c>
      <c r="D286" s="512" t="s">
        <v>574</v>
      </c>
      <c r="E286" s="513" t="s">
        <v>377</v>
      </c>
      <c r="F286" s="514">
        <v>33688.0</v>
      </c>
      <c r="G286" s="514">
        <v>27751.0</v>
      </c>
      <c r="H286" s="514">
        <v>82.38</v>
      </c>
      <c r="I286" s="514">
        <v>74.55</v>
      </c>
      <c r="J286" s="514">
        <v>77.49</v>
      </c>
      <c r="K286" s="514">
        <v>1837715.0</v>
      </c>
      <c r="L286" s="514">
        <v>2464980.0</v>
      </c>
      <c r="M286" s="514">
        <v>54.551</v>
      </c>
      <c r="N286" s="6">
        <v>66.2216</v>
      </c>
    </row>
    <row r="287">
      <c r="A287" s="512" t="s">
        <v>1894</v>
      </c>
      <c r="B287" s="512" t="s">
        <v>1867</v>
      </c>
      <c r="C287" s="512" t="s">
        <v>68</v>
      </c>
      <c r="D287" s="512" t="s">
        <v>574</v>
      </c>
      <c r="E287" s="513" t="s">
        <v>43</v>
      </c>
      <c r="F287" s="514">
        <v>33688.0</v>
      </c>
      <c r="G287" s="514">
        <v>4067.0</v>
      </c>
      <c r="H287" s="514">
        <v>12.07</v>
      </c>
      <c r="I287" s="514">
        <v>16.42</v>
      </c>
      <c r="J287" s="514">
        <v>9.44</v>
      </c>
      <c r="K287" s="514">
        <v>404655.0</v>
      </c>
      <c r="L287" s="514">
        <v>2464980.0</v>
      </c>
      <c r="M287" s="514">
        <v>12.0118</v>
      </c>
      <c r="N287" s="6">
        <v>99.4972</v>
      </c>
    </row>
    <row r="288">
      <c r="A288" s="512" t="s">
        <v>1894</v>
      </c>
      <c r="B288" s="512" t="s">
        <v>1867</v>
      </c>
      <c r="C288" s="512" t="s">
        <v>68</v>
      </c>
      <c r="D288" s="512" t="s">
        <v>574</v>
      </c>
      <c r="E288" s="513" t="s">
        <v>50</v>
      </c>
      <c r="F288" s="514">
        <v>33688.0</v>
      </c>
      <c r="G288" s="514">
        <v>2735.0</v>
      </c>
      <c r="H288" s="514">
        <v>8.12</v>
      </c>
      <c r="I288" s="514">
        <v>5.87</v>
      </c>
      <c r="J288" s="514">
        <v>6.54</v>
      </c>
      <c r="K288" s="514">
        <v>144710.0</v>
      </c>
      <c r="L288" s="514">
        <v>2464980.0</v>
      </c>
      <c r="M288" s="514">
        <v>4.2956</v>
      </c>
      <c r="N288" s="6">
        <v>52.9104</v>
      </c>
    </row>
    <row r="289">
      <c r="A289" s="512" t="s">
        <v>1894</v>
      </c>
      <c r="B289" s="512" t="s">
        <v>1867</v>
      </c>
      <c r="C289" s="512" t="s">
        <v>68</v>
      </c>
      <c r="D289" s="512" t="s">
        <v>574</v>
      </c>
      <c r="E289" s="513" t="s">
        <v>49</v>
      </c>
      <c r="F289" s="514">
        <v>33688.0</v>
      </c>
      <c r="G289" s="514">
        <v>3419.0</v>
      </c>
      <c r="H289" s="514">
        <v>10.15</v>
      </c>
      <c r="I289" s="514">
        <v>3.08</v>
      </c>
      <c r="J289" s="514">
        <v>6.44</v>
      </c>
      <c r="K289" s="514">
        <v>75980.0</v>
      </c>
      <c r="L289" s="514">
        <v>2464980.0</v>
      </c>
      <c r="M289" s="514">
        <v>2.2554</v>
      </c>
      <c r="N289" s="6">
        <v>22.2229</v>
      </c>
    </row>
    <row r="290">
      <c r="A290" s="512" t="s">
        <v>1894</v>
      </c>
      <c r="B290" s="512" t="s">
        <v>1867</v>
      </c>
      <c r="C290" s="512" t="s">
        <v>68</v>
      </c>
      <c r="D290" s="512" t="s">
        <v>574</v>
      </c>
      <c r="E290" s="513" t="s">
        <v>134</v>
      </c>
      <c r="F290" s="514">
        <v>33688.0</v>
      </c>
      <c r="G290" s="514">
        <v>48.0</v>
      </c>
      <c r="H290" s="514">
        <v>0.14</v>
      </c>
      <c r="I290" s="514">
        <v>0.07</v>
      </c>
      <c r="J290" s="514">
        <v>0.07</v>
      </c>
      <c r="K290" s="514">
        <v>1800.0</v>
      </c>
      <c r="L290" s="514">
        <v>2464980.0</v>
      </c>
      <c r="M290" s="514">
        <v>0.0534</v>
      </c>
      <c r="N290" s="6">
        <v>37.5</v>
      </c>
    </row>
    <row r="291">
      <c r="A291" s="512" t="s">
        <v>1894</v>
      </c>
      <c r="B291" s="512" t="s">
        <v>1867</v>
      </c>
      <c r="C291" s="512" t="s">
        <v>68</v>
      </c>
      <c r="D291" s="512" t="s">
        <v>574</v>
      </c>
      <c r="E291" s="513" t="s">
        <v>32</v>
      </c>
      <c r="F291" s="514">
        <v>33688.0</v>
      </c>
      <c r="G291" s="514">
        <v>4.0</v>
      </c>
      <c r="H291" s="514">
        <v>0.01</v>
      </c>
      <c r="I291" s="514">
        <v>0.0</v>
      </c>
      <c r="J291" s="514">
        <v>0.01</v>
      </c>
      <c r="K291" s="514">
        <v>40.0</v>
      </c>
      <c r="L291" s="514">
        <v>2464980.0</v>
      </c>
      <c r="M291" s="514">
        <v>0.0012</v>
      </c>
      <c r="N291" s="6">
        <v>10.0</v>
      </c>
    </row>
    <row r="292">
      <c r="A292" s="512" t="s">
        <v>1894</v>
      </c>
      <c r="B292" s="512" t="s">
        <v>1867</v>
      </c>
      <c r="C292" s="512" t="s">
        <v>68</v>
      </c>
      <c r="D292" s="512" t="s">
        <v>574</v>
      </c>
      <c r="E292" s="513" t="s">
        <v>380</v>
      </c>
      <c r="F292" s="514">
        <v>33688.0</v>
      </c>
      <c r="G292" s="514">
        <v>4.0</v>
      </c>
      <c r="H292" s="514">
        <v>0.01</v>
      </c>
      <c r="I292" s="514">
        <v>0.0</v>
      </c>
      <c r="J292" s="514">
        <v>0.01</v>
      </c>
      <c r="K292" s="514">
        <v>80.0</v>
      </c>
      <c r="L292" s="514">
        <v>2464980.0</v>
      </c>
      <c r="M292" s="514">
        <v>0.0024</v>
      </c>
      <c r="N292" s="6">
        <v>20.0</v>
      </c>
    </row>
    <row r="293">
      <c r="A293" s="512" t="s">
        <v>1894</v>
      </c>
      <c r="B293" s="512" t="s">
        <v>1867</v>
      </c>
      <c r="C293" s="512" t="s">
        <v>2035</v>
      </c>
      <c r="D293" s="512" t="s">
        <v>2036</v>
      </c>
      <c r="E293" s="513" t="s">
        <v>373</v>
      </c>
      <c r="F293" s="514">
        <v>58.0</v>
      </c>
      <c r="G293" s="514">
        <v>41.0</v>
      </c>
      <c r="H293" s="514">
        <v>70.69</v>
      </c>
      <c r="I293" s="514">
        <v>79.08</v>
      </c>
      <c r="J293" s="514">
        <v>70.69</v>
      </c>
      <c r="K293" s="514">
        <v>1380.0</v>
      </c>
      <c r="L293" s="514">
        <v>1745.0</v>
      </c>
      <c r="M293" s="514">
        <v>23.7931</v>
      </c>
      <c r="N293" s="6">
        <v>33.6585</v>
      </c>
    </row>
    <row r="294">
      <c r="A294" s="512" t="s">
        <v>1894</v>
      </c>
      <c r="B294" s="512" t="s">
        <v>1867</v>
      </c>
      <c r="C294" s="512" t="s">
        <v>2035</v>
      </c>
      <c r="D294" s="512" t="s">
        <v>2036</v>
      </c>
      <c r="E294" s="513" t="s">
        <v>134</v>
      </c>
      <c r="F294" s="514">
        <v>58.0</v>
      </c>
      <c r="G294" s="514">
        <v>17.0</v>
      </c>
      <c r="H294" s="514">
        <v>29.31</v>
      </c>
      <c r="I294" s="514">
        <v>20.92</v>
      </c>
      <c r="J294" s="514">
        <v>29.31</v>
      </c>
      <c r="K294" s="514">
        <v>365.0</v>
      </c>
      <c r="L294" s="514">
        <v>1745.0</v>
      </c>
      <c r="M294" s="514">
        <v>6.2931</v>
      </c>
      <c r="N294" s="6">
        <v>21.4706</v>
      </c>
    </row>
    <row r="295">
      <c r="A295" s="512" t="s">
        <v>1894</v>
      </c>
      <c r="B295" s="512" t="s">
        <v>1867</v>
      </c>
      <c r="C295" s="512" t="s">
        <v>73</v>
      </c>
      <c r="D295" s="512" t="s">
        <v>574</v>
      </c>
      <c r="E295" s="513" t="s">
        <v>373</v>
      </c>
      <c r="F295" s="514">
        <v>49545.0</v>
      </c>
      <c r="G295" s="514">
        <v>30417.0</v>
      </c>
      <c r="H295" s="514">
        <v>61.39</v>
      </c>
      <c r="I295" s="514">
        <v>45.25</v>
      </c>
      <c r="J295" s="514">
        <v>44.68</v>
      </c>
      <c r="K295" s="514">
        <v>60964.0</v>
      </c>
      <c r="L295" s="514">
        <v>134738.0</v>
      </c>
      <c r="M295" s="514">
        <v>1.2305</v>
      </c>
      <c r="N295" s="6">
        <v>2.0043</v>
      </c>
    </row>
    <row r="296">
      <c r="A296" s="512" t="s">
        <v>1894</v>
      </c>
      <c r="B296" s="512" t="s">
        <v>1867</v>
      </c>
      <c r="C296" s="512" t="s">
        <v>73</v>
      </c>
      <c r="D296" s="512" t="s">
        <v>574</v>
      </c>
      <c r="E296" s="513" t="s">
        <v>367</v>
      </c>
      <c r="F296" s="514">
        <v>49545.0</v>
      </c>
      <c r="G296" s="514">
        <v>12510.0</v>
      </c>
      <c r="H296" s="514">
        <v>25.25</v>
      </c>
      <c r="I296" s="514">
        <v>21.01</v>
      </c>
      <c r="J296" s="514">
        <v>15.28</v>
      </c>
      <c r="K296" s="514">
        <v>28306.0</v>
      </c>
      <c r="L296" s="514">
        <v>134738.0</v>
      </c>
      <c r="M296" s="514">
        <v>0.5713</v>
      </c>
      <c r="N296" s="6">
        <v>2.2627</v>
      </c>
    </row>
    <row r="297">
      <c r="A297" s="512" t="s">
        <v>1894</v>
      </c>
      <c r="B297" s="512" t="s">
        <v>1867</v>
      </c>
      <c r="C297" s="512" t="s">
        <v>73</v>
      </c>
      <c r="D297" s="512" t="s">
        <v>574</v>
      </c>
      <c r="E297" s="513" t="s">
        <v>42</v>
      </c>
      <c r="F297" s="514">
        <v>49545.0</v>
      </c>
      <c r="G297" s="514">
        <v>12834.0</v>
      </c>
      <c r="H297" s="514">
        <v>25.9</v>
      </c>
      <c r="I297" s="514">
        <v>12.91</v>
      </c>
      <c r="J297" s="514">
        <v>15.78</v>
      </c>
      <c r="K297" s="514">
        <v>17394.0</v>
      </c>
      <c r="L297" s="514">
        <v>134738.0</v>
      </c>
      <c r="M297" s="514">
        <v>0.3511</v>
      </c>
      <c r="N297" s="6">
        <v>1.3553</v>
      </c>
    </row>
    <row r="298">
      <c r="A298" s="512" t="s">
        <v>1894</v>
      </c>
      <c r="B298" s="512" t="s">
        <v>1867</v>
      </c>
      <c r="C298" s="512" t="s">
        <v>73</v>
      </c>
      <c r="D298" s="512" t="s">
        <v>574</v>
      </c>
      <c r="E298" s="513" t="s">
        <v>40</v>
      </c>
      <c r="F298" s="514">
        <v>49545.0</v>
      </c>
      <c r="G298" s="514">
        <v>2680.0</v>
      </c>
      <c r="H298" s="514">
        <v>5.41</v>
      </c>
      <c r="I298" s="514">
        <v>5.75</v>
      </c>
      <c r="J298" s="514">
        <v>3.81</v>
      </c>
      <c r="K298" s="514">
        <v>7742.0</v>
      </c>
      <c r="L298" s="514">
        <v>134738.0</v>
      </c>
      <c r="M298" s="514">
        <v>0.1563</v>
      </c>
      <c r="N298" s="6">
        <v>2.8888</v>
      </c>
    </row>
    <row r="299">
      <c r="A299" s="512" t="s">
        <v>1894</v>
      </c>
      <c r="B299" s="512" t="s">
        <v>1867</v>
      </c>
      <c r="C299" s="512" t="s">
        <v>73</v>
      </c>
      <c r="D299" s="512" t="s">
        <v>574</v>
      </c>
      <c r="E299" s="513" t="s">
        <v>380</v>
      </c>
      <c r="F299" s="514">
        <v>49545.0</v>
      </c>
      <c r="G299" s="514">
        <v>4238.0</v>
      </c>
      <c r="H299" s="514">
        <v>8.55</v>
      </c>
      <c r="I299" s="514">
        <v>4.01</v>
      </c>
      <c r="J299" s="514">
        <v>4.95</v>
      </c>
      <c r="K299" s="514">
        <v>5403.0</v>
      </c>
      <c r="L299" s="514">
        <v>134738.0</v>
      </c>
      <c r="M299" s="514">
        <v>0.1091</v>
      </c>
      <c r="N299" s="6">
        <v>1.2749</v>
      </c>
    </row>
    <row r="300">
      <c r="A300" s="512" t="s">
        <v>1894</v>
      </c>
      <c r="B300" s="512" t="s">
        <v>1867</v>
      </c>
      <c r="C300" s="512" t="s">
        <v>73</v>
      </c>
      <c r="D300" s="512" t="s">
        <v>574</v>
      </c>
      <c r="E300" s="513" t="s">
        <v>377</v>
      </c>
      <c r="F300" s="514">
        <v>49545.0</v>
      </c>
      <c r="G300" s="514">
        <v>2842.0</v>
      </c>
      <c r="H300" s="514">
        <v>5.74</v>
      </c>
      <c r="I300" s="514">
        <v>2.55</v>
      </c>
      <c r="J300" s="514">
        <v>3.03</v>
      </c>
      <c r="K300" s="514">
        <v>3434.0</v>
      </c>
      <c r="L300" s="514">
        <v>134738.0</v>
      </c>
      <c r="M300" s="514">
        <v>0.0693</v>
      </c>
      <c r="N300" s="6">
        <v>1.2083</v>
      </c>
    </row>
    <row r="301">
      <c r="A301" s="512" t="s">
        <v>1894</v>
      </c>
      <c r="B301" s="512" t="s">
        <v>1867</v>
      </c>
      <c r="C301" s="512" t="s">
        <v>73</v>
      </c>
      <c r="D301" s="512" t="s">
        <v>574</v>
      </c>
      <c r="E301" s="513" t="s">
        <v>312</v>
      </c>
      <c r="F301" s="514">
        <v>49545.0</v>
      </c>
      <c r="G301" s="514">
        <v>2497.0</v>
      </c>
      <c r="H301" s="514">
        <v>5.04</v>
      </c>
      <c r="I301" s="514">
        <v>1.99</v>
      </c>
      <c r="J301" s="514">
        <v>2.8</v>
      </c>
      <c r="K301" s="514">
        <v>2686.0</v>
      </c>
      <c r="L301" s="514">
        <v>134738.0</v>
      </c>
      <c r="M301" s="514">
        <v>0.0542</v>
      </c>
      <c r="N301" s="6">
        <v>1.0757</v>
      </c>
    </row>
    <row r="302">
      <c r="A302" s="512" t="s">
        <v>1894</v>
      </c>
      <c r="B302" s="512" t="s">
        <v>1867</v>
      </c>
      <c r="C302" s="512" t="s">
        <v>73</v>
      </c>
      <c r="D302" s="512" t="s">
        <v>574</v>
      </c>
      <c r="E302" s="513" t="s">
        <v>32</v>
      </c>
      <c r="F302" s="514">
        <v>49545.0</v>
      </c>
      <c r="G302" s="514">
        <v>2478.0</v>
      </c>
      <c r="H302" s="514">
        <v>5.0</v>
      </c>
      <c r="I302" s="514">
        <v>1.92</v>
      </c>
      <c r="J302" s="514">
        <v>2.9</v>
      </c>
      <c r="K302" s="514">
        <v>2592.0</v>
      </c>
      <c r="L302" s="514">
        <v>134738.0</v>
      </c>
      <c r="M302" s="514">
        <v>0.0523</v>
      </c>
      <c r="N302" s="6">
        <v>1.046</v>
      </c>
    </row>
    <row r="303">
      <c r="A303" s="512" t="s">
        <v>1894</v>
      </c>
      <c r="B303" s="512" t="s">
        <v>1867</v>
      </c>
      <c r="C303" s="512" t="s">
        <v>73</v>
      </c>
      <c r="D303" s="512" t="s">
        <v>574</v>
      </c>
      <c r="E303" s="513" t="s">
        <v>310</v>
      </c>
      <c r="F303" s="514">
        <v>49545.0</v>
      </c>
      <c r="G303" s="514">
        <v>2208.0</v>
      </c>
      <c r="H303" s="514">
        <v>4.46</v>
      </c>
      <c r="I303" s="514">
        <v>1.74</v>
      </c>
      <c r="J303" s="514">
        <v>2.84</v>
      </c>
      <c r="K303" s="514">
        <v>2339.0</v>
      </c>
      <c r="L303" s="514">
        <v>134738.0</v>
      </c>
      <c r="M303" s="514">
        <v>0.0472</v>
      </c>
      <c r="N303" s="6">
        <v>1.0593</v>
      </c>
    </row>
    <row r="304">
      <c r="A304" s="512" t="s">
        <v>1894</v>
      </c>
      <c r="B304" s="512" t="s">
        <v>1867</v>
      </c>
      <c r="C304" s="512" t="s">
        <v>73</v>
      </c>
      <c r="D304" s="512" t="s">
        <v>574</v>
      </c>
      <c r="E304" s="513" t="s">
        <v>44</v>
      </c>
      <c r="F304" s="514">
        <v>49545.0</v>
      </c>
      <c r="G304" s="514">
        <v>1351.0</v>
      </c>
      <c r="H304" s="514">
        <v>2.73</v>
      </c>
      <c r="I304" s="514">
        <v>1.07</v>
      </c>
      <c r="J304" s="514">
        <v>1.26</v>
      </c>
      <c r="K304" s="514">
        <v>1440.0</v>
      </c>
      <c r="L304" s="514">
        <v>134738.0</v>
      </c>
      <c r="M304" s="514">
        <v>0.0291</v>
      </c>
      <c r="N304" s="6">
        <v>1.0659</v>
      </c>
    </row>
    <row r="305">
      <c r="A305" s="512" t="s">
        <v>1894</v>
      </c>
      <c r="B305" s="512" t="s">
        <v>1867</v>
      </c>
      <c r="C305" s="512" t="s">
        <v>73</v>
      </c>
      <c r="D305" s="512" t="s">
        <v>574</v>
      </c>
      <c r="E305" s="513" t="s">
        <v>50</v>
      </c>
      <c r="F305" s="514">
        <v>49545.0</v>
      </c>
      <c r="G305" s="514">
        <v>769.0</v>
      </c>
      <c r="H305" s="514">
        <v>1.55</v>
      </c>
      <c r="I305" s="514">
        <v>0.59</v>
      </c>
      <c r="J305" s="514">
        <v>0.96</v>
      </c>
      <c r="K305" s="514">
        <v>800.0</v>
      </c>
      <c r="L305" s="514">
        <v>134738.0</v>
      </c>
      <c r="M305" s="514">
        <v>0.0161</v>
      </c>
      <c r="N305" s="6">
        <v>1.0403</v>
      </c>
    </row>
    <row r="306">
      <c r="A306" s="512" t="s">
        <v>1894</v>
      </c>
      <c r="B306" s="512" t="s">
        <v>1867</v>
      </c>
      <c r="C306" s="512" t="s">
        <v>73</v>
      </c>
      <c r="D306" s="512" t="s">
        <v>574</v>
      </c>
      <c r="E306" s="513" t="s">
        <v>311</v>
      </c>
      <c r="F306" s="514">
        <v>49545.0</v>
      </c>
      <c r="G306" s="514">
        <v>577.0</v>
      </c>
      <c r="H306" s="514">
        <v>1.16</v>
      </c>
      <c r="I306" s="514">
        <v>0.44</v>
      </c>
      <c r="J306" s="514">
        <v>0.7</v>
      </c>
      <c r="K306" s="514">
        <v>596.0</v>
      </c>
      <c r="L306" s="514">
        <v>134738.0</v>
      </c>
      <c r="M306" s="514">
        <v>0.012</v>
      </c>
      <c r="N306" s="6">
        <v>1.0329</v>
      </c>
    </row>
    <row r="307">
      <c r="A307" s="512" t="s">
        <v>1894</v>
      </c>
      <c r="B307" s="512" t="s">
        <v>1867</v>
      </c>
      <c r="C307" s="512" t="s">
        <v>73</v>
      </c>
      <c r="D307" s="512" t="s">
        <v>574</v>
      </c>
      <c r="E307" s="513" t="s">
        <v>379</v>
      </c>
      <c r="F307" s="514">
        <v>49545.0</v>
      </c>
      <c r="G307" s="514">
        <v>344.0</v>
      </c>
      <c r="H307" s="514">
        <v>0.69</v>
      </c>
      <c r="I307" s="514">
        <v>0.26</v>
      </c>
      <c r="J307" s="514">
        <v>0.36</v>
      </c>
      <c r="K307" s="514">
        <v>348.0</v>
      </c>
      <c r="L307" s="514">
        <v>134738.0</v>
      </c>
      <c r="M307" s="514">
        <v>0.007</v>
      </c>
      <c r="N307" s="6">
        <v>1.0116</v>
      </c>
    </row>
    <row r="308">
      <c r="A308" s="512" t="s">
        <v>1894</v>
      </c>
      <c r="B308" s="512" t="s">
        <v>1867</v>
      </c>
      <c r="C308" s="512" t="s">
        <v>73</v>
      </c>
      <c r="D308" s="512" t="s">
        <v>574</v>
      </c>
      <c r="E308" s="513" t="s">
        <v>43</v>
      </c>
      <c r="F308" s="514">
        <v>49545.0</v>
      </c>
      <c r="G308" s="514">
        <v>326.0</v>
      </c>
      <c r="H308" s="514">
        <v>0.66</v>
      </c>
      <c r="I308" s="514">
        <v>0.25</v>
      </c>
      <c r="J308" s="514">
        <v>0.33</v>
      </c>
      <c r="K308" s="514">
        <v>334.0</v>
      </c>
      <c r="L308" s="514">
        <v>134738.0</v>
      </c>
      <c r="M308" s="514">
        <v>0.0067</v>
      </c>
      <c r="N308" s="6">
        <v>1.0245</v>
      </c>
    </row>
    <row r="309">
      <c r="A309" s="512" t="s">
        <v>1894</v>
      </c>
      <c r="B309" s="512" t="s">
        <v>1867</v>
      </c>
      <c r="C309" s="512" t="s">
        <v>73</v>
      </c>
      <c r="D309" s="512" t="s">
        <v>574</v>
      </c>
      <c r="E309" s="513" t="s">
        <v>372</v>
      </c>
      <c r="F309" s="514">
        <v>49545.0</v>
      </c>
      <c r="G309" s="514">
        <v>165.0</v>
      </c>
      <c r="H309" s="514">
        <v>0.33</v>
      </c>
      <c r="I309" s="514">
        <v>0.13</v>
      </c>
      <c r="J309" s="514">
        <v>0.18</v>
      </c>
      <c r="K309" s="514">
        <v>175.0</v>
      </c>
      <c r="L309" s="514">
        <v>134738.0</v>
      </c>
      <c r="M309" s="514">
        <v>0.0035</v>
      </c>
      <c r="N309" s="6">
        <v>1.0606</v>
      </c>
    </row>
    <row r="310">
      <c r="A310" s="512" t="s">
        <v>1894</v>
      </c>
      <c r="B310" s="512" t="s">
        <v>1867</v>
      </c>
      <c r="C310" s="512" t="s">
        <v>73</v>
      </c>
      <c r="D310" s="512" t="s">
        <v>574</v>
      </c>
      <c r="E310" s="513" t="s">
        <v>134</v>
      </c>
      <c r="F310" s="514">
        <v>49545.0</v>
      </c>
      <c r="G310" s="514">
        <v>110.0</v>
      </c>
      <c r="H310" s="514">
        <v>0.22</v>
      </c>
      <c r="I310" s="514">
        <v>0.11</v>
      </c>
      <c r="J310" s="514">
        <v>0.1</v>
      </c>
      <c r="K310" s="514">
        <v>142.0</v>
      </c>
      <c r="L310" s="514">
        <v>134738.0</v>
      </c>
      <c r="M310" s="514">
        <v>0.0029</v>
      </c>
      <c r="N310" s="6">
        <v>1.2909</v>
      </c>
    </row>
    <row r="311">
      <c r="A311" s="512" t="s">
        <v>1894</v>
      </c>
      <c r="B311" s="512" t="s">
        <v>1867</v>
      </c>
      <c r="C311" s="512" t="s">
        <v>73</v>
      </c>
      <c r="D311" s="512" t="s">
        <v>574</v>
      </c>
      <c r="E311" s="513" t="s">
        <v>35</v>
      </c>
      <c r="F311" s="514">
        <v>49545.0</v>
      </c>
      <c r="G311" s="514">
        <v>29.0</v>
      </c>
      <c r="H311" s="514">
        <v>0.06</v>
      </c>
      <c r="I311" s="514">
        <v>0.02</v>
      </c>
      <c r="J311" s="514">
        <v>0.03</v>
      </c>
      <c r="K311" s="514">
        <v>33.0</v>
      </c>
      <c r="L311" s="514">
        <v>134738.0</v>
      </c>
      <c r="M311" s="514">
        <v>7.0E-4</v>
      </c>
      <c r="N311" s="6">
        <v>1.1379</v>
      </c>
    </row>
    <row r="312">
      <c r="A312" s="512" t="s">
        <v>1894</v>
      </c>
      <c r="B312" s="512" t="s">
        <v>1867</v>
      </c>
      <c r="C312" s="512" t="s">
        <v>73</v>
      </c>
      <c r="D312" s="512" t="s">
        <v>574</v>
      </c>
      <c r="E312" s="513" t="s">
        <v>189</v>
      </c>
      <c r="F312" s="514">
        <v>49545.0</v>
      </c>
      <c r="G312" s="514">
        <v>7.0</v>
      </c>
      <c r="H312" s="514">
        <v>0.01</v>
      </c>
      <c r="I312" s="514">
        <v>0.01</v>
      </c>
      <c r="J312" s="514">
        <v>0.01</v>
      </c>
      <c r="K312" s="514">
        <v>7.0</v>
      </c>
      <c r="L312" s="514">
        <v>134738.0</v>
      </c>
      <c r="M312" s="514">
        <v>1.0E-4</v>
      </c>
      <c r="N312" s="6">
        <v>1.0</v>
      </c>
    </row>
    <row r="313">
      <c r="A313" s="512" t="s">
        <v>1894</v>
      </c>
      <c r="B313" s="512" t="s">
        <v>1867</v>
      </c>
      <c r="C313" s="512" t="s">
        <v>73</v>
      </c>
      <c r="D313" s="512" t="s">
        <v>574</v>
      </c>
      <c r="E313" s="513" t="s">
        <v>374</v>
      </c>
      <c r="F313" s="514">
        <v>49545.0</v>
      </c>
      <c r="G313" s="514">
        <v>2.0</v>
      </c>
      <c r="H313" s="514">
        <v>0.0</v>
      </c>
      <c r="I313" s="514">
        <v>0.0</v>
      </c>
      <c r="J313" s="514">
        <v>0.0</v>
      </c>
      <c r="K313" s="514">
        <v>3.0</v>
      </c>
      <c r="L313" s="514">
        <v>134738.0</v>
      </c>
      <c r="M313" s="514">
        <v>1.0E-4</v>
      </c>
      <c r="N313" s="6">
        <v>1.5</v>
      </c>
    </row>
    <row r="314">
      <c r="A314" s="512" t="s">
        <v>1894</v>
      </c>
      <c r="B314" s="512" t="s">
        <v>1867</v>
      </c>
      <c r="C314" s="512" t="s">
        <v>72</v>
      </c>
      <c r="D314" s="512" t="s">
        <v>574</v>
      </c>
      <c r="E314" s="513" t="s">
        <v>373</v>
      </c>
      <c r="F314" s="514">
        <v>59355.0</v>
      </c>
      <c r="G314" s="514">
        <v>37748.0</v>
      </c>
      <c r="H314" s="514">
        <v>63.6</v>
      </c>
      <c r="I314" s="514">
        <v>48.39</v>
      </c>
      <c r="J314" s="514">
        <v>44.11</v>
      </c>
      <c r="K314" s="514">
        <v>88192.0</v>
      </c>
      <c r="L314" s="514">
        <v>182248.0</v>
      </c>
      <c r="M314" s="514">
        <v>1.4858</v>
      </c>
      <c r="N314" s="6">
        <v>2.3363</v>
      </c>
    </row>
    <row r="315">
      <c r="A315" s="512" t="s">
        <v>1894</v>
      </c>
      <c r="B315" s="512" t="s">
        <v>1867</v>
      </c>
      <c r="C315" s="512" t="s">
        <v>72</v>
      </c>
      <c r="D315" s="512" t="s">
        <v>574</v>
      </c>
      <c r="E315" s="513" t="s">
        <v>367</v>
      </c>
      <c r="F315" s="514">
        <v>59355.0</v>
      </c>
      <c r="G315" s="514">
        <v>12720.0</v>
      </c>
      <c r="H315" s="514">
        <v>21.43</v>
      </c>
      <c r="I315" s="514">
        <v>15.63</v>
      </c>
      <c r="J315" s="514">
        <v>10.96</v>
      </c>
      <c r="K315" s="514">
        <v>28490.0</v>
      </c>
      <c r="L315" s="514">
        <v>182248.0</v>
      </c>
      <c r="M315" s="514">
        <v>0.48</v>
      </c>
      <c r="N315" s="6">
        <v>2.2398</v>
      </c>
    </row>
    <row r="316">
      <c r="A316" s="512" t="s">
        <v>1894</v>
      </c>
      <c r="B316" s="512" t="s">
        <v>1867</v>
      </c>
      <c r="C316" s="512" t="s">
        <v>72</v>
      </c>
      <c r="D316" s="512" t="s">
        <v>574</v>
      </c>
      <c r="E316" s="513" t="s">
        <v>40</v>
      </c>
      <c r="F316" s="514">
        <v>59355.0</v>
      </c>
      <c r="G316" s="514">
        <v>10499.0</v>
      </c>
      <c r="H316" s="514">
        <v>17.69</v>
      </c>
      <c r="I316" s="514">
        <v>9.5</v>
      </c>
      <c r="J316" s="514">
        <v>9.97</v>
      </c>
      <c r="K316" s="514">
        <v>17306.0</v>
      </c>
      <c r="L316" s="514">
        <v>182248.0</v>
      </c>
      <c r="M316" s="514">
        <v>0.2916</v>
      </c>
      <c r="N316" s="6">
        <v>1.6483</v>
      </c>
    </row>
    <row r="317">
      <c r="A317" s="512" t="s">
        <v>1894</v>
      </c>
      <c r="B317" s="512" t="s">
        <v>1867</v>
      </c>
      <c r="C317" s="512" t="s">
        <v>72</v>
      </c>
      <c r="D317" s="512" t="s">
        <v>574</v>
      </c>
      <c r="E317" s="513" t="s">
        <v>42</v>
      </c>
      <c r="F317" s="514">
        <v>59355.0</v>
      </c>
      <c r="G317" s="514">
        <v>10874.0</v>
      </c>
      <c r="H317" s="514">
        <v>18.32</v>
      </c>
      <c r="I317" s="514">
        <v>7.84</v>
      </c>
      <c r="J317" s="514">
        <v>9.25</v>
      </c>
      <c r="K317" s="514">
        <v>14284.0</v>
      </c>
      <c r="L317" s="514">
        <v>182248.0</v>
      </c>
      <c r="M317" s="514">
        <v>0.2407</v>
      </c>
      <c r="N317" s="6">
        <v>1.3136</v>
      </c>
    </row>
    <row r="318">
      <c r="A318" s="512" t="s">
        <v>1894</v>
      </c>
      <c r="B318" s="512" t="s">
        <v>1867</v>
      </c>
      <c r="C318" s="512" t="s">
        <v>72</v>
      </c>
      <c r="D318" s="512" t="s">
        <v>574</v>
      </c>
      <c r="E318" s="513" t="s">
        <v>377</v>
      </c>
      <c r="F318" s="514">
        <v>59355.0</v>
      </c>
      <c r="G318" s="514">
        <v>5718.0</v>
      </c>
      <c r="H318" s="514">
        <v>9.63</v>
      </c>
      <c r="I318" s="514">
        <v>3.61</v>
      </c>
      <c r="J318" s="514">
        <v>4.58</v>
      </c>
      <c r="K318" s="514">
        <v>6575.0</v>
      </c>
      <c r="L318" s="514">
        <v>182248.0</v>
      </c>
      <c r="M318" s="514">
        <v>0.1108</v>
      </c>
      <c r="N318" s="6">
        <v>1.1499</v>
      </c>
    </row>
    <row r="319">
      <c r="A319" s="512" t="s">
        <v>1894</v>
      </c>
      <c r="B319" s="512" t="s">
        <v>1867</v>
      </c>
      <c r="C319" s="512" t="s">
        <v>72</v>
      </c>
      <c r="D319" s="512" t="s">
        <v>574</v>
      </c>
      <c r="E319" s="513" t="s">
        <v>32</v>
      </c>
      <c r="F319" s="514">
        <v>59355.0</v>
      </c>
      <c r="G319" s="514">
        <v>6052.0</v>
      </c>
      <c r="H319" s="514">
        <v>10.2</v>
      </c>
      <c r="I319" s="514">
        <v>3.5</v>
      </c>
      <c r="J319" s="514">
        <v>5.23</v>
      </c>
      <c r="K319" s="514">
        <v>6378.0</v>
      </c>
      <c r="L319" s="514">
        <v>182248.0</v>
      </c>
      <c r="M319" s="514">
        <v>0.1075</v>
      </c>
      <c r="N319" s="6">
        <v>1.0539</v>
      </c>
    </row>
    <row r="320">
      <c r="A320" s="512" t="s">
        <v>1894</v>
      </c>
      <c r="B320" s="512" t="s">
        <v>1867</v>
      </c>
      <c r="C320" s="512" t="s">
        <v>72</v>
      </c>
      <c r="D320" s="512" t="s">
        <v>574</v>
      </c>
      <c r="E320" s="513" t="s">
        <v>310</v>
      </c>
      <c r="F320" s="514">
        <v>59355.0</v>
      </c>
      <c r="G320" s="514">
        <v>5185.0</v>
      </c>
      <c r="H320" s="514">
        <v>8.74</v>
      </c>
      <c r="I320" s="514">
        <v>3.03</v>
      </c>
      <c r="J320" s="514">
        <v>4.59</v>
      </c>
      <c r="K320" s="514">
        <v>5520.0</v>
      </c>
      <c r="L320" s="514">
        <v>182248.0</v>
      </c>
      <c r="M320" s="514">
        <v>0.093</v>
      </c>
      <c r="N320" s="6">
        <v>1.0646</v>
      </c>
    </row>
    <row r="321">
      <c r="A321" s="512" t="s">
        <v>1894</v>
      </c>
      <c r="B321" s="512" t="s">
        <v>1867</v>
      </c>
      <c r="C321" s="512" t="s">
        <v>72</v>
      </c>
      <c r="D321" s="512" t="s">
        <v>574</v>
      </c>
      <c r="E321" s="513" t="s">
        <v>312</v>
      </c>
      <c r="F321" s="514">
        <v>59355.0</v>
      </c>
      <c r="G321" s="514">
        <v>4847.0</v>
      </c>
      <c r="H321" s="514">
        <v>8.17</v>
      </c>
      <c r="I321" s="514">
        <v>2.86</v>
      </c>
      <c r="J321" s="514">
        <v>4.08</v>
      </c>
      <c r="K321" s="514">
        <v>5210.0</v>
      </c>
      <c r="L321" s="514">
        <v>182248.0</v>
      </c>
      <c r="M321" s="514">
        <v>0.0878</v>
      </c>
      <c r="N321" s="6">
        <v>1.0749</v>
      </c>
    </row>
    <row r="322">
      <c r="A322" s="512" t="s">
        <v>1894</v>
      </c>
      <c r="B322" s="512" t="s">
        <v>1867</v>
      </c>
      <c r="C322" s="512" t="s">
        <v>72</v>
      </c>
      <c r="D322" s="512" t="s">
        <v>574</v>
      </c>
      <c r="E322" s="513" t="s">
        <v>49</v>
      </c>
      <c r="F322" s="514">
        <v>59355.0</v>
      </c>
      <c r="G322" s="514">
        <v>3630.0</v>
      </c>
      <c r="H322" s="514">
        <v>6.12</v>
      </c>
      <c r="I322" s="514">
        <v>2.22</v>
      </c>
      <c r="J322" s="514">
        <v>2.73</v>
      </c>
      <c r="K322" s="514">
        <v>4046.0</v>
      </c>
      <c r="L322" s="514">
        <v>182248.0</v>
      </c>
      <c r="M322" s="514">
        <v>0.0682</v>
      </c>
      <c r="N322" s="6">
        <v>1.1146</v>
      </c>
    </row>
    <row r="323">
      <c r="A323" s="512" t="s">
        <v>1894</v>
      </c>
      <c r="B323" s="512" t="s">
        <v>1867</v>
      </c>
      <c r="C323" s="512" t="s">
        <v>72</v>
      </c>
      <c r="D323" s="512" t="s">
        <v>574</v>
      </c>
      <c r="E323" s="513" t="s">
        <v>380</v>
      </c>
      <c r="F323" s="514">
        <v>59355.0</v>
      </c>
      <c r="G323" s="514">
        <v>1611.0</v>
      </c>
      <c r="H323" s="514">
        <v>2.71</v>
      </c>
      <c r="I323" s="514">
        <v>1.19</v>
      </c>
      <c r="J323" s="514">
        <v>1.34</v>
      </c>
      <c r="K323" s="514">
        <v>2167.0</v>
      </c>
      <c r="L323" s="514">
        <v>182248.0</v>
      </c>
      <c r="M323" s="514">
        <v>0.0365</v>
      </c>
      <c r="N323" s="6">
        <v>1.3451</v>
      </c>
    </row>
    <row r="324">
      <c r="A324" s="512" t="s">
        <v>1894</v>
      </c>
      <c r="B324" s="512" t="s">
        <v>1867</v>
      </c>
      <c r="C324" s="512" t="s">
        <v>72</v>
      </c>
      <c r="D324" s="512" t="s">
        <v>574</v>
      </c>
      <c r="E324" s="513" t="s">
        <v>311</v>
      </c>
      <c r="F324" s="514">
        <v>59355.0</v>
      </c>
      <c r="G324" s="514">
        <v>1347.0</v>
      </c>
      <c r="H324" s="514">
        <v>2.27</v>
      </c>
      <c r="I324" s="514">
        <v>0.76</v>
      </c>
      <c r="J324" s="514">
        <v>1.19</v>
      </c>
      <c r="K324" s="514">
        <v>1386.0</v>
      </c>
      <c r="L324" s="514">
        <v>182248.0</v>
      </c>
      <c r="M324" s="514">
        <v>0.0234</v>
      </c>
      <c r="N324" s="6">
        <v>1.029</v>
      </c>
    </row>
    <row r="325">
      <c r="A325" s="512" t="s">
        <v>1894</v>
      </c>
      <c r="B325" s="512" t="s">
        <v>1867</v>
      </c>
      <c r="C325" s="512" t="s">
        <v>72</v>
      </c>
      <c r="D325" s="512" t="s">
        <v>574</v>
      </c>
      <c r="E325" s="513" t="s">
        <v>50</v>
      </c>
      <c r="F325" s="514">
        <v>59355.0</v>
      </c>
      <c r="G325" s="514">
        <v>745.0</v>
      </c>
      <c r="H325" s="514">
        <v>1.26</v>
      </c>
      <c r="I325" s="514">
        <v>0.42</v>
      </c>
      <c r="J325" s="514">
        <v>0.7</v>
      </c>
      <c r="K325" s="514">
        <v>772.0</v>
      </c>
      <c r="L325" s="514">
        <v>182248.0</v>
      </c>
      <c r="M325" s="514">
        <v>0.013</v>
      </c>
      <c r="N325" s="6">
        <v>1.0362</v>
      </c>
    </row>
    <row r="326">
      <c r="A326" s="512" t="s">
        <v>1894</v>
      </c>
      <c r="B326" s="512" t="s">
        <v>1867</v>
      </c>
      <c r="C326" s="512" t="s">
        <v>72</v>
      </c>
      <c r="D326" s="512" t="s">
        <v>574</v>
      </c>
      <c r="E326" s="513" t="s">
        <v>43</v>
      </c>
      <c r="F326" s="514">
        <v>59355.0</v>
      </c>
      <c r="G326" s="514">
        <v>731.0</v>
      </c>
      <c r="H326" s="514">
        <v>1.23</v>
      </c>
      <c r="I326" s="514">
        <v>0.42</v>
      </c>
      <c r="J326" s="514">
        <v>0.52</v>
      </c>
      <c r="K326" s="514">
        <v>767.0</v>
      </c>
      <c r="L326" s="514">
        <v>182248.0</v>
      </c>
      <c r="M326" s="514">
        <v>0.0129</v>
      </c>
      <c r="N326" s="6">
        <v>1.0492</v>
      </c>
    </row>
    <row r="327">
      <c r="A327" s="512" t="s">
        <v>1894</v>
      </c>
      <c r="B327" s="512" t="s">
        <v>1867</v>
      </c>
      <c r="C327" s="512" t="s">
        <v>72</v>
      </c>
      <c r="D327" s="512" t="s">
        <v>574</v>
      </c>
      <c r="E327" s="513" t="s">
        <v>44</v>
      </c>
      <c r="F327" s="514">
        <v>59355.0</v>
      </c>
      <c r="G327" s="514">
        <v>405.0</v>
      </c>
      <c r="H327" s="514">
        <v>0.68</v>
      </c>
      <c r="I327" s="514">
        <v>0.24</v>
      </c>
      <c r="J327" s="514">
        <v>0.29</v>
      </c>
      <c r="K327" s="514">
        <v>437.0</v>
      </c>
      <c r="L327" s="514">
        <v>182248.0</v>
      </c>
      <c r="M327" s="514">
        <v>0.0074</v>
      </c>
      <c r="N327" s="6">
        <v>1.079</v>
      </c>
    </row>
    <row r="328">
      <c r="A328" s="512" t="s">
        <v>1894</v>
      </c>
      <c r="B328" s="512" t="s">
        <v>1867</v>
      </c>
      <c r="C328" s="512" t="s">
        <v>72</v>
      </c>
      <c r="D328" s="512" t="s">
        <v>574</v>
      </c>
      <c r="E328" s="513" t="s">
        <v>379</v>
      </c>
      <c r="F328" s="514">
        <v>59355.0</v>
      </c>
      <c r="G328" s="514">
        <v>254.0</v>
      </c>
      <c r="H328" s="514">
        <v>0.43</v>
      </c>
      <c r="I328" s="514">
        <v>0.14</v>
      </c>
      <c r="J328" s="514">
        <v>0.23</v>
      </c>
      <c r="K328" s="514">
        <v>263.0</v>
      </c>
      <c r="L328" s="514">
        <v>182248.0</v>
      </c>
      <c r="M328" s="514">
        <v>0.0044</v>
      </c>
      <c r="N328" s="6">
        <v>1.0354</v>
      </c>
    </row>
    <row r="329">
      <c r="A329" s="512" t="s">
        <v>1894</v>
      </c>
      <c r="B329" s="512" t="s">
        <v>1867</v>
      </c>
      <c r="C329" s="512" t="s">
        <v>72</v>
      </c>
      <c r="D329" s="512" t="s">
        <v>574</v>
      </c>
      <c r="E329" s="513" t="s">
        <v>374</v>
      </c>
      <c r="F329" s="514">
        <v>59355.0</v>
      </c>
      <c r="G329" s="514">
        <v>125.0</v>
      </c>
      <c r="H329" s="514">
        <v>0.21</v>
      </c>
      <c r="I329" s="514">
        <v>0.09</v>
      </c>
      <c r="J329" s="514">
        <v>0.07</v>
      </c>
      <c r="K329" s="514">
        <v>161.0</v>
      </c>
      <c r="L329" s="514">
        <v>182248.0</v>
      </c>
      <c r="M329" s="514">
        <v>0.0027</v>
      </c>
      <c r="N329" s="6">
        <v>1.288</v>
      </c>
    </row>
    <row r="330">
      <c r="A330" s="512" t="s">
        <v>1894</v>
      </c>
      <c r="B330" s="512" t="s">
        <v>1867</v>
      </c>
      <c r="C330" s="512" t="s">
        <v>72</v>
      </c>
      <c r="D330" s="512" t="s">
        <v>574</v>
      </c>
      <c r="E330" s="513" t="s">
        <v>372</v>
      </c>
      <c r="F330" s="514">
        <v>59355.0</v>
      </c>
      <c r="G330" s="514">
        <v>119.0</v>
      </c>
      <c r="H330" s="514">
        <v>0.2</v>
      </c>
      <c r="I330" s="514">
        <v>0.07</v>
      </c>
      <c r="J330" s="514">
        <v>0.09</v>
      </c>
      <c r="K330" s="514">
        <v>128.0</v>
      </c>
      <c r="L330" s="514">
        <v>182248.0</v>
      </c>
      <c r="M330" s="514">
        <v>0.0022</v>
      </c>
      <c r="N330" s="6">
        <v>1.0756</v>
      </c>
    </row>
    <row r="331">
      <c r="A331" s="512" t="s">
        <v>1894</v>
      </c>
      <c r="B331" s="512" t="s">
        <v>1867</v>
      </c>
      <c r="C331" s="512" t="s">
        <v>72</v>
      </c>
      <c r="D331" s="512" t="s">
        <v>574</v>
      </c>
      <c r="E331" s="513" t="s">
        <v>134</v>
      </c>
      <c r="F331" s="514">
        <v>59355.0</v>
      </c>
      <c r="G331" s="514">
        <v>54.0</v>
      </c>
      <c r="H331" s="514">
        <v>0.09</v>
      </c>
      <c r="I331" s="514">
        <v>0.06</v>
      </c>
      <c r="J331" s="514">
        <v>0.03</v>
      </c>
      <c r="K331" s="514">
        <v>103.0</v>
      </c>
      <c r="L331" s="514">
        <v>182248.0</v>
      </c>
      <c r="M331" s="514">
        <v>0.0017</v>
      </c>
      <c r="N331" s="6">
        <v>1.9074</v>
      </c>
    </row>
    <row r="332">
      <c r="A332" s="512" t="s">
        <v>1894</v>
      </c>
      <c r="B332" s="512" t="s">
        <v>1867</v>
      </c>
      <c r="C332" s="512" t="s">
        <v>72</v>
      </c>
      <c r="D332" s="512" t="s">
        <v>574</v>
      </c>
      <c r="E332" s="513" t="s">
        <v>375</v>
      </c>
      <c r="F332" s="514">
        <v>59355.0</v>
      </c>
      <c r="G332" s="514">
        <v>40.0</v>
      </c>
      <c r="H332" s="514">
        <v>0.07</v>
      </c>
      <c r="I332" s="514">
        <v>0.03</v>
      </c>
      <c r="J332" s="514">
        <v>0.03</v>
      </c>
      <c r="K332" s="514">
        <v>49.0</v>
      </c>
      <c r="L332" s="514">
        <v>182248.0</v>
      </c>
      <c r="M332" s="514">
        <v>8.0E-4</v>
      </c>
      <c r="N332" s="6">
        <v>1.225</v>
      </c>
    </row>
    <row r="333">
      <c r="A333" s="512" t="s">
        <v>1894</v>
      </c>
      <c r="B333" s="512" t="s">
        <v>1867</v>
      </c>
      <c r="C333" s="512" t="s">
        <v>72</v>
      </c>
      <c r="D333" s="512" t="s">
        <v>574</v>
      </c>
      <c r="E333" s="513" t="s">
        <v>189</v>
      </c>
      <c r="F333" s="514">
        <v>59355.0</v>
      </c>
      <c r="G333" s="514">
        <v>12.0</v>
      </c>
      <c r="H333" s="514">
        <v>0.02</v>
      </c>
      <c r="I333" s="514">
        <v>0.01</v>
      </c>
      <c r="J333" s="514">
        <v>0.01</v>
      </c>
      <c r="K333" s="514">
        <v>14.0</v>
      </c>
      <c r="L333" s="514">
        <v>182248.0</v>
      </c>
      <c r="M333" s="514">
        <v>2.0E-4</v>
      </c>
      <c r="N333" s="6">
        <v>1.1667</v>
      </c>
    </row>
    <row r="334">
      <c r="A334" s="512" t="s">
        <v>1894</v>
      </c>
      <c r="B334" s="512" t="s">
        <v>1867</v>
      </c>
      <c r="C334" s="512" t="s">
        <v>1883</v>
      </c>
      <c r="D334" s="512" t="s">
        <v>2036</v>
      </c>
      <c r="E334" s="513" t="s">
        <v>373</v>
      </c>
      <c r="F334" s="514">
        <v>5185.0</v>
      </c>
      <c r="G334" s="514">
        <v>4187.0</v>
      </c>
      <c r="H334" s="514">
        <v>80.75</v>
      </c>
      <c r="I334" s="514">
        <v>81.6</v>
      </c>
      <c r="J334" s="514">
        <v>80.47</v>
      </c>
      <c r="K334" s="514">
        <v>148965.0</v>
      </c>
      <c r="L334" s="514">
        <v>182565.0</v>
      </c>
      <c r="M334" s="514">
        <v>28.73</v>
      </c>
      <c r="N334" s="6">
        <v>35.578</v>
      </c>
    </row>
    <row r="335">
      <c r="A335" s="512" t="s">
        <v>1894</v>
      </c>
      <c r="B335" s="512" t="s">
        <v>1867</v>
      </c>
      <c r="C335" s="512" t="s">
        <v>1883</v>
      </c>
      <c r="D335" s="512" t="s">
        <v>2036</v>
      </c>
      <c r="E335" s="513" t="s">
        <v>380</v>
      </c>
      <c r="F335" s="514">
        <v>5185.0</v>
      </c>
      <c r="G335" s="514">
        <v>619.0</v>
      </c>
      <c r="H335" s="514">
        <v>11.94</v>
      </c>
      <c r="I335" s="514">
        <v>14.55</v>
      </c>
      <c r="J335" s="514">
        <v>11.36</v>
      </c>
      <c r="K335" s="514">
        <v>26560.0</v>
      </c>
      <c r="L335" s="514">
        <v>182565.0</v>
      </c>
      <c r="M335" s="514">
        <v>5.1225</v>
      </c>
      <c r="N335" s="6">
        <v>42.9079</v>
      </c>
    </row>
    <row r="336">
      <c r="A336" s="512" t="s">
        <v>1894</v>
      </c>
      <c r="B336" s="512" t="s">
        <v>1867</v>
      </c>
      <c r="C336" s="512" t="s">
        <v>1883</v>
      </c>
      <c r="D336" s="512" t="s">
        <v>2036</v>
      </c>
      <c r="E336" s="513" t="s">
        <v>375</v>
      </c>
      <c r="F336" s="514">
        <v>5185.0</v>
      </c>
      <c r="G336" s="514">
        <v>270.0</v>
      </c>
      <c r="H336" s="514">
        <v>5.21</v>
      </c>
      <c r="I336" s="514">
        <v>1.87</v>
      </c>
      <c r="J336" s="514">
        <v>4.93</v>
      </c>
      <c r="K336" s="514">
        <v>3405.0</v>
      </c>
      <c r="L336" s="514">
        <v>182565.0</v>
      </c>
      <c r="M336" s="514">
        <v>0.6567</v>
      </c>
      <c r="N336" s="6">
        <v>12.6111</v>
      </c>
    </row>
    <row r="337">
      <c r="A337" s="512" t="s">
        <v>1894</v>
      </c>
      <c r="B337" s="512" t="s">
        <v>1867</v>
      </c>
      <c r="C337" s="512" t="s">
        <v>1883</v>
      </c>
      <c r="D337" s="512" t="s">
        <v>2036</v>
      </c>
      <c r="E337" s="513" t="s">
        <v>377</v>
      </c>
      <c r="F337" s="514">
        <v>5185.0</v>
      </c>
      <c r="G337" s="514">
        <v>39.0</v>
      </c>
      <c r="H337" s="514">
        <v>0.75</v>
      </c>
      <c r="I337" s="514">
        <v>0.72</v>
      </c>
      <c r="J337" s="514">
        <v>0.74</v>
      </c>
      <c r="K337" s="514">
        <v>1320.0</v>
      </c>
      <c r="L337" s="514">
        <v>182565.0</v>
      </c>
      <c r="M337" s="514">
        <v>0.2546</v>
      </c>
      <c r="N337" s="6">
        <v>33.8462</v>
      </c>
    </row>
    <row r="338">
      <c r="A338" s="512" t="s">
        <v>1894</v>
      </c>
      <c r="B338" s="512" t="s">
        <v>1867</v>
      </c>
      <c r="C338" s="512" t="s">
        <v>1883</v>
      </c>
      <c r="D338" s="512" t="s">
        <v>2036</v>
      </c>
      <c r="E338" s="513" t="s">
        <v>189</v>
      </c>
      <c r="F338" s="514">
        <v>5185.0</v>
      </c>
      <c r="G338" s="514">
        <v>95.0</v>
      </c>
      <c r="H338" s="514">
        <v>1.83</v>
      </c>
      <c r="I338" s="514">
        <v>0.58</v>
      </c>
      <c r="J338" s="514">
        <v>1.65</v>
      </c>
      <c r="K338" s="514">
        <v>1055.0</v>
      </c>
      <c r="L338" s="514">
        <v>182565.0</v>
      </c>
      <c r="M338" s="514">
        <v>0.2035</v>
      </c>
      <c r="N338" s="6">
        <v>11.1053</v>
      </c>
    </row>
    <row r="339">
      <c r="A339" s="512" t="s">
        <v>1894</v>
      </c>
      <c r="B339" s="512" t="s">
        <v>1867</v>
      </c>
      <c r="C339" s="512" t="s">
        <v>1883</v>
      </c>
      <c r="D339" s="512" t="s">
        <v>2036</v>
      </c>
      <c r="E339" s="513" t="s">
        <v>35</v>
      </c>
      <c r="F339" s="514">
        <v>5185.0</v>
      </c>
      <c r="G339" s="514">
        <v>33.0</v>
      </c>
      <c r="H339" s="514">
        <v>0.64</v>
      </c>
      <c r="I339" s="514">
        <v>0.34</v>
      </c>
      <c r="J339" s="514">
        <v>0.46</v>
      </c>
      <c r="K339" s="514">
        <v>615.0</v>
      </c>
      <c r="L339" s="514">
        <v>182565.0</v>
      </c>
      <c r="M339" s="514">
        <v>0.1186</v>
      </c>
      <c r="N339" s="6">
        <v>18.6364</v>
      </c>
    </row>
    <row r="340">
      <c r="A340" s="512" t="s">
        <v>1894</v>
      </c>
      <c r="B340" s="512" t="s">
        <v>1867</v>
      </c>
      <c r="C340" s="512" t="s">
        <v>1883</v>
      </c>
      <c r="D340" s="512" t="s">
        <v>2036</v>
      </c>
      <c r="E340" s="513" t="s">
        <v>134</v>
      </c>
      <c r="F340" s="514">
        <v>5185.0</v>
      </c>
      <c r="G340" s="514">
        <v>24.0</v>
      </c>
      <c r="H340" s="514">
        <v>0.46</v>
      </c>
      <c r="I340" s="514">
        <v>0.32</v>
      </c>
      <c r="J340" s="514">
        <v>0.32</v>
      </c>
      <c r="K340" s="514">
        <v>585.0</v>
      </c>
      <c r="L340" s="514">
        <v>182565.0</v>
      </c>
      <c r="M340" s="514">
        <v>0.1128</v>
      </c>
      <c r="N340" s="6">
        <v>24.375</v>
      </c>
    </row>
    <row r="341">
      <c r="A341" s="512" t="s">
        <v>1894</v>
      </c>
      <c r="B341" s="512" t="s">
        <v>1867</v>
      </c>
      <c r="C341" s="512" t="s">
        <v>1883</v>
      </c>
      <c r="D341" s="512" t="s">
        <v>2036</v>
      </c>
      <c r="E341" s="513" t="s">
        <v>382</v>
      </c>
      <c r="F341" s="514">
        <v>5185.0</v>
      </c>
      <c r="G341" s="514">
        <v>1.0</v>
      </c>
      <c r="H341" s="514">
        <v>0.02</v>
      </c>
      <c r="I341" s="514">
        <v>0.02</v>
      </c>
      <c r="J341" s="514">
        <v>0.02</v>
      </c>
      <c r="K341" s="514">
        <v>30.0</v>
      </c>
      <c r="L341" s="514">
        <v>182565.0</v>
      </c>
      <c r="M341" s="514">
        <v>0.0058</v>
      </c>
      <c r="N341" s="6">
        <v>30.0</v>
      </c>
    </row>
    <row r="342">
      <c r="A342" s="512" t="s">
        <v>1894</v>
      </c>
      <c r="B342" s="512" t="s">
        <v>1867</v>
      </c>
      <c r="C342" s="512" t="s">
        <v>1883</v>
      </c>
      <c r="D342" s="512" t="s">
        <v>2036</v>
      </c>
      <c r="E342" s="513" t="s">
        <v>42</v>
      </c>
      <c r="F342" s="514">
        <v>5185.0</v>
      </c>
      <c r="G342" s="514">
        <v>1.0</v>
      </c>
      <c r="H342" s="514">
        <v>0.02</v>
      </c>
      <c r="I342" s="514">
        <v>0.01</v>
      </c>
      <c r="J342" s="514">
        <v>0.02</v>
      </c>
      <c r="K342" s="514">
        <v>20.0</v>
      </c>
      <c r="L342" s="514">
        <v>182565.0</v>
      </c>
      <c r="M342" s="514">
        <v>0.0039</v>
      </c>
      <c r="N342" s="6">
        <v>20.0</v>
      </c>
    </row>
    <row r="343">
      <c r="A343" s="512" t="s">
        <v>1894</v>
      </c>
      <c r="B343" s="512" t="s">
        <v>1867</v>
      </c>
      <c r="C343" s="512" t="s">
        <v>1883</v>
      </c>
      <c r="D343" s="512" t="s">
        <v>2036</v>
      </c>
      <c r="E343" s="513" t="s">
        <v>374</v>
      </c>
      <c r="F343" s="514">
        <v>5185.0</v>
      </c>
      <c r="G343" s="514">
        <v>1.0</v>
      </c>
      <c r="H343" s="514">
        <v>0.02</v>
      </c>
      <c r="I343" s="514">
        <v>0.01</v>
      </c>
      <c r="J343" s="514">
        <v>0.02</v>
      </c>
      <c r="K343" s="514">
        <v>10.0</v>
      </c>
      <c r="L343" s="514">
        <v>182565.0</v>
      </c>
      <c r="M343" s="514">
        <v>0.0019</v>
      </c>
      <c r="N343" s="6">
        <v>10.0</v>
      </c>
    </row>
    <row r="344">
      <c r="A344" s="512" t="s">
        <v>1894</v>
      </c>
      <c r="B344" s="512" t="s">
        <v>1867</v>
      </c>
      <c r="C344" s="512" t="s">
        <v>1884</v>
      </c>
      <c r="D344" s="512" t="s">
        <v>2036</v>
      </c>
      <c r="E344" s="513" t="s">
        <v>373</v>
      </c>
      <c r="F344" s="514">
        <v>14453.0</v>
      </c>
      <c r="G344" s="514">
        <v>4687.0</v>
      </c>
      <c r="H344" s="514">
        <v>32.43</v>
      </c>
      <c r="I344" s="514">
        <v>63.21</v>
      </c>
      <c r="J344" s="514">
        <v>30.41</v>
      </c>
      <c r="K344" s="514">
        <v>331140.0</v>
      </c>
      <c r="L344" s="514">
        <v>523855.0</v>
      </c>
      <c r="M344" s="514">
        <v>22.9115</v>
      </c>
      <c r="N344" s="6">
        <v>70.6507</v>
      </c>
    </row>
    <row r="345">
      <c r="A345" s="512" t="s">
        <v>1894</v>
      </c>
      <c r="B345" s="512" t="s">
        <v>1867</v>
      </c>
      <c r="C345" s="512" t="s">
        <v>1884</v>
      </c>
      <c r="D345" s="512" t="s">
        <v>2036</v>
      </c>
      <c r="E345" s="513" t="s">
        <v>380</v>
      </c>
      <c r="F345" s="514">
        <v>14453.0</v>
      </c>
      <c r="G345" s="514">
        <v>8358.0</v>
      </c>
      <c r="H345" s="514">
        <v>57.83</v>
      </c>
      <c r="I345" s="514">
        <v>29.2</v>
      </c>
      <c r="J345" s="514">
        <v>50.65</v>
      </c>
      <c r="K345" s="514">
        <v>152945.0</v>
      </c>
      <c r="L345" s="514">
        <v>523855.0</v>
      </c>
      <c r="M345" s="514">
        <v>10.5822</v>
      </c>
      <c r="N345" s="6">
        <v>18.2992</v>
      </c>
    </row>
    <row r="346">
      <c r="A346" s="512" t="s">
        <v>1894</v>
      </c>
      <c r="B346" s="512" t="s">
        <v>1867</v>
      </c>
      <c r="C346" s="512" t="s">
        <v>1884</v>
      </c>
      <c r="D346" s="512" t="s">
        <v>2036</v>
      </c>
      <c r="E346" s="513" t="s">
        <v>375</v>
      </c>
      <c r="F346" s="514">
        <v>14453.0</v>
      </c>
      <c r="G346" s="514">
        <v>2251.0</v>
      </c>
      <c r="H346" s="514">
        <v>15.57</v>
      </c>
      <c r="I346" s="514">
        <v>5.45</v>
      </c>
      <c r="J346" s="514">
        <v>14.01</v>
      </c>
      <c r="K346" s="514">
        <v>28555.0</v>
      </c>
      <c r="L346" s="514">
        <v>523855.0</v>
      </c>
      <c r="M346" s="514">
        <v>1.9757</v>
      </c>
      <c r="N346" s="6">
        <v>12.6855</v>
      </c>
    </row>
    <row r="347">
      <c r="A347" s="512" t="s">
        <v>1894</v>
      </c>
      <c r="B347" s="512" t="s">
        <v>1867</v>
      </c>
      <c r="C347" s="512" t="s">
        <v>1884</v>
      </c>
      <c r="D347" s="512" t="s">
        <v>2036</v>
      </c>
      <c r="E347" s="513" t="s">
        <v>189</v>
      </c>
      <c r="F347" s="514">
        <v>14453.0</v>
      </c>
      <c r="G347" s="514">
        <v>587.0</v>
      </c>
      <c r="H347" s="514">
        <v>4.06</v>
      </c>
      <c r="I347" s="514">
        <v>1.15</v>
      </c>
      <c r="J347" s="514">
        <v>3.44</v>
      </c>
      <c r="K347" s="514">
        <v>6010.0</v>
      </c>
      <c r="L347" s="514">
        <v>523855.0</v>
      </c>
      <c r="M347" s="514">
        <v>0.4158</v>
      </c>
      <c r="N347" s="6">
        <v>10.2385</v>
      </c>
    </row>
    <row r="348">
      <c r="A348" s="512" t="s">
        <v>1894</v>
      </c>
      <c r="B348" s="512" t="s">
        <v>1867</v>
      </c>
      <c r="C348" s="512" t="s">
        <v>1884</v>
      </c>
      <c r="D348" s="512" t="s">
        <v>2036</v>
      </c>
      <c r="E348" s="513" t="s">
        <v>134</v>
      </c>
      <c r="F348" s="514">
        <v>14453.0</v>
      </c>
      <c r="G348" s="514">
        <v>52.0</v>
      </c>
      <c r="H348" s="514">
        <v>0.36</v>
      </c>
      <c r="I348" s="514">
        <v>0.28</v>
      </c>
      <c r="J348" s="514">
        <v>0.24</v>
      </c>
      <c r="K348" s="514">
        <v>1485.0</v>
      </c>
      <c r="L348" s="514">
        <v>523855.0</v>
      </c>
      <c r="M348" s="514">
        <v>0.1027</v>
      </c>
      <c r="N348" s="6">
        <v>28.5577</v>
      </c>
    </row>
    <row r="349">
      <c r="A349" s="512" t="s">
        <v>1894</v>
      </c>
      <c r="B349" s="512" t="s">
        <v>1867</v>
      </c>
      <c r="C349" s="512" t="s">
        <v>1884</v>
      </c>
      <c r="D349" s="512" t="s">
        <v>2036</v>
      </c>
      <c r="E349" s="513" t="s">
        <v>44</v>
      </c>
      <c r="F349" s="514">
        <v>14453.0</v>
      </c>
      <c r="G349" s="514">
        <v>129.0</v>
      </c>
      <c r="H349" s="514">
        <v>0.89</v>
      </c>
      <c r="I349" s="514">
        <v>0.28</v>
      </c>
      <c r="J349" s="514">
        <v>0.71</v>
      </c>
      <c r="K349" s="514">
        <v>1460.0</v>
      </c>
      <c r="L349" s="514">
        <v>523855.0</v>
      </c>
      <c r="M349" s="514">
        <v>0.101</v>
      </c>
      <c r="N349" s="6">
        <v>11.3178</v>
      </c>
    </row>
    <row r="350">
      <c r="A350" s="512" t="s">
        <v>1894</v>
      </c>
      <c r="B350" s="512" t="s">
        <v>1867</v>
      </c>
      <c r="C350" s="512" t="s">
        <v>1884</v>
      </c>
      <c r="D350" s="512" t="s">
        <v>2036</v>
      </c>
      <c r="E350" s="513" t="s">
        <v>377</v>
      </c>
      <c r="F350" s="514">
        <v>14453.0</v>
      </c>
      <c r="G350" s="514">
        <v>43.0</v>
      </c>
      <c r="H350" s="514">
        <v>0.3</v>
      </c>
      <c r="I350" s="514">
        <v>0.26</v>
      </c>
      <c r="J350" s="514">
        <v>0.26</v>
      </c>
      <c r="K350" s="514">
        <v>1350.0</v>
      </c>
      <c r="L350" s="514">
        <v>523855.0</v>
      </c>
      <c r="M350" s="514">
        <v>0.0934</v>
      </c>
      <c r="N350" s="6">
        <v>31.3953</v>
      </c>
    </row>
    <row r="351">
      <c r="A351" s="512" t="s">
        <v>1894</v>
      </c>
      <c r="B351" s="512" t="s">
        <v>1867</v>
      </c>
      <c r="C351" s="512" t="s">
        <v>1884</v>
      </c>
      <c r="D351" s="512" t="s">
        <v>2036</v>
      </c>
      <c r="E351" s="513" t="s">
        <v>35</v>
      </c>
      <c r="F351" s="514">
        <v>14453.0</v>
      </c>
      <c r="G351" s="514">
        <v>53.0</v>
      </c>
      <c r="H351" s="514">
        <v>0.37</v>
      </c>
      <c r="I351" s="514">
        <v>0.17</v>
      </c>
      <c r="J351" s="514">
        <v>0.28</v>
      </c>
      <c r="K351" s="514">
        <v>900.0</v>
      </c>
      <c r="L351" s="514">
        <v>523855.0</v>
      </c>
      <c r="M351" s="514">
        <v>0.0623</v>
      </c>
      <c r="N351" s="6">
        <v>16.9811</v>
      </c>
    </row>
    <row r="352">
      <c r="A352" s="512" t="s">
        <v>1894</v>
      </c>
      <c r="B352" s="512" t="s">
        <v>1867</v>
      </c>
      <c r="C352" s="512" t="s">
        <v>1884</v>
      </c>
      <c r="D352" s="512" t="s">
        <v>2036</v>
      </c>
      <c r="E352" s="513" t="s">
        <v>374</v>
      </c>
      <c r="F352" s="514">
        <v>14453.0</v>
      </c>
      <c r="G352" s="514">
        <v>1.0</v>
      </c>
      <c r="H352" s="514">
        <v>0.01</v>
      </c>
      <c r="I352" s="514">
        <v>0.0</v>
      </c>
      <c r="J352" s="514">
        <v>0.01</v>
      </c>
      <c r="K352" s="514">
        <v>10.0</v>
      </c>
      <c r="L352" s="514">
        <v>523855.0</v>
      </c>
      <c r="M352" s="514">
        <v>7.0E-4</v>
      </c>
      <c r="N352" s="6">
        <v>10.0</v>
      </c>
    </row>
    <row r="353">
      <c r="A353" s="512" t="s">
        <v>1894</v>
      </c>
      <c r="B353" s="512" t="s">
        <v>1867</v>
      </c>
      <c r="C353" s="512" t="s">
        <v>1885</v>
      </c>
      <c r="D353" s="512" t="s">
        <v>2036</v>
      </c>
      <c r="E353" s="513" t="s">
        <v>373</v>
      </c>
      <c r="F353" s="514">
        <v>21087.0</v>
      </c>
      <c r="G353" s="514">
        <v>5082.0</v>
      </c>
      <c r="H353" s="514">
        <v>24.1</v>
      </c>
      <c r="I353" s="514">
        <v>58.51</v>
      </c>
      <c r="J353" s="514">
        <v>22.43</v>
      </c>
      <c r="K353" s="514">
        <v>353820.0</v>
      </c>
      <c r="L353" s="514">
        <v>604705.0</v>
      </c>
      <c r="M353" s="514">
        <v>16.7791</v>
      </c>
      <c r="N353" s="6">
        <v>69.6222</v>
      </c>
    </row>
    <row r="354">
      <c r="A354" s="512" t="s">
        <v>1894</v>
      </c>
      <c r="B354" s="512" t="s">
        <v>1867</v>
      </c>
      <c r="C354" s="512" t="s">
        <v>1885</v>
      </c>
      <c r="D354" s="512" t="s">
        <v>2036</v>
      </c>
      <c r="E354" s="513" t="s">
        <v>380</v>
      </c>
      <c r="F354" s="514">
        <v>21087.0</v>
      </c>
      <c r="G354" s="514">
        <v>12870.0</v>
      </c>
      <c r="H354" s="514">
        <v>61.03</v>
      </c>
      <c r="I354" s="514">
        <v>28.7</v>
      </c>
      <c r="J354" s="514">
        <v>52.52</v>
      </c>
      <c r="K354" s="514">
        <v>173580.0</v>
      </c>
      <c r="L354" s="514">
        <v>604705.0</v>
      </c>
      <c r="M354" s="514">
        <v>8.2316</v>
      </c>
      <c r="N354" s="6">
        <v>13.4872</v>
      </c>
    </row>
    <row r="355">
      <c r="A355" s="512" t="s">
        <v>1894</v>
      </c>
      <c r="B355" s="512" t="s">
        <v>1867</v>
      </c>
      <c r="C355" s="512" t="s">
        <v>1885</v>
      </c>
      <c r="D355" s="512" t="s">
        <v>2036</v>
      </c>
      <c r="E355" s="513" t="s">
        <v>375</v>
      </c>
      <c r="F355" s="514">
        <v>21087.0</v>
      </c>
      <c r="G355" s="514">
        <v>4388.0</v>
      </c>
      <c r="H355" s="514">
        <v>20.81</v>
      </c>
      <c r="I355" s="514">
        <v>9.26</v>
      </c>
      <c r="J355" s="514">
        <v>18.29</v>
      </c>
      <c r="K355" s="514">
        <v>56020.0</v>
      </c>
      <c r="L355" s="514">
        <v>604705.0</v>
      </c>
      <c r="M355" s="514">
        <v>2.6566</v>
      </c>
      <c r="N355" s="6">
        <v>12.7666</v>
      </c>
    </row>
    <row r="356">
      <c r="A356" s="512" t="s">
        <v>1894</v>
      </c>
      <c r="B356" s="512" t="s">
        <v>1867</v>
      </c>
      <c r="C356" s="512" t="s">
        <v>1885</v>
      </c>
      <c r="D356" s="512" t="s">
        <v>2036</v>
      </c>
      <c r="E356" s="513" t="s">
        <v>189</v>
      </c>
      <c r="F356" s="514">
        <v>21087.0</v>
      </c>
      <c r="G356" s="514">
        <v>1079.0</v>
      </c>
      <c r="H356" s="514">
        <v>5.12</v>
      </c>
      <c r="I356" s="514">
        <v>1.83</v>
      </c>
      <c r="J356" s="514">
        <v>4.23</v>
      </c>
      <c r="K356" s="514">
        <v>11065.0</v>
      </c>
      <c r="L356" s="514">
        <v>604705.0</v>
      </c>
      <c r="M356" s="514">
        <v>0.5247</v>
      </c>
      <c r="N356" s="6">
        <v>10.2549</v>
      </c>
    </row>
    <row r="357">
      <c r="A357" s="512" t="s">
        <v>1894</v>
      </c>
      <c r="B357" s="512" t="s">
        <v>1867</v>
      </c>
      <c r="C357" s="512" t="s">
        <v>1885</v>
      </c>
      <c r="D357" s="512" t="s">
        <v>2036</v>
      </c>
      <c r="E357" s="513" t="s">
        <v>44</v>
      </c>
      <c r="F357" s="514">
        <v>21087.0</v>
      </c>
      <c r="G357" s="514">
        <v>405.0</v>
      </c>
      <c r="H357" s="514">
        <v>1.92</v>
      </c>
      <c r="I357" s="514">
        <v>0.72</v>
      </c>
      <c r="J357" s="514">
        <v>1.62</v>
      </c>
      <c r="K357" s="514">
        <v>4360.0</v>
      </c>
      <c r="L357" s="514">
        <v>604705.0</v>
      </c>
      <c r="M357" s="514">
        <v>0.2068</v>
      </c>
      <c r="N357" s="6">
        <v>10.7654</v>
      </c>
    </row>
    <row r="358">
      <c r="A358" s="512" t="s">
        <v>1894</v>
      </c>
      <c r="B358" s="512" t="s">
        <v>1867</v>
      </c>
      <c r="C358" s="512" t="s">
        <v>1885</v>
      </c>
      <c r="D358" s="512" t="s">
        <v>2036</v>
      </c>
      <c r="E358" s="513" t="s">
        <v>35</v>
      </c>
      <c r="F358" s="514">
        <v>21087.0</v>
      </c>
      <c r="G358" s="514">
        <v>139.0</v>
      </c>
      <c r="H358" s="514">
        <v>0.66</v>
      </c>
      <c r="I358" s="514">
        <v>0.38</v>
      </c>
      <c r="J358" s="514">
        <v>0.53</v>
      </c>
      <c r="K358" s="514">
        <v>2310.0</v>
      </c>
      <c r="L358" s="514">
        <v>604705.0</v>
      </c>
      <c r="M358" s="514">
        <v>0.1095</v>
      </c>
      <c r="N358" s="6">
        <v>16.6187</v>
      </c>
    </row>
    <row r="359">
      <c r="A359" s="512" t="s">
        <v>1894</v>
      </c>
      <c r="B359" s="512" t="s">
        <v>1867</v>
      </c>
      <c r="C359" s="512" t="s">
        <v>1885</v>
      </c>
      <c r="D359" s="512" t="s">
        <v>2036</v>
      </c>
      <c r="E359" s="513" t="s">
        <v>134</v>
      </c>
      <c r="F359" s="514">
        <v>21087.0</v>
      </c>
      <c r="G359" s="514">
        <v>46.0</v>
      </c>
      <c r="H359" s="514">
        <v>0.22</v>
      </c>
      <c r="I359" s="514">
        <v>0.33</v>
      </c>
      <c r="J359" s="514">
        <v>0.15</v>
      </c>
      <c r="K359" s="514">
        <v>2015.0</v>
      </c>
      <c r="L359" s="514">
        <v>604705.0</v>
      </c>
      <c r="M359" s="514">
        <v>0.0956</v>
      </c>
      <c r="N359" s="6">
        <v>43.8043</v>
      </c>
    </row>
    <row r="360">
      <c r="A360" s="512" t="s">
        <v>1894</v>
      </c>
      <c r="B360" s="512" t="s">
        <v>1867</v>
      </c>
      <c r="C360" s="512" t="s">
        <v>1885</v>
      </c>
      <c r="D360" s="512" t="s">
        <v>2036</v>
      </c>
      <c r="E360" s="513" t="s">
        <v>377</v>
      </c>
      <c r="F360" s="514">
        <v>21087.0</v>
      </c>
      <c r="G360" s="514">
        <v>48.0</v>
      </c>
      <c r="H360" s="514">
        <v>0.23</v>
      </c>
      <c r="I360" s="514">
        <v>0.25</v>
      </c>
      <c r="J360" s="514">
        <v>0.21</v>
      </c>
      <c r="K360" s="514">
        <v>1495.0</v>
      </c>
      <c r="L360" s="514">
        <v>604705.0</v>
      </c>
      <c r="M360" s="514">
        <v>0.0709</v>
      </c>
      <c r="N360" s="6">
        <v>31.1458</v>
      </c>
    </row>
    <row r="361">
      <c r="A361" s="512" t="s">
        <v>1894</v>
      </c>
      <c r="B361" s="512" t="s">
        <v>1867</v>
      </c>
      <c r="C361" s="512" t="s">
        <v>1885</v>
      </c>
      <c r="D361" s="512" t="s">
        <v>2036</v>
      </c>
      <c r="E361" s="513" t="s">
        <v>379</v>
      </c>
      <c r="F361" s="514">
        <v>21087.0</v>
      </c>
      <c r="G361" s="514">
        <v>1.0</v>
      </c>
      <c r="H361" s="514">
        <v>0.0</v>
      </c>
      <c r="I361" s="514">
        <v>0.0</v>
      </c>
      <c r="J361" s="514">
        <v>0.0</v>
      </c>
      <c r="K361" s="514">
        <v>15.0</v>
      </c>
      <c r="L361" s="514">
        <v>604705.0</v>
      </c>
      <c r="M361" s="514">
        <v>7.0E-4</v>
      </c>
      <c r="N361" s="6">
        <v>15.0</v>
      </c>
    </row>
    <row r="362">
      <c r="A362" s="512" t="s">
        <v>1894</v>
      </c>
      <c r="B362" s="512" t="s">
        <v>1867</v>
      </c>
      <c r="C362" s="512" t="s">
        <v>1885</v>
      </c>
      <c r="D362" s="512" t="s">
        <v>2036</v>
      </c>
      <c r="E362" s="513" t="s">
        <v>382</v>
      </c>
      <c r="F362" s="514">
        <v>21087.0</v>
      </c>
      <c r="G362" s="514">
        <v>1.0</v>
      </c>
      <c r="H362" s="514">
        <v>0.0</v>
      </c>
      <c r="I362" s="514">
        <v>0.0</v>
      </c>
      <c r="J362" s="514">
        <v>0.0</v>
      </c>
      <c r="K362" s="514">
        <v>10.0</v>
      </c>
      <c r="L362" s="514">
        <v>604705.0</v>
      </c>
      <c r="M362" s="514">
        <v>5.0E-4</v>
      </c>
      <c r="N362" s="6">
        <v>10.0</v>
      </c>
    </row>
    <row r="363">
      <c r="A363" s="512" t="s">
        <v>1894</v>
      </c>
      <c r="B363" s="512" t="s">
        <v>1867</v>
      </c>
      <c r="C363" s="512" t="s">
        <v>1885</v>
      </c>
      <c r="D363" s="512" t="s">
        <v>2036</v>
      </c>
      <c r="E363" s="513" t="s">
        <v>374</v>
      </c>
      <c r="F363" s="514">
        <v>21087.0</v>
      </c>
      <c r="G363" s="514">
        <v>1.0</v>
      </c>
      <c r="H363" s="514">
        <v>0.0</v>
      </c>
      <c r="I363" s="514">
        <v>0.0</v>
      </c>
      <c r="J363" s="514">
        <v>0.0</v>
      </c>
      <c r="K363" s="514">
        <v>15.0</v>
      </c>
      <c r="L363" s="514">
        <v>604705.0</v>
      </c>
      <c r="M363" s="514">
        <v>7.0E-4</v>
      </c>
      <c r="N363" s="6">
        <v>15.0</v>
      </c>
    </row>
    <row r="364">
      <c r="A364" s="512" t="s">
        <v>1894</v>
      </c>
      <c r="B364" s="512" t="s">
        <v>1867</v>
      </c>
      <c r="C364" s="512" t="s">
        <v>75</v>
      </c>
      <c r="D364" s="512" t="s">
        <v>2036</v>
      </c>
      <c r="E364" s="513" t="s">
        <v>373</v>
      </c>
      <c r="F364" s="514">
        <v>80691.0</v>
      </c>
      <c r="G364" s="514">
        <v>61409.0</v>
      </c>
      <c r="H364" s="514">
        <v>76.1</v>
      </c>
      <c r="I364" s="514">
        <v>47.93</v>
      </c>
      <c r="J364" s="514">
        <v>46.62</v>
      </c>
      <c r="K364" s="514">
        <v>6519270.0</v>
      </c>
      <c r="L364" s="514">
        <v>1.3600313E7</v>
      </c>
      <c r="M364" s="514">
        <v>80.793</v>
      </c>
      <c r="N364" s="6">
        <v>106.1615</v>
      </c>
    </row>
    <row r="365">
      <c r="A365" s="512" t="s">
        <v>1894</v>
      </c>
      <c r="B365" s="512" t="s">
        <v>1867</v>
      </c>
      <c r="C365" s="512" t="s">
        <v>75</v>
      </c>
      <c r="D365" s="512" t="s">
        <v>2036</v>
      </c>
      <c r="E365" s="513" t="s">
        <v>49</v>
      </c>
      <c r="F365" s="514">
        <v>80691.0</v>
      </c>
      <c r="G365" s="514">
        <v>34260.0</v>
      </c>
      <c r="H365" s="514">
        <v>42.46</v>
      </c>
      <c r="I365" s="514">
        <v>31.51</v>
      </c>
      <c r="J365" s="514">
        <v>29.05</v>
      </c>
      <c r="K365" s="514">
        <v>4285940.0</v>
      </c>
      <c r="L365" s="514">
        <v>1.3600313E7</v>
      </c>
      <c r="M365" s="514">
        <v>53.1155</v>
      </c>
      <c r="N365" s="6">
        <v>125.1004</v>
      </c>
    </row>
    <row r="366">
      <c r="A366" s="512" t="s">
        <v>1894</v>
      </c>
      <c r="B366" s="512" t="s">
        <v>1867</v>
      </c>
      <c r="C366" s="512" t="s">
        <v>75</v>
      </c>
      <c r="D366" s="512" t="s">
        <v>2036</v>
      </c>
      <c r="E366" s="513" t="s">
        <v>380</v>
      </c>
      <c r="F366" s="514">
        <v>80691.0</v>
      </c>
      <c r="G366" s="514">
        <v>18123.0</v>
      </c>
      <c r="H366" s="514">
        <v>22.46</v>
      </c>
      <c r="I366" s="514">
        <v>9.93</v>
      </c>
      <c r="J366" s="514">
        <v>10.69</v>
      </c>
      <c r="K366" s="514">
        <v>1350905.0</v>
      </c>
      <c r="L366" s="514">
        <v>1.3600313E7</v>
      </c>
      <c r="M366" s="514">
        <v>16.7417</v>
      </c>
      <c r="N366" s="6">
        <v>74.5409</v>
      </c>
    </row>
    <row r="367">
      <c r="A367" s="512" t="s">
        <v>1894</v>
      </c>
      <c r="B367" s="512" t="s">
        <v>1867</v>
      </c>
      <c r="C367" s="512" t="s">
        <v>75</v>
      </c>
      <c r="D367" s="512" t="s">
        <v>2036</v>
      </c>
      <c r="E367" s="513" t="s">
        <v>44</v>
      </c>
      <c r="F367" s="514">
        <v>80691.0</v>
      </c>
      <c r="G367" s="514">
        <v>10076.0</v>
      </c>
      <c r="H367" s="514">
        <v>12.49</v>
      </c>
      <c r="I367" s="514">
        <v>5.06</v>
      </c>
      <c r="J367" s="514">
        <v>5.75</v>
      </c>
      <c r="K367" s="514">
        <v>688320.0</v>
      </c>
      <c r="L367" s="514">
        <v>1.3600313E7</v>
      </c>
      <c r="M367" s="514">
        <v>8.5303</v>
      </c>
      <c r="N367" s="6">
        <v>68.3128</v>
      </c>
    </row>
    <row r="368">
      <c r="A368" s="512" t="s">
        <v>1894</v>
      </c>
      <c r="B368" s="512" t="s">
        <v>1867</v>
      </c>
      <c r="C368" s="512" t="s">
        <v>75</v>
      </c>
      <c r="D368" s="512" t="s">
        <v>2036</v>
      </c>
      <c r="E368" s="513" t="s">
        <v>367</v>
      </c>
      <c r="F368" s="514">
        <v>80691.0</v>
      </c>
      <c r="G368" s="514">
        <v>14187.0</v>
      </c>
      <c r="H368" s="514">
        <v>17.58</v>
      </c>
      <c r="I368" s="514">
        <v>3.09</v>
      </c>
      <c r="J368" s="514">
        <v>4.07</v>
      </c>
      <c r="K368" s="514">
        <v>420415.0</v>
      </c>
      <c r="L368" s="514">
        <v>1.3600313E7</v>
      </c>
      <c r="M368" s="514">
        <v>5.2102</v>
      </c>
      <c r="N368" s="6">
        <v>29.6338</v>
      </c>
    </row>
    <row r="369">
      <c r="A369" s="512" t="s">
        <v>1894</v>
      </c>
      <c r="B369" s="512" t="s">
        <v>1867</v>
      </c>
      <c r="C369" s="512" t="s">
        <v>75</v>
      </c>
      <c r="D369" s="512" t="s">
        <v>2036</v>
      </c>
      <c r="E369" s="513" t="s">
        <v>377</v>
      </c>
      <c r="F369" s="514">
        <v>80691.0</v>
      </c>
      <c r="G369" s="514">
        <v>1764.0</v>
      </c>
      <c r="H369" s="514">
        <v>2.19</v>
      </c>
      <c r="I369" s="514">
        <v>0.69</v>
      </c>
      <c r="J369" s="514">
        <v>0.86</v>
      </c>
      <c r="K369" s="514">
        <v>93333.0</v>
      </c>
      <c r="L369" s="514">
        <v>1.3600313E7</v>
      </c>
      <c r="M369" s="514">
        <v>1.1567</v>
      </c>
      <c r="N369" s="6">
        <v>52.9099</v>
      </c>
    </row>
    <row r="370">
      <c r="A370" s="512" t="s">
        <v>1894</v>
      </c>
      <c r="B370" s="512" t="s">
        <v>1867</v>
      </c>
      <c r="C370" s="512" t="s">
        <v>75</v>
      </c>
      <c r="D370" s="512" t="s">
        <v>2036</v>
      </c>
      <c r="E370" s="513" t="s">
        <v>375</v>
      </c>
      <c r="F370" s="514">
        <v>80691.0</v>
      </c>
      <c r="G370" s="514">
        <v>1439.0</v>
      </c>
      <c r="H370" s="514">
        <v>1.78</v>
      </c>
      <c r="I370" s="514">
        <v>0.49</v>
      </c>
      <c r="J370" s="514">
        <v>0.83</v>
      </c>
      <c r="K370" s="514">
        <v>67050.0</v>
      </c>
      <c r="L370" s="514">
        <v>1.3600313E7</v>
      </c>
      <c r="M370" s="514">
        <v>0.8309</v>
      </c>
      <c r="N370" s="6">
        <v>46.5949</v>
      </c>
    </row>
    <row r="371">
      <c r="A371" s="512" t="s">
        <v>1894</v>
      </c>
      <c r="B371" s="512" t="s">
        <v>1867</v>
      </c>
      <c r="C371" s="512" t="s">
        <v>75</v>
      </c>
      <c r="D371" s="512" t="s">
        <v>2036</v>
      </c>
      <c r="E371" s="513" t="s">
        <v>43</v>
      </c>
      <c r="F371" s="514">
        <v>80691.0</v>
      </c>
      <c r="G371" s="514">
        <v>1106.0</v>
      </c>
      <c r="H371" s="514">
        <v>1.37</v>
      </c>
      <c r="I371" s="514">
        <v>0.31</v>
      </c>
      <c r="J371" s="514">
        <v>0.34</v>
      </c>
      <c r="K371" s="514">
        <v>41710.0</v>
      </c>
      <c r="L371" s="514">
        <v>1.3600313E7</v>
      </c>
      <c r="M371" s="514">
        <v>0.5169</v>
      </c>
      <c r="N371" s="6">
        <v>37.7125</v>
      </c>
    </row>
    <row r="372">
      <c r="A372" s="512" t="s">
        <v>1894</v>
      </c>
      <c r="B372" s="512" t="s">
        <v>1867</v>
      </c>
      <c r="C372" s="512" t="s">
        <v>75</v>
      </c>
      <c r="D372" s="512" t="s">
        <v>2036</v>
      </c>
      <c r="E372" s="513" t="s">
        <v>379</v>
      </c>
      <c r="F372" s="514">
        <v>80691.0</v>
      </c>
      <c r="G372" s="514">
        <v>1188.0</v>
      </c>
      <c r="H372" s="514">
        <v>1.47</v>
      </c>
      <c r="I372" s="514">
        <v>0.25</v>
      </c>
      <c r="J372" s="514">
        <v>0.52</v>
      </c>
      <c r="K372" s="514">
        <v>33420.0</v>
      </c>
      <c r="L372" s="514">
        <v>1.3600313E7</v>
      </c>
      <c r="M372" s="514">
        <v>0.4142</v>
      </c>
      <c r="N372" s="6">
        <v>28.1313</v>
      </c>
    </row>
    <row r="373">
      <c r="A373" s="512" t="s">
        <v>1894</v>
      </c>
      <c r="B373" s="512" t="s">
        <v>1867</v>
      </c>
      <c r="C373" s="512" t="s">
        <v>75</v>
      </c>
      <c r="D373" s="512" t="s">
        <v>2036</v>
      </c>
      <c r="E373" s="513" t="s">
        <v>35</v>
      </c>
      <c r="F373" s="514">
        <v>80691.0</v>
      </c>
      <c r="G373" s="514">
        <v>781.0</v>
      </c>
      <c r="H373" s="514">
        <v>0.97</v>
      </c>
      <c r="I373" s="514">
        <v>0.23</v>
      </c>
      <c r="J373" s="514">
        <v>0.34</v>
      </c>
      <c r="K373" s="514">
        <v>31860.0</v>
      </c>
      <c r="L373" s="514">
        <v>1.3600313E7</v>
      </c>
      <c r="M373" s="514">
        <v>0.3948</v>
      </c>
      <c r="N373" s="6">
        <v>40.7939</v>
      </c>
    </row>
    <row r="374">
      <c r="A374" s="512" t="s">
        <v>1894</v>
      </c>
      <c r="B374" s="512" t="s">
        <v>1867</v>
      </c>
      <c r="C374" s="512" t="s">
        <v>75</v>
      </c>
      <c r="D374" s="512" t="s">
        <v>2036</v>
      </c>
      <c r="E374" s="513" t="s">
        <v>374</v>
      </c>
      <c r="F374" s="514">
        <v>80691.0</v>
      </c>
      <c r="G374" s="514">
        <v>926.0</v>
      </c>
      <c r="H374" s="514">
        <v>1.15</v>
      </c>
      <c r="I374" s="514">
        <v>0.17</v>
      </c>
      <c r="J374" s="514">
        <v>0.38</v>
      </c>
      <c r="K374" s="514">
        <v>23125.0</v>
      </c>
      <c r="L374" s="514">
        <v>1.3600313E7</v>
      </c>
      <c r="M374" s="514">
        <v>0.2866</v>
      </c>
      <c r="N374" s="6">
        <v>24.973</v>
      </c>
    </row>
    <row r="375">
      <c r="A375" s="512" t="s">
        <v>1894</v>
      </c>
      <c r="B375" s="512" t="s">
        <v>1867</v>
      </c>
      <c r="C375" s="512" t="s">
        <v>75</v>
      </c>
      <c r="D375" s="512" t="s">
        <v>2036</v>
      </c>
      <c r="E375" s="513" t="s">
        <v>189</v>
      </c>
      <c r="F375" s="514">
        <v>80691.0</v>
      </c>
      <c r="G375" s="514">
        <v>411.0</v>
      </c>
      <c r="H375" s="514">
        <v>0.51</v>
      </c>
      <c r="I375" s="514">
        <v>0.11</v>
      </c>
      <c r="J375" s="514">
        <v>0.2</v>
      </c>
      <c r="K375" s="514">
        <v>14790.0</v>
      </c>
      <c r="L375" s="514">
        <v>1.3600313E7</v>
      </c>
      <c r="M375" s="514">
        <v>0.1833</v>
      </c>
      <c r="N375" s="6">
        <v>35.9854</v>
      </c>
    </row>
    <row r="376">
      <c r="A376" s="512" t="s">
        <v>1894</v>
      </c>
      <c r="B376" s="512" t="s">
        <v>1867</v>
      </c>
      <c r="C376" s="512" t="s">
        <v>75</v>
      </c>
      <c r="D376" s="512" t="s">
        <v>2036</v>
      </c>
      <c r="E376" s="513" t="s">
        <v>50</v>
      </c>
      <c r="F376" s="514">
        <v>80691.0</v>
      </c>
      <c r="G376" s="514">
        <v>257.0</v>
      </c>
      <c r="H376" s="514">
        <v>0.32</v>
      </c>
      <c r="I376" s="514">
        <v>0.1</v>
      </c>
      <c r="J376" s="514">
        <v>0.19</v>
      </c>
      <c r="K376" s="514">
        <v>13515.0</v>
      </c>
      <c r="L376" s="514">
        <v>1.3600313E7</v>
      </c>
      <c r="M376" s="514">
        <v>0.1675</v>
      </c>
      <c r="N376" s="6">
        <v>52.5875</v>
      </c>
    </row>
    <row r="377">
      <c r="A377" s="512" t="s">
        <v>1894</v>
      </c>
      <c r="B377" s="512" t="s">
        <v>1867</v>
      </c>
      <c r="C377" s="512" t="s">
        <v>75</v>
      </c>
      <c r="D377" s="512" t="s">
        <v>2036</v>
      </c>
      <c r="E377" s="513" t="s">
        <v>372</v>
      </c>
      <c r="F377" s="514">
        <v>80691.0</v>
      </c>
      <c r="G377" s="514">
        <v>215.0</v>
      </c>
      <c r="H377" s="514">
        <v>0.27</v>
      </c>
      <c r="I377" s="514">
        <v>0.08</v>
      </c>
      <c r="J377" s="514">
        <v>0.1</v>
      </c>
      <c r="K377" s="514">
        <v>10230.0</v>
      </c>
      <c r="L377" s="514">
        <v>1.3600313E7</v>
      </c>
      <c r="M377" s="514">
        <v>0.1268</v>
      </c>
      <c r="N377" s="6">
        <v>47.5814</v>
      </c>
    </row>
    <row r="378">
      <c r="A378" s="512" t="s">
        <v>1894</v>
      </c>
      <c r="B378" s="512" t="s">
        <v>1867</v>
      </c>
      <c r="C378" s="512" t="s">
        <v>75</v>
      </c>
      <c r="D378" s="512" t="s">
        <v>2036</v>
      </c>
      <c r="E378" s="513" t="s">
        <v>32</v>
      </c>
      <c r="F378" s="514">
        <v>80691.0</v>
      </c>
      <c r="G378" s="514">
        <v>165.0</v>
      </c>
      <c r="H378" s="514">
        <v>0.2</v>
      </c>
      <c r="I378" s="514">
        <v>0.04</v>
      </c>
      <c r="J378" s="514">
        <v>0.05</v>
      </c>
      <c r="K378" s="514">
        <v>5940.0</v>
      </c>
      <c r="L378" s="514">
        <v>1.3600313E7</v>
      </c>
      <c r="M378" s="514">
        <v>0.0736</v>
      </c>
      <c r="N378" s="6">
        <v>36.0</v>
      </c>
    </row>
    <row r="379">
      <c r="A379" s="512" t="s">
        <v>1894</v>
      </c>
      <c r="B379" s="512" t="s">
        <v>1867</v>
      </c>
      <c r="C379" s="512" t="s">
        <v>75</v>
      </c>
      <c r="D379" s="512" t="s">
        <v>2036</v>
      </c>
      <c r="E379" s="513" t="s">
        <v>42</v>
      </c>
      <c r="F379" s="514">
        <v>80691.0</v>
      </c>
      <c r="G379" s="514">
        <v>1.0</v>
      </c>
      <c r="H379" s="514">
        <v>0.0</v>
      </c>
      <c r="I379" s="514">
        <v>0.0</v>
      </c>
      <c r="J379" s="514">
        <v>0.0</v>
      </c>
      <c r="K379" s="514">
        <v>70.0</v>
      </c>
      <c r="L379" s="514">
        <v>1.3600313E7</v>
      </c>
      <c r="M379" s="514">
        <v>9.0E-4</v>
      </c>
      <c r="N379" s="6">
        <v>70.0</v>
      </c>
    </row>
    <row r="380">
      <c r="A380" s="512" t="s">
        <v>1894</v>
      </c>
      <c r="B380" s="512" t="s">
        <v>1867</v>
      </c>
      <c r="C380" s="512" t="s">
        <v>75</v>
      </c>
      <c r="D380" s="512" t="s">
        <v>2036</v>
      </c>
      <c r="E380" s="513" t="s">
        <v>134</v>
      </c>
      <c r="F380" s="514">
        <v>80691.0</v>
      </c>
      <c r="G380" s="514">
        <v>11.0</v>
      </c>
      <c r="H380" s="514">
        <v>0.01</v>
      </c>
      <c r="I380" s="514">
        <v>0.0</v>
      </c>
      <c r="J380" s="514">
        <v>0.0</v>
      </c>
      <c r="K380" s="514">
        <v>360.0</v>
      </c>
      <c r="L380" s="514">
        <v>1.3600313E7</v>
      </c>
      <c r="M380" s="514">
        <v>0.0045</v>
      </c>
      <c r="N380" s="6">
        <v>32.7273</v>
      </c>
    </row>
    <row r="381">
      <c r="A381" s="512" t="s">
        <v>1894</v>
      </c>
      <c r="B381" s="512" t="s">
        <v>1867</v>
      </c>
      <c r="C381" s="512" t="s">
        <v>75</v>
      </c>
      <c r="D381" s="512" t="s">
        <v>2036</v>
      </c>
      <c r="E381" s="513" t="s">
        <v>382</v>
      </c>
      <c r="F381" s="514">
        <v>80691.0</v>
      </c>
      <c r="G381" s="514">
        <v>1.0</v>
      </c>
      <c r="H381" s="514">
        <v>0.0</v>
      </c>
      <c r="I381" s="514">
        <v>0.0</v>
      </c>
      <c r="J381" s="514">
        <v>0.0</v>
      </c>
      <c r="K381" s="514">
        <v>60.0</v>
      </c>
      <c r="L381" s="514">
        <v>1.3600313E7</v>
      </c>
      <c r="M381" s="514">
        <v>7.0E-4</v>
      </c>
      <c r="N381" s="6">
        <v>60.0</v>
      </c>
    </row>
    <row r="382">
      <c r="A382" s="512" t="s">
        <v>2037</v>
      </c>
      <c r="B382" s="512" t="s">
        <v>163</v>
      </c>
      <c r="C382" s="512" t="s">
        <v>71</v>
      </c>
      <c r="D382" s="512" t="s">
        <v>574</v>
      </c>
      <c r="E382" s="513" t="s">
        <v>377</v>
      </c>
      <c r="F382" s="514">
        <v>140857.0</v>
      </c>
      <c r="G382" s="514">
        <v>102400.0</v>
      </c>
      <c r="H382" s="514">
        <v>72.7</v>
      </c>
      <c r="I382" s="514">
        <v>39.38</v>
      </c>
      <c r="J382" s="514">
        <v>46.32</v>
      </c>
      <c r="K382" s="514">
        <v>199377.0</v>
      </c>
      <c r="L382" s="514">
        <v>506327.0</v>
      </c>
      <c r="M382" s="514">
        <v>1.4155</v>
      </c>
      <c r="N382" s="6">
        <v>1.947</v>
      </c>
    </row>
    <row r="383">
      <c r="A383" s="512" t="s">
        <v>2037</v>
      </c>
      <c r="B383" s="512" t="s">
        <v>163</v>
      </c>
      <c r="C383" s="512" t="s">
        <v>71</v>
      </c>
      <c r="D383" s="512" t="s">
        <v>574</v>
      </c>
      <c r="E383" s="513" t="s">
        <v>379</v>
      </c>
      <c r="F383" s="514">
        <v>140857.0</v>
      </c>
      <c r="G383" s="514">
        <v>76750.0</v>
      </c>
      <c r="H383" s="514">
        <v>54.49</v>
      </c>
      <c r="I383" s="514">
        <v>26.93</v>
      </c>
      <c r="J383" s="514">
        <v>25.52</v>
      </c>
      <c r="K383" s="514">
        <v>136375.0</v>
      </c>
      <c r="L383" s="514">
        <v>506327.0</v>
      </c>
      <c r="M383" s="514">
        <v>0.9682</v>
      </c>
      <c r="N383" s="6">
        <v>1.7769</v>
      </c>
    </row>
    <row r="384">
      <c r="A384" s="512" t="s">
        <v>2037</v>
      </c>
      <c r="B384" s="512" t="s">
        <v>163</v>
      </c>
      <c r="C384" s="512" t="s">
        <v>71</v>
      </c>
      <c r="D384" s="512" t="s">
        <v>574</v>
      </c>
      <c r="E384" s="513" t="s">
        <v>42</v>
      </c>
      <c r="F384" s="514">
        <v>140857.0</v>
      </c>
      <c r="G384" s="514">
        <v>33640.0</v>
      </c>
      <c r="H384" s="514">
        <v>23.88</v>
      </c>
      <c r="I384" s="514">
        <v>12.6</v>
      </c>
      <c r="J384" s="514">
        <v>10.76</v>
      </c>
      <c r="K384" s="514">
        <v>63789.0</v>
      </c>
      <c r="L384" s="514">
        <v>506327.0</v>
      </c>
      <c r="M384" s="514">
        <v>0.4529</v>
      </c>
      <c r="N384" s="6">
        <v>1.8962</v>
      </c>
    </row>
    <row r="385">
      <c r="A385" s="512" t="s">
        <v>2037</v>
      </c>
      <c r="B385" s="512" t="s">
        <v>163</v>
      </c>
      <c r="C385" s="512" t="s">
        <v>71</v>
      </c>
      <c r="D385" s="512" t="s">
        <v>574</v>
      </c>
      <c r="E385" s="513" t="s">
        <v>380</v>
      </c>
      <c r="F385" s="514">
        <v>140857.0</v>
      </c>
      <c r="G385" s="514">
        <v>26892.0</v>
      </c>
      <c r="H385" s="514">
        <v>19.09</v>
      </c>
      <c r="I385" s="514">
        <v>7.32</v>
      </c>
      <c r="J385" s="514">
        <v>5.32</v>
      </c>
      <c r="K385" s="514">
        <v>37071.0</v>
      </c>
      <c r="L385" s="514">
        <v>506327.0</v>
      </c>
      <c r="M385" s="514">
        <v>0.2632</v>
      </c>
      <c r="N385" s="6">
        <v>1.3785</v>
      </c>
    </row>
    <row r="386">
      <c r="A386" s="512" t="s">
        <v>2037</v>
      </c>
      <c r="B386" s="512" t="s">
        <v>163</v>
      </c>
      <c r="C386" s="512" t="s">
        <v>71</v>
      </c>
      <c r="D386" s="512" t="s">
        <v>574</v>
      </c>
      <c r="E386" s="513" t="s">
        <v>49</v>
      </c>
      <c r="F386" s="514">
        <v>140857.0</v>
      </c>
      <c r="G386" s="514">
        <v>23777.0</v>
      </c>
      <c r="H386" s="514">
        <v>16.88</v>
      </c>
      <c r="I386" s="514">
        <v>6.52</v>
      </c>
      <c r="J386" s="514">
        <v>5.38</v>
      </c>
      <c r="K386" s="514">
        <v>33016.0</v>
      </c>
      <c r="L386" s="514">
        <v>506327.0</v>
      </c>
      <c r="M386" s="514">
        <v>0.2344</v>
      </c>
      <c r="N386" s="6">
        <v>1.3886</v>
      </c>
    </row>
    <row r="387">
      <c r="A387" s="512" t="s">
        <v>2037</v>
      </c>
      <c r="B387" s="512" t="s">
        <v>163</v>
      </c>
      <c r="C387" s="512" t="s">
        <v>71</v>
      </c>
      <c r="D387" s="512" t="s">
        <v>574</v>
      </c>
      <c r="E387" s="513" t="s">
        <v>372</v>
      </c>
      <c r="F387" s="514">
        <v>140857.0</v>
      </c>
      <c r="G387" s="514">
        <v>12018.0</v>
      </c>
      <c r="H387" s="514">
        <v>8.53</v>
      </c>
      <c r="I387" s="514">
        <v>2.45</v>
      </c>
      <c r="J387" s="514">
        <v>2.59</v>
      </c>
      <c r="K387" s="514">
        <v>12407.0</v>
      </c>
      <c r="L387" s="514">
        <v>506327.0</v>
      </c>
      <c r="M387" s="514">
        <v>0.0881</v>
      </c>
      <c r="N387" s="6">
        <v>1.0324</v>
      </c>
    </row>
    <row r="388">
      <c r="A388" s="512" t="s">
        <v>2037</v>
      </c>
      <c r="B388" s="512" t="s">
        <v>163</v>
      </c>
      <c r="C388" s="512" t="s">
        <v>71</v>
      </c>
      <c r="D388" s="512" t="s">
        <v>574</v>
      </c>
      <c r="E388" s="513" t="s">
        <v>50</v>
      </c>
      <c r="F388" s="514">
        <v>140857.0</v>
      </c>
      <c r="G388" s="514">
        <v>9764.0</v>
      </c>
      <c r="H388" s="514">
        <v>6.93</v>
      </c>
      <c r="I388" s="514">
        <v>2.19</v>
      </c>
      <c r="J388" s="514">
        <v>1.58</v>
      </c>
      <c r="K388" s="514">
        <v>11087.0</v>
      </c>
      <c r="L388" s="514">
        <v>506327.0</v>
      </c>
      <c r="M388" s="514">
        <v>0.0787</v>
      </c>
      <c r="N388" s="6">
        <v>1.1355</v>
      </c>
    </row>
    <row r="389">
      <c r="A389" s="512" t="s">
        <v>2037</v>
      </c>
      <c r="B389" s="512" t="s">
        <v>163</v>
      </c>
      <c r="C389" s="512" t="s">
        <v>71</v>
      </c>
      <c r="D389" s="512" t="s">
        <v>574</v>
      </c>
      <c r="E389" s="513" t="s">
        <v>134</v>
      </c>
      <c r="F389" s="514">
        <v>140857.0</v>
      </c>
      <c r="G389" s="514">
        <v>5724.0</v>
      </c>
      <c r="H389" s="514">
        <v>4.06</v>
      </c>
      <c r="I389" s="514">
        <v>1.33</v>
      </c>
      <c r="J389" s="514">
        <v>1.26</v>
      </c>
      <c r="K389" s="514">
        <v>6725.0</v>
      </c>
      <c r="L389" s="514">
        <v>506327.0</v>
      </c>
      <c r="M389" s="514">
        <v>0.0477</v>
      </c>
      <c r="N389" s="6">
        <v>1.1749</v>
      </c>
    </row>
    <row r="390">
      <c r="A390" s="512" t="s">
        <v>2037</v>
      </c>
      <c r="B390" s="512" t="s">
        <v>163</v>
      </c>
      <c r="C390" s="512" t="s">
        <v>71</v>
      </c>
      <c r="D390" s="512" t="s">
        <v>574</v>
      </c>
      <c r="E390" s="513" t="s">
        <v>44</v>
      </c>
      <c r="F390" s="514">
        <v>140857.0</v>
      </c>
      <c r="G390" s="514">
        <v>5072.0</v>
      </c>
      <c r="H390" s="514">
        <v>3.6</v>
      </c>
      <c r="I390" s="514">
        <v>1.14</v>
      </c>
      <c r="J390" s="514">
        <v>1.12</v>
      </c>
      <c r="K390" s="514">
        <v>5790.0</v>
      </c>
      <c r="L390" s="514">
        <v>506327.0</v>
      </c>
      <c r="M390" s="514">
        <v>0.0411</v>
      </c>
      <c r="N390" s="6">
        <v>1.1416</v>
      </c>
    </row>
    <row r="391">
      <c r="A391" s="512" t="s">
        <v>2037</v>
      </c>
      <c r="B391" s="512" t="s">
        <v>163</v>
      </c>
      <c r="C391" s="512" t="s">
        <v>71</v>
      </c>
      <c r="D391" s="512" t="s">
        <v>574</v>
      </c>
      <c r="E391" s="513" t="s">
        <v>43</v>
      </c>
      <c r="F391" s="514">
        <v>140857.0</v>
      </c>
      <c r="G391" s="514">
        <v>623.0</v>
      </c>
      <c r="H391" s="514">
        <v>0.44</v>
      </c>
      <c r="I391" s="514">
        <v>0.13</v>
      </c>
      <c r="J391" s="514">
        <v>0.12</v>
      </c>
      <c r="K391" s="514">
        <v>644.0</v>
      </c>
      <c r="L391" s="514">
        <v>506327.0</v>
      </c>
      <c r="M391" s="514">
        <v>0.0046</v>
      </c>
      <c r="N391" s="6">
        <v>1.0337</v>
      </c>
    </row>
    <row r="392">
      <c r="A392" s="512" t="s">
        <v>2037</v>
      </c>
      <c r="B392" s="512" t="s">
        <v>163</v>
      </c>
      <c r="C392" s="512" t="s">
        <v>71</v>
      </c>
      <c r="D392" s="512" t="s">
        <v>574</v>
      </c>
      <c r="E392" s="513" t="s">
        <v>32</v>
      </c>
      <c r="F392" s="514">
        <v>140857.0</v>
      </c>
      <c r="G392" s="514">
        <v>12.0</v>
      </c>
      <c r="H392" s="514">
        <v>0.01</v>
      </c>
      <c r="I392" s="514">
        <v>0.0</v>
      </c>
      <c r="J392" s="514">
        <v>0.01</v>
      </c>
      <c r="K392" s="514">
        <v>15.0</v>
      </c>
      <c r="L392" s="514">
        <v>506327.0</v>
      </c>
      <c r="M392" s="514">
        <v>1.0E-4</v>
      </c>
      <c r="N392" s="6">
        <v>1.25</v>
      </c>
    </row>
    <row r="393">
      <c r="A393" s="512" t="s">
        <v>2037</v>
      </c>
      <c r="B393" s="512" t="s">
        <v>163</v>
      </c>
      <c r="C393" s="512" t="s">
        <v>71</v>
      </c>
      <c r="D393" s="512" t="s">
        <v>574</v>
      </c>
      <c r="E393" s="513" t="s">
        <v>312</v>
      </c>
      <c r="F393" s="514">
        <v>140857.0</v>
      </c>
      <c r="G393" s="514">
        <v>3.0</v>
      </c>
      <c r="H393" s="514">
        <v>0.0</v>
      </c>
      <c r="I393" s="514">
        <v>0.0</v>
      </c>
      <c r="J393" s="514">
        <v>0.0</v>
      </c>
      <c r="K393" s="514">
        <v>5.0</v>
      </c>
      <c r="L393" s="514">
        <v>506327.0</v>
      </c>
      <c r="M393" s="514">
        <v>0.0</v>
      </c>
      <c r="N393" s="6">
        <v>1.6667</v>
      </c>
    </row>
    <row r="394">
      <c r="A394" s="512" t="s">
        <v>2037</v>
      </c>
      <c r="B394" s="512" t="s">
        <v>163</v>
      </c>
      <c r="C394" s="512" t="s">
        <v>71</v>
      </c>
      <c r="D394" s="512" t="s">
        <v>574</v>
      </c>
      <c r="E394" s="513" t="s">
        <v>382</v>
      </c>
      <c r="F394" s="514">
        <v>140857.0</v>
      </c>
      <c r="G394" s="514">
        <v>2.0</v>
      </c>
      <c r="H394" s="514">
        <v>0.0</v>
      </c>
      <c r="I394" s="514">
        <v>0.0</v>
      </c>
      <c r="J394" s="514">
        <v>0.0</v>
      </c>
      <c r="K394" s="514">
        <v>4.0</v>
      </c>
      <c r="L394" s="514">
        <v>506327.0</v>
      </c>
      <c r="M394" s="514">
        <v>0.0</v>
      </c>
      <c r="N394" s="6">
        <v>2.0</v>
      </c>
    </row>
    <row r="395">
      <c r="A395" s="512" t="s">
        <v>2037</v>
      </c>
      <c r="B395" s="512" t="s">
        <v>163</v>
      </c>
      <c r="C395" s="512" t="s">
        <v>71</v>
      </c>
      <c r="D395" s="512" t="s">
        <v>574</v>
      </c>
      <c r="E395" s="513" t="s">
        <v>189</v>
      </c>
      <c r="F395" s="514">
        <v>140857.0</v>
      </c>
      <c r="G395" s="514">
        <v>1.0</v>
      </c>
      <c r="H395" s="514">
        <v>0.0</v>
      </c>
      <c r="I395" s="514">
        <v>0.0</v>
      </c>
      <c r="J395" s="514">
        <v>0.0</v>
      </c>
      <c r="K395" s="514">
        <v>1.0</v>
      </c>
      <c r="L395" s="514">
        <v>506327.0</v>
      </c>
      <c r="M395" s="514">
        <v>0.0</v>
      </c>
      <c r="N395" s="6">
        <v>1.0</v>
      </c>
    </row>
    <row r="396">
      <c r="A396" s="512" t="s">
        <v>2037</v>
      </c>
      <c r="B396" s="512" t="s">
        <v>163</v>
      </c>
      <c r="C396" s="512" t="s">
        <v>71</v>
      </c>
      <c r="D396" s="512" t="s">
        <v>574</v>
      </c>
      <c r="E396" s="513" t="s">
        <v>35</v>
      </c>
      <c r="F396" s="514">
        <v>140857.0</v>
      </c>
      <c r="G396" s="514">
        <v>2.0</v>
      </c>
      <c r="H396" s="514">
        <v>0.0</v>
      </c>
      <c r="I396" s="514">
        <v>0.0</v>
      </c>
      <c r="J396" s="514">
        <v>0.0</v>
      </c>
      <c r="K396" s="514">
        <v>2.0</v>
      </c>
      <c r="L396" s="514">
        <v>506327.0</v>
      </c>
      <c r="M396" s="514">
        <v>0.0</v>
      </c>
      <c r="N396" s="6">
        <v>1.0</v>
      </c>
    </row>
    <row r="397">
      <c r="A397" s="512" t="s">
        <v>2037</v>
      </c>
      <c r="B397" s="512" t="s">
        <v>163</v>
      </c>
      <c r="C397" s="512" t="s">
        <v>71</v>
      </c>
      <c r="D397" s="512" t="s">
        <v>574</v>
      </c>
      <c r="E397" s="513" t="s">
        <v>374</v>
      </c>
      <c r="F397" s="514">
        <v>140857.0</v>
      </c>
      <c r="G397" s="514">
        <v>7.0</v>
      </c>
      <c r="H397" s="514">
        <v>0.0</v>
      </c>
      <c r="I397" s="514">
        <v>0.0</v>
      </c>
      <c r="J397" s="514">
        <v>0.0</v>
      </c>
      <c r="K397" s="514">
        <v>15.0</v>
      </c>
      <c r="L397" s="514">
        <v>506327.0</v>
      </c>
      <c r="M397" s="514">
        <v>1.0E-4</v>
      </c>
      <c r="N397" s="6">
        <v>2.1429</v>
      </c>
    </row>
    <row r="398">
      <c r="A398" s="512" t="s">
        <v>2037</v>
      </c>
      <c r="B398" s="512" t="s">
        <v>163</v>
      </c>
      <c r="C398" s="512" t="s">
        <v>71</v>
      </c>
      <c r="D398" s="512" t="s">
        <v>574</v>
      </c>
      <c r="E398" s="513" t="s">
        <v>375</v>
      </c>
      <c r="F398" s="514">
        <v>140857.0</v>
      </c>
      <c r="G398" s="514">
        <v>4.0</v>
      </c>
      <c r="H398" s="514">
        <v>0.0</v>
      </c>
      <c r="I398" s="514">
        <v>0.0</v>
      </c>
      <c r="J398" s="514">
        <v>0.0</v>
      </c>
      <c r="K398" s="514">
        <v>4.0</v>
      </c>
      <c r="L398" s="514">
        <v>506327.0</v>
      </c>
      <c r="M398" s="514">
        <v>0.0</v>
      </c>
      <c r="N398" s="6">
        <v>1.0</v>
      </c>
    </row>
    <row r="399">
      <c r="A399" s="512" t="s">
        <v>2037</v>
      </c>
      <c r="B399" s="512" t="s">
        <v>163</v>
      </c>
      <c r="C399" s="512" t="s">
        <v>70</v>
      </c>
      <c r="D399" s="512" t="s">
        <v>574</v>
      </c>
      <c r="E399" s="513" t="s">
        <v>380</v>
      </c>
      <c r="F399" s="514">
        <v>167085.0</v>
      </c>
      <c r="G399" s="514">
        <v>111584.0</v>
      </c>
      <c r="H399" s="514">
        <v>66.78</v>
      </c>
      <c r="I399" s="514">
        <v>25.97</v>
      </c>
      <c r="J399" s="514">
        <v>28.01</v>
      </c>
      <c r="K399" s="514">
        <v>270940.0</v>
      </c>
      <c r="L399" s="514">
        <v>1043190.0</v>
      </c>
      <c r="M399" s="514">
        <v>1.6216</v>
      </c>
      <c r="N399" s="6">
        <v>2.4281</v>
      </c>
    </row>
    <row r="400">
      <c r="A400" s="512" t="s">
        <v>2037</v>
      </c>
      <c r="B400" s="512" t="s">
        <v>163</v>
      </c>
      <c r="C400" s="512" t="s">
        <v>70</v>
      </c>
      <c r="D400" s="512" t="s">
        <v>574</v>
      </c>
      <c r="E400" s="513" t="s">
        <v>379</v>
      </c>
      <c r="F400" s="514">
        <v>167085.0</v>
      </c>
      <c r="G400" s="514">
        <v>102836.0</v>
      </c>
      <c r="H400" s="514">
        <v>61.55</v>
      </c>
      <c r="I400" s="514">
        <v>23.59</v>
      </c>
      <c r="J400" s="514">
        <v>21.68</v>
      </c>
      <c r="K400" s="514">
        <v>246071.0</v>
      </c>
      <c r="L400" s="514">
        <v>1043190.0</v>
      </c>
      <c r="M400" s="514">
        <v>1.4727</v>
      </c>
      <c r="N400" s="6">
        <v>2.3928</v>
      </c>
    </row>
    <row r="401">
      <c r="A401" s="512" t="s">
        <v>2037</v>
      </c>
      <c r="B401" s="512" t="s">
        <v>163</v>
      </c>
      <c r="C401" s="512" t="s">
        <v>70</v>
      </c>
      <c r="D401" s="512" t="s">
        <v>574</v>
      </c>
      <c r="E401" s="513" t="s">
        <v>377</v>
      </c>
      <c r="F401" s="514">
        <v>167085.0</v>
      </c>
      <c r="G401" s="514">
        <v>102826.0</v>
      </c>
      <c r="H401" s="514">
        <v>61.54</v>
      </c>
      <c r="I401" s="514">
        <v>19.17</v>
      </c>
      <c r="J401" s="514">
        <v>23.42</v>
      </c>
      <c r="K401" s="514">
        <v>200027.0</v>
      </c>
      <c r="L401" s="514">
        <v>1043190.0</v>
      </c>
      <c r="M401" s="514">
        <v>1.1972</v>
      </c>
      <c r="N401" s="6">
        <v>1.9453</v>
      </c>
    </row>
    <row r="402">
      <c r="A402" s="512" t="s">
        <v>2037</v>
      </c>
      <c r="B402" s="512" t="s">
        <v>163</v>
      </c>
      <c r="C402" s="512" t="s">
        <v>70</v>
      </c>
      <c r="D402" s="512" t="s">
        <v>574</v>
      </c>
      <c r="E402" s="513" t="s">
        <v>375</v>
      </c>
      <c r="F402" s="514">
        <v>167085.0</v>
      </c>
      <c r="G402" s="514">
        <v>69915.0</v>
      </c>
      <c r="H402" s="514">
        <v>41.84</v>
      </c>
      <c r="I402" s="514">
        <v>10.15</v>
      </c>
      <c r="J402" s="514">
        <v>9.59</v>
      </c>
      <c r="K402" s="514">
        <v>105842.0</v>
      </c>
      <c r="L402" s="514">
        <v>1043190.0</v>
      </c>
      <c r="M402" s="514">
        <v>0.6335</v>
      </c>
      <c r="N402" s="6">
        <v>1.5139</v>
      </c>
    </row>
    <row r="403">
      <c r="A403" s="512" t="s">
        <v>2037</v>
      </c>
      <c r="B403" s="512" t="s">
        <v>163</v>
      </c>
      <c r="C403" s="512" t="s">
        <v>70</v>
      </c>
      <c r="D403" s="512" t="s">
        <v>574</v>
      </c>
      <c r="E403" s="513" t="s">
        <v>374</v>
      </c>
      <c r="F403" s="514">
        <v>167085.0</v>
      </c>
      <c r="G403" s="514">
        <v>19607.0</v>
      </c>
      <c r="H403" s="514">
        <v>11.73</v>
      </c>
      <c r="I403" s="514">
        <v>3.89</v>
      </c>
      <c r="J403" s="514">
        <v>2.25</v>
      </c>
      <c r="K403" s="514">
        <v>40559.0</v>
      </c>
      <c r="L403" s="514">
        <v>1043190.0</v>
      </c>
      <c r="M403" s="514">
        <v>0.2427</v>
      </c>
      <c r="N403" s="6">
        <v>2.0686</v>
      </c>
    </row>
    <row r="404">
      <c r="A404" s="512" t="s">
        <v>2037</v>
      </c>
      <c r="B404" s="512" t="s">
        <v>163</v>
      </c>
      <c r="C404" s="512" t="s">
        <v>70</v>
      </c>
      <c r="D404" s="512" t="s">
        <v>574</v>
      </c>
      <c r="E404" s="513" t="s">
        <v>189</v>
      </c>
      <c r="F404" s="514">
        <v>167085.0</v>
      </c>
      <c r="G404" s="514">
        <v>36804.0</v>
      </c>
      <c r="H404" s="514">
        <v>22.03</v>
      </c>
      <c r="I404" s="514">
        <v>3.64</v>
      </c>
      <c r="J404" s="514">
        <v>3.52</v>
      </c>
      <c r="K404" s="514">
        <v>37970.0</v>
      </c>
      <c r="L404" s="514">
        <v>1043190.0</v>
      </c>
      <c r="M404" s="514">
        <v>0.2272</v>
      </c>
      <c r="N404" s="6">
        <v>1.0317</v>
      </c>
    </row>
    <row r="405">
      <c r="A405" s="512" t="s">
        <v>2037</v>
      </c>
      <c r="B405" s="512" t="s">
        <v>163</v>
      </c>
      <c r="C405" s="512" t="s">
        <v>70</v>
      </c>
      <c r="D405" s="512" t="s">
        <v>574</v>
      </c>
      <c r="E405" s="513" t="s">
        <v>44</v>
      </c>
      <c r="F405" s="514">
        <v>167085.0</v>
      </c>
      <c r="G405" s="514">
        <v>27481.0</v>
      </c>
      <c r="H405" s="514">
        <v>16.45</v>
      </c>
      <c r="I405" s="514">
        <v>3.56</v>
      </c>
      <c r="J405" s="514">
        <v>2.94</v>
      </c>
      <c r="K405" s="514">
        <v>37162.0</v>
      </c>
      <c r="L405" s="514">
        <v>1043190.0</v>
      </c>
      <c r="M405" s="514">
        <v>0.2224</v>
      </c>
      <c r="N405" s="6">
        <v>1.3523</v>
      </c>
    </row>
    <row r="406">
      <c r="A406" s="512" t="s">
        <v>2037</v>
      </c>
      <c r="B406" s="512" t="s">
        <v>163</v>
      </c>
      <c r="C406" s="512" t="s">
        <v>70</v>
      </c>
      <c r="D406" s="512" t="s">
        <v>574</v>
      </c>
      <c r="E406" s="513" t="s">
        <v>49</v>
      </c>
      <c r="F406" s="514">
        <v>167085.0</v>
      </c>
      <c r="G406" s="514">
        <v>23777.0</v>
      </c>
      <c r="H406" s="514">
        <v>14.23</v>
      </c>
      <c r="I406" s="514">
        <v>3.16</v>
      </c>
      <c r="J406" s="514">
        <v>2.62</v>
      </c>
      <c r="K406" s="514">
        <v>33016.0</v>
      </c>
      <c r="L406" s="514">
        <v>1043190.0</v>
      </c>
      <c r="M406" s="514">
        <v>0.1976</v>
      </c>
      <c r="N406" s="6">
        <v>1.3886</v>
      </c>
    </row>
    <row r="407">
      <c r="A407" s="512" t="s">
        <v>2037</v>
      </c>
      <c r="B407" s="512" t="s">
        <v>163</v>
      </c>
      <c r="C407" s="512" t="s">
        <v>70</v>
      </c>
      <c r="D407" s="512" t="s">
        <v>574</v>
      </c>
      <c r="E407" s="513" t="s">
        <v>42</v>
      </c>
      <c r="F407" s="514">
        <v>167085.0</v>
      </c>
      <c r="G407" s="514">
        <v>16982.0</v>
      </c>
      <c r="H407" s="514">
        <v>10.16</v>
      </c>
      <c r="I407" s="514">
        <v>2.33</v>
      </c>
      <c r="J407" s="514">
        <v>2.27</v>
      </c>
      <c r="K407" s="514">
        <v>24299.0</v>
      </c>
      <c r="L407" s="514">
        <v>1043190.0</v>
      </c>
      <c r="M407" s="514">
        <v>0.1454</v>
      </c>
      <c r="N407" s="6">
        <v>1.4309</v>
      </c>
    </row>
    <row r="408">
      <c r="A408" s="512" t="s">
        <v>2037</v>
      </c>
      <c r="B408" s="512" t="s">
        <v>163</v>
      </c>
      <c r="C408" s="512" t="s">
        <v>70</v>
      </c>
      <c r="D408" s="512" t="s">
        <v>574</v>
      </c>
      <c r="E408" s="513" t="s">
        <v>35</v>
      </c>
      <c r="F408" s="514">
        <v>167085.0</v>
      </c>
      <c r="G408" s="514">
        <v>15632.0</v>
      </c>
      <c r="H408" s="514">
        <v>9.36</v>
      </c>
      <c r="I408" s="514">
        <v>1.72</v>
      </c>
      <c r="J408" s="514">
        <v>1.41</v>
      </c>
      <c r="K408" s="514">
        <v>17931.0</v>
      </c>
      <c r="L408" s="514">
        <v>1043190.0</v>
      </c>
      <c r="M408" s="514">
        <v>0.1073</v>
      </c>
      <c r="N408" s="6">
        <v>1.1471</v>
      </c>
    </row>
    <row r="409">
      <c r="A409" s="512" t="s">
        <v>2037</v>
      </c>
      <c r="B409" s="512" t="s">
        <v>163</v>
      </c>
      <c r="C409" s="512" t="s">
        <v>70</v>
      </c>
      <c r="D409" s="512" t="s">
        <v>574</v>
      </c>
      <c r="E409" s="513" t="s">
        <v>372</v>
      </c>
      <c r="F409" s="514">
        <v>167085.0</v>
      </c>
      <c r="G409" s="514">
        <v>14701.0</v>
      </c>
      <c r="H409" s="514">
        <v>8.8</v>
      </c>
      <c r="I409" s="514">
        <v>1.53</v>
      </c>
      <c r="J409" s="514">
        <v>1.43</v>
      </c>
      <c r="K409" s="514">
        <v>15959.0</v>
      </c>
      <c r="L409" s="514">
        <v>1043190.0</v>
      </c>
      <c r="M409" s="514">
        <v>0.0955</v>
      </c>
      <c r="N409" s="6">
        <v>1.0856</v>
      </c>
    </row>
    <row r="410">
      <c r="A410" s="512" t="s">
        <v>2037</v>
      </c>
      <c r="B410" s="512" t="s">
        <v>163</v>
      </c>
      <c r="C410" s="512" t="s">
        <v>70</v>
      </c>
      <c r="D410" s="512" t="s">
        <v>574</v>
      </c>
      <c r="E410" s="513" t="s">
        <v>50</v>
      </c>
      <c r="F410" s="514">
        <v>167085.0</v>
      </c>
      <c r="G410" s="514">
        <v>5892.0</v>
      </c>
      <c r="H410" s="514">
        <v>3.53</v>
      </c>
      <c r="I410" s="514">
        <v>0.62</v>
      </c>
      <c r="J410" s="514">
        <v>0.39</v>
      </c>
      <c r="K410" s="514">
        <v>6450.0</v>
      </c>
      <c r="L410" s="514">
        <v>1043190.0</v>
      </c>
      <c r="M410" s="514">
        <v>0.0386</v>
      </c>
      <c r="N410" s="6">
        <v>1.0947</v>
      </c>
    </row>
    <row r="411">
      <c r="A411" s="512" t="s">
        <v>2037</v>
      </c>
      <c r="B411" s="512" t="s">
        <v>163</v>
      </c>
      <c r="C411" s="512" t="s">
        <v>70</v>
      </c>
      <c r="D411" s="512" t="s">
        <v>574</v>
      </c>
      <c r="E411" s="513" t="s">
        <v>134</v>
      </c>
      <c r="F411" s="514">
        <v>167085.0</v>
      </c>
      <c r="G411" s="514">
        <v>4876.0</v>
      </c>
      <c r="H411" s="514">
        <v>2.92</v>
      </c>
      <c r="I411" s="514">
        <v>0.58</v>
      </c>
      <c r="J411" s="514">
        <v>0.37</v>
      </c>
      <c r="K411" s="514">
        <v>6101.0</v>
      </c>
      <c r="L411" s="514">
        <v>1043190.0</v>
      </c>
      <c r="M411" s="514">
        <v>0.0365</v>
      </c>
      <c r="N411" s="6">
        <v>1.2512</v>
      </c>
    </row>
    <row r="412">
      <c r="A412" s="512" t="s">
        <v>2037</v>
      </c>
      <c r="B412" s="512" t="s">
        <v>163</v>
      </c>
      <c r="C412" s="512" t="s">
        <v>70</v>
      </c>
      <c r="D412" s="512" t="s">
        <v>574</v>
      </c>
      <c r="E412" s="513" t="s">
        <v>43</v>
      </c>
      <c r="F412" s="514">
        <v>167085.0</v>
      </c>
      <c r="G412" s="514">
        <v>775.0</v>
      </c>
      <c r="H412" s="514">
        <v>0.46</v>
      </c>
      <c r="I412" s="514">
        <v>0.08</v>
      </c>
      <c r="J412" s="514">
        <v>0.08</v>
      </c>
      <c r="K412" s="514">
        <v>811.0</v>
      </c>
      <c r="L412" s="514">
        <v>1043190.0</v>
      </c>
      <c r="M412" s="514">
        <v>0.0049</v>
      </c>
      <c r="N412" s="6">
        <v>1.0465</v>
      </c>
    </row>
    <row r="413">
      <c r="A413" s="512" t="s">
        <v>2037</v>
      </c>
      <c r="B413" s="512" t="s">
        <v>163</v>
      </c>
      <c r="C413" s="512" t="s">
        <v>70</v>
      </c>
      <c r="D413" s="512" t="s">
        <v>574</v>
      </c>
      <c r="E413" s="513" t="s">
        <v>32</v>
      </c>
      <c r="F413" s="514">
        <v>167085.0</v>
      </c>
      <c r="G413" s="514">
        <v>44.0</v>
      </c>
      <c r="H413" s="514">
        <v>0.03</v>
      </c>
      <c r="I413" s="514">
        <v>0.0</v>
      </c>
      <c r="J413" s="514">
        <v>0.01</v>
      </c>
      <c r="K413" s="514">
        <v>48.0</v>
      </c>
      <c r="L413" s="514">
        <v>1043190.0</v>
      </c>
      <c r="M413" s="514">
        <v>3.0E-4</v>
      </c>
      <c r="N413" s="6">
        <v>1.0909</v>
      </c>
    </row>
    <row r="414">
      <c r="A414" s="512" t="s">
        <v>2037</v>
      </c>
      <c r="B414" s="512" t="s">
        <v>163</v>
      </c>
      <c r="C414" s="512" t="s">
        <v>70</v>
      </c>
      <c r="D414" s="512" t="s">
        <v>574</v>
      </c>
      <c r="E414" s="513" t="s">
        <v>311</v>
      </c>
      <c r="F414" s="514">
        <v>167085.0</v>
      </c>
      <c r="G414" s="514">
        <v>3.0</v>
      </c>
      <c r="H414" s="514">
        <v>0.0</v>
      </c>
      <c r="I414" s="514">
        <v>0.0</v>
      </c>
      <c r="J414" s="514">
        <v>0.0</v>
      </c>
      <c r="K414" s="514">
        <v>4.0</v>
      </c>
      <c r="L414" s="514">
        <v>1043190.0</v>
      </c>
      <c r="M414" s="514">
        <v>0.0</v>
      </c>
      <c r="N414" s="6">
        <v>1.3333</v>
      </c>
    </row>
    <row r="415">
      <c r="A415" s="512" t="s">
        <v>2037</v>
      </c>
      <c r="B415" s="512" t="s">
        <v>163</v>
      </c>
      <c r="C415" s="512" t="s">
        <v>74</v>
      </c>
      <c r="D415" s="512" t="s">
        <v>574</v>
      </c>
      <c r="E415" s="513" t="s">
        <v>42</v>
      </c>
      <c r="F415" s="514">
        <v>107760.0</v>
      </c>
      <c r="G415" s="514">
        <v>56887.0</v>
      </c>
      <c r="H415" s="514">
        <v>52.79</v>
      </c>
      <c r="I415" s="514">
        <v>33.41</v>
      </c>
      <c r="J415" s="514">
        <v>33.19</v>
      </c>
      <c r="K415" s="514">
        <v>111275.0</v>
      </c>
      <c r="L415" s="514">
        <v>333099.0</v>
      </c>
      <c r="M415" s="514">
        <v>1.0326</v>
      </c>
      <c r="N415" s="6">
        <v>1.9561</v>
      </c>
    </row>
    <row r="416">
      <c r="A416" s="512" t="s">
        <v>2037</v>
      </c>
      <c r="B416" s="512" t="s">
        <v>163</v>
      </c>
      <c r="C416" s="512" t="s">
        <v>74</v>
      </c>
      <c r="D416" s="512" t="s">
        <v>574</v>
      </c>
      <c r="E416" s="513" t="s">
        <v>379</v>
      </c>
      <c r="F416" s="514">
        <v>107760.0</v>
      </c>
      <c r="G416" s="514">
        <v>70723.0</v>
      </c>
      <c r="H416" s="514">
        <v>65.63</v>
      </c>
      <c r="I416" s="514">
        <v>30.68</v>
      </c>
      <c r="J416" s="514">
        <v>36.27</v>
      </c>
      <c r="K416" s="514">
        <v>102189.0</v>
      </c>
      <c r="L416" s="514">
        <v>333099.0</v>
      </c>
      <c r="M416" s="514">
        <v>0.9483</v>
      </c>
      <c r="N416" s="6">
        <v>1.4449</v>
      </c>
    </row>
    <row r="417">
      <c r="A417" s="512" t="s">
        <v>2037</v>
      </c>
      <c r="B417" s="512" t="s">
        <v>163</v>
      </c>
      <c r="C417" s="512" t="s">
        <v>74</v>
      </c>
      <c r="D417" s="512" t="s">
        <v>574</v>
      </c>
      <c r="E417" s="513" t="s">
        <v>367</v>
      </c>
      <c r="F417" s="514">
        <v>107760.0</v>
      </c>
      <c r="G417" s="514">
        <v>18558.0</v>
      </c>
      <c r="H417" s="514">
        <v>17.22</v>
      </c>
      <c r="I417" s="514">
        <v>11.23</v>
      </c>
      <c r="J417" s="514">
        <v>7.34</v>
      </c>
      <c r="K417" s="514">
        <v>37416.0</v>
      </c>
      <c r="L417" s="514">
        <v>333099.0</v>
      </c>
      <c r="M417" s="514">
        <v>0.3472</v>
      </c>
      <c r="N417" s="6">
        <v>2.0162</v>
      </c>
    </row>
    <row r="418">
      <c r="A418" s="512" t="s">
        <v>2037</v>
      </c>
      <c r="B418" s="512" t="s">
        <v>163</v>
      </c>
      <c r="C418" s="512" t="s">
        <v>74</v>
      </c>
      <c r="D418" s="512" t="s">
        <v>574</v>
      </c>
      <c r="E418" s="513" t="s">
        <v>373</v>
      </c>
      <c r="F418" s="514">
        <v>107760.0</v>
      </c>
      <c r="G418" s="514">
        <v>20131.0</v>
      </c>
      <c r="H418" s="514">
        <v>18.68</v>
      </c>
      <c r="I418" s="514">
        <v>6.39</v>
      </c>
      <c r="J418" s="514">
        <v>5.41</v>
      </c>
      <c r="K418" s="514">
        <v>21282.0</v>
      </c>
      <c r="L418" s="514">
        <v>333099.0</v>
      </c>
      <c r="M418" s="514">
        <v>0.1975</v>
      </c>
      <c r="N418" s="6">
        <v>1.0572</v>
      </c>
    </row>
    <row r="419">
      <c r="A419" s="512" t="s">
        <v>2037</v>
      </c>
      <c r="B419" s="512" t="s">
        <v>163</v>
      </c>
      <c r="C419" s="512" t="s">
        <v>74</v>
      </c>
      <c r="D419" s="512" t="s">
        <v>574</v>
      </c>
      <c r="E419" s="513" t="s">
        <v>372</v>
      </c>
      <c r="F419" s="514">
        <v>107760.0</v>
      </c>
      <c r="G419" s="514">
        <v>17862.0</v>
      </c>
      <c r="H419" s="514">
        <v>16.58</v>
      </c>
      <c r="I419" s="514">
        <v>5.52</v>
      </c>
      <c r="J419" s="514">
        <v>7.09</v>
      </c>
      <c r="K419" s="514">
        <v>18402.0</v>
      </c>
      <c r="L419" s="514">
        <v>333099.0</v>
      </c>
      <c r="M419" s="514">
        <v>0.1708</v>
      </c>
      <c r="N419" s="6">
        <v>1.0302</v>
      </c>
    </row>
    <row r="420">
      <c r="A420" s="512" t="s">
        <v>2037</v>
      </c>
      <c r="B420" s="512" t="s">
        <v>163</v>
      </c>
      <c r="C420" s="512" t="s">
        <v>74</v>
      </c>
      <c r="D420" s="512" t="s">
        <v>574</v>
      </c>
      <c r="E420" s="513" t="s">
        <v>40</v>
      </c>
      <c r="F420" s="514">
        <v>107760.0</v>
      </c>
      <c r="G420" s="514">
        <v>4788.0</v>
      </c>
      <c r="H420" s="514">
        <v>4.44</v>
      </c>
      <c r="I420" s="514">
        <v>3.57</v>
      </c>
      <c r="J420" s="514">
        <v>2.15</v>
      </c>
      <c r="K420" s="514">
        <v>11899.0</v>
      </c>
      <c r="L420" s="514">
        <v>333099.0</v>
      </c>
      <c r="M420" s="514">
        <v>0.1104</v>
      </c>
      <c r="N420" s="6">
        <v>2.4852</v>
      </c>
    </row>
    <row r="421">
      <c r="A421" s="512" t="s">
        <v>2037</v>
      </c>
      <c r="B421" s="512" t="s">
        <v>163</v>
      </c>
      <c r="C421" s="512" t="s">
        <v>74</v>
      </c>
      <c r="D421" s="512" t="s">
        <v>574</v>
      </c>
      <c r="E421" s="513" t="s">
        <v>134</v>
      </c>
      <c r="F421" s="514">
        <v>107760.0</v>
      </c>
      <c r="G421" s="514">
        <v>9075.0</v>
      </c>
      <c r="H421" s="514">
        <v>8.42</v>
      </c>
      <c r="I421" s="514">
        <v>3.48</v>
      </c>
      <c r="J421" s="514">
        <v>3.02</v>
      </c>
      <c r="K421" s="514">
        <v>11605.0</v>
      </c>
      <c r="L421" s="514">
        <v>333099.0</v>
      </c>
      <c r="M421" s="514">
        <v>0.1077</v>
      </c>
      <c r="N421" s="6">
        <v>1.2788</v>
      </c>
    </row>
    <row r="422">
      <c r="A422" s="512" t="s">
        <v>2037</v>
      </c>
      <c r="B422" s="512" t="s">
        <v>163</v>
      </c>
      <c r="C422" s="512" t="s">
        <v>74</v>
      </c>
      <c r="D422" s="512" t="s">
        <v>574</v>
      </c>
      <c r="E422" s="513" t="s">
        <v>50</v>
      </c>
      <c r="F422" s="514">
        <v>107760.0</v>
      </c>
      <c r="G422" s="514">
        <v>7395.0</v>
      </c>
      <c r="H422" s="514">
        <v>6.86</v>
      </c>
      <c r="I422" s="514">
        <v>2.64</v>
      </c>
      <c r="J422" s="514">
        <v>2.65</v>
      </c>
      <c r="K422" s="514">
        <v>8779.0</v>
      </c>
      <c r="L422" s="514">
        <v>333099.0</v>
      </c>
      <c r="M422" s="514">
        <v>0.0815</v>
      </c>
      <c r="N422" s="6">
        <v>1.1872</v>
      </c>
    </row>
    <row r="423">
      <c r="A423" s="512" t="s">
        <v>2037</v>
      </c>
      <c r="B423" s="512" t="s">
        <v>163</v>
      </c>
      <c r="C423" s="512" t="s">
        <v>74</v>
      </c>
      <c r="D423" s="512" t="s">
        <v>574</v>
      </c>
      <c r="E423" s="513" t="s">
        <v>377</v>
      </c>
      <c r="F423" s="514">
        <v>107760.0</v>
      </c>
      <c r="G423" s="514">
        <v>7326.0</v>
      </c>
      <c r="H423" s="514">
        <v>6.8</v>
      </c>
      <c r="I423" s="514">
        <v>2.38</v>
      </c>
      <c r="J423" s="514">
        <v>2.02</v>
      </c>
      <c r="K423" s="514">
        <v>7934.0</v>
      </c>
      <c r="L423" s="514">
        <v>333099.0</v>
      </c>
      <c r="M423" s="514">
        <v>0.0736</v>
      </c>
      <c r="N423" s="6">
        <v>1.083</v>
      </c>
    </row>
    <row r="424">
      <c r="A424" s="512" t="s">
        <v>2037</v>
      </c>
      <c r="B424" s="512" t="s">
        <v>163</v>
      </c>
      <c r="C424" s="512" t="s">
        <v>74</v>
      </c>
      <c r="D424" s="512" t="s">
        <v>574</v>
      </c>
      <c r="E424" s="513" t="s">
        <v>44</v>
      </c>
      <c r="F424" s="514">
        <v>107760.0</v>
      </c>
      <c r="G424" s="514">
        <v>841.0</v>
      </c>
      <c r="H424" s="514">
        <v>0.78</v>
      </c>
      <c r="I424" s="514">
        <v>0.28</v>
      </c>
      <c r="J424" s="514">
        <v>0.25</v>
      </c>
      <c r="K424" s="514">
        <v>930.0</v>
      </c>
      <c r="L424" s="514">
        <v>333099.0</v>
      </c>
      <c r="M424" s="514">
        <v>0.0086</v>
      </c>
      <c r="N424" s="6">
        <v>1.1058</v>
      </c>
    </row>
    <row r="425">
      <c r="A425" s="512" t="s">
        <v>2037</v>
      </c>
      <c r="B425" s="512" t="s">
        <v>163</v>
      </c>
      <c r="C425" s="512" t="s">
        <v>74</v>
      </c>
      <c r="D425" s="512" t="s">
        <v>574</v>
      </c>
      <c r="E425" s="513" t="s">
        <v>312</v>
      </c>
      <c r="F425" s="514">
        <v>107760.0</v>
      </c>
      <c r="G425" s="514">
        <v>414.0</v>
      </c>
      <c r="H425" s="514">
        <v>0.38</v>
      </c>
      <c r="I425" s="514">
        <v>0.13</v>
      </c>
      <c r="J425" s="514">
        <v>0.17</v>
      </c>
      <c r="K425" s="514">
        <v>444.0</v>
      </c>
      <c r="L425" s="514">
        <v>333099.0</v>
      </c>
      <c r="M425" s="514">
        <v>0.0041</v>
      </c>
      <c r="N425" s="6">
        <v>1.0725</v>
      </c>
    </row>
    <row r="426">
      <c r="A426" s="512" t="s">
        <v>2037</v>
      </c>
      <c r="B426" s="512" t="s">
        <v>163</v>
      </c>
      <c r="C426" s="512" t="s">
        <v>74</v>
      </c>
      <c r="D426" s="512" t="s">
        <v>574</v>
      </c>
      <c r="E426" s="513" t="s">
        <v>32</v>
      </c>
      <c r="F426" s="514">
        <v>107760.0</v>
      </c>
      <c r="G426" s="514">
        <v>372.0</v>
      </c>
      <c r="H426" s="514">
        <v>0.35</v>
      </c>
      <c r="I426" s="514">
        <v>0.11</v>
      </c>
      <c r="J426" s="514">
        <v>0.18</v>
      </c>
      <c r="K426" s="514">
        <v>380.0</v>
      </c>
      <c r="L426" s="514">
        <v>333099.0</v>
      </c>
      <c r="M426" s="514">
        <v>0.0035</v>
      </c>
      <c r="N426" s="6">
        <v>1.0215</v>
      </c>
    </row>
    <row r="427">
      <c r="A427" s="512" t="s">
        <v>2037</v>
      </c>
      <c r="B427" s="512" t="s">
        <v>163</v>
      </c>
      <c r="C427" s="512" t="s">
        <v>74</v>
      </c>
      <c r="D427" s="512" t="s">
        <v>574</v>
      </c>
      <c r="E427" s="513" t="s">
        <v>310</v>
      </c>
      <c r="F427" s="514">
        <v>107760.0</v>
      </c>
      <c r="G427" s="514">
        <v>348.0</v>
      </c>
      <c r="H427" s="514">
        <v>0.32</v>
      </c>
      <c r="I427" s="514">
        <v>0.11</v>
      </c>
      <c r="J427" s="514">
        <v>0.17</v>
      </c>
      <c r="K427" s="514">
        <v>366.0</v>
      </c>
      <c r="L427" s="514">
        <v>333099.0</v>
      </c>
      <c r="M427" s="514">
        <v>0.0034</v>
      </c>
      <c r="N427" s="6">
        <v>1.0517</v>
      </c>
    </row>
    <row r="428">
      <c r="A428" s="512" t="s">
        <v>2037</v>
      </c>
      <c r="B428" s="512" t="s">
        <v>163</v>
      </c>
      <c r="C428" s="512" t="s">
        <v>74</v>
      </c>
      <c r="D428" s="512" t="s">
        <v>574</v>
      </c>
      <c r="E428" s="513" t="s">
        <v>311</v>
      </c>
      <c r="F428" s="514">
        <v>107760.0</v>
      </c>
      <c r="G428" s="514">
        <v>119.0</v>
      </c>
      <c r="H428" s="514">
        <v>0.11</v>
      </c>
      <c r="I428" s="514">
        <v>0.04</v>
      </c>
      <c r="J428" s="514">
        <v>0.08</v>
      </c>
      <c r="K428" s="514">
        <v>123.0</v>
      </c>
      <c r="L428" s="514">
        <v>333099.0</v>
      </c>
      <c r="M428" s="514">
        <v>0.0011</v>
      </c>
      <c r="N428" s="6">
        <v>1.0336</v>
      </c>
    </row>
    <row r="429">
      <c r="A429" s="512" t="s">
        <v>2037</v>
      </c>
      <c r="B429" s="512" t="s">
        <v>163</v>
      </c>
      <c r="C429" s="512" t="s">
        <v>74</v>
      </c>
      <c r="D429" s="512" t="s">
        <v>574</v>
      </c>
      <c r="E429" s="513" t="s">
        <v>43</v>
      </c>
      <c r="F429" s="514">
        <v>107760.0</v>
      </c>
      <c r="G429" s="514">
        <v>24.0</v>
      </c>
      <c r="H429" s="514">
        <v>0.02</v>
      </c>
      <c r="I429" s="514">
        <v>0.01</v>
      </c>
      <c r="J429" s="514">
        <v>0.01</v>
      </c>
      <c r="K429" s="514">
        <v>25.0</v>
      </c>
      <c r="L429" s="514">
        <v>333099.0</v>
      </c>
      <c r="M429" s="514">
        <v>2.0E-4</v>
      </c>
      <c r="N429" s="6">
        <v>1.0417</v>
      </c>
    </row>
    <row r="430">
      <c r="A430" s="512" t="s">
        <v>2037</v>
      </c>
      <c r="B430" s="512" t="s">
        <v>163</v>
      </c>
      <c r="C430" s="512" t="s">
        <v>74</v>
      </c>
      <c r="D430" s="512" t="s">
        <v>574</v>
      </c>
      <c r="E430" s="513" t="s">
        <v>374</v>
      </c>
      <c r="F430" s="514">
        <v>107760.0</v>
      </c>
      <c r="G430" s="514">
        <v>26.0</v>
      </c>
      <c r="H430" s="514">
        <v>0.02</v>
      </c>
      <c r="I430" s="514">
        <v>0.01</v>
      </c>
      <c r="J430" s="514">
        <v>0.01</v>
      </c>
      <c r="K430" s="514">
        <v>43.0</v>
      </c>
      <c r="L430" s="514">
        <v>333099.0</v>
      </c>
      <c r="M430" s="514">
        <v>4.0E-4</v>
      </c>
      <c r="N430" s="6">
        <v>1.6538</v>
      </c>
    </row>
    <row r="431">
      <c r="A431" s="512" t="s">
        <v>2037</v>
      </c>
      <c r="B431" s="512" t="s">
        <v>163</v>
      </c>
      <c r="C431" s="512" t="s">
        <v>74</v>
      </c>
      <c r="D431" s="512" t="s">
        <v>574</v>
      </c>
      <c r="E431" s="513" t="s">
        <v>189</v>
      </c>
      <c r="F431" s="514">
        <v>107760.0</v>
      </c>
      <c r="G431" s="514">
        <v>1.0</v>
      </c>
      <c r="H431" s="514">
        <v>0.0</v>
      </c>
      <c r="I431" s="514">
        <v>0.0</v>
      </c>
      <c r="J431" s="514">
        <v>0.0</v>
      </c>
      <c r="K431" s="514">
        <v>1.0</v>
      </c>
      <c r="L431" s="514">
        <v>333099.0</v>
      </c>
      <c r="M431" s="514">
        <v>0.0</v>
      </c>
      <c r="N431" s="6">
        <v>1.0</v>
      </c>
    </row>
    <row r="432">
      <c r="A432" s="512" t="s">
        <v>2037</v>
      </c>
      <c r="B432" s="512" t="s">
        <v>163</v>
      </c>
      <c r="C432" s="512" t="s">
        <v>74</v>
      </c>
      <c r="D432" s="512" t="s">
        <v>574</v>
      </c>
      <c r="E432" s="513" t="s">
        <v>375</v>
      </c>
      <c r="F432" s="514">
        <v>107760.0</v>
      </c>
      <c r="G432" s="514">
        <v>4.0</v>
      </c>
      <c r="H432" s="514">
        <v>0.0</v>
      </c>
      <c r="I432" s="514">
        <v>0.0</v>
      </c>
      <c r="J432" s="514">
        <v>0.0</v>
      </c>
      <c r="K432" s="514">
        <v>4.0</v>
      </c>
      <c r="L432" s="514">
        <v>333099.0</v>
      </c>
      <c r="M432" s="514">
        <v>0.0</v>
      </c>
      <c r="N432" s="6">
        <v>1.0</v>
      </c>
    </row>
    <row r="433">
      <c r="A433" s="512" t="s">
        <v>2037</v>
      </c>
      <c r="B433" s="512" t="s">
        <v>163</v>
      </c>
      <c r="C433" s="512" t="s">
        <v>74</v>
      </c>
      <c r="D433" s="512" t="s">
        <v>574</v>
      </c>
      <c r="E433" s="513" t="s">
        <v>380</v>
      </c>
      <c r="F433" s="514">
        <v>107760.0</v>
      </c>
      <c r="G433" s="514">
        <v>2.0</v>
      </c>
      <c r="H433" s="514">
        <v>0.0</v>
      </c>
      <c r="I433" s="514">
        <v>0.0</v>
      </c>
      <c r="J433" s="514">
        <v>0.0</v>
      </c>
      <c r="K433" s="514">
        <v>2.0</v>
      </c>
      <c r="L433" s="514">
        <v>333099.0</v>
      </c>
      <c r="M433" s="514">
        <v>0.0</v>
      </c>
      <c r="N433" s="6">
        <v>1.0</v>
      </c>
    </row>
    <row r="434">
      <c r="A434" s="512" t="s">
        <v>2037</v>
      </c>
      <c r="B434" s="512" t="s">
        <v>163</v>
      </c>
      <c r="C434" s="512" t="s">
        <v>1882</v>
      </c>
      <c r="D434" s="512" t="s">
        <v>1882</v>
      </c>
      <c r="E434" s="513" t="s">
        <v>373</v>
      </c>
      <c r="F434" s="514">
        <v>188495.0</v>
      </c>
      <c r="G434" s="514">
        <v>165709.0</v>
      </c>
      <c r="H434" s="514">
        <v>87.91</v>
      </c>
      <c r="I434" s="514">
        <v>34.17</v>
      </c>
      <c r="J434" s="514">
        <v>36.1</v>
      </c>
      <c r="K434" s="514">
        <v>2.2744675E7</v>
      </c>
      <c r="L434" s="514">
        <v>6.655493E7</v>
      </c>
      <c r="M434" s="514">
        <v>120.6646</v>
      </c>
      <c r="N434" s="6">
        <v>137.2567</v>
      </c>
    </row>
    <row r="435">
      <c r="A435" s="512" t="s">
        <v>2037</v>
      </c>
      <c r="B435" s="512" t="s">
        <v>163</v>
      </c>
      <c r="C435" s="512" t="s">
        <v>1882</v>
      </c>
      <c r="D435" s="512" t="s">
        <v>1882</v>
      </c>
      <c r="E435" s="513" t="s">
        <v>379</v>
      </c>
      <c r="F435" s="514">
        <v>188495.0</v>
      </c>
      <c r="G435" s="514">
        <v>144092.0</v>
      </c>
      <c r="H435" s="514">
        <v>76.44</v>
      </c>
      <c r="I435" s="514">
        <v>15.6</v>
      </c>
      <c r="J435" s="514">
        <v>17.83</v>
      </c>
      <c r="K435" s="514">
        <v>1.038339E7</v>
      </c>
      <c r="L435" s="514">
        <v>6.655493E7</v>
      </c>
      <c r="M435" s="514">
        <v>55.0858</v>
      </c>
      <c r="N435" s="6">
        <v>72.0608</v>
      </c>
    </row>
    <row r="436">
      <c r="A436" s="512" t="s">
        <v>2037</v>
      </c>
      <c r="B436" s="512" t="s">
        <v>163</v>
      </c>
      <c r="C436" s="512" t="s">
        <v>1882</v>
      </c>
      <c r="D436" s="512" t="s">
        <v>1882</v>
      </c>
      <c r="E436" s="513" t="s">
        <v>42</v>
      </c>
      <c r="F436" s="514">
        <v>188495.0</v>
      </c>
      <c r="G436" s="514">
        <v>61013.0</v>
      </c>
      <c r="H436" s="514">
        <v>32.37</v>
      </c>
      <c r="I436" s="514">
        <v>11.99</v>
      </c>
      <c r="J436" s="514">
        <v>9.68</v>
      </c>
      <c r="K436" s="514">
        <v>7980365.0</v>
      </c>
      <c r="L436" s="514">
        <v>6.655493E7</v>
      </c>
      <c r="M436" s="514">
        <v>42.3373</v>
      </c>
      <c r="N436" s="6">
        <v>130.7978</v>
      </c>
    </row>
    <row r="437">
      <c r="A437" s="512" t="s">
        <v>2037</v>
      </c>
      <c r="B437" s="512" t="s">
        <v>163</v>
      </c>
      <c r="C437" s="512" t="s">
        <v>1882</v>
      </c>
      <c r="D437" s="512" t="s">
        <v>1882</v>
      </c>
      <c r="E437" s="513" t="s">
        <v>40</v>
      </c>
      <c r="F437" s="514">
        <v>188495.0</v>
      </c>
      <c r="G437" s="514">
        <v>33457.0</v>
      </c>
      <c r="H437" s="514">
        <v>17.75</v>
      </c>
      <c r="I437" s="514">
        <v>7.54</v>
      </c>
      <c r="J437" s="514">
        <v>4.74</v>
      </c>
      <c r="K437" s="514">
        <v>5016800.0</v>
      </c>
      <c r="L437" s="514">
        <v>6.655493E7</v>
      </c>
      <c r="M437" s="514">
        <v>26.615</v>
      </c>
      <c r="N437" s="6">
        <v>149.9477</v>
      </c>
    </row>
    <row r="438">
      <c r="A438" s="512" t="s">
        <v>2037</v>
      </c>
      <c r="B438" s="512" t="s">
        <v>163</v>
      </c>
      <c r="C438" s="512" t="s">
        <v>1882</v>
      </c>
      <c r="D438" s="512" t="s">
        <v>1882</v>
      </c>
      <c r="E438" s="513" t="s">
        <v>380</v>
      </c>
      <c r="F438" s="514">
        <v>188495.0</v>
      </c>
      <c r="G438" s="514">
        <v>116973.0</v>
      </c>
      <c r="H438" s="514">
        <v>62.06</v>
      </c>
      <c r="I438" s="514">
        <v>6.83</v>
      </c>
      <c r="J438" s="514">
        <v>10.83</v>
      </c>
      <c r="K438" s="514">
        <v>4546415.0</v>
      </c>
      <c r="L438" s="514">
        <v>6.655493E7</v>
      </c>
      <c r="M438" s="514">
        <v>24.1196</v>
      </c>
      <c r="N438" s="6">
        <v>38.8672</v>
      </c>
    </row>
    <row r="439">
      <c r="A439" s="512" t="s">
        <v>2037</v>
      </c>
      <c r="B439" s="512" t="s">
        <v>163</v>
      </c>
      <c r="C439" s="512" t="s">
        <v>1882</v>
      </c>
      <c r="D439" s="512" t="s">
        <v>1882</v>
      </c>
      <c r="E439" s="513" t="s">
        <v>372</v>
      </c>
      <c r="F439" s="514">
        <v>188495.0</v>
      </c>
      <c r="G439" s="514">
        <v>76635.0</v>
      </c>
      <c r="H439" s="514">
        <v>40.66</v>
      </c>
      <c r="I439" s="514">
        <v>5.72</v>
      </c>
      <c r="J439" s="514">
        <v>6.52</v>
      </c>
      <c r="K439" s="514">
        <v>3804955.0</v>
      </c>
      <c r="L439" s="514">
        <v>6.655493E7</v>
      </c>
      <c r="M439" s="514">
        <v>20.186</v>
      </c>
      <c r="N439" s="6">
        <v>49.6504</v>
      </c>
    </row>
    <row r="440">
      <c r="A440" s="512" t="s">
        <v>2037</v>
      </c>
      <c r="B440" s="512" t="s">
        <v>163</v>
      </c>
      <c r="C440" s="512" t="s">
        <v>1882</v>
      </c>
      <c r="D440" s="512" t="s">
        <v>1882</v>
      </c>
      <c r="E440" s="513" t="s">
        <v>367</v>
      </c>
      <c r="F440" s="514">
        <v>188495.0</v>
      </c>
      <c r="G440" s="514">
        <v>41652.0</v>
      </c>
      <c r="H440" s="514">
        <v>22.1</v>
      </c>
      <c r="I440" s="514">
        <v>5.43</v>
      </c>
      <c r="J440" s="514">
        <v>3.26</v>
      </c>
      <c r="K440" s="514">
        <v>3612910.0</v>
      </c>
      <c r="L440" s="514">
        <v>6.655493E7</v>
      </c>
      <c r="M440" s="514">
        <v>19.1671</v>
      </c>
      <c r="N440" s="6">
        <v>86.7404</v>
      </c>
    </row>
    <row r="441">
      <c r="A441" s="512" t="s">
        <v>2037</v>
      </c>
      <c r="B441" s="512" t="s">
        <v>163</v>
      </c>
      <c r="C441" s="512" t="s">
        <v>1882</v>
      </c>
      <c r="D441" s="512" t="s">
        <v>1882</v>
      </c>
      <c r="E441" s="513" t="s">
        <v>374</v>
      </c>
      <c r="F441" s="514">
        <v>188495.0</v>
      </c>
      <c r="G441" s="514">
        <v>52388.0</v>
      </c>
      <c r="H441" s="514">
        <v>27.79</v>
      </c>
      <c r="I441" s="514">
        <v>3.99</v>
      </c>
      <c r="J441" s="514">
        <v>3.95</v>
      </c>
      <c r="K441" s="514">
        <v>2652815.0</v>
      </c>
      <c r="L441" s="514">
        <v>6.655493E7</v>
      </c>
      <c r="M441" s="514">
        <v>14.0737</v>
      </c>
      <c r="N441" s="6">
        <v>50.6378</v>
      </c>
    </row>
    <row r="442">
      <c r="A442" s="512" t="s">
        <v>2037</v>
      </c>
      <c r="B442" s="512" t="s">
        <v>163</v>
      </c>
      <c r="C442" s="512" t="s">
        <v>1882</v>
      </c>
      <c r="D442" s="512" t="s">
        <v>1882</v>
      </c>
      <c r="E442" s="513" t="s">
        <v>50</v>
      </c>
      <c r="F442" s="514">
        <v>188495.0</v>
      </c>
      <c r="G442" s="514">
        <v>26554.0</v>
      </c>
      <c r="H442" s="514">
        <v>14.09</v>
      </c>
      <c r="I442" s="514">
        <v>2.86</v>
      </c>
      <c r="J442" s="514">
        <v>2.11</v>
      </c>
      <c r="K442" s="514">
        <v>1900225.0</v>
      </c>
      <c r="L442" s="514">
        <v>6.655493E7</v>
      </c>
      <c r="M442" s="514">
        <v>10.081</v>
      </c>
      <c r="N442" s="6">
        <v>71.5608</v>
      </c>
    </row>
    <row r="443">
      <c r="A443" s="512" t="s">
        <v>2037</v>
      </c>
      <c r="B443" s="512" t="s">
        <v>163</v>
      </c>
      <c r="C443" s="512" t="s">
        <v>1882</v>
      </c>
      <c r="D443" s="512" t="s">
        <v>1882</v>
      </c>
      <c r="E443" s="513" t="s">
        <v>377</v>
      </c>
      <c r="F443" s="514">
        <v>188495.0</v>
      </c>
      <c r="G443" s="514">
        <v>30466.0</v>
      </c>
      <c r="H443" s="514">
        <v>16.16</v>
      </c>
      <c r="I443" s="514">
        <v>2.52</v>
      </c>
      <c r="J443" s="514">
        <v>1.73</v>
      </c>
      <c r="K443" s="514">
        <v>1675285.0</v>
      </c>
      <c r="L443" s="514">
        <v>6.655493E7</v>
      </c>
      <c r="M443" s="514">
        <v>8.8877</v>
      </c>
      <c r="N443" s="6">
        <v>54.9887</v>
      </c>
    </row>
    <row r="444">
      <c r="A444" s="512" t="s">
        <v>2037</v>
      </c>
      <c r="B444" s="512" t="s">
        <v>163</v>
      </c>
      <c r="C444" s="512" t="s">
        <v>1882</v>
      </c>
      <c r="D444" s="512" t="s">
        <v>1882</v>
      </c>
      <c r="E444" s="513" t="s">
        <v>134</v>
      </c>
      <c r="F444" s="514">
        <v>188495.0</v>
      </c>
      <c r="G444" s="514">
        <v>16168.0</v>
      </c>
      <c r="H444" s="514">
        <v>8.58</v>
      </c>
      <c r="I444" s="514">
        <v>1.04</v>
      </c>
      <c r="J444" s="514">
        <v>0.99</v>
      </c>
      <c r="K444" s="514">
        <v>689340.0</v>
      </c>
      <c r="L444" s="514">
        <v>6.655493E7</v>
      </c>
      <c r="M444" s="514">
        <v>3.6571</v>
      </c>
      <c r="N444" s="6">
        <v>42.6361</v>
      </c>
    </row>
    <row r="445">
      <c r="A445" s="512" t="s">
        <v>2037</v>
      </c>
      <c r="B445" s="512" t="s">
        <v>163</v>
      </c>
      <c r="C445" s="512" t="s">
        <v>1882</v>
      </c>
      <c r="D445" s="512" t="s">
        <v>1882</v>
      </c>
      <c r="E445" s="513" t="s">
        <v>44</v>
      </c>
      <c r="F445" s="514">
        <v>188495.0</v>
      </c>
      <c r="G445" s="514">
        <v>27860.0</v>
      </c>
      <c r="H445" s="514">
        <v>14.78</v>
      </c>
      <c r="I445" s="514">
        <v>0.65</v>
      </c>
      <c r="J445" s="514">
        <v>0.65</v>
      </c>
      <c r="K445" s="514">
        <v>435475.0</v>
      </c>
      <c r="L445" s="514">
        <v>6.655493E7</v>
      </c>
      <c r="M445" s="514">
        <v>2.3103</v>
      </c>
      <c r="N445" s="6">
        <v>15.6308</v>
      </c>
    </row>
    <row r="446">
      <c r="A446" s="512" t="s">
        <v>2037</v>
      </c>
      <c r="B446" s="512" t="s">
        <v>163</v>
      </c>
      <c r="C446" s="512" t="s">
        <v>1882</v>
      </c>
      <c r="D446" s="512" t="s">
        <v>1882</v>
      </c>
      <c r="E446" s="513" t="s">
        <v>32</v>
      </c>
      <c r="F446" s="514">
        <v>188495.0</v>
      </c>
      <c r="G446" s="514">
        <v>3516.0</v>
      </c>
      <c r="H446" s="514">
        <v>1.87</v>
      </c>
      <c r="I446" s="514">
        <v>0.44</v>
      </c>
      <c r="J446" s="514">
        <v>0.4</v>
      </c>
      <c r="K446" s="514">
        <v>293080.0</v>
      </c>
      <c r="L446" s="514">
        <v>6.655493E7</v>
      </c>
      <c r="M446" s="514">
        <v>1.5548</v>
      </c>
      <c r="N446" s="6">
        <v>83.3561</v>
      </c>
    </row>
    <row r="447">
      <c r="A447" s="512" t="s">
        <v>2037</v>
      </c>
      <c r="B447" s="512" t="s">
        <v>163</v>
      </c>
      <c r="C447" s="512" t="s">
        <v>1882</v>
      </c>
      <c r="D447" s="512" t="s">
        <v>1882</v>
      </c>
      <c r="E447" s="513" t="s">
        <v>312</v>
      </c>
      <c r="F447" s="514">
        <v>188495.0</v>
      </c>
      <c r="G447" s="514">
        <v>2763.0</v>
      </c>
      <c r="H447" s="514">
        <v>1.47</v>
      </c>
      <c r="I447" s="514">
        <v>0.4</v>
      </c>
      <c r="J447" s="514">
        <v>0.34</v>
      </c>
      <c r="K447" s="514">
        <v>263475.0</v>
      </c>
      <c r="L447" s="514">
        <v>6.655493E7</v>
      </c>
      <c r="M447" s="514">
        <v>1.3978</v>
      </c>
      <c r="N447" s="6">
        <v>95.3583</v>
      </c>
    </row>
    <row r="448">
      <c r="A448" s="512" t="s">
        <v>2037</v>
      </c>
      <c r="B448" s="512" t="s">
        <v>163</v>
      </c>
      <c r="C448" s="512" t="s">
        <v>1882</v>
      </c>
      <c r="D448" s="512" t="s">
        <v>1882</v>
      </c>
      <c r="E448" s="513" t="s">
        <v>310</v>
      </c>
      <c r="F448" s="514">
        <v>188495.0</v>
      </c>
      <c r="G448" s="514">
        <v>2639.0</v>
      </c>
      <c r="H448" s="514">
        <v>1.4</v>
      </c>
      <c r="I448" s="514">
        <v>0.36</v>
      </c>
      <c r="J448" s="514">
        <v>0.35</v>
      </c>
      <c r="K448" s="514">
        <v>239175.0</v>
      </c>
      <c r="L448" s="514">
        <v>6.655493E7</v>
      </c>
      <c r="M448" s="514">
        <v>1.2689</v>
      </c>
      <c r="N448" s="6">
        <v>90.6309</v>
      </c>
    </row>
    <row r="449">
      <c r="A449" s="512" t="s">
        <v>2037</v>
      </c>
      <c r="B449" s="512" t="s">
        <v>163</v>
      </c>
      <c r="C449" s="512" t="s">
        <v>1882</v>
      </c>
      <c r="D449" s="512" t="s">
        <v>1882</v>
      </c>
      <c r="E449" s="513" t="s">
        <v>375</v>
      </c>
      <c r="F449" s="514">
        <v>188495.0</v>
      </c>
      <c r="G449" s="514">
        <v>2736.0</v>
      </c>
      <c r="H449" s="514">
        <v>1.45</v>
      </c>
      <c r="I449" s="514">
        <v>0.13</v>
      </c>
      <c r="J449" s="514">
        <v>0.16</v>
      </c>
      <c r="K449" s="514">
        <v>83585.0</v>
      </c>
      <c r="L449" s="514">
        <v>6.655493E7</v>
      </c>
      <c r="M449" s="514">
        <v>0.4434</v>
      </c>
      <c r="N449" s="6">
        <v>30.5501</v>
      </c>
    </row>
    <row r="450">
      <c r="A450" s="512" t="s">
        <v>2037</v>
      </c>
      <c r="B450" s="512" t="s">
        <v>163</v>
      </c>
      <c r="C450" s="512" t="s">
        <v>1882</v>
      </c>
      <c r="D450" s="512" t="s">
        <v>1882</v>
      </c>
      <c r="E450" s="513" t="s">
        <v>35</v>
      </c>
      <c r="F450" s="514">
        <v>188495.0</v>
      </c>
      <c r="G450" s="514">
        <v>2629.0</v>
      </c>
      <c r="H450" s="514">
        <v>1.39</v>
      </c>
      <c r="I450" s="514">
        <v>0.11</v>
      </c>
      <c r="J450" s="514">
        <v>0.08</v>
      </c>
      <c r="K450" s="514">
        <v>72695.0</v>
      </c>
      <c r="L450" s="514">
        <v>6.655493E7</v>
      </c>
      <c r="M450" s="514">
        <v>0.3857</v>
      </c>
      <c r="N450" s="6">
        <v>27.6512</v>
      </c>
    </row>
    <row r="451">
      <c r="A451" s="512" t="s">
        <v>2037</v>
      </c>
      <c r="B451" s="512" t="s">
        <v>163</v>
      </c>
      <c r="C451" s="512" t="s">
        <v>1882</v>
      </c>
      <c r="D451" s="512" t="s">
        <v>1882</v>
      </c>
      <c r="E451" s="513" t="s">
        <v>311</v>
      </c>
      <c r="F451" s="514">
        <v>188495.0</v>
      </c>
      <c r="G451" s="514">
        <v>764.0</v>
      </c>
      <c r="H451" s="514">
        <v>0.41</v>
      </c>
      <c r="I451" s="514">
        <v>0.11</v>
      </c>
      <c r="J451" s="514">
        <v>0.14</v>
      </c>
      <c r="K451" s="514">
        <v>70100.0</v>
      </c>
      <c r="L451" s="514">
        <v>6.655493E7</v>
      </c>
      <c r="M451" s="514">
        <v>0.3719</v>
      </c>
      <c r="N451" s="6">
        <v>91.7539</v>
      </c>
    </row>
    <row r="452">
      <c r="A452" s="512" t="s">
        <v>2037</v>
      </c>
      <c r="B452" s="512" t="s">
        <v>163</v>
      </c>
      <c r="C452" s="512" t="s">
        <v>1882</v>
      </c>
      <c r="D452" s="512" t="s">
        <v>1882</v>
      </c>
      <c r="E452" s="513" t="s">
        <v>43</v>
      </c>
      <c r="F452" s="514">
        <v>188495.0</v>
      </c>
      <c r="G452" s="514">
        <v>331.0</v>
      </c>
      <c r="H452" s="514">
        <v>0.18</v>
      </c>
      <c r="I452" s="514">
        <v>0.08</v>
      </c>
      <c r="J452" s="514">
        <v>0.06</v>
      </c>
      <c r="K452" s="514">
        <v>51000.0</v>
      </c>
      <c r="L452" s="514">
        <v>6.655493E7</v>
      </c>
      <c r="M452" s="514">
        <v>0.2706</v>
      </c>
      <c r="N452" s="6">
        <v>154.0785</v>
      </c>
    </row>
    <row r="453">
      <c r="A453" s="512" t="s">
        <v>2037</v>
      </c>
      <c r="B453" s="512" t="s">
        <v>163</v>
      </c>
      <c r="C453" s="512" t="s">
        <v>1882</v>
      </c>
      <c r="D453" s="512" t="s">
        <v>1882</v>
      </c>
      <c r="E453" s="513" t="s">
        <v>189</v>
      </c>
      <c r="F453" s="514">
        <v>188495.0</v>
      </c>
      <c r="G453" s="514">
        <v>1508.0</v>
      </c>
      <c r="H453" s="514">
        <v>0.8</v>
      </c>
      <c r="I453" s="514">
        <v>0.06</v>
      </c>
      <c r="J453" s="514">
        <v>0.06</v>
      </c>
      <c r="K453" s="514">
        <v>39150.0</v>
      </c>
      <c r="L453" s="514">
        <v>6.655493E7</v>
      </c>
      <c r="M453" s="514">
        <v>0.2077</v>
      </c>
      <c r="N453" s="6">
        <v>25.9615</v>
      </c>
    </row>
    <row r="454">
      <c r="A454" s="512" t="s">
        <v>2037</v>
      </c>
      <c r="B454" s="512" t="s">
        <v>163</v>
      </c>
      <c r="C454" s="512" t="s">
        <v>1882</v>
      </c>
      <c r="D454" s="512" t="s">
        <v>1882</v>
      </c>
      <c r="E454" s="513" t="s">
        <v>383</v>
      </c>
      <c r="F454" s="514">
        <v>188495.0</v>
      </c>
      <c r="G454" s="514">
        <v>1.0</v>
      </c>
      <c r="H454" s="514">
        <v>0.0</v>
      </c>
      <c r="I454" s="514">
        <v>0.0</v>
      </c>
      <c r="J454" s="514">
        <v>0.0</v>
      </c>
      <c r="K454" s="514">
        <v>20.0</v>
      </c>
      <c r="L454" s="514">
        <v>6.655493E7</v>
      </c>
      <c r="M454" s="514">
        <v>1.0E-4</v>
      </c>
      <c r="N454" s="6">
        <v>20.0</v>
      </c>
    </row>
    <row r="455">
      <c r="A455" s="512" t="s">
        <v>2037</v>
      </c>
      <c r="B455" s="512" t="s">
        <v>163</v>
      </c>
      <c r="C455" s="512" t="s">
        <v>69</v>
      </c>
      <c r="D455" s="512" t="s">
        <v>574</v>
      </c>
      <c r="E455" s="513" t="s">
        <v>379</v>
      </c>
      <c r="F455" s="514">
        <v>161491.0</v>
      </c>
      <c r="G455" s="514">
        <v>99782.0</v>
      </c>
      <c r="H455" s="514">
        <v>61.79</v>
      </c>
      <c r="I455" s="514">
        <v>23.74</v>
      </c>
      <c r="J455" s="514">
        <v>23.12</v>
      </c>
      <c r="K455" s="514">
        <v>246576.0</v>
      </c>
      <c r="L455" s="514">
        <v>1038737.0</v>
      </c>
      <c r="M455" s="514">
        <v>1.5269</v>
      </c>
      <c r="N455" s="6">
        <v>2.4711</v>
      </c>
    </row>
    <row r="456">
      <c r="A456" s="512" t="s">
        <v>2037</v>
      </c>
      <c r="B456" s="512" t="s">
        <v>163</v>
      </c>
      <c r="C456" s="512" t="s">
        <v>69</v>
      </c>
      <c r="D456" s="512" t="s">
        <v>574</v>
      </c>
      <c r="E456" s="513" t="s">
        <v>380</v>
      </c>
      <c r="F456" s="514">
        <v>161491.0</v>
      </c>
      <c r="G456" s="514">
        <v>90131.0</v>
      </c>
      <c r="H456" s="514">
        <v>55.81</v>
      </c>
      <c r="I456" s="514">
        <v>22.06</v>
      </c>
      <c r="J456" s="514">
        <v>19.78</v>
      </c>
      <c r="K456" s="514">
        <v>229166.0</v>
      </c>
      <c r="L456" s="514">
        <v>1038737.0</v>
      </c>
      <c r="M456" s="514">
        <v>1.4191</v>
      </c>
      <c r="N456" s="6">
        <v>2.5426</v>
      </c>
    </row>
    <row r="457">
      <c r="A457" s="512" t="s">
        <v>2037</v>
      </c>
      <c r="B457" s="512" t="s">
        <v>163</v>
      </c>
      <c r="C457" s="512" t="s">
        <v>69</v>
      </c>
      <c r="D457" s="512" t="s">
        <v>574</v>
      </c>
      <c r="E457" s="513" t="s">
        <v>377</v>
      </c>
      <c r="F457" s="514">
        <v>161491.0</v>
      </c>
      <c r="G457" s="514">
        <v>103709.0</v>
      </c>
      <c r="H457" s="514">
        <v>64.22</v>
      </c>
      <c r="I457" s="514">
        <v>19.44</v>
      </c>
      <c r="J457" s="514">
        <v>27.22</v>
      </c>
      <c r="K457" s="514">
        <v>201969.0</v>
      </c>
      <c r="L457" s="514">
        <v>1038737.0</v>
      </c>
      <c r="M457" s="514">
        <v>1.2507</v>
      </c>
      <c r="N457" s="6">
        <v>1.9475</v>
      </c>
    </row>
    <row r="458">
      <c r="A458" s="512" t="s">
        <v>2037</v>
      </c>
      <c r="B458" s="512" t="s">
        <v>163</v>
      </c>
      <c r="C458" s="512" t="s">
        <v>69</v>
      </c>
      <c r="D458" s="512" t="s">
        <v>574</v>
      </c>
      <c r="E458" s="513" t="s">
        <v>44</v>
      </c>
      <c r="F458" s="514">
        <v>161491.0</v>
      </c>
      <c r="G458" s="514">
        <v>81407.0</v>
      </c>
      <c r="H458" s="514">
        <v>50.41</v>
      </c>
      <c r="I458" s="514">
        <v>15.05</v>
      </c>
      <c r="J458" s="514">
        <v>15.43</v>
      </c>
      <c r="K458" s="514">
        <v>156301.0</v>
      </c>
      <c r="L458" s="514">
        <v>1038737.0</v>
      </c>
      <c r="M458" s="514">
        <v>0.9679</v>
      </c>
      <c r="N458" s="6">
        <v>1.92</v>
      </c>
    </row>
    <row r="459">
      <c r="A459" s="512" t="s">
        <v>2037</v>
      </c>
      <c r="B459" s="512" t="s">
        <v>163</v>
      </c>
      <c r="C459" s="512" t="s">
        <v>69</v>
      </c>
      <c r="D459" s="512" t="s">
        <v>574</v>
      </c>
      <c r="E459" s="513" t="s">
        <v>374</v>
      </c>
      <c r="F459" s="514">
        <v>161491.0</v>
      </c>
      <c r="G459" s="514">
        <v>39000.0</v>
      </c>
      <c r="H459" s="514">
        <v>24.15</v>
      </c>
      <c r="I459" s="514">
        <v>13.35</v>
      </c>
      <c r="J459" s="514">
        <v>8.28</v>
      </c>
      <c r="K459" s="514">
        <v>138653.0</v>
      </c>
      <c r="L459" s="514">
        <v>1038737.0</v>
      </c>
      <c r="M459" s="514">
        <v>0.8586</v>
      </c>
      <c r="N459" s="6">
        <v>3.5552</v>
      </c>
    </row>
    <row r="460">
      <c r="A460" s="512" t="s">
        <v>2037</v>
      </c>
      <c r="B460" s="512" t="s">
        <v>163</v>
      </c>
      <c r="C460" s="512" t="s">
        <v>69</v>
      </c>
      <c r="D460" s="512" t="s">
        <v>574</v>
      </c>
      <c r="E460" s="513" t="s">
        <v>49</v>
      </c>
      <c r="F460" s="514">
        <v>161491.0</v>
      </c>
      <c r="G460" s="514">
        <v>23777.0</v>
      </c>
      <c r="H460" s="514">
        <v>14.72</v>
      </c>
      <c r="I460" s="514">
        <v>3.18</v>
      </c>
      <c r="J460" s="514">
        <v>2.85</v>
      </c>
      <c r="K460" s="514">
        <v>33016.0</v>
      </c>
      <c r="L460" s="514">
        <v>1038737.0</v>
      </c>
      <c r="M460" s="514">
        <v>0.2044</v>
      </c>
      <c r="N460" s="6">
        <v>1.3886</v>
      </c>
    </row>
    <row r="461">
      <c r="A461" s="512" t="s">
        <v>2037</v>
      </c>
      <c r="B461" s="512" t="s">
        <v>163</v>
      </c>
      <c r="C461" s="512" t="s">
        <v>69</v>
      </c>
      <c r="D461" s="512" t="s">
        <v>574</v>
      </c>
      <c r="E461" s="513" t="s">
        <v>372</v>
      </c>
      <c r="F461" s="514">
        <v>161491.0</v>
      </c>
      <c r="G461" s="514">
        <v>12972.0</v>
      </c>
      <c r="H461" s="514">
        <v>8.03</v>
      </c>
      <c r="I461" s="514">
        <v>1.29</v>
      </c>
      <c r="J461" s="514">
        <v>1.47</v>
      </c>
      <c r="K461" s="514">
        <v>13432.0</v>
      </c>
      <c r="L461" s="514">
        <v>1038737.0</v>
      </c>
      <c r="M461" s="514">
        <v>0.0832</v>
      </c>
      <c r="N461" s="6">
        <v>1.0355</v>
      </c>
    </row>
    <row r="462">
      <c r="A462" s="512" t="s">
        <v>2037</v>
      </c>
      <c r="B462" s="512" t="s">
        <v>163</v>
      </c>
      <c r="C462" s="512" t="s">
        <v>69</v>
      </c>
      <c r="D462" s="512" t="s">
        <v>574</v>
      </c>
      <c r="E462" s="513" t="s">
        <v>42</v>
      </c>
      <c r="F462" s="514">
        <v>161491.0</v>
      </c>
      <c r="G462" s="514">
        <v>9595.0</v>
      </c>
      <c r="H462" s="514">
        <v>5.94</v>
      </c>
      <c r="I462" s="514">
        <v>1.19</v>
      </c>
      <c r="J462" s="514">
        <v>1.22</v>
      </c>
      <c r="K462" s="514">
        <v>12394.0</v>
      </c>
      <c r="L462" s="514">
        <v>1038737.0</v>
      </c>
      <c r="M462" s="514">
        <v>0.0767</v>
      </c>
      <c r="N462" s="6">
        <v>1.2917</v>
      </c>
    </row>
    <row r="463">
      <c r="A463" s="512" t="s">
        <v>2037</v>
      </c>
      <c r="B463" s="512" t="s">
        <v>163</v>
      </c>
      <c r="C463" s="512" t="s">
        <v>69</v>
      </c>
      <c r="D463" s="512" t="s">
        <v>574</v>
      </c>
      <c r="E463" s="513" t="s">
        <v>50</v>
      </c>
      <c r="F463" s="514">
        <v>161491.0</v>
      </c>
      <c r="G463" s="514">
        <v>2785.0</v>
      </c>
      <c r="H463" s="514">
        <v>1.72</v>
      </c>
      <c r="I463" s="514">
        <v>0.29</v>
      </c>
      <c r="J463" s="514">
        <v>0.19</v>
      </c>
      <c r="K463" s="514">
        <v>2978.0</v>
      </c>
      <c r="L463" s="514">
        <v>1038737.0</v>
      </c>
      <c r="M463" s="514">
        <v>0.0184</v>
      </c>
      <c r="N463" s="6">
        <v>1.0693</v>
      </c>
    </row>
    <row r="464">
      <c r="A464" s="512" t="s">
        <v>2037</v>
      </c>
      <c r="B464" s="512" t="s">
        <v>163</v>
      </c>
      <c r="C464" s="512" t="s">
        <v>69</v>
      </c>
      <c r="D464" s="512" t="s">
        <v>574</v>
      </c>
      <c r="E464" s="513" t="s">
        <v>134</v>
      </c>
      <c r="F464" s="514">
        <v>161491.0</v>
      </c>
      <c r="G464" s="514">
        <v>1858.0</v>
      </c>
      <c r="H464" s="514">
        <v>1.15</v>
      </c>
      <c r="I464" s="514">
        <v>0.22</v>
      </c>
      <c r="J464" s="514">
        <v>0.14</v>
      </c>
      <c r="K464" s="514">
        <v>2301.0</v>
      </c>
      <c r="L464" s="514">
        <v>1038737.0</v>
      </c>
      <c r="M464" s="514">
        <v>0.0142</v>
      </c>
      <c r="N464" s="6">
        <v>1.2384</v>
      </c>
    </row>
    <row r="465">
      <c r="A465" s="512" t="s">
        <v>2037</v>
      </c>
      <c r="B465" s="512" t="s">
        <v>163</v>
      </c>
      <c r="C465" s="512" t="s">
        <v>69</v>
      </c>
      <c r="D465" s="512" t="s">
        <v>574</v>
      </c>
      <c r="E465" s="513" t="s">
        <v>43</v>
      </c>
      <c r="F465" s="514">
        <v>161491.0</v>
      </c>
      <c r="G465" s="514">
        <v>922.0</v>
      </c>
      <c r="H465" s="514">
        <v>0.57</v>
      </c>
      <c r="I465" s="514">
        <v>0.09</v>
      </c>
      <c r="J465" s="514">
        <v>0.11</v>
      </c>
      <c r="K465" s="514">
        <v>958.0</v>
      </c>
      <c r="L465" s="514">
        <v>1038737.0</v>
      </c>
      <c r="M465" s="514">
        <v>0.0059</v>
      </c>
      <c r="N465" s="6">
        <v>1.039</v>
      </c>
    </row>
    <row r="466">
      <c r="A466" s="512" t="s">
        <v>2037</v>
      </c>
      <c r="B466" s="512" t="s">
        <v>163</v>
      </c>
      <c r="C466" s="512" t="s">
        <v>69</v>
      </c>
      <c r="D466" s="512" t="s">
        <v>574</v>
      </c>
      <c r="E466" s="513" t="s">
        <v>375</v>
      </c>
      <c r="F466" s="514">
        <v>161491.0</v>
      </c>
      <c r="G466" s="514">
        <v>515.0</v>
      </c>
      <c r="H466" s="514">
        <v>0.32</v>
      </c>
      <c r="I466" s="514">
        <v>0.06</v>
      </c>
      <c r="J466" s="514">
        <v>0.11</v>
      </c>
      <c r="K466" s="514">
        <v>590.0</v>
      </c>
      <c r="L466" s="514">
        <v>1038737.0</v>
      </c>
      <c r="M466" s="514">
        <v>0.0037</v>
      </c>
      <c r="N466" s="6">
        <v>1.1456</v>
      </c>
    </row>
    <row r="467">
      <c r="A467" s="512" t="s">
        <v>2037</v>
      </c>
      <c r="B467" s="512" t="s">
        <v>163</v>
      </c>
      <c r="C467" s="512" t="s">
        <v>69</v>
      </c>
      <c r="D467" s="512" t="s">
        <v>574</v>
      </c>
      <c r="E467" s="513" t="s">
        <v>32</v>
      </c>
      <c r="F467" s="514">
        <v>161491.0</v>
      </c>
      <c r="G467" s="514">
        <v>88.0</v>
      </c>
      <c r="H467" s="514">
        <v>0.05</v>
      </c>
      <c r="I467" s="514">
        <v>0.01</v>
      </c>
      <c r="J467" s="514">
        <v>0.03</v>
      </c>
      <c r="K467" s="514">
        <v>104.0</v>
      </c>
      <c r="L467" s="514">
        <v>1038737.0</v>
      </c>
      <c r="M467" s="514">
        <v>6.0E-4</v>
      </c>
      <c r="N467" s="6">
        <v>1.1818</v>
      </c>
    </row>
    <row r="468">
      <c r="A468" s="512" t="s">
        <v>2037</v>
      </c>
      <c r="B468" s="512" t="s">
        <v>163</v>
      </c>
      <c r="C468" s="512" t="s">
        <v>69</v>
      </c>
      <c r="D468" s="512" t="s">
        <v>574</v>
      </c>
      <c r="E468" s="513" t="s">
        <v>35</v>
      </c>
      <c r="F468" s="514">
        <v>161491.0</v>
      </c>
      <c r="G468" s="514">
        <v>147.0</v>
      </c>
      <c r="H468" s="514">
        <v>0.09</v>
      </c>
      <c r="I468" s="514">
        <v>0.01</v>
      </c>
      <c r="J468" s="514">
        <v>0.02</v>
      </c>
      <c r="K468" s="514">
        <v>150.0</v>
      </c>
      <c r="L468" s="514">
        <v>1038737.0</v>
      </c>
      <c r="M468" s="514">
        <v>9.0E-4</v>
      </c>
      <c r="N468" s="6">
        <v>1.0204</v>
      </c>
    </row>
    <row r="469">
      <c r="A469" s="512" t="s">
        <v>2037</v>
      </c>
      <c r="B469" s="512" t="s">
        <v>163</v>
      </c>
      <c r="C469" s="512" t="s">
        <v>69</v>
      </c>
      <c r="D469" s="512" t="s">
        <v>574</v>
      </c>
      <c r="E469" s="513" t="s">
        <v>189</v>
      </c>
      <c r="F469" s="514">
        <v>161491.0</v>
      </c>
      <c r="G469" s="514">
        <v>121.0</v>
      </c>
      <c r="H469" s="514">
        <v>0.07</v>
      </c>
      <c r="I469" s="514">
        <v>0.01</v>
      </c>
      <c r="J469" s="514">
        <v>0.02</v>
      </c>
      <c r="K469" s="514">
        <v>127.0</v>
      </c>
      <c r="L469" s="514">
        <v>1038737.0</v>
      </c>
      <c r="M469" s="514">
        <v>8.0E-4</v>
      </c>
      <c r="N469" s="6">
        <v>1.0496</v>
      </c>
    </row>
    <row r="470">
      <c r="A470" s="512" t="s">
        <v>2037</v>
      </c>
      <c r="B470" s="512" t="s">
        <v>163</v>
      </c>
      <c r="C470" s="512" t="s">
        <v>69</v>
      </c>
      <c r="D470" s="512" t="s">
        <v>574</v>
      </c>
      <c r="E470" s="513" t="s">
        <v>46</v>
      </c>
      <c r="F470" s="514">
        <v>161491.0</v>
      </c>
      <c r="G470" s="514">
        <v>2.0</v>
      </c>
      <c r="H470" s="514">
        <v>0.0</v>
      </c>
      <c r="I470" s="514">
        <v>0.0</v>
      </c>
      <c r="J470" s="514">
        <v>0.0</v>
      </c>
      <c r="K470" s="514">
        <v>2.0</v>
      </c>
      <c r="L470" s="514">
        <v>1038737.0</v>
      </c>
      <c r="M470" s="514">
        <v>0.0</v>
      </c>
      <c r="N470" s="6">
        <v>1.0</v>
      </c>
    </row>
    <row r="471">
      <c r="A471" s="512" t="s">
        <v>2037</v>
      </c>
      <c r="B471" s="512" t="s">
        <v>163</v>
      </c>
      <c r="C471" s="512" t="s">
        <v>69</v>
      </c>
      <c r="D471" s="512" t="s">
        <v>574</v>
      </c>
      <c r="E471" s="513" t="s">
        <v>383</v>
      </c>
      <c r="F471" s="514">
        <v>161491.0</v>
      </c>
      <c r="G471" s="514">
        <v>1.0</v>
      </c>
      <c r="H471" s="514">
        <v>0.0</v>
      </c>
      <c r="I471" s="514">
        <v>0.0</v>
      </c>
      <c r="J471" s="514">
        <v>0.0</v>
      </c>
      <c r="K471" s="514">
        <v>2.0</v>
      </c>
      <c r="L471" s="514">
        <v>1038737.0</v>
      </c>
      <c r="M471" s="514">
        <v>0.0</v>
      </c>
      <c r="N471" s="6">
        <v>2.0</v>
      </c>
    </row>
    <row r="472">
      <c r="A472" s="512" t="s">
        <v>2037</v>
      </c>
      <c r="B472" s="512" t="s">
        <v>163</v>
      </c>
      <c r="C472" s="512" t="s">
        <v>69</v>
      </c>
      <c r="D472" s="512" t="s">
        <v>574</v>
      </c>
      <c r="E472" s="513" t="s">
        <v>312</v>
      </c>
      <c r="F472" s="514">
        <v>161491.0</v>
      </c>
      <c r="G472" s="514">
        <v>4.0</v>
      </c>
      <c r="H472" s="514">
        <v>0.0</v>
      </c>
      <c r="I472" s="514">
        <v>0.0</v>
      </c>
      <c r="J472" s="514">
        <v>0.0</v>
      </c>
      <c r="K472" s="514">
        <v>4.0</v>
      </c>
      <c r="L472" s="514">
        <v>1038737.0</v>
      </c>
      <c r="M472" s="514">
        <v>0.0</v>
      </c>
      <c r="N472" s="6">
        <v>1.0</v>
      </c>
    </row>
    <row r="473">
      <c r="A473" s="512" t="s">
        <v>2037</v>
      </c>
      <c r="B473" s="512" t="s">
        <v>163</v>
      </c>
      <c r="C473" s="512" t="s">
        <v>69</v>
      </c>
      <c r="D473" s="512" t="s">
        <v>574</v>
      </c>
      <c r="E473" s="513" t="s">
        <v>310</v>
      </c>
      <c r="F473" s="514">
        <v>161491.0</v>
      </c>
      <c r="G473" s="514">
        <v>7.0</v>
      </c>
      <c r="H473" s="514">
        <v>0.0</v>
      </c>
      <c r="I473" s="514">
        <v>0.0</v>
      </c>
      <c r="J473" s="514">
        <v>0.0</v>
      </c>
      <c r="K473" s="514">
        <v>10.0</v>
      </c>
      <c r="L473" s="514">
        <v>1038737.0</v>
      </c>
      <c r="M473" s="514">
        <v>1.0E-4</v>
      </c>
      <c r="N473" s="6">
        <v>1.4286</v>
      </c>
    </row>
    <row r="474">
      <c r="A474" s="512" t="s">
        <v>2037</v>
      </c>
      <c r="B474" s="512" t="s">
        <v>163</v>
      </c>
      <c r="C474" s="512" t="s">
        <v>69</v>
      </c>
      <c r="D474" s="512" t="s">
        <v>574</v>
      </c>
      <c r="E474" s="513" t="s">
        <v>311</v>
      </c>
      <c r="F474" s="514">
        <v>161491.0</v>
      </c>
      <c r="G474" s="514">
        <v>4.0</v>
      </c>
      <c r="H474" s="514">
        <v>0.0</v>
      </c>
      <c r="I474" s="514">
        <v>0.0</v>
      </c>
      <c r="J474" s="514">
        <v>0.0</v>
      </c>
      <c r="K474" s="514">
        <v>4.0</v>
      </c>
      <c r="L474" s="514">
        <v>1038737.0</v>
      </c>
      <c r="M474" s="514">
        <v>0.0</v>
      </c>
      <c r="N474" s="6">
        <v>1.0</v>
      </c>
    </row>
    <row r="475">
      <c r="A475" s="512" t="s">
        <v>2037</v>
      </c>
      <c r="B475" s="512" t="s">
        <v>163</v>
      </c>
      <c r="C475" s="512" t="s">
        <v>68</v>
      </c>
      <c r="D475" s="512" t="s">
        <v>574</v>
      </c>
      <c r="E475" s="513" t="s">
        <v>377</v>
      </c>
      <c r="F475" s="514">
        <v>125091.0</v>
      </c>
      <c r="G475" s="514">
        <v>98002.0</v>
      </c>
      <c r="H475" s="514">
        <v>78.34</v>
      </c>
      <c r="I475" s="514">
        <v>62.64</v>
      </c>
      <c r="J475" s="514">
        <v>64.62</v>
      </c>
      <c r="K475" s="514">
        <v>7474069.0</v>
      </c>
      <c r="L475" s="514">
        <v>1.1931147E7</v>
      </c>
      <c r="M475" s="514">
        <v>59.7491</v>
      </c>
      <c r="N475" s="6">
        <v>76.2645</v>
      </c>
    </row>
    <row r="476">
      <c r="A476" s="512" t="s">
        <v>2037</v>
      </c>
      <c r="B476" s="512" t="s">
        <v>163</v>
      </c>
      <c r="C476" s="512" t="s">
        <v>68</v>
      </c>
      <c r="D476" s="512" t="s">
        <v>574</v>
      </c>
      <c r="E476" s="513" t="s">
        <v>50</v>
      </c>
      <c r="F476" s="514">
        <v>125091.0</v>
      </c>
      <c r="G476" s="514">
        <v>35613.0</v>
      </c>
      <c r="H476" s="514">
        <v>28.47</v>
      </c>
      <c r="I476" s="514">
        <v>22.64</v>
      </c>
      <c r="J476" s="514">
        <v>15.83</v>
      </c>
      <c r="K476" s="514">
        <v>2701700.0</v>
      </c>
      <c r="L476" s="514">
        <v>1.1931147E7</v>
      </c>
      <c r="M476" s="514">
        <v>21.5979</v>
      </c>
      <c r="N476" s="6">
        <v>75.8627</v>
      </c>
    </row>
    <row r="477">
      <c r="A477" s="512" t="s">
        <v>2037</v>
      </c>
      <c r="B477" s="512" t="s">
        <v>163</v>
      </c>
      <c r="C477" s="512" t="s">
        <v>68</v>
      </c>
      <c r="D477" s="512" t="s">
        <v>574</v>
      </c>
      <c r="E477" s="513" t="s">
        <v>43</v>
      </c>
      <c r="F477" s="514">
        <v>125091.0</v>
      </c>
      <c r="G477" s="514">
        <v>8384.0</v>
      </c>
      <c r="H477" s="514">
        <v>6.7</v>
      </c>
      <c r="I477" s="514">
        <v>6.1</v>
      </c>
      <c r="J477" s="514">
        <v>3.29</v>
      </c>
      <c r="K477" s="514">
        <v>728360.0</v>
      </c>
      <c r="L477" s="514">
        <v>1.1931147E7</v>
      </c>
      <c r="M477" s="514">
        <v>5.8226</v>
      </c>
      <c r="N477" s="6">
        <v>86.875</v>
      </c>
    </row>
    <row r="478">
      <c r="A478" s="512" t="s">
        <v>2037</v>
      </c>
      <c r="B478" s="512" t="s">
        <v>163</v>
      </c>
      <c r="C478" s="512" t="s">
        <v>68</v>
      </c>
      <c r="D478" s="512" t="s">
        <v>574</v>
      </c>
      <c r="E478" s="513" t="s">
        <v>49</v>
      </c>
      <c r="F478" s="514">
        <v>125091.0</v>
      </c>
      <c r="G478" s="514">
        <v>22668.0</v>
      </c>
      <c r="H478" s="514">
        <v>18.12</v>
      </c>
      <c r="I478" s="514">
        <v>5.25</v>
      </c>
      <c r="J478" s="514">
        <v>6.22</v>
      </c>
      <c r="K478" s="514">
        <v>626680.0</v>
      </c>
      <c r="L478" s="514">
        <v>1.1931147E7</v>
      </c>
      <c r="M478" s="514">
        <v>5.0098</v>
      </c>
      <c r="N478" s="6">
        <v>27.646</v>
      </c>
    </row>
    <row r="479">
      <c r="A479" s="512" t="s">
        <v>2037</v>
      </c>
      <c r="B479" s="512" t="s">
        <v>163</v>
      </c>
      <c r="C479" s="512" t="s">
        <v>68</v>
      </c>
      <c r="D479" s="512" t="s">
        <v>574</v>
      </c>
      <c r="E479" s="513" t="s">
        <v>380</v>
      </c>
      <c r="F479" s="514">
        <v>125091.0</v>
      </c>
      <c r="G479" s="514">
        <v>15327.0</v>
      </c>
      <c r="H479" s="514">
        <v>12.25</v>
      </c>
      <c r="I479" s="514">
        <v>3.02</v>
      </c>
      <c r="J479" s="514">
        <v>9.78</v>
      </c>
      <c r="K479" s="514">
        <v>360708.0</v>
      </c>
      <c r="L479" s="514">
        <v>1.1931147E7</v>
      </c>
      <c r="M479" s="514">
        <v>2.8836</v>
      </c>
      <c r="N479" s="6">
        <v>23.5342</v>
      </c>
    </row>
    <row r="480">
      <c r="A480" s="512" t="s">
        <v>2037</v>
      </c>
      <c r="B480" s="512" t="s">
        <v>163</v>
      </c>
      <c r="C480" s="512" t="s">
        <v>68</v>
      </c>
      <c r="D480" s="512" t="s">
        <v>574</v>
      </c>
      <c r="E480" s="513" t="s">
        <v>134</v>
      </c>
      <c r="F480" s="514">
        <v>125091.0</v>
      </c>
      <c r="G480" s="514">
        <v>1593.0</v>
      </c>
      <c r="H480" s="514">
        <v>1.27</v>
      </c>
      <c r="I480" s="514">
        <v>0.33</v>
      </c>
      <c r="J480" s="514">
        <v>0.25</v>
      </c>
      <c r="K480" s="514">
        <v>38790.0</v>
      </c>
      <c r="L480" s="514">
        <v>1.1931147E7</v>
      </c>
      <c r="M480" s="514">
        <v>0.3101</v>
      </c>
      <c r="N480" s="6">
        <v>24.3503</v>
      </c>
    </row>
    <row r="481">
      <c r="A481" s="512" t="s">
        <v>2037</v>
      </c>
      <c r="B481" s="512" t="s">
        <v>163</v>
      </c>
      <c r="C481" s="512" t="s">
        <v>68</v>
      </c>
      <c r="D481" s="512" t="s">
        <v>574</v>
      </c>
      <c r="E481" s="513" t="s">
        <v>46</v>
      </c>
      <c r="F481" s="514">
        <v>125091.0</v>
      </c>
      <c r="G481" s="514">
        <v>2.0</v>
      </c>
      <c r="H481" s="514">
        <v>0.0</v>
      </c>
      <c r="I481" s="514">
        <v>0.0</v>
      </c>
      <c r="J481" s="514">
        <v>0.0</v>
      </c>
      <c r="K481" s="514">
        <v>100.0</v>
      </c>
      <c r="L481" s="514">
        <v>1.1931147E7</v>
      </c>
      <c r="M481" s="514">
        <v>8.0E-4</v>
      </c>
      <c r="N481" s="6">
        <v>50.0</v>
      </c>
    </row>
    <row r="482">
      <c r="A482" s="512" t="s">
        <v>2037</v>
      </c>
      <c r="B482" s="512" t="s">
        <v>163</v>
      </c>
      <c r="C482" s="512" t="s">
        <v>68</v>
      </c>
      <c r="D482" s="512" t="s">
        <v>574</v>
      </c>
      <c r="E482" s="513" t="s">
        <v>189</v>
      </c>
      <c r="F482" s="514">
        <v>125091.0</v>
      </c>
      <c r="G482" s="514">
        <v>1.0</v>
      </c>
      <c r="H482" s="514">
        <v>0.0</v>
      </c>
      <c r="I482" s="514">
        <v>0.0</v>
      </c>
      <c r="J482" s="514">
        <v>0.0</v>
      </c>
      <c r="K482" s="514">
        <v>25.0</v>
      </c>
      <c r="L482" s="514">
        <v>1.1931147E7</v>
      </c>
      <c r="M482" s="514">
        <v>2.0E-4</v>
      </c>
      <c r="N482" s="6">
        <v>25.0</v>
      </c>
    </row>
    <row r="483">
      <c r="A483" s="512" t="s">
        <v>2037</v>
      </c>
      <c r="B483" s="512" t="s">
        <v>163</v>
      </c>
      <c r="C483" s="512" t="s">
        <v>68</v>
      </c>
      <c r="D483" s="512" t="s">
        <v>574</v>
      </c>
      <c r="E483" s="513" t="s">
        <v>42</v>
      </c>
      <c r="F483" s="514">
        <v>125091.0</v>
      </c>
      <c r="G483" s="514">
        <v>3.0</v>
      </c>
      <c r="H483" s="514">
        <v>0.0</v>
      </c>
      <c r="I483" s="514">
        <v>0.0</v>
      </c>
      <c r="J483" s="514">
        <v>0.0</v>
      </c>
      <c r="K483" s="514">
        <v>100.0</v>
      </c>
      <c r="L483" s="514">
        <v>1.1931147E7</v>
      </c>
      <c r="M483" s="514">
        <v>8.0E-4</v>
      </c>
      <c r="N483" s="6">
        <v>33.3333</v>
      </c>
    </row>
    <row r="484">
      <c r="A484" s="512" t="s">
        <v>2037</v>
      </c>
      <c r="B484" s="512" t="s">
        <v>163</v>
      </c>
      <c r="C484" s="512" t="s">
        <v>68</v>
      </c>
      <c r="D484" s="512" t="s">
        <v>574</v>
      </c>
      <c r="E484" s="513" t="s">
        <v>40</v>
      </c>
      <c r="F484" s="514">
        <v>125091.0</v>
      </c>
      <c r="G484" s="514">
        <v>2.0</v>
      </c>
      <c r="H484" s="514">
        <v>0.0</v>
      </c>
      <c r="I484" s="514">
        <v>0.0</v>
      </c>
      <c r="J484" s="514">
        <v>0.0</v>
      </c>
      <c r="K484" s="514">
        <v>195.0</v>
      </c>
      <c r="L484" s="514">
        <v>1.1931147E7</v>
      </c>
      <c r="M484" s="514">
        <v>0.0016</v>
      </c>
      <c r="N484" s="6">
        <v>97.5</v>
      </c>
    </row>
    <row r="485">
      <c r="A485" s="512" t="s">
        <v>2037</v>
      </c>
      <c r="B485" s="512" t="s">
        <v>163</v>
      </c>
      <c r="C485" s="512" t="s">
        <v>68</v>
      </c>
      <c r="D485" s="512" t="s">
        <v>574</v>
      </c>
      <c r="E485" s="513" t="s">
        <v>32</v>
      </c>
      <c r="F485" s="514">
        <v>125091.0</v>
      </c>
      <c r="G485" s="514">
        <v>36.0</v>
      </c>
      <c r="H485" s="514">
        <v>0.03</v>
      </c>
      <c r="I485" s="514">
        <v>0.0</v>
      </c>
      <c r="J485" s="514">
        <v>0.02</v>
      </c>
      <c r="K485" s="514">
        <v>420.0</v>
      </c>
      <c r="L485" s="514">
        <v>1.1931147E7</v>
      </c>
      <c r="M485" s="514">
        <v>0.0034</v>
      </c>
      <c r="N485" s="6">
        <v>11.6667</v>
      </c>
    </row>
    <row r="486">
      <c r="A486" s="512" t="s">
        <v>2037</v>
      </c>
      <c r="B486" s="512" t="s">
        <v>163</v>
      </c>
      <c r="C486" s="512" t="s">
        <v>2035</v>
      </c>
      <c r="D486" s="512" t="s">
        <v>2036</v>
      </c>
      <c r="E486" s="513" t="s">
        <v>134</v>
      </c>
      <c r="F486" s="514">
        <v>2810.0</v>
      </c>
      <c r="G486" s="514">
        <v>2644.0</v>
      </c>
      <c r="H486" s="514">
        <v>94.09</v>
      </c>
      <c r="I486" s="514">
        <v>90.53</v>
      </c>
      <c r="J486" s="514">
        <v>94.07</v>
      </c>
      <c r="K486" s="514">
        <v>28955.0</v>
      </c>
      <c r="L486" s="514">
        <v>31985.0</v>
      </c>
      <c r="M486" s="514">
        <v>10.3043</v>
      </c>
      <c r="N486" s="6">
        <v>10.9512</v>
      </c>
    </row>
    <row r="487">
      <c r="A487" s="512" t="s">
        <v>2037</v>
      </c>
      <c r="B487" s="512" t="s">
        <v>163</v>
      </c>
      <c r="C487" s="512" t="s">
        <v>2035</v>
      </c>
      <c r="D487" s="512" t="s">
        <v>2036</v>
      </c>
      <c r="E487" s="513" t="s">
        <v>373</v>
      </c>
      <c r="F487" s="514">
        <v>2810.0</v>
      </c>
      <c r="G487" s="514">
        <v>161.0</v>
      </c>
      <c r="H487" s="514">
        <v>5.73</v>
      </c>
      <c r="I487" s="514">
        <v>9.14</v>
      </c>
      <c r="J487" s="514">
        <v>5.72</v>
      </c>
      <c r="K487" s="514">
        <v>2925.0</v>
      </c>
      <c r="L487" s="514">
        <v>31985.0</v>
      </c>
      <c r="M487" s="514">
        <v>1.0409</v>
      </c>
      <c r="N487" s="6">
        <v>18.1677</v>
      </c>
    </row>
    <row r="488">
      <c r="A488" s="512" t="s">
        <v>2037</v>
      </c>
      <c r="B488" s="512" t="s">
        <v>163</v>
      </c>
      <c r="C488" s="512" t="s">
        <v>2035</v>
      </c>
      <c r="D488" s="512" t="s">
        <v>2036</v>
      </c>
      <c r="E488" s="513" t="s">
        <v>54</v>
      </c>
      <c r="F488" s="514">
        <v>2810.0</v>
      </c>
      <c r="G488" s="514">
        <v>3.0</v>
      </c>
      <c r="H488" s="514">
        <v>0.11</v>
      </c>
      <c r="I488" s="514">
        <v>0.19</v>
      </c>
      <c r="J488" s="514">
        <v>0.11</v>
      </c>
      <c r="K488" s="514">
        <v>60.0</v>
      </c>
      <c r="L488" s="514">
        <v>31985.0</v>
      </c>
      <c r="M488" s="514">
        <v>0.0214</v>
      </c>
      <c r="N488" s="6">
        <v>20.0</v>
      </c>
    </row>
    <row r="489">
      <c r="A489" s="512" t="s">
        <v>2037</v>
      </c>
      <c r="B489" s="512" t="s">
        <v>163</v>
      </c>
      <c r="C489" s="512" t="s">
        <v>2035</v>
      </c>
      <c r="D489" s="512" t="s">
        <v>2036</v>
      </c>
      <c r="E489" s="513" t="s">
        <v>377</v>
      </c>
      <c r="F489" s="514">
        <v>2810.0</v>
      </c>
      <c r="G489" s="514">
        <v>3.0</v>
      </c>
      <c r="H489" s="514">
        <v>0.11</v>
      </c>
      <c r="I489" s="514">
        <v>0.14</v>
      </c>
      <c r="J489" s="514">
        <v>0.11</v>
      </c>
      <c r="K489" s="514">
        <v>45.0</v>
      </c>
      <c r="L489" s="514">
        <v>31985.0</v>
      </c>
      <c r="M489" s="514">
        <v>0.016</v>
      </c>
      <c r="N489" s="6">
        <v>15.0</v>
      </c>
    </row>
    <row r="490">
      <c r="A490" s="512" t="s">
        <v>2037</v>
      </c>
      <c r="B490" s="512" t="s">
        <v>163</v>
      </c>
      <c r="C490" s="512" t="s">
        <v>73</v>
      </c>
      <c r="D490" s="512" t="s">
        <v>574</v>
      </c>
      <c r="E490" s="513" t="s">
        <v>379</v>
      </c>
      <c r="F490" s="514">
        <v>130121.0</v>
      </c>
      <c r="G490" s="514">
        <v>83498.0</v>
      </c>
      <c r="H490" s="514">
        <v>64.17</v>
      </c>
      <c r="I490" s="514">
        <v>21.71</v>
      </c>
      <c r="J490" s="514">
        <v>25.96</v>
      </c>
      <c r="K490" s="514">
        <v>141114.0</v>
      </c>
      <c r="L490" s="514">
        <v>650092.0</v>
      </c>
      <c r="M490" s="514">
        <v>1.0845</v>
      </c>
      <c r="N490" s="6">
        <v>1.69</v>
      </c>
    </row>
    <row r="491">
      <c r="A491" s="512" t="s">
        <v>2037</v>
      </c>
      <c r="B491" s="512" t="s">
        <v>163</v>
      </c>
      <c r="C491" s="512" t="s">
        <v>73</v>
      </c>
      <c r="D491" s="512" t="s">
        <v>574</v>
      </c>
      <c r="E491" s="513" t="s">
        <v>373</v>
      </c>
      <c r="F491" s="514">
        <v>130121.0</v>
      </c>
      <c r="G491" s="514">
        <v>66260.0</v>
      </c>
      <c r="H491" s="514">
        <v>50.92</v>
      </c>
      <c r="I491" s="514">
        <v>21.12</v>
      </c>
      <c r="J491" s="514">
        <v>18.5</v>
      </c>
      <c r="K491" s="514">
        <v>137327.0</v>
      </c>
      <c r="L491" s="514">
        <v>650092.0</v>
      </c>
      <c r="M491" s="514">
        <v>1.0554</v>
      </c>
      <c r="N491" s="6">
        <v>2.0725</v>
      </c>
    </row>
    <row r="492">
      <c r="A492" s="512" t="s">
        <v>2037</v>
      </c>
      <c r="B492" s="512" t="s">
        <v>163</v>
      </c>
      <c r="C492" s="512" t="s">
        <v>73</v>
      </c>
      <c r="D492" s="512" t="s">
        <v>574</v>
      </c>
      <c r="E492" s="513" t="s">
        <v>367</v>
      </c>
      <c r="F492" s="514">
        <v>130121.0</v>
      </c>
      <c r="G492" s="514">
        <v>27080.0</v>
      </c>
      <c r="H492" s="514">
        <v>20.81</v>
      </c>
      <c r="I492" s="514">
        <v>12.37</v>
      </c>
      <c r="J492" s="514">
        <v>7.63</v>
      </c>
      <c r="K492" s="514">
        <v>80396.0</v>
      </c>
      <c r="L492" s="514">
        <v>650092.0</v>
      </c>
      <c r="M492" s="514">
        <v>0.6179</v>
      </c>
      <c r="N492" s="6">
        <v>2.9688</v>
      </c>
    </row>
    <row r="493">
      <c r="A493" s="512" t="s">
        <v>2037</v>
      </c>
      <c r="B493" s="512" t="s">
        <v>163</v>
      </c>
      <c r="C493" s="512" t="s">
        <v>73</v>
      </c>
      <c r="D493" s="512" t="s">
        <v>574</v>
      </c>
      <c r="E493" s="513" t="s">
        <v>42</v>
      </c>
      <c r="F493" s="514">
        <v>130121.0</v>
      </c>
      <c r="G493" s="514">
        <v>40041.0</v>
      </c>
      <c r="H493" s="514">
        <v>30.77</v>
      </c>
      <c r="I493" s="514">
        <v>10.78</v>
      </c>
      <c r="J493" s="514">
        <v>11.71</v>
      </c>
      <c r="K493" s="514">
        <v>70073.0</v>
      </c>
      <c r="L493" s="514">
        <v>650092.0</v>
      </c>
      <c r="M493" s="514">
        <v>0.5385</v>
      </c>
      <c r="N493" s="6">
        <v>1.75</v>
      </c>
    </row>
    <row r="494">
      <c r="A494" s="512" t="s">
        <v>2037</v>
      </c>
      <c r="B494" s="512" t="s">
        <v>163</v>
      </c>
      <c r="C494" s="512" t="s">
        <v>73</v>
      </c>
      <c r="D494" s="512" t="s">
        <v>574</v>
      </c>
      <c r="E494" s="513" t="s">
        <v>380</v>
      </c>
      <c r="F494" s="514">
        <v>130121.0</v>
      </c>
      <c r="G494" s="514">
        <v>43512.0</v>
      </c>
      <c r="H494" s="514">
        <v>33.44</v>
      </c>
      <c r="I494" s="514">
        <v>9.07</v>
      </c>
      <c r="J494" s="514">
        <v>8.63</v>
      </c>
      <c r="K494" s="514">
        <v>58992.0</v>
      </c>
      <c r="L494" s="514">
        <v>650092.0</v>
      </c>
      <c r="M494" s="514">
        <v>0.4534</v>
      </c>
      <c r="N494" s="6">
        <v>1.3558</v>
      </c>
    </row>
    <row r="495">
      <c r="A495" s="512" t="s">
        <v>2037</v>
      </c>
      <c r="B495" s="512" t="s">
        <v>163</v>
      </c>
      <c r="C495" s="512" t="s">
        <v>73</v>
      </c>
      <c r="D495" s="512" t="s">
        <v>574</v>
      </c>
      <c r="E495" s="513" t="s">
        <v>372</v>
      </c>
      <c r="F495" s="514">
        <v>130121.0</v>
      </c>
      <c r="G495" s="514">
        <v>38768.0</v>
      </c>
      <c r="H495" s="514">
        <v>29.79</v>
      </c>
      <c r="I495" s="514">
        <v>6.5</v>
      </c>
      <c r="J495" s="514">
        <v>8.79</v>
      </c>
      <c r="K495" s="514">
        <v>42239.0</v>
      </c>
      <c r="L495" s="514">
        <v>650092.0</v>
      </c>
      <c r="M495" s="514">
        <v>0.3246</v>
      </c>
      <c r="N495" s="6">
        <v>1.0895</v>
      </c>
    </row>
    <row r="496">
      <c r="A496" s="512" t="s">
        <v>2037</v>
      </c>
      <c r="B496" s="512" t="s">
        <v>163</v>
      </c>
      <c r="C496" s="512" t="s">
        <v>73</v>
      </c>
      <c r="D496" s="512" t="s">
        <v>574</v>
      </c>
      <c r="E496" s="513" t="s">
        <v>40</v>
      </c>
      <c r="F496" s="514">
        <v>130121.0</v>
      </c>
      <c r="G496" s="514">
        <v>8842.0</v>
      </c>
      <c r="H496" s="514">
        <v>6.8</v>
      </c>
      <c r="I496" s="514">
        <v>5.27</v>
      </c>
      <c r="J496" s="514">
        <v>3.27</v>
      </c>
      <c r="K496" s="514">
        <v>34248.0</v>
      </c>
      <c r="L496" s="514">
        <v>650092.0</v>
      </c>
      <c r="M496" s="514">
        <v>0.2632</v>
      </c>
      <c r="N496" s="6">
        <v>3.8733</v>
      </c>
    </row>
    <row r="497">
      <c r="A497" s="512" t="s">
        <v>2037</v>
      </c>
      <c r="B497" s="512" t="s">
        <v>163</v>
      </c>
      <c r="C497" s="512" t="s">
        <v>73</v>
      </c>
      <c r="D497" s="512" t="s">
        <v>574</v>
      </c>
      <c r="E497" s="513" t="s">
        <v>377</v>
      </c>
      <c r="F497" s="514">
        <v>130121.0</v>
      </c>
      <c r="G497" s="514">
        <v>15180.0</v>
      </c>
      <c r="H497" s="514">
        <v>11.67</v>
      </c>
      <c r="I497" s="514">
        <v>3.12</v>
      </c>
      <c r="J497" s="514">
        <v>3.52</v>
      </c>
      <c r="K497" s="514">
        <v>20261.0</v>
      </c>
      <c r="L497" s="514">
        <v>650092.0</v>
      </c>
      <c r="M497" s="514">
        <v>0.1557</v>
      </c>
      <c r="N497" s="6">
        <v>1.3347</v>
      </c>
    </row>
    <row r="498">
      <c r="A498" s="512" t="s">
        <v>2037</v>
      </c>
      <c r="B498" s="512" t="s">
        <v>163</v>
      </c>
      <c r="C498" s="512" t="s">
        <v>73</v>
      </c>
      <c r="D498" s="512" t="s">
        <v>574</v>
      </c>
      <c r="E498" s="513" t="s">
        <v>134</v>
      </c>
      <c r="F498" s="514">
        <v>130121.0</v>
      </c>
      <c r="G498" s="514">
        <v>11555.0</v>
      </c>
      <c r="H498" s="514">
        <v>8.88</v>
      </c>
      <c r="I498" s="514">
        <v>2.56</v>
      </c>
      <c r="J498" s="514">
        <v>2.89</v>
      </c>
      <c r="K498" s="514">
        <v>16610.0</v>
      </c>
      <c r="L498" s="514">
        <v>650092.0</v>
      </c>
      <c r="M498" s="514">
        <v>0.1277</v>
      </c>
      <c r="N498" s="6">
        <v>1.4375</v>
      </c>
    </row>
    <row r="499">
      <c r="A499" s="512" t="s">
        <v>2037</v>
      </c>
      <c r="B499" s="512" t="s">
        <v>163</v>
      </c>
      <c r="C499" s="512" t="s">
        <v>73</v>
      </c>
      <c r="D499" s="512" t="s">
        <v>574</v>
      </c>
      <c r="E499" s="513" t="s">
        <v>50</v>
      </c>
      <c r="F499" s="514">
        <v>130121.0</v>
      </c>
      <c r="G499" s="514">
        <v>11473.0</v>
      </c>
      <c r="H499" s="514">
        <v>8.82</v>
      </c>
      <c r="I499" s="514">
        <v>2.06</v>
      </c>
      <c r="J499" s="514">
        <v>1.98</v>
      </c>
      <c r="K499" s="514">
        <v>13364.0</v>
      </c>
      <c r="L499" s="514">
        <v>650092.0</v>
      </c>
      <c r="M499" s="514">
        <v>0.1027</v>
      </c>
      <c r="N499" s="6">
        <v>1.1648</v>
      </c>
    </row>
    <row r="500">
      <c r="A500" s="512" t="s">
        <v>2037</v>
      </c>
      <c r="B500" s="512" t="s">
        <v>163</v>
      </c>
      <c r="C500" s="512" t="s">
        <v>73</v>
      </c>
      <c r="D500" s="512" t="s">
        <v>574</v>
      </c>
      <c r="E500" s="513" t="s">
        <v>32</v>
      </c>
      <c r="F500" s="514">
        <v>130121.0</v>
      </c>
      <c r="G500" s="514">
        <v>10344.0</v>
      </c>
      <c r="H500" s="514">
        <v>7.95</v>
      </c>
      <c r="I500" s="514">
        <v>1.72</v>
      </c>
      <c r="J500" s="514">
        <v>2.21</v>
      </c>
      <c r="K500" s="514">
        <v>11170.0</v>
      </c>
      <c r="L500" s="514">
        <v>650092.0</v>
      </c>
      <c r="M500" s="514">
        <v>0.0858</v>
      </c>
      <c r="N500" s="6">
        <v>1.0799</v>
      </c>
    </row>
    <row r="501">
      <c r="A501" s="512" t="s">
        <v>2037</v>
      </c>
      <c r="B501" s="512" t="s">
        <v>163</v>
      </c>
      <c r="C501" s="512" t="s">
        <v>73</v>
      </c>
      <c r="D501" s="512" t="s">
        <v>574</v>
      </c>
      <c r="E501" s="513" t="s">
        <v>312</v>
      </c>
      <c r="F501" s="514">
        <v>130121.0</v>
      </c>
      <c r="G501" s="514">
        <v>7274.0</v>
      </c>
      <c r="H501" s="514">
        <v>5.59</v>
      </c>
      <c r="I501" s="514">
        <v>1.25</v>
      </c>
      <c r="J501" s="514">
        <v>1.65</v>
      </c>
      <c r="K501" s="514">
        <v>8145.0</v>
      </c>
      <c r="L501" s="514">
        <v>650092.0</v>
      </c>
      <c r="M501" s="514">
        <v>0.0626</v>
      </c>
      <c r="N501" s="6">
        <v>1.1197</v>
      </c>
    </row>
    <row r="502">
      <c r="A502" s="512" t="s">
        <v>2037</v>
      </c>
      <c r="B502" s="512" t="s">
        <v>163</v>
      </c>
      <c r="C502" s="512" t="s">
        <v>73</v>
      </c>
      <c r="D502" s="512" t="s">
        <v>574</v>
      </c>
      <c r="E502" s="513" t="s">
        <v>310</v>
      </c>
      <c r="F502" s="514">
        <v>130121.0</v>
      </c>
      <c r="G502" s="514">
        <v>7417.0</v>
      </c>
      <c r="H502" s="514">
        <v>5.7</v>
      </c>
      <c r="I502" s="514">
        <v>1.23</v>
      </c>
      <c r="J502" s="514">
        <v>1.67</v>
      </c>
      <c r="K502" s="514">
        <v>7983.0</v>
      </c>
      <c r="L502" s="514">
        <v>650092.0</v>
      </c>
      <c r="M502" s="514">
        <v>0.0614</v>
      </c>
      <c r="N502" s="6">
        <v>1.0763</v>
      </c>
    </row>
    <row r="503">
      <c r="A503" s="512" t="s">
        <v>2037</v>
      </c>
      <c r="B503" s="512" t="s">
        <v>163</v>
      </c>
      <c r="C503" s="512" t="s">
        <v>73</v>
      </c>
      <c r="D503" s="512" t="s">
        <v>574</v>
      </c>
      <c r="E503" s="513" t="s">
        <v>44</v>
      </c>
      <c r="F503" s="514">
        <v>130121.0</v>
      </c>
      <c r="G503" s="514">
        <v>5072.0</v>
      </c>
      <c r="H503" s="514">
        <v>3.9</v>
      </c>
      <c r="I503" s="514">
        <v>0.89</v>
      </c>
      <c r="J503" s="514">
        <v>0.92</v>
      </c>
      <c r="K503" s="514">
        <v>5790.0</v>
      </c>
      <c r="L503" s="514">
        <v>650092.0</v>
      </c>
      <c r="M503" s="514">
        <v>0.0445</v>
      </c>
      <c r="N503" s="6">
        <v>1.1416</v>
      </c>
    </row>
    <row r="504">
      <c r="A504" s="512" t="s">
        <v>2037</v>
      </c>
      <c r="B504" s="512" t="s">
        <v>163</v>
      </c>
      <c r="C504" s="512" t="s">
        <v>73</v>
      </c>
      <c r="D504" s="512" t="s">
        <v>574</v>
      </c>
      <c r="E504" s="513" t="s">
        <v>311</v>
      </c>
      <c r="F504" s="514">
        <v>130121.0</v>
      </c>
      <c r="G504" s="514">
        <v>1931.0</v>
      </c>
      <c r="H504" s="514">
        <v>1.48</v>
      </c>
      <c r="I504" s="514">
        <v>0.31</v>
      </c>
      <c r="J504" s="514">
        <v>0.57</v>
      </c>
      <c r="K504" s="514">
        <v>1999.0</v>
      </c>
      <c r="L504" s="514">
        <v>650092.0</v>
      </c>
      <c r="M504" s="514">
        <v>0.0154</v>
      </c>
      <c r="N504" s="6">
        <v>1.0352</v>
      </c>
    </row>
    <row r="505">
      <c r="A505" s="512" t="s">
        <v>2037</v>
      </c>
      <c r="B505" s="512" t="s">
        <v>163</v>
      </c>
      <c r="C505" s="512" t="s">
        <v>73</v>
      </c>
      <c r="D505" s="512" t="s">
        <v>574</v>
      </c>
      <c r="E505" s="513" t="s">
        <v>43</v>
      </c>
      <c r="F505" s="514">
        <v>130121.0</v>
      </c>
      <c r="G505" s="514">
        <v>327.0</v>
      </c>
      <c r="H505" s="514">
        <v>0.25</v>
      </c>
      <c r="I505" s="514">
        <v>0.05</v>
      </c>
      <c r="J505" s="514">
        <v>0.09</v>
      </c>
      <c r="K505" s="514">
        <v>341.0</v>
      </c>
      <c r="L505" s="514">
        <v>650092.0</v>
      </c>
      <c r="M505" s="514">
        <v>0.0026</v>
      </c>
      <c r="N505" s="6">
        <v>1.0428</v>
      </c>
    </row>
    <row r="506">
      <c r="A506" s="512" t="s">
        <v>2037</v>
      </c>
      <c r="B506" s="512" t="s">
        <v>163</v>
      </c>
      <c r="C506" s="512" t="s">
        <v>73</v>
      </c>
      <c r="D506" s="512" t="s">
        <v>574</v>
      </c>
      <c r="E506" s="513" t="s">
        <v>46</v>
      </c>
      <c r="F506" s="514">
        <v>130121.0</v>
      </c>
      <c r="G506" s="514">
        <v>1.0</v>
      </c>
      <c r="H506" s="514">
        <v>0.0</v>
      </c>
      <c r="I506" s="514">
        <v>0.0</v>
      </c>
      <c r="J506" s="514">
        <v>0.0</v>
      </c>
      <c r="K506" s="514">
        <v>1.0</v>
      </c>
      <c r="L506" s="514">
        <v>650092.0</v>
      </c>
      <c r="M506" s="514">
        <v>0.0</v>
      </c>
      <c r="N506" s="6">
        <v>1.0</v>
      </c>
    </row>
    <row r="507">
      <c r="A507" s="512" t="s">
        <v>2037</v>
      </c>
      <c r="B507" s="512" t="s">
        <v>163</v>
      </c>
      <c r="C507" s="512" t="s">
        <v>73</v>
      </c>
      <c r="D507" s="512" t="s">
        <v>574</v>
      </c>
      <c r="E507" s="513" t="s">
        <v>374</v>
      </c>
      <c r="F507" s="514">
        <v>130121.0</v>
      </c>
      <c r="G507" s="514">
        <v>13.0</v>
      </c>
      <c r="H507" s="514">
        <v>0.01</v>
      </c>
      <c r="I507" s="514">
        <v>0.0</v>
      </c>
      <c r="J507" s="514">
        <v>0.01</v>
      </c>
      <c r="K507" s="514">
        <v>29.0</v>
      </c>
      <c r="L507" s="514">
        <v>650092.0</v>
      </c>
      <c r="M507" s="514">
        <v>2.0E-4</v>
      </c>
      <c r="N507" s="6">
        <v>2.2308</v>
      </c>
    </row>
    <row r="508">
      <c r="A508" s="512" t="s">
        <v>2037</v>
      </c>
      <c r="B508" s="512" t="s">
        <v>163</v>
      </c>
      <c r="C508" s="512" t="s">
        <v>73</v>
      </c>
      <c r="D508" s="512" t="s">
        <v>574</v>
      </c>
      <c r="E508" s="513" t="s">
        <v>35</v>
      </c>
      <c r="F508" s="514">
        <v>130121.0</v>
      </c>
      <c r="G508" s="514">
        <v>5.0</v>
      </c>
      <c r="H508" s="514">
        <v>0.0</v>
      </c>
      <c r="I508" s="514">
        <v>0.0</v>
      </c>
      <c r="J508" s="514">
        <v>0.0</v>
      </c>
      <c r="K508" s="514">
        <v>5.0</v>
      </c>
      <c r="L508" s="514">
        <v>650092.0</v>
      </c>
      <c r="M508" s="514">
        <v>0.0</v>
      </c>
      <c r="N508" s="6">
        <v>1.0</v>
      </c>
    </row>
    <row r="509">
      <c r="A509" s="512" t="s">
        <v>2037</v>
      </c>
      <c r="B509" s="512" t="s">
        <v>163</v>
      </c>
      <c r="C509" s="512" t="s">
        <v>73</v>
      </c>
      <c r="D509" s="512" t="s">
        <v>574</v>
      </c>
      <c r="E509" s="513" t="s">
        <v>375</v>
      </c>
      <c r="F509" s="514">
        <v>130121.0</v>
      </c>
      <c r="G509" s="514">
        <v>1.0</v>
      </c>
      <c r="H509" s="514">
        <v>0.0</v>
      </c>
      <c r="I509" s="514">
        <v>0.0</v>
      </c>
      <c r="J509" s="514">
        <v>0.0</v>
      </c>
      <c r="K509" s="514">
        <v>1.0</v>
      </c>
      <c r="L509" s="514">
        <v>650092.0</v>
      </c>
      <c r="M509" s="514">
        <v>0.0</v>
      </c>
      <c r="N509" s="6">
        <v>1.0</v>
      </c>
    </row>
    <row r="510">
      <c r="A510" s="512" t="s">
        <v>2037</v>
      </c>
      <c r="B510" s="512" t="s">
        <v>163</v>
      </c>
      <c r="C510" s="512" t="s">
        <v>73</v>
      </c>
      <c r="D510" s="512" t="s">
        <v>574</v>
      </c>
      <c r="E510" s="513" t="s">
        <v>189</v>
      </c>
      <c r="F510" s="514">
        <v>130121.0</v>
      </c>
      <c r="G510" s="514">
        <v>4.0</v>
      </c>
      <c r="H510" s="514">
        <v>0.0</v>
      </c>
      <c r="I510" s="514">
        <v>0.0</v>
      </c>
      <c r="J510" s="514">
        <v>0.0</v>
      </c>
      <c r="K510" s="514">
        <v>4.0</v>
      </c>
      <c r="L510" s="514">
        <v>650092.0</v>
      </c>
      <c r="M510" s="514">
        <v>0.0</v>
      </c>
      <c r="N510" s="6">
        <v>1.0</v>
      </c>
    </row>
    <row r="511">
      <c r="A511" s="512" t="s">
        <v>2037</v>
      </c>
      <c r="B511" s="512" t="s">
        <v>163</v>
      </c>
      <c r="C511" s="512" t="s">
        <v>72</v>
      </c>
      <c r="D511" s="512" t="s">
        <v>574</v>
      </c>
      <c r="E511" s="513" t="s">
        <v>373</v>
      </c>
      <c r="F511" s="514">
        <v>134936.0</v>
      </c>
      <c r="G511" s="514">
        <v>81286.0</v>
      </c>
      <c r="H511" s="514">
        <v>60.24</v>
      </c>
      <c r="I511" s="514">
        <v>26.7</v>
      </c>
      <c r="J511" s="514">
        <v>24.85</v>
      </c>
      <c r="K511" s="514">
        <v>210522.0</v>
      </c>
      <c r="L511" s="514">
        <v>788346.0</v>
      </c>
      <c r="M511" s="514">
        <v>1.5602</v>
      </c>
      <c r="N511" s="6">
        <v>2.5899</v>
      </c>
    </row>
    <row r="512">
      <c r="A512" s="512" t="s">
        <v>2037</v>
      </c>
      <c r="B512" s="512" t="s">
        <v>163</v>
      </c>
      <c r="C512" s="512" t="s">
        <v>72</v>
      </c>
      <c r="D512" s="512" t="s">
        <v>574</v>
      </c>
      <c r="E512" s="513" t="s">
        <v>379</v>
      </c>
      <c r="F512" s="514">
        <v>134936.0</v>
      </c>
      <c r="G512" s="514">
        <v>69690.0</v>
      </c>
      <c r="H512" s="514">
        <v>51.65</v>
      </c>
      <c r="I512" s="514">
        <v>13.73</v>
      </c>
      <c r="J512" s="514">
        <v>15.98</v>
      </c>
      <c r="K512" s="514">
        <v>108265.0</v>
      </c>
      <c r="L512" s="514">
        <v>788346.0</v>
      </c>
      <c r="M512" s="514">
        <v>0.8023</v>
      </c>
      <c r="N512" s="6">
        <v>1.5535</v>
      </c>
    </row>
    <row r="513">
      <c r="A513" s="512" t="s">
        <v>2037</v>
      </c>
      <c r="B513" s="512" t="s">
        <v>163</v>
      </c>
      <c r="C513" s="512" t="s">
        <v>72</v>
      </c>
      <c r="D513" s="512" t="s">
        <v>574</v>
      </c>
      <c r="E513" s="513" t="s">
        <v>367</v>
      </c>
      <c r="F513" s="514">
        <v>134936.0</v>
      </c>
      <c r="G513" s="514">
        <v>27250.0</v>
      </c>
      <c r="H513" s="514">
        <v>20.19</v>
      </c>
      <c r="I513" s="514">
        <v>10.12</v>
      </c>
      <c r="J513" s="514">
        <v>6.46</v>
      </c>
      <c r="K513" s="514">
        <v>79795.0</v>
      </c>
      <c r="L513" s="514">
        <v>788346.0</v>
      </c>
      <c r="M513" s="514">
        <v>0.5914</v>
      </c>
      <c r="N513" s="6">
        <v>2.9283</v>
      </c>
    </row>
    <row r="514">
      <c r="A514" s="512" t="s">
        <v>2037</v>
      </c>
      <c r="B514" s="512" t="s">
        <v>163</v>
      </c>
      <c r="C514" s="512" t="s">
        <v>72</v>
      </c>
      <c r="D514" s="512" t="s">
        <v>574</v>
      </c>
      <c r="E514" s="513" t="s">
        <v>40</v>
      </c>
      <c r="F514" s="514">
        <v>134936.0</v>
      </c>
      <c r="G514" s="514">
        <v>28379.0</v>
      </c>
      <c r="H514" s="514">
        <v>21.03</v>
      </c>
      <c r="I514" s="514">
        <v>8.38</v>
      </c>
      <c r="J514" s="514">
        <v>7.83</v>
      </c>
      <c r="K514" s="514">
        <v>66033.0</v>
      </c>
      <c r="L514" s="514">
        <v>788346.0</v>
      </c>
      <c r="M514" s="514">
        <v>0.4894</v>
      </c>
      <c r="N514" s="6">
        <v>2.3268</v>
      </c>
    </row>
    <row r="515">
      <c r="A515" s="512" t="s">
        <v>2037</v>
      </c>
      <c r="B515" s="512" t="s">
        <v>163</v>
      </c>
      <c r="C515" s="512" t="s">
        <v>72</v>
      </c>
      <c r="D515" s="512" t="s">
        <v>574</v>
      </c>
      <c r="E515" s="513" t="s">
        <v>42</v>
      </c>
      <c r="F515" s="514">
        <v>134936.0</v>
      </c>
      <c r="G515" s="514">
        <v>33308.0</v>
      </c>
      <c r="H515" s="514">
        <v>24.68</v>
      </c>
      <c r="I515" s="514">
        <v>6.66</v>
      </c>
      <c r="J515" s="514">
        <v>7.31</v>
      </c>
      <c r="K515" s="514">
        <v>52525.0</v>
      </c>
      <c r="L515" s="514">
        <v>788346.0</v>
      </c>
      <c r="M515" s="514">
        <v>0.3893</v>
      </c>
      <c r="N515" s="6">
        <v>1.5769</v>
      </c>
    </row>
    <row r="516">
      <c r="A516" s="512" t="s">
        <v>2037</v>
      </c>
      <c r="B516" s="512" t="s">
        <v>163</v>
      </c>
      <c r="C516" s="512" t="s">
        <v>72</v>
      </c>
      <c r="D516" s="512" t="s">
        <v>574</v>
      </c>
      <c r="E516" s="513" t="s">
        <v>377</v>
      </c>
      <c r="F516" s="514">
        <v>134936.0</v>
      </c>
      <c r="G516" s="514">
        <v>32965.0</v>
      </c>
      <c r="H516" s="514">
        <v>24.43</v>
      </c>
      <c r="I516" s="514">
        <v>5.31</v>
      </c>
      <c r="J516" s="514">
        <v>6.47</v>
      </c>
      <c r="K516" s="514">
        <v>41869.0</v>
      </c>
      <c r="L516" s="514">
        <v>788346.0</v>
      </c>
      <c r="M516" s="514">
        <v>0.3103</v>
      </c>
      <c r="N516" s="6">
        <v>1.2701</v>
      </c>
    </row>
    <row r="517">
      <c r="A517" s="512" t="s">
        <v>2037</v>
      </c>
      <c r="B517" s="512" t="s">
        <v>163</v>
      </c>
      <c r="C517" s="512" t="s">
        <v>72</v>
      </c>
      <c r="D517" s="512" t="s">
        <v>574</v>
      </c>
      <c r="E517" s="513" t="s">
        <v>374</v>
      </c>
      <c r="F517" s="514">
        <v>134936.0</v>
      </c>
      <c r="G517" s="514">
        <v>19631.0</v>
      </c>
      <c r="H517" s="514">
        <v>14.55</v>
      </c>
      <c r="I517" s="514">
        <v>5.15</v>
      </c>
      <c r="J517" s="514">
        <v>3.69</v>
      </c>
      <c r="K517" s="514">
        <v>40602.0</v>
      </c>
      <c r="L517" s="514">
        <v>788346.0</v>
      </c>
      <c r="M517" s="514">
        <v>0.3009</v>
      </c>
      <c r="N517" s="6">
        <v>2.0683</v>
      </c>
    </row>
    <row r="518">
      <c r="A518" s="512" t="s">
        <v>2037</v>
      </c>
      <c r="B518" s="512" t="s">
        <v>163</v>
      </c>
      <c r="C518" s="512" t="s">
        <v>72</v>
      </c>
      <c r="D518" s="512" t="s">
        <v>574</v>
      </c>
      <c r="E518" s="513" t="s">
        <v>32</v>
      </c>
      <c r="F518" s="514">
        <v>134936.0</v>
      </c>
      <c r="G518" s="514">
        <v>30553.0</v>
      </c>
      <c r="H518" s="514">
        <v>22.64</v>
      </c>
      <c r="I518" s="514">
        <v>4.7</v>
      </c>
      <c r="J518" s="514">
        <v>5.1</v>
      </c>
      <c r="K518" s="514">
        <v>37072.0</v>
      </c>
      <c r="L518" s="514">
        <v>788346.0</v>
      </c>
      <c r="M518" s="514">
        <v>0.2747</v>
      </c>
      <c r="N518" s="6">
        <v>1.2134</v>
      </c>
    </row>
    <row r="519">
      <c r="A519" s="512" t="s">
        <v>2037</v>
      </c>
      <c r="B519" s="512" t="s">
        <v>163</v>
      </c>
      <c r="C519" s="512" t="s">
        <v>72</v>
      </c>
      <c r="D519" s="512" t="s">
        <v>574</v>
      </c>
      <c r="E519" s="513" t="s">
        <v>49</v>
      </c>
      <c r="F519" s="514">
        <v>134936.0</v>
      </c>
      <c r="G519" s="514">
        <v>23777.0</v>
      </c>
      <c r="H519" s="514">
        <v>17.62</v>
      </c>
      <c r="I519" s="514">
        <v>4.19</v>
      </c>
      <c r="J519" s="514">
        <v>4.22</v>
      </c>
      <c r="K519" s="514">
        <v>33016.0</v>
      </c>
      <c r="L519" s="514">
        <v>788346.0</v>
      </c>
      <c r="M519" s="514">
        <v>0.2447</v>
      </c>
      <c r="N519" s="6">
        <v>1.3886</v>
      </c>
    </row>
    <row r="520">
      <c r="A520" s="512" t="s">
        <v>2037</v>
      </c>
      <c r="B520" s="512" t="s">
        <v>163</v>
      </c>
      <c r="C520" s="512" t="s">
        <v>72</v>
      </c>
      <c r="D520" s="512" t="s">
        <v>574</v>
      </c>
      <c r="E520" s="513" t="s">
        <v>310</v>
      </c>
      <c r="F520" s="514">
        <v>134936.0</v>
      </c>
      <c r="G520" s="514">
        <v>24732.0</v>
      </c>
      <c r="H520" s="514">
        <v>18.33</v>
      </c>
      <c r="I520" s="514">
        <v>3.67</v>
      </c>
      <c r="J520" s="514">
        <v>4.41</v>
      </c>
      <c r="K520" s="514">
        <v>28897.0</v>
      </c>
      <c r="L520" s="514">
        <v>788346.0</v>
      </c>
      <c r="M520" s="514">
        <v>0.2142</v>
      </c>
      <c r="N520" s="6">
        <v>1.1684</v>
      </c>
    </row>
    <row r="521">
      <c r="A521" s="512" t="s">
        <v>2037</v>
      </c>
      <c r="B521" s="512" t="s">
        <v>163</v>
      </c>
      <c r="C521" s="512" t="s">
        <v>72</v>
      </c>
      <c r="D521" s="512" t="s">
        <v>574</v>
      </c>
      <c r="E521" s="513" t="s">
        <v>372</v>
      </c>
      <c r="F521" s="514">
        <v>134936.0</v>
      </c>
      <c r="G521" s="514">
        <v>26081.0</v>
      </c>
      <c r="H521" s="514">
        <v>19.33</v>
      </c>
      <c r="I521" s="514">
        <v>3.51</v>
      </c>
      <c r="J521" s="514">
        <v>4.55</v>
      </c>
      <c r="K521" s="514">
        <v>27669.0</v>
      </c>
      <c r="L521" s="514">
        <v>788346.0</v>
      </c>
      <c r="M521" s="514">
        <v>0.2051</v>
      </c>
      <c r="N521" s="6">
        <v>1.0609</v>
      </c>
    </row>
    <row r="522">
      <c r="A522" s="512" t="s">
        <v>2037</v>
      </c>
      <c r="B522" s="512" t="s">
        <v>163</v>
      </c>
      <c r="C522" s="512" t="s">
        <v>72</v>
      </c>
      <c r="D522" s="512" t="s">
        <v>574</v>
      </c>
      <c r="E522" s="513" t="s">
        <v>312</v>
      </c>
      <c r="F522" s="514">
        <v>134936.0</v>
      </c>
      <c r="G522" s="514">
        <v>22405.0</v>
      </c>
      <c r="H522" s="514">
        <v>16.6</v>
      </c>
      <c r="I522" s="514">
        <v>3.48</v>
      </c>
      <c r="J522" s="514">
        <v>4.27</v>
      </c>
      <c r="K522" s="514">
        <v>27426.0</v>
      </c>
      <c r="L522" s="514">
        <v>788346.0</v>
      </c>
      <c r="M522" s="514">
        <v>0.2033</v>
      </c>
      <c r="N522" s="6">
        <v>1.2241</v>
      </c>
    </row>
    <row r="523">
      <c r="A523" s="512" t="s">
        <v>2037</v>
      </c>
      <c r="B523" s="512" t="s">
        <v>163</v>
      </c>
      <c r="C523" s="512" t="s">
        <v>72</v>
      </c>
      <c r="D523" s="512" t="s">
        <v>574</v>
      </c>
      <c r="E523" s="513" t="s">
        <v>50</v>
      </c>
      <c r="F523" s="514">
        <v>134936.0</v>
      </c>
      <c r="G523" s="514">
        <v>12225.0</v>
      </c>
      <c r="H523" s="514">
        <v>9.06</v>
      </c>
      <c r="I523" s="514">
        <v>1.8</v>
      </c>
      <c r="J523" s="514">
        <v>1.62</v>
      </c>
      <c r="K523" s="514">
        <v>14165.0</v>
      </c>
      <c r="L523" s="514">
        <v>788346.0</v>
      </c>
      <c r="M523" s="514">
        <v>0.105</v>
      </c>
      <c r="N523" s="6">
        <v>1.1587</v>
      </c>
    </row>
    <row r="524">
      <c r="A524" s="512" t="s">
        <v>2037</v>
      </c>
      <c r="B524" s="512" t="s">
        <v>163</v>
      </c>
      <c r="C524" s="512" t="s">
        <v>72</v>
      </c>
      <c r="D524" s="512" t="s">
        <v>574</v>
      </c>
      <c r="E524" s="513" t="s">
        <v>380</v>
      </c>
      <c r="F524" s="514">
        <v>134936.0</v>
      </c>
      <c r="G524" s="514">
        <v>8358.0</v>
      </c>
      <c r="H524" s="514">
        <v>6.19</v>
      </c>
      <c r="I524" s="514">
        <v>1.33</v>
      </c>
      <c r="J524" s="514">
        <v>1.34</v>
      </c>
      <c r="K524" s="514">
        <v>10509.0</v>
      </c>
      <c r="L524" s="514">
        <v>788346.0</v>
      </c>
      <c r="M524" s="514">
        <v>0.0779</v>
      </c>
      <c r="N524" s="6">
        <v>1.2574</v>
      </c>
    </row>
    <row r="525">
      <c r="A525" s="512" t="s">
        <v>2037</v>
      </c>
      <c r="B525" s="512" t="s">
        <v>163</v>
      </c>
      <c r="C525" s="512" t="s">
        <v>72</v>
      </c>
      <c r="D525" s="512" t="s">
        <v>574</v>
      </c>
      <c r="E525" s="513" t="s">
        <v>311</v>
      </c>
      <c r="F525" s="514">
        <v>134936.0</v>
      </c>
      <c r="G525" s="514">
        <v>6631.0</v>
      </c>
      <c r="H525" s="514">
        <v>4.91</v>
      </c>
      <c r="I525" s="514">
        <v>0.87</v>
      </c>
      <c r="J525" s="514">
        <v>1.32</v>
      </c>
      <c r="K525" s="514">
        <v>6840.0</v>
      </c>
      <c r="L525" s="514">
        <v>788346.0</v>
      </c>
      <c r="M525" s="514">
        <v>0.0507</v>
      </c>
      <c r="N525" s="6">
        <v>1.0315</v>
      </c>
    </row>
    <row r="526">
      <c r="A526" s="512" t="s">
        <v>2037</v>
      </c>
      <c r="B526" s="512" t="s">
        <v>163</v>
      </c>
      <c r="C526" s="512" t="s">
        <v>72</v>
      </c>
      <c r="D526" s="512" t="s">
        <v>574</v>
      </c>
      <c r="E526" s="513" t="s">
        <v>44</v>
      </c>
      <c r="F526" s="514">
        <v>134936.0</v>
      </c>
      <c r="G526" s="514">
        <v>1530.0</v>
      </c>
      <c r="H526" s="514">
        <v>1.13</v>
      </c>
      <c r="I526" s="514">
        <v>0.23</v>
      </c>
      <c r="J526" s="514">
        <v>0.32</v>
      </c>
      <c r="K526" s="514">
        <v>1777.0</v>
      </c>
      <c r="L526" s="514">
        <v>788346.0</v>
      </c>
      <c r="M526" s="514">
        <v>0.0132</v>
      </c>
      <c r="N526" s="6">
        <v>1.1614</v>
      </c>
    </row>
    <row r="527">
      <c r="A527" s="512" t="s">
        <v>2037</v>
      </c>
      <c r="B527" s="512" t="s">
        <v>163</v>
      </c>
      <c r="C527" s="512" t="s">
        <v>72</v>
      </c>
      <c r="D527" s="512" t="s">
        <v>574</v>
      </c>
      <c r="E527" s="513" t="s">
        <v>43</v>
      </c>
      <c r="F527" s="514">
        <v>134936.0</v>
      </c>
      <c r="G527" s="514">
        <v>1040.0</v>
      </c>
      <c r="H527" s="514">
        <v>0.77</v>
      </c>
      <c r="I527" s="514">
        <v>0.14</v>
      </c>
      <c r="J527" s="514">
        <v>0.22</v>
      </c>
      <c r="K527" s="514">
        <v>1089.0</v>
      </c>
      <c r="L527" s="514">
        <v>788346.0</v>
      </c>
      <c r="M527" s="514">
        <v>0.0081</v>
      </c>
      <c r="N527" s="6">
        <v>1.0471</v>
      </c>
    </row>
    <row r="528">
      <c r="A528" s="512" t="s">
        <v>2037</v>
      </c>
      <c r="B528" s="512" t="s">
        <v>163</v>
      </c>
      <c r="C528" s="512" t="s">
        <v>72</v>
      </c>
      <c r="D528" s="512" t="s">
        <v>574</v>
      </c>
      <c r="E528" s="513" t="s">
        <v>134</v>
      </c>
      <c r="F528" s="514">
        <v>134936.0</v>
      </c>
      <c r="G528" s="514">
        <v>214.0</v>
      </c>
      <c r="H528" s="514">
        <v>0.16</v>
      </c>
      <c r="I528" s="514">
        <v>0.03</v>
      </c>
      <c r="J528" s="514">
        <v>0.03</v>
      </c>
      <c r="K528" s="514">
        <v>255.0</v>
      </c>
      <c r="L528" s="514">
        <v>788346.0</v>
      </c>
      <c r="M528" s="514">
        <v>0.0019</v>
      </c>
      <c r="N528" s="6">
        <v>1.1916</v>
      </c>
    </row>
    <row r="529">
      <c r="A529" s="512" t="s">
        <v>2037</v>
      </c>
      <c r="B529" s="512" t="s">
        <v>163</v>
      </c>
      <c r="C529" s="512" t="s">
        <v>72</v>
      </c>
      <c r="D529" s="512" t="s">
        <v>574</v>
      </c>
      <c r="E529" s="513" t="s">
        <v>375</v>
      </c>
      <c r="F529" s="514">
        <v>134936.0</v>
      </c>
      <c r="G529" s="514">
        <v>14.0</v>
      </c>
      <c r="H529" s="514">
        <v>0.01</v>
      </c>
      <c r="I529" s="514">
        <v>0.0</v>
      </c>
      <c r="J529" s="514">
        <v>0.01</v>
      </c>
      <c r="K529" s="514">
        <v>16.0</v>
      </c>
      <c r="L529" s="514">
        <v>788346.0</v>
      </c>
      <c r="M529" s="514">
        <v>1.0E-4</v>
      </c>
      <c r="N529" s="6">
        <v>1.1429</v>
      </c>
    </row>
    <row r="530">
      <c r="A530" s="512" t="s">
        <v>2037</v>
      </c>
      <c r="B530" s="512" t="s">
        <v>163</v>
      </c>
      <c r="C530" s="512" t="s">
        <v>72</v>
      </c>
      <c r="D530" s="512" t="s">
        <v>574</v>
      </c>
      <c r="E530" s="513" t="s">
        <v>189</v>
      </c>
      <c r="F530" s="514">
        <v>134936.0</v>
      </c>
      <c r="G530" s="514">
        <v>4.0</v>
      </c>
      <c r="H530" s="514">
        <v>0.0</v>
      </c>
      <c r="I530" s="514">
        <v>0.0</v>
      </c>
      <c r="J530" s="514">
        <v>0.0</v>
      </c>
      <c r="K530" s="514">
        <v>4.0</v>
      </c>
      <c r="L530" s="514">
        <v>788346.0</v>
      </c>
      <c r="M530" s="514">
        <v>0.0</v>
      </c>
      <c r="N530" s="6">
        <v>1.0</v>
      </c>
    </row>
    <row r="531">
      <c r="A531" s="512" t="s">
        <v>2037</v>
      </c>
      <c r="B531" s="512" t="s">
        <v>163</v>
      </c>
      <c r="C531" s="512" t="s">
        <v>1883</v>
      </c>
      <c r="D531" s="512" t="s">
        <v>2036</v>
      </c>
      <c r="E531" s="513" t="s">
        <v>373</v>
      </c>
      <c r="F531" s="514">
        <v>22651.0</v>
      </c>
      <c r="G531" s="514">
        <v>19823.0</v>
      </c>
      <c r="H531" s="514">
        <v>87.51</v>
      </c>
      <c r="I531" s="514">
        <v>89.2</v>
      </c>
      <c r="J531" s="514">
        <v>86.17</v>
      </c>
      <c r="K531" s="514">
        <v>617400.0</v>
      </c>
      <c r="L531" s="514">
        <v>692115.0</v>
      </c>
      <c r="M531" s="514">
        <v>27.2571</v>
      </c>
      <c r="N531" s="6">
        <v>31.1456</v>
      </c>
    </row>
    <row r="532">
      <c r="A532" s="512" t="s">
        <v>2037</v>
      </c>
      <c r="B532" s="512" t="s">
        <v>163</v>
      </c>
      <c r="C532" s="512" t="s">
        <v>1883</v>
      </c>
      <c r="D532" s="512" t="s">
        <v>2036</v>
      </c>
      <c r="E532" s="513" t="s">
        <v>134</v>
      </c>
      <c r="F532" s="514">
        <v>22651.0</v>
      </c>
      <c r="G532" s="514">
        <v>2016.0</v>
      </c>
      <c r="H532" s="514">
        <v>8.9</v>
      </c>
      <c r="I532" s="514">
        <v>6.45</v>
      </c>
      <c r="J532" s="514">
        <v>7.18</v>
      </c>
      <c r="K532" s="514">
        <v>44655.0</v>
      </c>
      <c r="L532" s="514">
        <v>692115.0</v>
      </c>
      <c r="M532" s="514">
        <v>1.9714</v>
      </c>
      <c r="N532" s="6">
        <v>22.1503</v>
      </c>
    </row>
    <row r="533">
      <c r="A533" s="512" t="s">
        <v>2037</v>
      </c>
      <c r="B533" s="512" t="s">
        <v>163</v>
      </c>
      <c r="C533" s="512" t="s">
        <v>1883</v>
      </c>
      <c r="D533" s="512" t="s">
        <v>2036</v>
      </c>
      <c r="E533" s="513" t="s">
        <v>377</v>
      </c>
      <c r="F533" s="514">
        <v>22651.0</v>
      </c>
      <c r="G533" s="514">
        <v>573.0</v>
      </c>
      <c r="H533" s="514">
        <v>2.53</v>
      </c>
      <c r="I533" s="514">
        <v>2.64</v>
      </c>
      <c r="J533" s="514">
        <v>2.51</v>
      </c>
      <c r="K533" s="514">
        <v>18280.0</v>
      </c>
      <c r="L533" s="514">
        <v>692115.0</v>
      </c>
      <c r="M533" s="514">
        <v>0.807</v>
      </c>
      <c r="N533" s="6">
        <v>31.9023</v>
      </c>
    </row>
    <row r="534">
      <c r="A534" s="512" t="s">
        <v>2037</v>
      </c>
      <c r="B534" s="512" t="s">
        <v>163</v>
      </c>
      <c r="C534" s="512" t="s">
        <v>1883</v>
      </c>
      <c r="D534" s="512" t="s">
        <v>2036</v>
      </c>
      <c r="E534" s="513" t="s">
        <v>375</v>
      </c>
      <c r="F534" s="514">
        <v>22651.0</v>
      </c>
      <c r="G534" s="514">
        <v>519.0</v>
      </c>
      <c r="H534" s="514">
        <v>2.29</v>
      </c>
      <c r="I534" s="514">
        <v>0.85</v>
      </c>
      <c r="J534" s="514">
        <v>2.01</v>
      </c>
      <c r="K534" s="514">
        <v>5885.0</v>
      </c>
      <c r="L534" s="514">
        <v>692115.0</v>
      </c>
      <c r="M534" s="514">
        <v>0.2598</v>
      </c>
      <c r="N534" s="6">
        <v>11.3391</v>
      </c>
    </row>
    <row r="535">
      <c r="A535" s="512" t="s">
        <v>2037</v>
      </c>
      <c r="B535" s="512" t="s">
        <v>163</v>
      </c>
      <c r="C535" s="512" t="s">
        <v>1883</v>
      </c>
      <c r="D535" s="512" t="s">
        <v>2036</v>
      </c>
      <c r="E535" s="513" t="s">
        <v>189</v>
      </c>
      <c r="F535" s="514">
        <v>22651.0</v>
      </c>
      <c r="G535" s="514">
        <v>319.0</v>
      </c>
      <c r="H535" s="514">
        <v>1.41</v>
      </c>
      <c r="I535" s="514">
        <v>0.48</v>
      </c>
      <c r="J535" s="514">
        <v>1.15</v>
      </c>
      <c r="K535" s="514">
        <v>3300.0</v>
      </c>
      <c r="L535" s="514">
        <v>692115.0</v>
      </c>
      <c r="M535" s="514">
        <v>0.1457</v>
      </c>
      <c r="N535" s="6">
        <v>10.3448</v>
      </c>
    </row>
    <row r="536">
      <c r="A536" s="512" t="s">
        <v>2037</v>
      </c>
      <c r="B536" s="512" t="s">
        <v>163</v>
      </c>
      <c r="C536" s="512" t="s">
        <v>1883</v>
      </c>
      <c r="D536" s="512" t="s">
        <v>2036</v>
      </c>
      <c r="E536" s="513" t="s">
        <v>380</v>
      </c>
      <c r="F536" s="514">
        <v>22651.0</v>
      </c>
      <c r="G536" s="514">
        <v>219.0</v>
      </c>
      <c r="H536" s="514">
        <v>0.97</v>
      </c>
      <c r="I536" s="514">
        <v>0.36</v>
      </c>
      <c r="J536" s="514">
        <v>0.96</v>
      </c>
      <c r="K536" s="514">
        <v>2490.0</v>
      </c>
      <c r="L536" s="514">
        <v>692115.0</v>
      </c>
      <c r="M536" s="514">
        <v>0.1099</v>
      </c>
      <c r="N536" s="6">
        <v>11.3699</v>
      </c>
    </row>
    <row r="537">
      <c r="A537" s="512" t="s">
        <v>2037</v>
      </c>
      <c r="B537" s="512" t="s">
        <v>163</v>
      </c>
      <c r="C537" s="512" t="s">
        <v>1883</v>
      </c>
      <c r="D537" s="512" t="s">
        <v>2036</v>
      </c>
      <c r="E537" s="513" t="s">
        <v>35</v>
      </c>
      <c r="F537" s="514">
        <v>22651.0</v>
      </c>
      <c r="G537" s="514">
        <v>7.0</v>
      </c>
      <c r="H537" s="514">
        <v>0.03</v>
      </c>
      <c r="I537" s="514">
        <v>0.02</v>
      </c>
      <c r="J537" s="514">
        <v>0.03</v>
      </c>
      <c r="K537" s="514">
        <v>105.0</v>
      </c>
      <c r="L537" s="514">
        <v>692115.0</v>
      </c>
      <c r="M537" s="514">
        <v>0.0046</v>
      </c>
      <c r="N537" s="6">
        <v>15.0</v>
      </c>
    </row>
    <row r="538">
      <c r="A538" s="512" t="s">
        <v>2037</v>
      </c>
      <c r="B538" s="512" t="s">
        <v>163</v>
      </c>
      <c r="C538" s="512" t="s">
        <v>1884</v>
      </c>
      <c r="D538" s="512" t="s">
        <v>2036</v>
      </c>
      <c r="E538" s="513" t="s">
        <v>380</v>
      </c>
      <c r="F538" s="514">
        <v>103164.0</v>
      </c>
      <c r="G538" s="514">
        <v>83002.0</v>
      </c>
      <c r="H538" s="514">
        <v>80.46</v>
      </c>
      <c r="I538" s="514">
        <v>45.99</v>
      </c>
      <c r="J538" s="514">
        <v>63.29</v>
      </c>
      <c r="K538" s="514">
        <v>1571005.0</v>
      </c>
      <c r="L538" s="514">
        <v>3415670.0</v>
      </c>
      <c r="M538" s="514">
        <v>15.2282</v>
      </c>
      <c r="N538" s="6">
        <v>18.9273</v>
      </c>
    </row>
    <row r="539">
      <c r="A539" s="512" t="s">
        <v>2037</v>
      </c>
      <c r="B539" s="512" t="s">
        <v>163</v>
      </c>
      <c r="C539" s="512" t="s">
        <v>1884</v>
      </c>
      <c r="D539" s="512" t="s">
        <v>2036</v>
      </c>
      <c r="E539" s="513" t="s">
        <v>373</v>
      </c>
      <c r="F539" s="514">
        <v>103164.0</v>
      </c>
      <c r="G539" s="514">
        <v>19985.0</v>
      </c>
      <c r="H539" s="514">
        <v>19.37</v>
      </c>
      <c r="I539" s="514">
        <v>36.56</v>
      </c>
      <c r="J539" s="514">
        <v>14.69</v>
      </c>
      <c r="K539" s="514">
        <v>1248780.0</v>
      </c>
      <c r="L539" s="514">
        <v>3415670.0</v>
      </c>
      <c r="M539" s="514">
        <v>12.1048</v>
      </c>
      <c r="N539" s="6">
        <v>62.4859</v>
      </c>
    </row>
    <row r="540">
      <c r="A540" s="512" t="s">
        <v>2037</v>
      </c>
      <c r="B540" s="512" t="s">
        <v>163</v>
      </c>
      <c r="C540" s="512" t="s">
        <v>1884</v>
      </c>
      <c r="D540" s="512" t="s">
        <v>2036</v>
      </c>
      <c r="E540" s="513" t="s">
        <v>375</v>
      </c>
      <c r="F540" s="514">
        <v>103164.0</v>
      </c>
      <c r="G540" s="514">
        <v>28255.0</v>
      </c>
      <c r="H540" s="514">
        <v>27.39</v>
      </c>
      <c r="I540" s="514">
        <v>10.78</v>
      </c>
      <c r="J540" s="514">
        <v>13.02</v>
      </c>
      <c r="K540" s="514">
        <v>368335.0</v>
      </c>
      <c r="L540" s="514">
        <v>3415670.0</v>
      </c>
      <c r="M540" s="514">
        <v>3.5704</v>
      </c>
      <c r="N540" s="6">
        <v>13.0361</v>
      </c>
    </row>
    <row r="541">
      <c r="A541" s="512" t="s">
        <v>2037</v>
      </c>
      <c r="B541" s="512" t="s">
        <v>163</v>
      </c>
      <c r="C541" s="512" t="s">
        <v>1884</v>
      </c>
      <c r="D541" s="512" t="s">
        <v>2036</v>
      </c>
      <c r="E541" s="513" t="s">
        <v>189</v>
      </c>
      <c r="F541" s="514">
        <v>103164.0</v>
      </c>
      <c r="G541" s="514">
        <v>11451.0</v>
      </c>
      <c r="H541" s="514">
        <v>11.1</v>
      </c>
      <c r="I541" s="514">
        <v>3.4</v>
      </c>
      <c r="J541" s="514">
        <v>4.6</v>
      </c>
      <c r="K541" s="514">
        <v>116175.0</v>
      </c>
      <c r="L541" s="514">
        <v>3415670.0</v>
      </c>
      <c r="M541" s="514">
        <v>1.1261</v>
      </c>
      <c r="N541" s="6">
        <v>10.1454</v>
      </c>
    </row>
    <row r="542">
      <c r="A542" s="512" t="s">
        <v>2037</v>
      </c>
      <c r="B542" s="512" t="s">
        <v>163</v>
      </c>
      <c r="C542" s="512" t="s">
        <v>1884</v>
      </c>
      <c r="D542" s="512" t="s">
        <v>2036</v>
      </c>
      <c r="E542" s="513" t="s">
        <v>134</v>
      </c>
      <c r="F542" s="514">
        <v>103164.0</v>
      </c>
      <c r="G542" s="514">
        <v>6868.0</v>
      </c>
      <c r="H542" s="514">
        <v>6.66</v>
      </c>
      <c r="I542" s="514">
        <v>2.42</v>
      </c>
      <c r="J542" s="514">
        <v>3.4</v>
      </c>
      <c r="K542" s="514">
        <v>82755.0</v>
      </c>
      <c r="L542" s="514">
        <v>3415670.0</v>
      </c>
      <c r="M542" s="514">
        <v>0.8022</v>
      </c>
      <c r="N542" s="6">
        <v>12.0494</v>
      </c>
    </row>
    <row r="543">
      <c r="A543" s="512" t="s">
        <v>2037</v>
      </c>
      <c r="B543" s="512" t="s">
        <v>163</v>
      </c>
      <c r="C543" s="512" t="s">
        <v>1884</v>
      </c>
      <c r="D543" s="512" t="s">
        <v>2036</v>
      </c>
      <c r="E543" s="513" t="s">
        <v>377</v>
      </c>
      <c r="F543" s="514">
        <v>103164.0</v>
      </c>
      <c r="G543" s="514">
        <v>581.0</v>
      </c>
      <c r="H543" s="514">
        <v>0.56</v>
      </c>
      <c r="I543" s="514">
        <v>0.54</v>
      </c>
      <c r="J543" s="514">
        <v>0.46</v>
      </c>
      <c r="K543" s="514">
        <v>18375.0</v>
      </c>
      <c r="L543" s="514">
        <v>3415670.0</v>
      </c>
      <c r="M543" s="514">
        <v>0.1781</v>
      </c>
      <c r="N543" s="6">
        <v>31.6265</v>
      </c>
    </row>
    <row r="544">
      <c r="A544" s="512" t="s">
        <v>2037</v>
      </c>
      <c r="B544" s="512" t="s">
        <v>163</v>
      </c>
      <c r="C544" s="512" t="s">
        <v>1884</v>
      </c>
      <c r="D544" s="512" t="s">
        <v>2036</v>
      </c>
      <c r="E544" s="513" t="s">
        <v>44</v>
      </c>
      <c r="F544" s="514">
        <v>103164.0</v>
      </c>
      <c r="G544" s="514">
        <v>841.0</v>
      </c>
      <c r="H544" s="514">
        <v>0.82</v>
      </c>
      <c r="I544" s="514">
        <v>0.27</v>
      </c>
      <c r="J544" s="514">
        <v>0.5</v>
      </c>
      <c r="K544" s="514">
        <v>9280.0</v>
      </c>
      <c r="L544" s="514">
        <v>3415670.0</v>
      </c>
      <c r="M544" s="514">
        <v>0.09</v>
      </c>
      <c r="N544" s="6">
        <v>11.0345</v>
      </c>
    </row>
    <row r="545">
      <c r="A545" s="512" t="s">
        <v>2037</v>
      </c>
      <c r="B545" s="512" t="s">
        <v>163</v>
      </c>
      <c r="C545" s="512" t="s">
        <v>1884</v>
      </c>
      <c r="D545" s="512" t="s">
        <v>2036</v>
      </c>
      <c r="E545" s="513" t="s">
        <v>35</v>
      </c>
      <c r="F545" s="514">
        <v>103164.0</v>
      </c>
      <c r="G545" s="514">
        <v>52.0</v>
      </c>
      <c r="H545" s="514">
        <v>0.05</v>
      </c>
      <c r="I545" s="514">
        <v>0.02</v>
      </c>
      <c r="J545" s="514">
        <v>0.03</v>
      </c>
      <c r="K545" s="514">
        <v>780.0</v>
      </c>
      <c r="L545" s="514">
        <v>3415670.0</v>
      </c>
      <c r="M545" s="514">
        <v>0.0076</v>
      </c>
      <c r="N545" s="6">
        <v>15.0</v>
      </c>
    </row>
    <row r="546">
      <c r="A546" s="512" t="s">
        <v>2037</v>
      </c>
      <c r="B546" s="512" t="s">
        <v>163</v>
      </c>
      <c r="C546" s="512" t="s">
        <v>1884</v>
      </c>
      <c r="D546" s="512" t="s">
        <v>2036</v>
      </c>
      <c r="E546" s="513" t="s">
        <v>46</v>
      </c>
      <c r="F546" s="514">
        <v>103164.0</v>
      </c>
      <c r="G546" s="514">
        <v>6.0</v>
      </c>
      <c r="H546" s="514">
        <v>0.01</v>
      </c>
      <c r="I546" s="514">
        <v>0.0</v>
      </c>
      <c r="J546" s="514">
        <v>0.01</v>
      </c>
      <c r="K546" s="514">
        <v>90.0</v>
      </c>
      <c r="L546" s="514">
        <v>3415670.0</v>
      </c>
      <c r="M546" s="514">
        <v>9.0E-4</v>
      </c>
      <c r="N546" s="6">
        <v>15.0</v>
      </c>
    </row>
    <row r="547">
      <c r="A547" s="512" t="s">
        <v>2037</v>
      </c>
      <c r="B547" s="512" t="s">
        <v>163</v>
      </c>
      <c r="C547" s="512" t="s">
        <v>1884</v>
      </c>
      <c r="D547" s="512" t="s">
        <v>2036</v>
      </c>
      <c r="E547" s="513" t="s">
        <v>374</v>
      </c>
      <c r="F547" s="514">
        <v>103164.0</v>
      </c>
      <c r="G547" s="514">
        <v>4.0</v>
      </c>
      <c r="H547" s="514">
        <v>0.0</v>
      </c>
      <c r="I547" s="514">
        <v>0.0</v>
      </c>
      <c r="J547" s="514">
        <v>0.0</v>
      </c>
      <c r="K547" s="514">
        <v>50.0</v>
      </c>
      <c r="L547" s="514">
        <v>3415670.0</v>
      </c>
      <c r="M547" s="514">
        <v>5.0E-4</v>
      </c>
      <c r="N547" s="6">
        <v>12.5</v>
      </c>
    </row>
    <row r="548">
      <c r="A548" s="512" t="s">
        <v>2037</v>
      </c>
      <c r="B548" s="512" t="s">
        <v>163</v>
      </c>
      <c r="C548" s="512" t="s">
        <v>1884</v>
      </c>
      <c r="D548" s="512" t="s">
        <v>2036</v>
      </c>
      <c r="E548" s="513" t="s">
        <v>40</v>
      </c>
      <c r="F548" s="514">
        <v>103164.0</v>
      </c>
      <c r="G548" s="514">
        <v>1.0</v>
      </c>
      <c r="H548" s="514">
        <v>0.0</v>
      </c>
      <c r="I548" s="514">
        <v>0.0</v>
      </c>
      <c r="J548" s="514">
        <v>0.0</v>
      </c>
      <c r="K548" s="514">
        <v>15.0</v>
      </c>
      <c r="L548" s="514">
        <v>3415670.0</v>
      </c>
      <c r="M548" s="514">
        <v>1.0E-4</v>
      </c>
      <c r="N548" s="6">
        <v>15.0</v>
      </c>
    </row>
    <row r="549">
      <c r="A549" s="512" t="s">
        <v>2037</v>
      </c>
      <c r="B549" s="512" t="s">
        <v>163</v>
      </c>
      <c r="C549" s="512" t="s">
        <v>1884</v>
      </c>
      <c r="D549" s="512" t="s">
        <v>2036</v>
      </c>
      <c r="E549" s="513" t="s">
        <v>42</v>
      </c>
      <c r="F549" s="514">
        <v>103164.0</v>
      </c>
      <c r="G549" s="514">
        <v>2.0</v>
      </c>
      <c r="H549" s="514">
        <v>0.0</v>
      </c>
      <c r="I549" s="514">
        <v>0.0</v>
      </c>
      <c r="J549" s="514">
        <v>0.0</v>
      </c>
      <c r="K549" s="514">
        <v>30.0</v>
      </c>
      <c r="L549" s="514">
        <v>3415670.0</v>
      </c>
      <c r="M549" s="514">
        <v>3.0E-4</v>
      </c>
      <c r="N549" s="6">
        <v>15.0</v>
      </c>
    </row>
    <row r="550">
      <c r="A550" s="512" t="s">
        <v>2037</v>
      </c>
      <c r="B550" s="512" t="s">
        <v>163</v>
      </c>
      <c r="C550" s="512" t="s">
        <v>1885</v>
      </c>
      <c r="D550" s="512" t="s">
        <v>2036</v>
      </c>
      <c r="E550" s="513" t="s">
        <v>380</v>
      </c>
      <c r="F550" s="514">
        <v>123702.0</v>
      </c>
      <c r="G550" s="514">
        <v>104817.0</v>
      </c>
      <c r="H550" s="514">
        <v>84.73</v>
      </c>
      <c r="I550" s="514">
        <v>46.96</v>
      </c>
      <c r="J550" s="514">
        <v>63.8</v>
      </c>
      <c r="K550" s="514">
        <v>1971045.0</v>
      </c>
      <c r="L550" s="514">
        <v>4197520.0</v>
      </c>
      <c r="M550" s="514">
        <v>15.9338</v>
      </c>
      <c r="N550" s="6">
        <v>18.8046</v>
      </c>
    </row>
    <row r="551">
      <c r="A551" s="512" t="s">
        <v>2037</v>
      </c>
      <c r="B551" s="512" t="s">
        <v>163</v>
      </c>
      <c r="C551" s="512" t="s">
        <v>1885</v>
      </c>
      <c r="D551" s="512" t="s">
        <v>2036</v>
      </c>
      <c r="E551" s="513" t="s">
        <v>373</v>
      </c>
      <c r="F551" s="514">
        <v>123702.0</v>
      </c>
      <c r="G551" s="514">
        <v>20171.0</v>
      </c>
      <c r="H551" s="514">
        <v>16.31</v>
      </c>
      <c r="I551" s="514">
        <v>29.93</v>
      </c>
      <c r="J551" s="514">
        <v>10.94</v>
      </c>
      <c r="K551" s="514">
        <v>1256280.0</v>
      </c>
      <c r="L551" s="514">
        <v>4197520.0</v>
      </c>
      <c r="M551" s="514">
        <v>10.1557</v>
      </c>
      <c r="N551" s="6">
        <v>62.2815</v>
      </c>
    </row>
    <row r="552">
      <c r="A552" s="512" t="s">
        <v>2037</v>
      </c>
      <c r="B552" s="512" t="s">
        <v>163</v>
      </c>
      <c r="C552" s="512" t="s">
        <v>1885</v>
      </c>
      <c r="D552" s="512" t="s">
        <v>2036</v>
      </c>
      <c r="E552" s="513" t="s">
        <v>375</v>
      </c>
      <c r="F552" s="514">
        <v>123702.0</v>
      </c>
      <c r="G552" s="514">
        <v>48186.0</v>
      </c>
      <c r="H552" s="514">
        <v>38.95</v>
      </c>
      <c r="I552" s="514">
        <v>15.93</v>
      </c>
      <c r="J552" s="514">
        <v>17.13</v>
      </c>
      <c r="K552" s="514">
        <v>668560.0</v>
      </c>
      <c r="L552" s="514">
        <v>4197520.0</v>
      </c>
      <c r="M552" s="514">
        <v>5.4046</v>
      </c>
      <c r="N552" s="6">
        <v>13.8746</v>
      </c>
    </row>
    <row r="553">
      <c r="A553" s="512" t="s">
        <v>2037</v>
      </c>
      <c r="B553" s="512" t="s">
        <v>163</v>
      </c>
      <c r="C553" s="512" t="s">
        <v>1885</v>
      </c>
      <c r="D553" s="512" t="s">
        <v>2036</v>
      </c>
      <c r="E553" s="513" t="s">
        <v>189</v>
      </c>
      <c r="F553" s="514">
        <v>123702.0</v>
      </c>
      <c r="G553" s="514">
        <v>21297.0</v>
      </c>
      <c r="H553" s="514">
        <v>17.22</v>
      </c>
      <c r="I553" s="514">
        <v>5.16</v>
      </c>
      <c r="J553" s="514">
        <v>5.97</v>
      </c>
      <c r="K553" s="514">
        <v>216725.0</v>
      </c>
      <c r="L553" s="514">
        <v>4197520.0</v>
      </c>
      <c r="M553" s="514">
        <v>1.752</v>
      </c>
      <c r="N553" s="6">
        <v>10.1763</v>
      </c>
    </row>
    <row r="554">
      <c r="A554" s="512" t="s">
        <v>2037</v>
      </c>
      <c r="B554" s="512" t="s">
        <v>163</v>
      </c>
      <c r="C554" s="512" t="s">
        <v>1885</v>
      </c>
      <c r="D554" s="512" t="s">
        <v>2036</v>
      </c>
      <c r="E554" s="513" t="s">
        <v>134</v>
      </c>
      <c r="F554" s="514">
        <v>123702.0</v>
      </c>
      <c r="G554" s="514">
        <v>3144.0</v>
      </c>
      <c r="H554" s="514">
        <v>2.54</v>
      </c>
      <c r="I554" s="514">
        <v>0.92</v>
      </c>
      <c r="J554" s="514">
        <v>0.92</v>
      </c>
      <c r="K554" s="514">
        <v>38585.0</v>
      </c>
      <c r="L554" s="514">
        <v>4197520.0</v>
      </c>
      <c r="M554" s="514">
        <v>0.3119</v>
      </c>
      <c r="N554" s="6">
        <v>12.2726</v>
      </c>
    </row>
    <row r="555">
      <c r="A555" s="512" t="s">
        <v>2037</v>
      </c>
      <c r="B555" s="512" t="s">
        <v>163</v>
      </c>
      <c r="C555" s="512" t="s">
        <v>1885</v>
      </c>
      <c r="D555" s="512" t="s">
        <v>2036</v>
      </c>
      <c r="E555" s="513" t="s">
        <v>377</v>
      </c>
      <c r="F555" s="514">
        <v>123702.0</v>
      </c>
      <c r="G555" s="514">
        <v>598.0</v>
      </c>
      <c r="H555" s="514">
        <v>0.48</v>
      </c>
      <c r="I555" s="514">
        <v>0.45</v>
      </c>
      <c r="J555" s="514">
        <v>0.37</v>
      </c>
      <c r="K555" s="514">
        <v>18770.0</v>
      </c>
      <c r="L555" s="514">
        <v>4197520.0</v>
      </c>
      <c r="M555" s="514">
        <v>0.1517</v>
      </c>
      <c r="N555" s="6">
        <v>31.388</v>
      </c>
    </row>
    <row r="556">
      <c r="A556" s="512" t="s">
        <v>2037</v>
      </c>
      <c r="B556" s="512" t="s">
        <v>163</v>
      </c>
      <c r="C556" s="512" t="s">
        <v>1885</v>
      </c>
      <c r="D556" s="512" t="s">
        <v>2036</v>
      </c>
      <c r="E556" s="513" t="s">
        <v>44</v>
      </c>
      <c r="F556" s="514">
        <v>123702.0</v>
      </c>
      <c r="G556" s="514">
        <v>1530.0</v>
      </c>
      <c r="H556" s="514">
        <v>1.24</v>
      </c>
      <c r="I556" s="514">
        <v>0.42</v>
      </c>
      <c r="J556" s="514">
        <v>0.65</v>
      </c>
      <c r="K556" s="514">
        <v>17700.0</v>
      </c>
      <c r="L556" s="514">
        <v>4197520.0</v>
      </c>
      <c r="M556" s="514">
        <v>0.1431</v>
      </c>
      <c r="N556" s="6">
        <v>11.5686</v>
      </c>
    </row>
    <row r="557">
      <c r="A557" s="512" t="s">
        <v>2037</v>
      </c>
      <c r="B557" s="512" t="s">
        <v>163</v>
      </c>
      <c r="C557" s="512" t="s">
        <v>1885</v>
      </c>
      <c r="D557" s="512" t="s">
        <v>2036</v>
      </c>
      <c r="E557" s="513" t="s">
        <v>35</v>
      </c>
      <c r="F557" s="514">
        <v>123702.0</v>
      </c>
      <c r="G557" s="514">
        <v>613.0</v>
      </c>
      <c r="H557" s="514">
        <v>0.5</v>
      </c>
      <c r="I557" s="514">
        <v>0.23</v>
      </c>
      <c r="J557" s="514">
        <v>0.21</v>
      </c>
      <c r="K557" s="514">
        <v>9570.0</v>
      </c>
      <c r="L557" s="514">
        <v>4197520.0</v>
      </c>
      <c r="M557" s="514">
        <v>0.0774</v>
      </c>
      <c r="N557" s="6">
        <v>15.6117</v>
      </c>
    </row>
    <row r="558">
      <c r="A558" s="512" t="s">
        <v>2037</v>
      </c>
      <c r="B558" s="512" t="s">
        <v>163</v>
      </c>
      <c r="C558" s="512" t="s">
        <v>1885</v>
      </c>
      <c r="D558" s="512" t="s">
        <v>2036</v>
      </c>
      <c r="E558" s="513" t="s">
        <v>42</v>
      </c>
      <c r="F558" s="514">
        <v>123702.0</v>
      </c>
      <c r="G558" s="514">
        <v>3.0</v>
      </c>
      <c r="H558" s="514">
        <v>0.0</v>
      </c>
      <c r="I558" s="514">
        <v>0.0</v>
      </c>
      <c r="J558" s="514">
        <v>0.0</v>
      </c>
      <c r="K558" s="514">
        <v>45.0</v>
      </c>
      <c r="L558" s="514">
        <v>4197520.0</v>
      </c>
      <c r="M558" s="514">
        <v>4.0E-4</v>
      </c>
      <c r="N558" s="6">
        <v>15.0</v>
      </c>
    </row>
    <row r="559">
      <c r="A559" s="512" t="s">
        <v>2037</v>
      </c>
      <c r="B559" s="512" t="s">
        <v>163</v>
      </c>
      <c r="C559" s="512" t="s">
        <v>1885</v>
      </c>
      <c r="D559" s="512" t="s">
        <v>2036</v>
      </c>
      <c r="E559" s="513" t="s">
        <v>382</v>
      </c>
      <c r="F559" s="514">
        <v>123702.0</v>
      </c>
      <c r="G559" s="514">
        <v>7.0</v>
      </c>
      <c r="H559" s="514">
        <v>0.01</v>
      </c>
      <c r="I559" s="514">
        <v>0.0</v>
      </c>
      <c r="J559" s="514">
        <v>0.0</v>
      </c>
      <c r="K559" s="514">
        <v>90.0</v>
      </c>
      <c r="L559" s="514">
        <v>4197520.0</v>
      </c>
      <c r="M559" s="514">
        <v>7.0E-4</v>
      </c>
      <c r="N559" s="6">
        <v>12.8571</v>
      </c>
    </row>
    <row r="560">
      <c r="A560" s="512" t="s">
        <v>2037</v>
      </c>
      <c r="B560" s="512" t="s">
        <v>163</v>
      </c>
      <c r="C560" s="512" t="s">
        <v>1885</v>
      </c>
      <c r="D560" s="512" t="s">
        <v>2036</v>
      </c>
      <c r="E560" s="513" t="s">
        <v>54</v>
      </c>
      <c r="F560" s="514">
        <v>123702.0</v>
      </c>
      <c r="G560" s="514">
        <v>2.0</v>
      </c>
      <c r="H560" s="514">
        <v>0.0</v>
      </c>
      <c r="I560" s="514">
        <v>0.0</v>
      </c>
      <c r="J560" s="514">
        <v>0.0</v>
      </c>
      <c r="K560" s="514">
        <v>30.0</v>
      </c>
      <c r="L560" s="514">
        <v>4197520.0</v>
      </c>
      <c r="M560" s="514">
        <v>2.0E-4</v>
      </c>
      <c r="N560" s="6">
        <v>15.0</v>
      </c>
    </row>
    <row r="561">
      <c r="A561" s="512" t="s">
        <v>2037</v>
      </c>
      <c r="B561" s="512" t="s">
        <v>163</v>
      </c>
      <c r="C561" s="512" t="s">
        <v>1885</v>
      </c>
      <c r="D561" s="512" t="s">
        <v>2036</v>
      </c>
      <c r="E561" s="513" t="s">
        <v>379</v>
      </c>
      <c r="F561" s="514">
        <v>123702.0</v>
      </c>
      <c r="G561" s="514">
        <v>3.0</v>
      </c>
      <c r="H561" s="514">
        <v>0.0</v>
      </c>
      <c r="I561" s="514">
        <v>0.0</v>
      </c>
      <c r="J561" s="514">
        <v>0.0</v>
      </c>
      <c r="K561" s="514">
        <v>60.0</v>
      </c>
      <c r="L561" s="514">
        <v>4197520.0</v>
      </c>
      <c r="M561" s="514">
        <v>5.0E-4</v>
      </c>
      <c r="N561" s="6">
        <v>20.0</v>
      </c>
    </row>
    <row r="562">
      <c r="A562" s="512" t="s">
        <v>2037</v>
      </c>
      <c r="B562" s="512" t="s">
        <v>163</v>
      </c>
      <c r="C562" s="512" t="s">
        <v>1885</v>
      </c>
      <c r="D562" s="512" t="s">
        <v>2036</v>
      </c>
      <c r="E562" s="513" t="s">
        <v>46</v>
      </c>
      <c r="F562" s="514">
        <v>123702.0</v>
      </c>
      <c r="G562" s="514">
        <v>1.0</v>
      </c>
      <c r="H562" s="514">
        <v>0.0</v>
      </c>
      <c r="I562" s="514">
        <v>0.0</v>
      </c>
      <c r="J562" s="514">
        <v>0.0</v>
      </c>
      <c r="K562" s="514">
        <v>25.0</v>
      </c>
      <c r="L562" s="514">
        <v>4197520.0</v>
      </c>
      <c r="M562" s="514">
        <v>2.0E-4</v>
      </c>
      <c r="N562" s="6">
        <v>25.0</v>
      </c>
    </row>
    <row r="563">
      <c r="A563" s="512" t="s">
        <v>2037</v>
      </c>
      <c r="B563" s="512" t="s">
        <v>163</v>
      </c>
      <c r="C563" s="512" t="s">
        <v>1885</v>
      </c>
      <c r="D563" s="512" t="s">
        <v>2036</v>
      </c>
      <c r="E563" s="513" t="s">
        <v>40</v>
      </c>
      <c r="F563" s="514">
        <v>123702.0</v>
      </c>
      <c r="G563" s="514">
        <v>1.0</v>
      </c>
      <c r="H563" s="514">
        <v>0.0</v>
      </c>
      <c r="I563" s="514">
        <v>0.0</v>
      </c>
      <c r="J563" s="514">
        <v>0.0</v>
      </c>
      <c r="K563" s="514">
        <v>15.0</v>
      </c>
      <c r="L563" s="514">
        <v>4197520.0</v>
      </c>
      <c r="M563" s="514">
        <v>1.0E-4</v>
      </c>
      <c r="N563" s="6">
        <v>15.0</v>
      </c>
    </row>
    <row r="564">
      <c r="A564" s="512" t="s">
        <v>2037</v>
      </c>
      <c r="B564" s="512" t="s">
        <v>163</v>
      </c>
      <c r="C564" s="512" t="s">
        <v>1885</v>
      </c>
      <c r="D564" s="512" t="s">
        <v>2036</v>
      </c>
      <c r="E564" s="513" t="s">
        <v>374</v>
      </c>
      <c r="F564" s="514">
        <v>123702.0</v>
      </c>
      <c r="G564" s="514">
        <v>1.0</v>
      </c>
      <c r="H564" s="514">
        <v>0.0</v>
      </c>
      <c r="I564" s="514">
        <v>0.0</v>
      </c>
      <c r="J564" s="514">
        <v>0.0</v>
      </c>
      <c r="K564" s="514">
        <v>20.0</v>
      </c>
      <c r="L564" s="514">
        <v>4197520.0</v>
      </c>
      <c r="M564" s="514">
        <v>2.0E-4</v>
      </c>
      <c r="N564" s="6">
        <v>20.0</v>
      </c>
    </row>
    <row r="565">
      <c r="A565" s="512" t="s">
        <v>2037</v>
      </c>
      <c r="B565" s="512" t="s">
        <v>163</v>
      </c>
      <c r="C565" s="512" t="s">
        <v>75</v>
      </c>
      <c r="D565" s="512" t="s">
        <v>2036</v>
      </c>
      <c r="E565" s="513" t="s">
        <v>49</v>
      </c>
      <c r="F565" s="514">
        <v>184574.0</v>
      </c>
      <c r="G565" s="514">
        <v>101724.0</v>
      </c>
      <c r="H565" s="514">
        <v>55.11</v>
      </c>
      <c r="I565" s="514">
        <v>24.81</v>
      </c>
      <c r="J565" s="514">
        <v>20.52</v>
      </c>
      <c r="K565" s="514">
        <v>2.349424E7</v>
      </c>
      <c r="L565" s="514">
        <v>9.470518E7</v>
      </c>
      <c r="M565" s="514">
        <v>127.289</v>
      </c>
      <c r="N565" s="6">
        <v>230.9606</v>
      </c>
    </row>
    <row r="566">
      <c r="A566" s="512" t="s">
        <v>2037</v>
      </c>
      <c r="B566" s="512" t="s">
        <v>163</v>
      </c>
      <c r="C566" s="512" t="s">
        <v>75</v>
      </c>
      <c r="D566" s="512" t="s">
        <v>2036</v>
      </c>
      <c r="E566" s="513" t="s">
        <v>373</v>
      </c>
      <c r="F566" s="514">
        <v>184574.0</v>
      </c>
      <c r="G566" s="514">
        <v>148902.0</v>
      </c>
      <c r="H566" s="514">
        <v>80.67</v>
      </c>
      <c r="I566" s="514">
        <v>21.88</v>
      </c>
      <c r="J566" s="514">
        <v>22.09</v>
      </c>
      <c r="K566" s="514">
        <v>2.0722455E7</v>
      </c>
      <c r="L566" s="514">
        <v>9.470518E7</v>
      </c>
      <c r="M566" s="514">
        <v>112.2718</v>
      </c>
      <c r="N566" s="6">
        <v>139.1684</v>
      </c>
    </row>
    <row r="567">
      <c r="A567" s="512" t="s">
        <v>2037</v>
      </c>
      <c r="B567" s="512" t="s">
        <v>163</v>
      </c>
      <c r="C567" s="512" t="s">
        <v>75</v>
      </c>
      <c r="D567" s="512" t="s">
        <v>2036</v>
      </c>
      <c r="E567" s="513" t="s">
        <v>379</v>
      </c>
      <c r="F567" s="514">
        <v>184574.0</v>
      </c>
      <c r="G567" s="514">
        <v>138372.0</v>
      </c>
      <c r="H567" s="514">
        <v>74.97</v>
      </c>
      <c r="I567" s="514">
        <v>15.05</v>
      </c>
      <c r="J567" s="514">
        <v>15.65</v>
      </c>
      <c r="K567" s="514">
        <v>1.4253855E7</v>
      </c>
      <c r="L567" s="514">
        <v>9.470518E7</v>
      </c>
      <c r="M567" s="514">
        <v>77.2257</v>
      </c>
      <c r="N567" s="6">
        <v>103.0111</v>
      </c>
    </row>
    <row r="568">
      <c r="A568" s="512" t="s">
        <v>2037</v>
      </c>
      <c r="B568" s="512" t="s">
        <v>163</v>
      </c>
      <c r="C568" s="512" t="s">
        <v>75</v>
      </c>
      <c r="D568" s="512" t="s">
        <v>2036</v>
      </c>
      <c r="E568" s="513" t="s">
        <v>380</v>
      </c>
      <c r="F568" s="514">
        <v>184574.0</v>
      </c>
      <c r="G568" s="514">
        <v>110346.0</v>
      </c>
      <c r="H568" s="514">
        <v>59.78</v>
      </c>
      <c r="I568" s="514">
        <v>11.25</v>
      </c>
      <c r="J568" s="514">
        <v>16.14</v>
      </c>
      <c r="K568" s="514">
        <v>1.0657805E7</v>
      </c>
      <c r="L568" s="514">
        <v>9.470518E7</v>
      </c>
      <c r="M568" s="514">
        <v>57.7427</v>
      </c>
      <c r="N568" s="6">
        <v>96.5853</v>
      </c>
    </row>
    <row r="569">
      <c r="A569" s="512" t="s">
        <v>2037</v>
      </c>
      <c r="B569" s="512" t="s">
        <v>163</v>
      </c>
      <c r="C569" s="512" t="s">
        <v>75</v>
      </c>
      <c r="D569" s="512" t="s">
        <v>2036</v>
      </c>
      <c r="E569" s="513" t="s">
        <v>44</v>
      </c>
      <c r="F569" s="514">
        <v>184574.0</v>
      </c>
      <c r="G569" s="514">
        <v>81920.0</v>
      </c>
      <c r="H569" s="514">
        <v>44.38</v>
      </c>
      <c r="I569" s="514">
        <v>10.09</v>
      </c>
      <c r="J569" s="514">
        <v>9.68</v>
      </c>
      <c r="K569" s="514">
        <v>9551760.0</v>
      </c>
      <c r="L569" s="514">
        <v>9.470518E7</v>
      </c>
      <c r="M569" s="514">
        <v>51.7503</v>
      </c>
      <c r="N569" s="6">
        <v>116.5986</v>
      </c>
    </row>
    <row r="570">
      <c r="A570" s="512" t="s">
        <v>2037</v>
      </c>
      <c r="B570" s="512" t="s">
        <v>163</v>
      </c>
      <c r="C570" s="512" t="s">
        <v>75</v>
      </c>
      <c r="D570" s="512" t="s">
        <v>2036</v>
      </c>
      <c r="E570" s="513" t="s">
        <v>374</v>
      </c>
      <c r="F570" s="514">
        <v>184574.0</v>
      </c>
      <c r="G570" s="514">
        <v>61317.0</v>
      </c>
      <c r="H570" s="514">
        <v>33.22</v>
      </c>
      <c r="I570" s="514">
        <v>7.02</v>
      </c>
      <c r="J570" s="514">
        <v>5.58</v>
      </c>
      <c r="K570" s="514">
        <v>6644170.0</v>
      </c>
      <c r="L570" s="514">
        <v>9.470518E7</v>
      </c>
      <c r="M570" s="514">
        <v>35.9973</v>
      </c>
      <c r="N570" s="6">
        <v>108.3577</v>
      </c>
    </row>
    <row r="571">
      <c r="A571" s="512" t="s">
        <v>2037</v>
      </c>
      <c r="B571" s="512" t="s">
        <v>163</v>
      </c>
      <c r="C571" s="512" t="s">
        <v>75</v>
      </c>
      <c r="D571" s="512" t="s">
        <v>2036</v>
      </c>
      <c r="E571" s="513" t="s">
        <v>32</v>
      </c>
      <c r="F571" s="514">
        <v>184574.0</v>
      </c>
      <c r="G571" s="514">
        <v>60303.0</v>
      </c>
      <c r="H571" s="514">
        <v>32.67</v>
      </c>
      <c r="I571" s="514">
        <v>3.34</v>
      </c>
      <c r="J571" s="514">
        <v>3.09</v>
      </c>
      <c r="K571" s="514">
        <v>3163190.0</v>
      </c>
      <c r="L571" s="514">
        <v>9.470518E7</v>
      </c>
      <c r="M571" s="514">
        <v>17.1378</v>
      </c>
      <c r="N571" s="6">
        <v>52.4549</v>
      </c>
    </row>
    <row r="572">
      <c r="A572" s="512" t="s">
        <v>2037</v>
      </c>
      <c r="B572" s="512" t="s">
        <v>163</v>
      </c>
      <c r="C572" s="512" t="s">
        <v>75</v>
      </c>
      <c r="D572" s="512" t="s">
        <v>2036</v>
      </c>
      <c r="E572" s="513" t="s">
        <v>372</v>
      </c>
      <c r="F572" s="514">
        <v>184574.0</v>
      </c>
      <c r="G572" s="514">
        <v>47852.0</v>
      </c>
      <c r="H572" s="514">
        <v>25.93</v>
      </c>
      <c r="I572" s="514">
        <v>2.51</v>
      </c>
      <c r="J572" s="514">
        <v>2.81</v>
      </c>
      <c r="K572" s="514">
        <v>2381610.0</v>
      </c>
      <c r="L572" s="514">
        <v>9.470518E7</v>
      </c>
      <c r="M572" s="514">
        <v>12.9033</v>
      </c>
      <c r="N572" s="6">
        <v>49.7703</v>
      </c>
    </row>
    <row r="573">
      <c r="A573" s="512" t="s">
        <v>2037</v>
      </c>
      <c r="B573" s="512" t="s">
        <v>163</v>
      </c>
      <c r="C573" s="512" t="s">
        <v>75</v>
      </c>
      <c r="D573" s="512" t="s">
        <v>2036</v>
      </c>
      <c r="E573" s="513" t="s">
        <v>367</v>
      </c>
      <c r="F573" s="514">
        <v>184574.0</v>
      </c>
      <c r="G573" s="514">
        <v>30048.0</v>
      </c>
      <c r="H573" s="514">
        <v>16.28</v>
      </c>
      <c r="I573" s="514">
        <v>1.26</v>
      </c>
      <c r="J573" s="514">
        <v>0.94</v>
      </c>
      <c r="K573" s="514">
        <v>1193515.0</v>
      </c>
      <c r="L573" s="514">
        <v>9.470518E7</v>
      </c>
      <c r="M573" s="514">
        <v>6.4663</v>
      </c>
      <c r="N573" s="6">
        <v>39.7203</v>
      </c>
    </row>
    <row r="574">
      <c r="A574" s="512" t="s">
        <v>2037</v>
      </c>
      <c r="B574" s="512" t="s">
        <v>163</v>
      </c>
      <c r="C574" s="512" t="s">
        <v>75</v>
      </c>
      <c r="D574" s="512" t="s">
        <v>2036</v>
      </c>
      <c r="E574" s="513" t="s">
        <v>43</v>
      </c>
      <c r="F574" s="514">
        <v>184574.0</v>
      </c>
      <c r="G574" s="514">
        <v>29710.0</v>
      </c>
      <c r="H574" s="514">
        <v>16.1</v>
      </c>
      <c r="I574" s="514">
        <v>1.22</v>
      </c>
      <c r="J574" s="514">
        <v>1.22</v>
      </c>
      <c r="K574" s="514">
        <v>1155595.0</v>
      </c>
      <c r="L574" s="514">
        <v>9.470518E7</v>
      </c>
      <c r="M574" s="514">
        <v>6.2609</v>
      </c>
      <c r="N574" s="6">
        <v>38.8958</v>
      </c>
    </row>
    <row r="575">
      <c r="A575" s="512" t="s">
        <v>2037</v>
      </c>
      <c r="B575" s="512" t="s">
        <v>163</v>
      </c>
      <c r="C575" s="512" t="s">
        <v>75</v>
      </c>
      <c r="D575" s="512" t="s">
        <v>2036</v>
      </c>
      <c r="E575" s="513" t="s">
        <v>377</v>
      </c>
      <c r="F575" s="514">
        <v>184574.0</v>
      </c>
      <c r="G575" s="514">
        <v>13669.0</v>
      </c>
      <c r="H575" s="514">
        <v>7.41</v>
      </c>
      <c r="I575" s="514">
        <v>0.53</v>
      </c>
      <c r="J575" s="514">
        <v>1.09</v>
      </c>
      <c r="K575" s="514">
        <v>504255.0</v>
      </c>
      <c r="L575" s="514">
        <v>9.470518E7</v>
      </c>
      <c r="M575" s="514">
        <v>2.732</v>
      </c>
      <c r="N575" s="6">
        <v>36.8904</v>
      </c>
    </row>
    <row r="576">
      <c r="A576" s="512" t="s">
        <v>2037</v>
      </c>
      <c r="B576" s="512" t="s">
        <v>163</v>
      </c>
      <c r="C576" s="512" t="s">
        <v>75</v>
      </c>
      <c r="D576" s="512" t="s">
        <v>2036</v>
      </c>
      <c r="E576" s="513" t="s">
        <v>375</v>
      </c>
      <c r="F576" s="514">
        <v>184574.0</v>
      </c>
      <c r="G576" s="514">
        <v>11643.0</v>
      </c>
      <c r="H576" s="514">
        <v>6.31</v>
      </c>
      <c r="I576" s="514">
        <v>0.48</v>
      </c>
      <c r="J576" s="514">
        <v>0.52</v>
      </c>
      <c r="K576" s="514">
        <v>452340.0</v>
      </c>
      <c r="L576" s="514">
        <v>9.470518E7</v>
      </c>
      <c r="M576" s="514">
        <v>2.4507</v>
      </c>
      <c r="N576" s="6">
        <v>38.8508</v>
      </c>
    </row>
    <row r="577">
      <c r="A577" s="512" t="s">
        <v>2037</v>
      </c>
      <c r="B577" s="512" t="s">
        <v>163</v>
      </c>
      <c r="C577" s="512" t="s">
        <v>75</v>
      </c>
      <c r="D577" s="512" t="s">
        <v>2036</v>
      </c>
      <c r="E577" s="513" t="s">
        <v>35</v>
      </c>
      <c r="F577" s="514">
        <v>184574.0</v>
      </c>
      <c r="G577" s="514">
        <v>7286.0</v>
      </c>
      <c r="H577" s="514">
        <v>3.95</v>
      </c>
      <c r="I577" s="514">
        <v>0.28</v>
      </c>
      <c r="J577" s="514">
        <v>0.26</v>
      </c>
      <c r="K577" s="514">
        <v>262260.0</v>
      </c>
      <c r="L577" s="514">
        <v>9.470518E7</v>
      </c>
      <c r="M577" s="514">
        <v>1.4209</v>
      </c>
      <c r="N577" s="6">
        <v>35.9951</v>
      </c>
    </row>
    <row r="578">
      <c r="A578" s="512" t="s">
        <v>2037</v>
      </c>
      <c r="B578" s="512" t="s">
        <v>163</v>
      </c>
      <c r="C578" s="512" t="s">
        <v>75</v>
      </c>
      <c r="D578" s="512" t="s">
        <v>2036</v>
      </c>
      <c r="E578" s="513" t="s">
        <v>189</v>
      </c>
      <c r="F578" s="514">
        <v>184574.0</v>
      </c>
      <c r="G578" s="514">
        <v>5016.0</v>
      </c>
      <c r="H578" s="514">
        <v>2.72</v>
      </c>
      <c r="I578" s="514">
        <v>0.17</v>
      </c>
      <c r="J578" s="514">
        <v>0.17</v>
      </c>
      <c r="K578" s="514">
        <v>156475.0</v>
      </c>
      <c r="L578" s="514">
        <v>9.470518E7</v>
      </c>
      <c r="M578" s="514">
        <v>0.8478</v>
      </c>
      <c r="N578" s="6">
        <v>31.1952</v>
      </c>
    </row>
    <row r="579">
      <c r="A579" s="512" t="s">
        <v>2037</v>
      </c>
      <c r="B579" s="512" t="s">
        <v>163</v>
      </c>
      <c r="C579" s="512" t="s">
        <v>75</v>
      </c>
      <c r="D579" s="512" t="s">
        <v>2036</v>
      </c>
      <c r="E579" s="513" t="s">
        <v>50</v>
      </c>
      <c r="F579" s="514">
        <v>184574.0</v>
      </c>
      <c r="G579" s="514">
        <v>1519.0</v>
      </c>
      <c r="H579" s="514">
        <v>0.82</v>
      </c>
      <c r="I579" s="514">
        <v>0.08</v>
      </c>
      <c r="J579" s="514">
        <v>0.17</v>
      </c>
      <c r="K579" s="514">
        <v>77320.0</v>
      </c>
      <c r="L579" s="514">
        <v>9.470518E7</v>
      </c>
      <c r="M579" s="514">
        <v>0.4189</v>
      </c>
      <c r="N579" s="6">
        <v>50.9019</v>
      </c>
    </row>
    <row r="580">
      <c r="A580" s="512" t="s">
        <v>2037</v>
      </c>
      <c r="B580" s="512" t="s">
        <v>163</v>
      </c>
      <c r="C580" s="512" t="s">
        <v>75</v>
      </c>
      <c r="D580" s="512" t="s">
        <v>2036</v>
      </c>
      <c r="E580" s="513" t="s">
        <v>134</v>
      </c>
      <c r="F580" s="514">
        <v>184574.0</v>
      </c>
      <c r="G580" s="514">
        <v>1973.0</v>
      </c>
      <c r="H580" s="514">
        <v>1.07</v>
      </c>
      <c r="I580" s="514">
        <v>0.04</v>
      </c>
      <c r="J580" s="514">
        <v>0.06</v>
      </c>
      <c r="K580" s="514">
        <v>33655.0</v>
      </c>
      <c r="L580" s="514">
        <v>9.470518E7</v>
      </c>
      <c r="M580" s="514">
        <v>0.1823</v>
      </c>
      <c r="N580" s="6">
        <v>17.0578</v>
      </c>
    </row>
    <row r="581">
      <c r="A581" s="512" t="s">
        <v>2037</v>
      </c>
      <c r="B581" s="512" t="s">
        <v>163</v>
      </c>
      <c r="C581" s="512" t="s">
        <v>75</v>
      </c>
      <c r="D581" s="512" t="s">
        <v>2036</v>
      </c>
      <c r="E581" s="513" t="s">
        <v>40</v>
      </c>
      <c r="F581" s="514">
        <v>184574.0</v>
      </c>
      <c r="G581" s="514">
        <v>3.0</v>
      </c>
      <c r="H581" s="514">
        <v>0.0</v>
      </c>
      <c r="I581" s="514">
        <v>0.0</v>
      </c>
      <c r="J581" s="514">
        <v>0.0</v>
      </c>
      <c r="K581" s="514">
        <v>195.0</v>
      </c>
      <c r="L581" s="514">
        <v>9.470518E7</v>
      </c>
      <c r="M581" s="514">
        <v>0.0011</v>
      </c>
      <c r="N581" s="6">
        <v>65.0</v>
      </c>
    </row>
    <row r="582">
      <c r="A582" s="512" t="s">
        <v>2037</v>
      </c>
      <c r="B582" s="512" t="s">
        <v>163</v>
      </c>
      <c r="C582" s="512" t="s">
        <v>75</v>
      </c>
      <c r="D582" s="512" t="s">
        <v>2036</v>
      </c>
      <c r="E582" s="513" t="s">
        <v>383</v>
      </c>
      <c r="F582" s="514">
        <v>184574.0</v>
      </c>
      <c r="G582" s="514">
        <v>1.0</v>
      </c>
      <c r="H582" s="514">
        <v>0.0</v>
      </c>
      <c r="I582" s="514">
        <v>0.0</v>
      </c>
      <c r="J582" s="514">
        <v>0.0</v>
      </c>
      <c r="K582" s="514">
        <v>60.0</v>
      </c>
      <c r="L582" s="514">
        <v>9.470518E7</v>
      </c>
      <c r="M582" s="514">
        <v>3.0E-4</v>
      </c>
      <c r="N582" s="6">
        <v>60.0</v>
      </c>
    </row>
    <row r="583">
      <c r="A583" s="512" t="s">
        <v>2037</v>
      </c>
      <c r="B583" s="512" t="s">
        <v>163</v>
      </c>
      <c r="C583" s="512" t="s">
        <v>75</v>
      </c>
      <c r="D583" s="512" t="s">
        <v>2036</v>
      </c>
      <c r="E583" s="513" t="s">
        <v>46</v>
      </c>
      <c r="F583" s="514">
        <v>184574.0</v>
      </c>
      <c r="G583" s="514">
        <v>3.0</v>
      </c>
      <c r="H583" s="514">
        <v>0.0</v>
      </c>
      <c r="I583" s="514">
        <v>0.0</v>
      </c>
      <c r="J583" s="514">
        <v>0.0</v>
      </c>
      <c r="K583" s="514">
        <v>165.0</v>
      </c>
      <c r="L583" s="514">
        <v>9.470518E7</v>
      </c>
      <c r="M583" s="514">
        <v>9.0E-4</v>
      </c>
      <c r="N583" s="6">
        <v>55.0</v>
      </c>
    </row>
    <row r="584">
      <c r="A584" s="512" t="s">
        <v>2037</v>
      </c>
      <c r="B584" s="512" t="s">
        <v>163</v>
      </c>
      <c r="C584" s="512" t="s">
        <v>75</v>
      </c>
      <c r="D584" s="512" t="s">
        <v>2036</v>
      </c>
      <c r="E584" s="513" t="s">
        <v>42</v>
      </c>
      <c r="F584" s="514">
        <v>184574.0</v>
      </c>
      <c r="G584" s="514">
        <v>7.0</v>
      </c>
      <c r="H584" s="514">
        <v>0.0</v>
      </c>
      <c r="I584" s="514">
        <v>0.0</v>
      </c>
      <c r="J584" s="514">
        <v>0.0</v>
      </c>
      <c r="K584" s="514">
        <v>260.0</v>
      </c>
      <c r="L584" s="514">
        <v>9.470518E7</v>
      </c>
      <c r="M584" s="514">
        <v>0.0014</v>
      </c>
      <c r="N584" s="6">
        <v>37.1429</v>
      </c>
    </row>
    <row r="585">
      <c r="A585" s="512" t="s">
        <v>2037</v>
      </c>
      <c r="B585" s="512" t="s">
        <v>1867</v>
      </c>
      <c r="C585" s="512" t="s">
        <v>71</v>
      </c>
      <c r="D585" s="512" t="s">
        <v>574</v>
      </c>
      <c r="E585" s="513" t="s">
        <v>377</v>
      </c>
      <c r="F585" s="514">
        <v>94964.0</v>
      </c>
      <c r="G585" s="514">
        <v>78139.0</v>
      </c>
      <c r="H585" s="514">
        <v>82.28</v>
      </c>
      <c r="I585" s="514">
        <v>41.72</v>
      </c>
      <c r="J585" s="514">
        <v>49.19</v>
      </c>
      <c r="K585" s="514">
        <v>188344.0</v>
      </c>
      <c r="L585" s="514">
        <v>451413.0</v>
      </c>
      <c r="M585" s="514">
        <v>1.9833</v>
      </c>
      <c r="N585" s="6">
        <v>2.4104</v>
      </c>
    </row>
    <row r="586">
      <c r="A586" s="512" t="s">
        <v>2037</v>
      </c>
      <c r="B586" s="512" t="s">
        <v>1867</v>
      </c>
      <c r="C586" s="512" t="s">
        <v>71</v>
      </c>
      <c r="D586" s="512" t="s">
        <v>574</v>
      </c>
      <c r="E586" s="513" t="s">
        <v>379</v>
      </c>
      <c r="F586" s="514">
        <v>94964.0</v>
      </c>
      <c r="G586" s="514">
        <v>54571.0</v>
      </c>
      <c r="H586" s="514">
        <v>57.46</v>
      </c>
      <c r="I586" s="514">
        <v>23.05</v>
      </c>
      <c r="J586" s="514">
        <v>21.6</v>
      </c>
      <c r="K586" s="514">
        <v>104073.0</v>
      </c>
      <c r="L586" s="514">
        <v>451413.0</v>
      </c>
      <c r="M586" s="514">
        <v>1.0959</v>
      </c>
      <c r="N586" s="6">
        <v>1.9071</v>
      </c>
    </row>
    <row r="587">
      <c r="A587" s="512" t="s">
        <v>2037</v>
      </c>
      <c r="B587" s="512" t="s">
        <v>1867</v>
      </c>
      <c r="C587" s="512" t="s">
        <v>71</v>
      </c>
      <c r="D587" s="512" t="s">
        <v>574</v>
      </c>
      <c r="E587" s="513" t="s">
        <v>42</v>
      </c>
      <c r="F587" s="514">
        <v>94964.0</v>
      </c>
      <c r="G587" s="514">
        <v>27063.0</v>
      </c>
      <c r="H587" s="514">
        <v>28.5</v>
      </c>
      <c r="I587" s="514">
        <v>12.36</v>
      </c>
      <c r="J587" s="514">
        <v>11.29</v>
      </c>
      <c r="K587" s="514">
        <v>55801.0</v>
      </c>
      <c r="L587" s="514">
        <v>451413.0</v>
      </c>
      <c r="M587" s="514">
        <v>0.5876</v>
      </c>
      <c r="N587" s="6">
        <v>2.0619</v>
      </c>
    </row>
    <row r="588">
      <c r="A588" s="512" t="s">
        <v>2037</v>
      </c>
      <c r="B588" s="512" t="s">
        <v>1867</v>
      </c>
      <c r="C588" s="512" t="s">
        <v>71</v>
      </c>
      <c r="D588" s="512" t="s">
        <v>574</v>
      </c>
      <c r="E588" s="513" t="s">
        <v>380</v>
      </c>
      <c r="F588" s="514">
        <v>94964.0</v>
      </c>
      <c r="G588" s="514">
        <v>27086.0</v>
      </c>
      <c r="H588" s="514">
        <v>28.52</v>
      </c>
      <c r="I588" s="514">
        <v>11.9</v>
      </c>
      <c r="J588" s="514">
        <v>7.88</v>
      </c>
      <c r="K588" s="514">
        <v>53712.0</v>
      </c>
      <c r="L588" s="514">
        <v>451413.0</v>
      </c>
      <c r="M588" s="514">
        <v>0.5656</v>
      </c>
      <c r="N588" s="6">
        <v>1.983</v>
      </c>
    </row>
    <row r="589">
      <c r="A589" s="512" t="s">
        <v>2037</v>
      </c>
      <c r="B589" s="512" t="s">
        <v>1867</v>
      </c>
      <c r="C589" s="512" t="s">
        <v>71</v>
      </c>
      <c r="D589" s="512" t="s">
        <v>574</v>
      </c>
      <c r="E589" s="513" t="s">
        <v>49</v>
      </c>
      <c r="F589" s="514">
        <v>94964.0</v>
      </c>
      <c r="G589" s="514">
        <v>18419.0</v>
      </c>
      <c r="H589" s="514">
        <v>19.4</v>
      </c>
      <c r="I589" s="514">
        <v>5.56</v>
      </c>
      <c r="J589" s="514">
        <v>5.09</v>
      </c>
      <c r="K589" s="514">
        <v>25109.0</v>
      </c>
      <c r="L589" s="514">
        <v>451413.0</v>
      </c>
      <c r="M589" s="514">
        <v>0.2644</v>
      </c>
      <c r="N589" s="6">
        <v>1.3632</v>
      </c>
    </row>
    <row r="590">
      <c r="A590" s="512" t="s">
        <v>2037</v>
      </c>
      <c r="B590" s="512" t="s">
        <v>1867</v>
      </c>
      <c r="C590" s="512" t="s">
        <v>71</v>
      </c>
      <c r="D590" s="512" t="s">
        <v>574</v>
      </c>
      <c r="E590" s="513" t="s">
        <v>50</v>
      </c>
      <c r="F590" s="514">
        <v>94964.0</v>
      </c>
      <c r="G590" s="514">
        <v>6904.0</v>
      </c>
      <c r="H590" s="514">
        <v>7.27</v>
      </c>
      <c r="I590" s="514">
        <v>1.74</v>
      </c>
      <c r="J590" s="514">
        <v>1.29</v>
      </c>
      <c r="K590" s="514">
        <v>7871.0</v>
      </c>
      <c r="L590" s="514">
        <v>451413.0</v>
      </c>
      <c r="M590" s="514">
        <v>0.0829</v>
      </c>
      <c r="N590" s="6">
        <v>1.1401</v>
      </c>
    </row>
    <row r="591">
      <c r="A591" s="512" t="s">
        <v>2037</v>
      </c>
      <c r="B591" s="512" t="s">
        <v>1867</v>
      </c>
      <c r="C591" s="512" t="s">
        <v>71</v>
      </c>
      <c r="D591" s="512" t="s">
        <v>574</v>
      </c>
      <c r="E591" s="513" t="s">
        <v>372</v>
      </c>
      <c r="F591" s="514">
        <v>94964.0</v>
      </c>
      <c r="G591" s="514">
        <v>7386.0</v>
      </c>
      <c r="H591" s="514">
        <v>7.78</v>
      </c>
      <c r="I591" s="514">
        <v>1.66</v>
      </c>
      <c r="J591" s="514">
        <v>1.66</v>
      </c>
      <c r="K591" s="514">
        <v>7507.0</v>
      </c>
      <c r="L591" s="514">
        <v>451413.0</v>
      </c>
      <c r="M591" s="514">
        <v>0.0791</v>
      </c>
      <c r="N591" s="6">
        <v>1.0164</v>
      </c>
    </row>
    <row r="592">
      <c r="A592" s="512" t="s">
        <v>2037</v>
      </c>
      <c r="B592" s="512" t="s">
        <v>1867</v>
      </c>
      <c r="C592" s="512" t="s">
        <v>71</v>
      </c>
      <c r="D592" s="512" t="s">
        <v>574</v>
      </c>
      <c r="E592" s="513" t="s">
        <v>44</v>
      </c>
      <c r="F592" s="514">
        <v>94964.0</v>
      </c>
      <c r="G592" s="514">
        <v>3765.0</v>
      </c>
      <c r="H592" s="514">
        <v>3.96</v>
      </c>
      <c r="I592" s="514">
        <v>0.97</v>
      </c>
      <c r="J592" s="514">
        <v>0.93</v>
      </c>
      <c r="K592" s="514">
        <v>4390.0</v>
      </c>
      <c r="L592" s="514">
        <v>451413.0</v>
      </c>
      <c r="M592" s="514">
        <v>0.0462</v>
      </c>
      <c r="N592" s="6">
        <v>1.166</v>
      </c>
    </row>
    <row r="593">
      <c r="A593" s="512" t="s">
        <v>2037</v>
      </c>
      <c r="B593" s="512" t="s">
        <v>1867</v>
      </c>
      <c r="C593" s="512" t="s">
        <v>71</v>
      </c>
      <c r="D593" s="512" t="s">
        <v>574</v>
      </c>
      <c r="E593" s="513" t="s">
        <v>134</v>
      </c>
      <c r="F593" s="514">
        <v>94964.0</v>
      </c>
      <c r="G593" s="514">
        <v>3456.0</v>
      </c>
      <c r="H593" s="514">
        <v>3.64</v>
      </c>
      <c r="I593" s="514">
        <v>0.92</v>
      </c>
      <c r="J593" s="514">
        <v>0.96</v>
      </c>
      <c r="K593" s="514">
        <v>4146.0</v>
      </c>
      <c r="L593" s="514">
        <v>451413.0</v>
      </c>
      <c r="M593" s="514">
        <v>0.0437</v>
      </c>
      <c r="N593" s="6">
        <v>1.1997</v>
      </c>
    </row>
    <row r="594">
      <c r="A594" s="512" t="s">
        <v>2037</v>
      </c>
      <c r="B594" s="512" t="s">
        <v>1867</v>
      </c>
      <c r="C594" s="512" t="s">
        <v>71</v>
      </c>
      <c r="D594" s="512" t="s">
        <v>574</v>
      </c>
      <c r="E594" s="513" t="s">
        <v>43</v>
      </c>
      <c r="F594" s="514">
        <v>94964.0</v>
      </c>
      <c r="G594" s="514">
        <v>415.0</v>
      </c>
      <c r="H594" s="514">
        <v>0.44</v>
      </c>
      <c r="I594" s="514">
        <v>0.09</v>
      </c>
      <c r="J594" s="514">
        <v>0.11</v>
      </c>
      <c r="K594" s="514">
        <v>427.0</v>
      </c>
      <c r="L594" s="514">
        <v>451413.0</v>
      </c>
      <c r="M594" s="514">
        <v>0.0045</v>
      </c>
      <c r="N594" s="6">
        <v>1.0289</v>
      </c>
    </row>
    <row r="595">
      <c r="A595" s="512" t="s">
        <v>2037</v>
      </c>
      <c r="B595" s="512" t="s">
        <v>1867</v>
      </c>
      <c r="C595" s="512" t="s">
        <v>71</v>
      </c>
      <c r="D595" s="512" t="s">
        <v>574</v>
      </c>
      <c r="E595" s="513" t="s">
        <v>189</v>
      </c>
      <c r="F595" s="514">
        <v>94964.0</v>
      </c>
      <c r="G595" s="514">
        <v>1.0</v>
      </c>
      <c r="H595" s="514">
        <v>0.0</v>
      </c>
      <c r="I595" s="514">
        <v>0.0</v>
      </c>
      <c r="J595" s="514">
        <v>0.0</v>
      </c>
      <c r="K595" s="514">
        <v>1.0</v>
      </c>
      <c r="L595" s="514">
        <v>451413.0</v>
      </c>
      <c r="M595" s="514">
        <v>0.0</v>
      </c>
      <c r="N595" s="6">
        <v>1.0</v>
      </c>
    </row>
    <row r="596">
      <c r="A596" s="512" t="s">
        <v>2037</v>
      </c>
      <c r="B596" s="512" t="s">
        <v>1867</v>
      </c>
      <c r="C596" s="512" t="s">
        <v>71</v>
      </c>
      <c r="D596" s="512" t="s">
        <v>574</v>
      </c>
      <c r="E596" s="513" t="s">
        <v>35</v>
      </c>
      <c r="F596" s="514">
        <v>94964.0</v>
      </c>
      <c r="G596" s="514">
        <v>3.0</v>
      </c>
      <c r="H596" s="514">
        <v>0.0</v>
      </c>
      <c r="I596" s="514">
        <v>0.0</v>
      </c>
      <c r="J596" s="514">
        <v>0.0</v>
      </c>
      <c r="K596" s="514">
        <v>5.0</v>
      </c>
      <c r="L596" s="514">
        <v>451413.0</v>
      </c>
      <c r="M596" s="514">
        <v>1.0E-4</v>
      </c>
      <c r="N596" s="6">
        <v>1.6667</v>
      </c>
    </row>
    <row r="597">
      <c r="A597" s="512" t="s">
        <v>2037</v>
      </c>
      <c r="B597" s="512" t="s">
        <v>1867</v>
      </c>
      <c r="C597" s="512" t="s">
        <v>71</v>
      </c>
      <c r="D597" s="512" t="s">
        <v>574</v>
      </c>
      <c r="E597" s="513" t="s">
        <v>382</v>
      </c>
      <c r="F597" s="514">
        <v>94964.0</v>
      </c>
      <c r="G597" s="514">
        <v>3.0</v>
      </c>
      <c r="H597" s="514">
        <v>0.0</v>
      </c>
      <c r="I597" s="514">
        <v>0.0</v>
      </c>
      <c r="J597" s="514">
        <v>0.0</v>
      </c>
      <c r="K597" s="514">
        <v>8.0</v>
      </c>
      <c r="L597" s="514">
        <v>451413.0</v>
      </c>
      <c r="M597" s="514">
        <v>1.0E-4</v>
      </c>
      <c r="N597" s="6">
        <v>2.6667</v>
      </c>
    </row>
    <row r="598">
      <c r="A598" s="512" t="s">
        <v>2037</v>
      </c>
      <c r="B598" s="512" t="s">
        <v>1867</v>
      </c>
      <c r="C598" s="512" t="s">
        <v>71</v>
      </c>
      <c r="D598" s="512" t="s">
        <v>574</v>
      </c>
      <c r="E598" s="513" t="s">
        <v>312</v>
      </c>
      <c r="F598" s="514">
        <v>94964.0</v>
      </c>
      <c r="G598" s="514">
        <v>2.0</v>
      </c>
      <c r="H598" s="514">
        <v>0.0</v>
      </c>
      <c r="I598" s="514">
        <v>0.0</v>
      </c>
      <c r="J598" s="514">
        <v>0.0</v>
      </c>
      <c r="K598" s="514">
        <v>3.0</v>
      </c>
      <c r="L598" s="514">
        <v>451413.0</v>
      </c>
      <c r="M598" s="514">
        <v>0.0</v>
      </c>
      <c r="N598" s="6">
        <v>1.5</v>
      </c>
    </row>
    <row r="599">
      <c r="A599" s="512" t="s">
        <v>2037</v>
      </c>
      <c r="B599" s="512" t="s">
        <v>1867</v>
      </c>
      <c r="C599" s="512" t="s">
        <v>71</v>
      </c>
      <c r="D599" s="512" t="s">
        <v>574</v>
      </c>
      <c r="E599" s="513" t="s">
        <v>374</v>
      </c>
      <c r="F599" s="514">
        <v>94964.0</v>
      </c>
      <c r="G599" s="514">
        <v>2.0</v>
      </c>
      <c r="H599" s="514">
        <v>0.0</v>
      </c>
      <c r="I599" s="514">
        <v>0.0</v>
      </c>
      <c r="J599" s="514">
        <v>0.0</v>
      </c>
      <c r="K599" s="514">
        <v>6.0</v>
      </c>
      <c r="L599" s="514">
        <v>451413.0</v>
      </c>
      <c r="M599" s="514">
        <v>1.0E-4</v>
      </c>
      <c r="N599" s="6">
        <v>3.0</v>
      </c>
    </row>
    <row r="600">
      <c r="A600" s="512" t="s">
        <v>2037</v>
      </c>
      <c r="B600" s="512" t="s">
        <v>1867</v>
      </c>
      <c r="C600" s="512" t="s">
        <v>71</v>
      </c>
      <c r="D600" s="512" t="s">
        <v>574</v>
      </c>
      <c r="E600" s="513" t="s">
        <v>32</v>
      </c>
      <c r="F600" s="514">
        <v>94964.0</v>
      </c>
      <c r="G600" s="514">
        <v>6.0</v>
      </c>
      <c r="H600" s="514">
        <v>0.01</v>
      </c>
      <c r="I600" s="514">
        <v>0.0</v>
      </c>
      <c r="J600" s="514">
        <v>0.0</v>
      </c>
      <c r="K600" s="514">
        <v>7.0</v>
      </c>
      <c r="L600" s="514">
        <v>451413.0</v>
      </c>
      <c r="M600" s="514">
        <v>1.0E-4</v>
      </c>
      <c r="N600" s="6">
        <v>1.1667</v>
      </c>
    </row>
    <row r="601">
      <c r="A601" s="512" t="s">
        <v>2037</v>
      </c>
      <c r="B601" s="512" t="s">
        <v>1867</v>
      </c>
      <c r="C601" s="512" t="s">
        <v>71</v>
      </c>
      <c r="D601" s="512" t="s">
        <v>574</v>
      </c>
      <c r="E601" s="513" t="s">
        <v>375</v>
      </c>
      <c r="F601" s="514">
        <v>94964.0</v>
      </c>
      <c r="G601" s="514">
        <v>3.0</v>
      </c>
      <c r="H601" s="514">
        <v>0.0</v>
      </c>
      <c r="I601" s="514">
        <v>0.0</v>
      </c>
      <c r="J601" s="514">
        <v>0.0</v>
      </c>
      <c r="K601" s="514">
        <v>3.0</v>
      </c>
      <c r="L601" s="514">
        <v>451413.0</v>
      </c>
      <c r="M601" s="514">
        <v>0.0</v>
      </c>
      <c r="N601" s="6">
        <v>1.0</v>
      </c>
    </row>
    <row r="602">
      <c r="A602" s="512" t="s">
        <v>2037</v>
      </c>
      <c r="B602" s="512" t="s">
        <v>1867</v>
      </c>
      <c r="C602" s="512" t="s">
        <v>70</v>
      </c>
      <c r="D602" s="512" t="s">
        <v>574</v>
      </c>
      <c r="E602" s="513" t="s">
        <v>380</v>
      </c>
      <c r="F602" s="514">
        <v>105705.0</v>
      </c>
      <c r="G602" s="514">
        <v>78113.0</v>
      </c>
      <c r="H602" s="514">
        <v>73.9</v>
      </c>
      <c r="I602" s="514">
        <v>24.89</v>
      </c>
      <c r="J602" s="514">
        <v>26.48</v>
      </c>
      <c r="K602" s="514">
        <v>207619.0</v>
      </c>
      <c r="L602" s="514">
        <v>833991.0</v>
      </c>
      <c r="M602" s="514">
        <v>1.9641</v>
      </c>
      <c r="N602" s="6">
        <v>2.6579</v>
      </c>
    </row>
    <row r="603">
      <c r="A603" s="512" t="s">
        <v>2037</v>
      </c>
      <c r="B603" s="512" t="s">
        <v>1867</v>
      </c>
      <c r="C603" s="512" t="s">
        <v>70</v>
      </c>
      <c r="D603" s="512" t="s">
        <v>574</v>
      </c>
      <c r="E603" s="513" t="s">
        <v>377</v>
      </c>
      <c r="F603" s="514">
        <v>105705.0</v>
      </c>
      <c r="G603" s="514">
        <v>78288.0</v>
      </c>
      <c r="H603" s="514">
        <v>74.06</v>
      </c>
      <c r="I603" s="514">
        <v>22.58</v>
      </c>
      <c r="J603" s="514">
        <v>26.64</v>
      </c>
      <c r="K603" s="514">
        <v>188345.0</v>
      </c>
      <c r="L603" s="514">
        <v>833991.0</v>
      </c>
      <c r="M603" s="514">
        <v>1.7818</v>
      </c>
      <c r="N603" s="6">
        <v>2.4058</v>
      </c>
    </row>
    <row r="604">
      <c r="A604" s="512" t="s">
        <v>2037</v>
      </c>
      <c r="B604" s="512" t="s">
        <v>1867</v>
      </c>
      <c r="C604" s="512" t="s">
        <v>70</v>
      </c>
      <c r="D604" s="512" t="s">
        <v>574</v>
      </c>
      <c r="E604" s="513" t="s">
        <v>379</v>
      </c>
      <c r="F604" s="514">
        <v>105705.0</v>
      </c>
      <c r="G604" s="514">
        <v>70400.0</v>
      </c>
      <c r="H604" s="514">
        <v>66.6</v>
      </c>
      <c r="I604" s="514">
        <v>22.14</v>
      </c>
      <c r="J604" s="514">
        <v>19.99</v>
      </c>
      <c r="K604" s="514">
        <v>184684.0</v>
      </c>
      <c r="L604" s="514">
        <v>833991.0</v>
      </c>
      <c r="M604" s="514">
        <v>1.7472</v>
      </c>
      <c r="N604" s="6">
        <v>2.6234</v>
      </c>
    </row>
    <row r="605">
      <c r="A605" s="512" t="s">
        <v>2037</v>
      </c>
      <c r="B605" s="512" t="s">
        <v>1867</v>
      </c>
      <c r="C605" s="512" t="s">
        <v>70</v>
      </c>
      <c r="D605" s="512" t="s">
        <v>574</v>
      </c>
      <c r="E605" s="513" t="s">
        <v>375</v>
      </c>
      <c r="F605" s="514">
        <v>105705.0</v>
      </c>
      <c r="G605" s="514">
        <v>52220.0</v>
      </c>
      <c r="H605" s="514">
        <v>49.4</v>
      </c>
      <c r="I605" s="514">
        <v>9.94</v>
      </c>
      <c r="J605" s="514">
        <v>9.5</v>
      </c>
      <c r="K605" s="514">
        <v>82930.0</v>
      </c>
      <c r="L605" s="514">
        <v>833991.0</v>
      </c>
      <c r="M605" s="514">
        <v>0.7845</v>
      </c>
      <c r="N605" s="6">
        <v>1.5881</v>
      </c>
    </row>
    <row r="606">
      <c r="A606" s="512" t="s">
        <v>2037</v>
      </c>
      <c r="B606" s="512" t="s">
        <v>1867</v>
      </c>
      <c r="C606" s="512" t="s">
        <v>70</v>
      </c>
      <c r="D606" s="512" t="s">
        <v>574</v>
      </c>
      <c r="E606" s="513" t="s">
        <v>44</v>
      </c>
      <c r="F606" s="514">
        <v>105705.0</v>
      </c>
      <c r="G606" s="514">
        <v>21863.0</v>
      </c>
      <c r="H606" s="514">
        <v>20.68</v>
      </c>
      <c r="I606" s="514">
        <v>3.73</v>
      </c>
      <c r="J606" s="514">
        <v>2.99</v>
      </c>
      <c r="K606" s="514">
        <v>31112.0</v>
      </c>
      <c r="L606" s="514">
        <v>833991.0</v>
      </c>
      <c r="M606" s="514">
        <v>0.2943</v>
      </c>
      <c r="N606" s="6">
        <v>1.423</v>
      </c>
    </row>
    <row r="607">
      <c r="A607" s="512" t="s">
        <v>2037</v>
      </c>
      <c r="B607" s="512" t="s">
        <v>1867</v>
      </c>
      <c r="C607" s="512" t="s">
        <v>70</v>
      </c>
      <c r="D607" s="512" t="s">
        <v>574</v>
      </c>
      <c r="E607" s="513" t="s">
        <v>374</v>
      </c>
      <c r="F607" s="514">
        <v>105705.0</v>
      </c>
      <c r="G607" s="514">
        <v>14875.0</v>
      </c>
      <c r="H607" s="514">
        <v>14.07</v>
      </c>
      <c r="I607" s="514">
        <v>3.56</v>
      </c>
      <c r="J607" s="514">
        <v>2.24</v>
      </c>
      <c r="K607" s="514">
        <v>29712.0</v>
      </c>
      <c r="L607" s="514">
        <v>833991.0</v>
      </c>
      <c r="M607" s="514">
        <v>0.2811</v>
      </c>
      <c r="N607" s="6">
        <v>1.9974</v>
      </c>
    </row>
    <row r="608">
      <c r="A608" s="512" t="s">
        <v>2037</v>
      </c>
      <c r="B608" s="512" t="s">
        <v>1867</v>
      </c>
      <c r="C608" s="512" t="s">
        <v>70</v>
      </c>
      <c r="D608" s="512" t="s">
        <v>574</v>
      </c>
      <c r="E608" s="513" t="s">
        <v>189</v>
      </c>
      <c r="F608" s="514">
        <v>105705.0</v>
      </c>
      <c r="G608" s="514">
        <v>27646.0</v>
      </c>
      <c r="H608" s="514">
        <v>26.15</v>
      </c>
      <c r="I608" s="514">
        <v>3.41</v>
      </c>
      <c r="J608" s="514">
        <v>3.31</v>
      </c>
      <c r="K608" s="514">
        <v>28451.0</v>
      </c>
      <c r="L608" s="514">
        <v>833991.0</v>
      </c>
      <c r="M608" s="514">
        <v>0.2692</v>
      </c>
      <c r="N608" s="6">
        <v>1.0291</v>
      </c>
    </row>
    <row r="609">
      <c r="A609" s="512" t="s">
        <v>2037</v>
      </c>
      <c r="B609" s="512" t="s">
        <v>1867</v>
      </c>
      <c r="C609" s="512" t="s">
        <v>70</v>
      </c>
      <c r="D609" s="512" t="s">
        <v>574</v>
      </c>
      <c r="E609" s="513" t="s">
        <v>49</v>
      </c>
      <c r="F609" s="514">
        <v>105705.0</v>
      </c>
      <c r="G609" s="514">
        <v>18419.0</v>
      </c>
      <c r="H609" s="514">
        <v>17.42</v>
      </c>
      <c r="I609" s="514">
        <v>3.01</v>
      </c>
      <c r="J609" s="514">
        <v>2.75</v>
      </c>
      <c r="K609" s="514">
        <v>25109.0</v>
      </c>
      <c r="L609" s="514">
        <v>833991.0</v>
      </c>
      <c r="M609" s="514">
        <v>0.2375</v>
      </c>
      <c r="N609" s="6">
        <v>1.3632</v>
      </c>
    </row>
    <row r="610">
      <c r="A610" s="512" t="s">
        <v>2037</v>
      </c>
      <c r="B610" s="512" t="s">
        <v>1867</v>
      </c>
      <c r="C610" s="512" t="s">
        <v>70</v>
      </c>
      <c r="D610" s="512" t="s">
        <v>574</v>
      </c>
      <c r="E610" s="513" t="s">
        <v>42</v>
      </c>
      <c r="F610" s="514">
        <v>105705.0</v>
      </c>
      <c r="G610" s="514">
        <v>15559.0</v>
      </c>
      <c r="H610" s="514">
        <v>14.72</v>
      </c>
      <c r="I610" s="514">
        <v>2.84</v>
      </c>
      <c r="J610" s="514">
        <v>2.81</v>
      </c>
      <c r="K610" s="514">
        <v>23657.0</v>
      </c>
      <c r="L610" s="514">
        <v>833991.0</v>
      </c>
      <c r="M610" s="514">
        <v>0.2238</v>
      </c>
      <c r="N610" s="6">
        <v>1.5205</v>
      </c>
    </row>
    <row r="611">
      <c r="A611" s="512" t="s">
        <v>2037</v>
      </c>
      <c r="B611" s="512" t="s">
        <v>1867</v>
      </c>
      <c r="C611" s="512" t="s">
        <v>70</v>
      </c>
      <c r="D611" s="512" t="s">
        <v>574</v>
      </c>
      <c r="E611" s="513" t="s">
        <v>35</v>
      </c>
      <c r="F611" s="514">
        <v>105705.0</v>
      </c>
      <c r="G611" s="514">
        <v>12033.0</v>
      </c>
      <c r="H611" s="514">
        <v>11.38</v>
      </c>
      <c r="I611" s="514">
        <v>1.64</v>
      </c>
      <c r="J611" s="514">
        <v>1.43</v>
      </c>
      <c r="K611" s="514">
        <v>13660.0</v>
      </c>
      <c r="L611" s="514">
        <v>833991.0</v>
      </c>
      <c r="M611" s="514">
        <v>0.1292</v>
      </c>
      <c r="N611" s="6">
        <v>1.1352</v>
      </c>
    </row>
    <row r="612">
      <c r="A612" s="512" t="s">
        <v>2037</v>
      </c>
      <c r="B612" s="512" t="s">
        <v>1867</v>
      </c>
      <c r="C612" s="512" t="s">
        <v>70</v>
      </c>
      <c r="D612" s="512" t="s">
        <v>574</v>
      </c>
      <c r="E612" s="513" t="s">
        <v>372</v>
      </c>
      <c r="F612" s="514">
        <v>105705.0</v>
      </c>
      <c r="G612" s="514">
        <v>9566.0</v>
      </c>
      <c r="H612" s="514">
        <v>9.05</v>
      </c>
      <c r="I612" s="514">
        <v>1.23</v>
      </c>
      <c r="J612" s="514">
        <v>1.13</v>
      </c>
      <c r="K612" s="514">
        <v>10240.0</v>
      </c>
      <c r="L612" s="514">
        <v>833991.0</v>
      </c>
      <c r="M612" s="514">
        <v>0.0969</v>
      </c>
      <c r="N612" s="6">
        <v>1.0705</v>
      </c>
    </row>
    <row r="613">
      <c r="A613" s="512" t="s">
        <v>2037</v>
      </c>
      <c r="B613" s="512" t="s">
        <v>1867</v>
      </c>
      <c r="C613" s="512" t="s">
        <v>70</v>
      </c>
      <c r="D613" s="512" t="s">
        <v>574</v>
      </c>
      <c r="E613" s="513" t="s">
        <v>50</v>
      </c>
      <c r="F613" s="514">
        <v>105705.0</v>
      </c>
      <c r="G613" s="514">
        <v>4314.0</v>
      </c>
      <c r="H613" s="514">
        <v>4.08</v>
      </c>
      <c r="I613" s="514">
        <v>0.57</v>
      </c>
      <c r="J613" s="514">
        <v>0.39</v>
      </c>
      <c r="K613" s="514">
        <v>4752.0</v>
      </c>
      <c r="L613" s="514">
        <v>833991.0</v>
      </c>
      <c r="M613" s="514">
        <v>0.045</v>
      </c>
      <c r="N613" s="6">
        <v>1.1015</v>
      </c>
    </row>
    <row r="614">
      <c r="A614" s="512" t="s">
        <v>2037</v>
      </c>
      <c r="B614" s="512" t="s">
        <v>1867</v>
      </c>
      <c r="C614" s="512" t="s">
        <v>70</v>
      </c>
      <c r="D614" s="512" t="s">
        <v>574</v>
      </c>
      <c r="E614" s="513" t="s">
        <v>134</v>
      </c>
      <c r="F614" s="514">
        <v>105705.0</v>
      </c>
      <c r="G614" s="514">
        <v>2485.0</v>
      </c>
      <c r="H614" s="514">
        <v>2.35</v>
      </c>
      <c r="I614" s="514">
        <v>0.37</v>
      </c>
      <c r="J614" s="514">
        <v>0.27</v>
      </c>
      <c r="K614" s="514">
        <v>3103.0</v>
      </c>
      <c r="L614" s="514">
        <v>833991.0</v>
      </c>
      <c r="M614" s="514">
        <v>0.0294</v>
      </c>
      <c r="N614" s="6">
        <v>1.2487</v>
      </c>
    </row>
    <row r="615">
      <c r="A615" s="512" t="s">
        <v>2037</v>
      </c>
      <c r="B615" s="512" t="s">
        <v>1867</v>
      </c>
      <c r="C615" s="512" t="s">
        <v>70</v>
      </c>
      <c r="D615" s="512" t="s">
        <v>574</v>
      </c>
      <c r="E615" s="513" t="s">
        <v>43</v>
      </c>
      <c r="F615" s="514">
        <v>105705.0</v>
      </c>
      <c r="G615" s="514">
        <v>570.0</v>
      </c>
      <c r="H615" s="514">
        <v>0.54</v>
      </c>
      <c r="I615" s="514">
        <v>0.07</v>
      </c>
      <c r="J615" s="514">
        <v>0.09</v>
      </c>
      <c r="K615" s="514">
        <v>592.0</v>
      </c>
      <c r="L615" s="514">
        <v>833991.0</v>
      </c>
      <c r="M615" s="514">
        <v>0.0056</v>
      </c>
      <c r="N615" s="6">
        <v>1.0386</v>
      </c>
    </row>
    <row r="616">
      <c r="A616" s="512" t="s">
        <v>2037</v>
      </c>
      <c r="B616" s="512" t="s">
        <v>1867</v>
      </c>
      <c r="C616" s="512" t="s">
        <v>70</v>
      </c>
      <c r="D616" s="512" t="s">
        <v>574</v>
      </c>
      <c r="E616" s="513" t="s">
        <v>382</v>
      </c>
      <c r="F616" s="514">
        <v>105705.0</v>
      </c>
      <c r="G616" s="514">
        <v>2.0</v>
      </c>
      <c r="H616" s="514">
        <v>0.0</v>
      </c>
      <c r="I616" s="514">
        <v>0.0</v>
      </c>
      <c r="J616" s="514">
        <v>0.0</v>
      </c>
      <c r="K616" s="514">
        <v>4.0</v>
      </c>
      <c r="L616" s="514">
        <v>833991.0</v>
      </c>
      <c r="M616" s="514">
        <v>0.0</v>
      </c>
      <c r="N616" s="6">
        <v>2.0</v>
      </c>
    </row>
    <row r="617">
      <c r="A617" s="512" t="s">
        <v>2037</v>
      </c>
      <c r="B617" s="512" t="s">
        <v>1867</v>
      </c>
      <c r="C617" s="512" t="s">
        <v>70</v>
      </c>
      <c r="D617" s="512" t="s">
        <v>574</v>
      </c>
      <c r="E617" s="513" t="s">
        <v>32</v>
      </c>
      <c r="F617" s="514">
        <v>105705.0</v>
      </c>
      <c r="G617" s="514">
        <v>13.0</v>
      </c>
      <c r="H617" s="514">
        <v>0.01</v>
      </c>
      <c r="I617" s="514">
        <v>0.0</v>
      </c>
      <c r="J617" s="514">
        <v>0.01</v>
      </c>
      <c r="K617" s="514">
        <v>15.0</v>
      </c>
      <c r="L617" s="514">
        <v>833991.0</v>
      </c>
      <c r="M617" s="514">
        <v>1.0E-4</v>
      </c>
      <c r="N617" s="6">
        <v>1.1538</v>
      </c>
    </row>
    <row r="618">
      <c r="A618" s="512" t="s">
        <v>2037</v>
      </c>
      <c r="B618" s="512" t="s">
        <v>1867</v>
      </c>
      <c r="C618" s="512" t="s">
        <v>70</v>
      </c>
      <c r="D618" s="512" t="s">
        <v>574</v>
      </c>
      <c r="E618" s="513" t="s">
        <v>311</v>
      </c>
      <c r="F618" s="514">
        <v>105705.0</v>
      </c>
      <c r="G618" s="514">
        <v>2.0</v>
      </c>
      <c r="H618" s="514">
        <v>0.0</v>
      </c>
      <c r="I618" s="514">
        <v>0.0</v>
      </c>
      <c r="J618" s="514">
        <v>0.0</v>
      </c>
      <c r="K618" s="514">
        <v>4.0</v>
      </c>
      <c r="L618" s="514">
        <v>833991.0</v>
      </c>
      <c r="M618" s="514">
        <v>0.0</v>
      </c>
      <c r="N618" s="6">
        <v>2.0</v>
      </c>
    </row>
    <row r="619">
      <c r="A619" s="512" t="s">
        <v>2037</v>
      </c>
      <c r="B619" s="512" t="s">
        <v>1867</v>
      </c>
      <c r="C619" s="512" t="s">
        <v>70</v>
      </c>
      <c r="D619" s="512" t="s">
        <v>574</v>
      </c>
      <c r="E619" s="513" t="s">
        <v>373</v>
      </c>
      <c r="F619" s="514">
        <v>105705.0</v>
      </c>
      <c r="G619" s="514">
        <v>1.0</v>
      </c>
      <c r="H619" s="514">
        <v>0.0</v>
      </c>
      <c r="I619" s="514">
        <v>0.0</v>
      </c>
      <c r="J619" s="514">
        <v>0.0</v>
      </c>
      <c r="K619" s="514">
        <v>2.0</v>
      </c>
      <c r="L619" s="514">
        <v>833991.0</v>
      </c>
      <c r="M619" s="514">
        <v>0.0</v>
      </c>
      <c r="N619" s="6">
        <v>2.0</v>
      </c>
    </row>
    <row r="620">
      <c r="A620" s="512" t="s">
        <v>2037</v>
      </c>
      <c r="B620" s="512" t="s">
        <v>1867</v>
      </c>
      <c r="C620" s="512" t="s">
        <v>74</v>
      </c>
      <c r="D620" s="512" t="s">
        <v>574</v>
      </c>
      <c r="E620" s="513" t="s">
        <v>42</v>
      </c>
      <c r="F620" s="514">
        <v>77554.0</v>
      </c>
      <c r="G620" s="514">
        <v>50955.0</v>
      </c>
      <c r="H620" s="514">
        <v>65.7</v>
      </c>
      <c r="I620" s="514">
        <v>34.18</v>
      </c>
      <c r="J620" s="514">
        <v>37.4</v>
      </c>
      <c r="K620" s="514">
        <v>109876.0</v>
      </c>
      <c r="L620" s="514">
        <v>321505.0</v>
      </c>
      <c r="M620" s="514">
        <v>1.4168</v>
      </c>
      <c r="N620" s="6">
        <v>2.1563</v>
      </c>
    </row>
    <row r="621">
      <c r="A621" s="512" t="s">
        <v>2037</v>
      </c>
      <c r="B621" s="512" t="s">
        <v>1867</v>
      </c>
      <c r="C621" s="512" t="s">
        <v>74</v>
      </c>
      <c r="D621" s="512" t="s">
        <v>574</v>
      </c>
      <c r="E621" s="513" t="s">
        <v>379</v>
      </c>
      <c r="F621" s="514">
        <v>77554.0</v>
      </c>
      <c r="G621" s="514">
        <v>50902.0</v>
      </c>
      <c r="H621" s="514">
        <v>65.63</v>
      </c>
      <c r="I621" s="514">
        <v>24.09</v>
      </c>
      <c r="J621" s="514">
        <v>28.33</v>
      </c>
      <c r="K621" s="514">
        <v>77449.0</v>
      </c>
      <c r="L621" s="514">
        <v>321505.0</v>
      </c>
      <c r="M621" s="514">
        <v>0.9986</v>
      </c>
      <c r="N621" s="6">
        <v>1.5215</v>
      </c>
    </row>
    <row r="622">
      <c r="A622" s="512" t="s">
        <v>2037</v>
      </c>
      <c r="B622" s="512" t="s">
        <v>1867</v>
      </c>
      <c r="C622" s="512" t="s">
        <v>74</v>
      </c>
      <c r="D622" s="512" t="s">
        <v>574</v>
      </c>
      <c r="E622" s="513" t="s">
        <v>367</v>
      </c>
      <c r="F622" s="514">
        <v>77554.0</v>
      </c>
      <c r="G622" s="514">
        <v>19760.0</v>
      </c>
      <c r="H622" s="514">
        <v>25.48</v>
      </c>
      <c r="I622" s="514">
        <v>13.49</v>
      </c>
      <c r="J622" s="514">
        <v>9.53</v>
      </c>
      <c r="K622" s="514">
        <v>43377.0</v>
      </c>
      <c r="L622" s="514">
        <v>321505.0</v>
      </c>
      <c r="M622" s="514">
        <v>0.5593</v>
      </c>
      <c r="N622" s="6">
        <v>2.1952</v>
      </c>
    </row>
    <row r="623">
      <c r="A623" s="512" t="s">
        <v>2037</v>
      </c>
      <c r="B623" s="512" t="s">
        <v>1867</v>
      </c>
      <c r="C623" s="512" t="s">
        <v>74</v>
      </c>
      <c r="D623" s="512" t="s">
        <v>574</v>
      </c>
      <c r="E623" s="513" t="s">
        <v>373</v>
      </c>
      <c r="F623" s="514">
        <v>77554.0</v>
      </c>
      <c r="G623" s="514">
        <v>17943.0</v>
      </c>
      <c r="H623" s="514">
        <v>23.14</v>
      </c>
      <c r="I623" s="514">
        <v>5.88</v>
      </c>
      <c r="J623" s="514">
        <v>5.22</v>
      </c>
      <c r="K623" s="514">
        <v>18903.0</v>
      </c>
      <c r="L623" s="514">
        <v>321505.0</v>
      </c>
      <c r="M623" s="514">
        <v>0.2437</v>
      </c>
      <c r="N623" s="6">
        <v>1.0535</v>
      </c>
    </row>
    <row r="624">
      <c r="A624" s="512" t="s">
        <v>2037</v>
      </c>
      <c r="B624" s="512" t="s">
        <v>1867</v>
      </c>
      <c r="C624" s="512" t="s">
        <v>74</v>
      </c>
      <c r="D624" s="512" t="s">
        <v>574</v>
      </c>
      <c r="E624" s="513" t="s">
        <v>40</v>
      </c>
      <c r="F624" s="514">
        <v>77554.0</v>
      </c>
      <c r="G624" s="514">
        <v>6199.0</v>
      </c>
      <c r="H624" s="514">
        <v>7.99</v>
      </c>
      <c r="I624" s="514">
        <v>5.78</v>
      </c>
      <c r="J624" s="514">
        <v>3.37</v>
      </c>
      <c r="K624" s="514">
        <v>18586.0</v>
      </c>
      <c r="L624" s="514">
        <v>321505.0</v>
      </c>
      <c r="M624" s="514">
        <v>0.2397</v>
      </c>
      <c r="N624" s="6">
        <v>2.9982</v>
      </c>
    </row>
    <row r="625">
      <c r="A625" s="512" t="s">
        <v>2037</v>
      </c>
      <c r="B625" s="512" t="s">
        <v>1867</v>
      </c>
      <c r="C625" s="512" t="s">
        <v>74</v>
      </c>
      <c r="D625" s="512" t="s">
        <v>574</v>
      </c>
      <c r="E625" s="513" t="s">
        <v>380</v>
      </c>
      <c r="F625" s="514">
        <v>77554.0</v>
      </c>
      <c r="G625" s="514">
        <v>9359.0</v>
      </c>
      <c r="H625" s="514">
        <v>12.07</v>
      </c>
      <c r="I625" s="514">
        <v>5.04</v>
      </c>
      <c r="J625" s="514">
        <v>4.09</v>
      </c>
      <c r="K625" s="514">
        <v>16190.0</v>
      </c>
      <c r="L625" s="514">
        <v>321505.0</v>
      </c>
      <c r="M625" s="514">
        <v>0.2088</v>
      </c>
      <c r="N625" s="6">
        <v>1.7299</v>
      </c>
    </row>
    <row r="626">
      <c r="A626" s="512" t="s">
        <v>2037</v>
      </c>
      <c r="B626" s="512" t="s">
        <v>1867</v>
      </c>
      <c r="C626" s="512" t="s">
        <v>74</v>
      </c>
      <c r="D626" s="512" t="s">
        <v>574</v>
      </c>
      <c r="E626" s="513" t="s">
        <v>372</v>
      </c>
      <c r="F626" s="514">
        <v>77554.0</v>
      </c>
      <c r="G626" s="514">
        <v>10544.0</v>
      </c>
      <c r="H626" s="514">
        <v>13.6</v>
      </c>
      <c r="I626" s="514">
        <v>3.34</v>
      </c>
      <c r="J626" s="514">
        <v>4.19</v>
      </c>
      <c r="K626" s="514">
        <v>10752.0</v>
      </c>
      <c r="L626" s="514">
        <v>321505.0</v>
      </c>
      <c r="M626" s="514">
        <v>0.1386</v>
      </c>
      <c r="N626" s="6">
        <v>1.0197</v>
      </c>
    </row>
    <row r="627">
      <c r="A627" s="512" t="s">
        <v>2037</v>
      </c>
      <c r="B627" s="512" t="s">
        <v>1867</v>
      </c>
      <c r="C627" s="512" t="s">
        <v>74</v>
      </c>
      <c r="D627" s="512" t="s">
        <v>574</v>
      </c>
      <c r="E627" s="513" t="s">
        <v>134</v>
      </c>
      <c r="F627" s="514">
        <v>77554.0</v>
      </c>
      <c r="G627" s="514">
        <v>6562.0</v>
      </c>
      <c r="H627" s="514">
        <v>8.46</v>
      </c>
      <c r="I627" s="514">
        <v>2.59</v>
      </c>
      <c r="J627" s="514">
        <v>2.47</v>
      </c>
      <c r="K627" s="514">
        <v>8337.0</v>
      </c>
      <c r="L627" s="514">
        <v>321505.0</v>
      </c>
      <c r="M627" s="514">
        <v>0.1075</v>
      </c>
      <c r="N627" s="6">
        <v>1.2705</v>
      </c>
    </row>
    <row r="628">
      <c r="A628" s="512" t="s">
        <v>2037</v>
      </c>
      <c r="B628" s="512" t="s">
        <v>1867</v>
      </c>
      <c r="C628" s="512" t="s">
        <v>74</v>
      </c>
      <c r="D628" s="512" t="s">
        <v>574</v>
      </c>
      <c r="E628" s="513" t="s">
        <v>50</v>
      </c>
      <c r="F628" s="514">
        <v>77554.0</v>
      </c>
      <c r="G628" s="514">
        <v>6831.0</v>
      </c>
      <c r="H628" s="514">
        <v>8.81</v>
      </c>
      <c r="I628" s="514">
        <v>2.57</v>
      </c>
      <c r="J628" s="514">
        <v>2.66</v>
      </c>
      <c r="K628" s="514">
        <v>8276.0</v>
      </c>
      <c r="L628" s="514">
        <v>321505.0</v>
      </c>
      <c r="M628" s="514">
        <v>0.1067</v>
      </c>
      <c r="N628" s="6">
        <v>1.2115</v>
      </c>
    </row>
    <row r="629">
      <c r="A629" s="512" t="s">
        <v>2037</v>
      </c>
      <c r="B629" s="512" t="s">
        <v>1867</v>
      </c>
      <c r="C629" s="512" t="s">
        <v>74</v>
      </c>
      <c r="D629" s="512" t="s">
        <v>574</v>
      </c>
      <c r="E629" s="513" t="s">
        <v>377</v>
      </c>
      <c r="F629" s="514">
        <v>77554.0</v>
      </c>
      <c r="G629" s="514">
        <v>6788.0</v>
      </c>
      <c r="H629" s="514">
        <v>8.75</v>
      </c>
      <c r="I629" s="514">
        <v>2.53</v>
      </c>
      <c r="J629" s="514">
        <v>2.09</v>
      </c>
      <c r="K629" s="514">
        <v>8123.0</v>
      </c>
      <c r="L629" s="514">
        <v>321505.0</v>
      </c>
      <c r="M629" s="514">
        <v>0.1047</v>
      </c>
      <c r="N629" s="6">
        <v>1.1967</v>
      </c>
    </row>
    <row r="630">
      <c r="A630" s="512" t="s">
        <v>2037</v>
      </c>
      <c r="B630" s="512" t="s">
        <v>1867</v>
      </c>
      <c r="C630" s="512" t="s">
        <v>74</v>
      </c>
      <c r="D630" s="512" t="s">
        <v>574</v>
      </c>
      <c r="E630" s="513" t="s">
        <v>44</v>
      </c>
      <c r="F630" s="514">
        <v>77554.0</v>
      </c>
      <c r="G630" s="514">
        <v>488.0</v>
      </c>
      <c r="H630" s="514">
        <v>0.63</v>
      </c>
      <c r="I630" s="514">
        <v>0.17</v>
      </c>
      <c r="J630" s="514">
        <v>0.14</v>
      </c>
      <c r="K630" s="514">
        <v>549.0</v>
      </c>
      <c r="L630" s="514">
        <v>321505.0</v>
      </c>
      <c r="M630" s="514">
        <v>0.0071</v>
      </c>
      <c r="N630" s="6">
        <v>1.125</v>
      </c>
    </row>
    <row r="631">
      <c r="A631" s="512" t="s">
        <v>2037</v>
      </c>
      <c r="B631" s="512" t="s">
        <v>1867</v>
      </c>
      <c r="C631" s="512" t="s">
        <v>74</v>
      </c>
      <c r="D631" s="512" t="s">
        <v>574</v>
      </c>
      <c r="E631" s="513" t="s">
        <v>312</v>
      </c>
      <c r="F631" s="514">
        <v>77554.0</v>
      </c>
      <c r="G631" s="514">
        <v>358.0</v>
      </c>
      <c r="H631" s="514">
        <v>0.46</v>
      </c>
      <c r="I631" s="514">
        <v>0.12</v>
      </c>
      <c r="J631" s="514">
        <v>0.15</v>
      </c>
      <c r="K631" s="514">
        <v>379.0</v>
      </c>
      <c r="L631" s="514">
        <v>321505.0</v>
      </c>
      <c r="M631" s="514">
        <v>0.0049</v>
      </c>
      <c r="N631" s="6">
        <v>1.0587</v>
      </c>
    </row>
    <row r="632">
      <c r="A632" s="512" t="s">
        <v>2037</v>
      </c>
      <c r="B632" s="512" t="s">
        <v>1867</v>
      </c>
      <c r="C632" s="512" t="s">
        <v>74</v>
      </c>
      <c r="D632" s="512" t="s">
        <v>574</v>
      </c>
      <c r="E632" s="513" t="s">
        <v>32</v>
      </c>
      <c r="F632" s="514">
        <v>77554.0</v>
      </c>
      <c r="G632" s="514">
        <v>302.0</v>
      </c>
      <c r="H632" s="514">
        <v>0.39</v>
      </c>
      <c r="I632" s="514">
        <v>0.1</v>
      </c>
      <c r="J632" s="514">
        <v>0.14</v>
      </c>
      <c r="K632" s="514">
        <v>308.0</v>
      </c>
      <c r="L632" s="514">
        <v>321505.0</v>
      </c>
      <c r="M632" s="514">
        <v>0.004</v>
      </c>
      <c r="N632" s="6">
        <v>1.0199</v>
      </c>
    </row>
    <row r="633">
      <c r="A633" s="512" t="s">
        <v>2037</v>
      </c>
      <c r="B633" s="512" t="s">
        <v>1867</v>
      </c>
      <c r="C633" s="512" t="s">
        <v>74</v>
      </c>
      <c r="D633" s="512" t="s">
        <v>574</v>
      </c>
      <c r="E633" s="513" t="s">
        <v>310</v>
      </c>
      <c r="F633" s="514">
        <v>77554.0</v>
      </c>
      <c r="G633" s="514">
        <v>263.0</v>
      </c>
      <c r="H633" s="514">
        <v>0.34</v>
      </c>
      <c r="I633" s="514">
        <v>0.09</v>
      </c>
      <c r="J633" s="514">
        <v>0.15</v>
      </c>
      <c r="K633" s="514">
        <v>278.0</v>
      </c>
      <c r="L633" s="514">
        <v>321505.0</v>
      </c>
      <c r="M633" s="514">
        <v>0.0036</v>
      </c>
      <c r="N633" s="6">
        <v>1.057</v>
      </c>
    </row>
    <row r="634">
      <c r="A634" s="512" t="s">
        <v>2037</v>
      </c>
      <c r="B634" s="512" t="s">
        <v>1867</v>
      </c>
      <c r="C634" s="512" t="s">
        <v>74</v>
      </c>
      <c r="D634" s="512" t="s">
        <v>574</v>
      </c>
      <c r="E634" s="513" t="s">
        <v>311</v>
      </c>
      <c r="F634" s="514">
        <v>77554.0</v>
      </c>
      <c r="G634" s="514">
        <v>67.0</v>
      </c>
      <c r="H634" s="514">
        <v>0.09</v>
      </c>
      <c r="I634" s="514">
        <v>0.02</v>
      </c>
      <c r="J634" s="514">
        <v>0.05</v>
      </c>
      <c r="K634" s="514">
        <v>67.0</v>
      </c>
      <c r="L634" s="514">
        <v>321505.0</v>
      </c>
      <c r="M634" s="514">
        <v>9.0E-4</v>
      </c>
      <c r="N634" s="6">
        <v>1.0</v>
      </c>
    </row>
    <row r="635">
      <c r="A635" s="512" t="s">
        <v>2037</v>
      </c>
      <c r="B635" s="512" t="s">
        <v>1867</v>
      </c>
      <c r="C635" s="512" t="s">
        <v>74</v>
      </c>
      <c r="D635" s="512" t="s">
        <v>574</v>
      </c>
      <c r="E635" s="513" t="s">
        <v>43</v>
      </c>
      <c r="F635" s="514">
        <v>77554.0</v>
      </c>
      <c r="G635" s="514">
        <v>24.0</v>
      </c>
      <c r="H635" s="514">
        <v>0.03</v>
      </c>
      <c r="I635" s="514">
        <v>0.01</v>
      </c>
      <c r="J635" s="514">
        <v>0.01</v>
      </c>
      <c r="K635" s="514">
        <v>24.0</v>
      </c>
      <c r="L635" s="514">
        <v>321505.0</v>
      </c>
      <c r="M635" s="514">
        <v>3.0E-4</v>
      </c>
      <c r="N635" s="6">
        <v>1.0</v>
      </c>
    </row>
    <row r="636">
      <c r="A636" s="512" t="s">
        <v>2037</v>
      </c>
      <c r="B636" s="512" t="s">
        <v>1867</v>
      </c>
      <c r="C636" s="512" t="s">
        <v>74</v>
      </c>
      <c r="D636" s="512" t="s">
        <v>574</v>
      </c>
      <c r="E636" s="513" t="s">
        <v>374</v>
      </c>
      <c r="F636" s="514">
        <v>77554.0</v>
      </c>
      <c r="G636" s="514">
        <v>20.0</v>
      </c>
      <c r="H636" s="514">
        <v>0.03</v>
      </c>
      <c r="I636" s="514">
        <v>0.01</v>
      </c>
      <c r="J636" s="514">
        <v>0.01</v>
      </c>
      <c r="K636" s="514">
        <v>23.0</v>
      </c>
      <c r="L636" s="514">
        <v>321505.0</v>
      </c>
      <c r="M636" s="514">
        <v>3.0E-4</v>
      </c>
      <c r="N636" s="6">
        <v>1.15</v>
      </c>
    </row>
    <row r="637">
      <c r="A637" s="512" t="s">
        <v>2037</v>
      </c>
      <c r="B637" s="512" t="s">
        <v>1867</v>
      </c>
      <c r="C637" s="512" t="s">
        <v>74</v>
      </c>
      <c r="D637" s="512" t="s">
        <v>574</v>
      </c>
      <c r="E637" s="513" t="s">
        <v>189</v>
      </c>
      <c r="F637" s="514">
        <v>77554.0</v>
      </c>
      <c r="G637" s="514">
        <v>1.0</v>
      </c>
      <c r="H637" s="514">
        <v>0.0</v>
      </c>
      <c r="I637" s="514">
        <v>0.0</v>
      </c>
      <c r="J637" s="514">
        <v>0.0</v>
      </c>
      <c r="K637" s="514">
        <v>1.0</v>
      </c>
      <c r="L637" s="514">
        <v>321505.0</v>
      </c>
      <c r="M637" s="514">
        <v>0.0</v>
      </c>
      <c r="N637" s="6">
        <v>1.0</v>
      </c>
    </row>
    <row r="638">
      <c r="A638" s="512" t="s">
        <v>2037</v>
      </c>
      <c r="B638" s="512" t="s">
        <v>1867</v>
      </c>
      <c r="C638" s="512" t="s">
        <v>74</v>
      </c>
      <c r="D638" s="512" t="s">
        <v>574</v>
      </c>
      <c r="E638" s="513" t="s">
        <v>375</v>
      </c>
      <c r="F638" s="514">
        <v>77554.0</v>
      </c>
      <c r="G638" s="514">
        <v>3.0</v>
      </c>
      <c r="H638" s="514">
        <v>0.0</v>
      </c>
      <c r="I638" s="514">
        <v>0.0</v>
      </c>
      <c r="J638" s="514">
        <v>0.0</v>
      </c>
      <c r="K638" s="514">
        <v>3.0</v>
      </c>
      <c r="L638" s="514">
        <v>321505.0</v>
      </c>
      <c r="M638" s="514">
        <v>0.0</v>
      </c>
      <c r="N638" s="6">
        <v>1.0</v>
      </c>
    </row>
    <row r="639">
      <c r="A639" s="512" t="s">
        <v>2037</v>
      </c>
      <c r="B639" s="512" t="s">
        <v>1867</v>
      </c>
      <c r="C639" s="512" t="s">
        <v>74</v>
      </c>
      <c r="D639" s="512" t="s">
        <v>574</v>
      </c>
      <c r="E639" s="513" t="s">
        <v>382</v>
      </c>
      <c r="F639" s="514">
        <v>77554.0</v>
      </c>
      <c r="G639" s="514">
        <v>2.0</v>
      </c>
      <c r="H639" s="514">
        <v>0.0</v>
      </c>
      <c r="I639" s="514">
        <v>0.0</v>
      </c>
      <c r="J639" s="514">
        <v>0.0</v>
      </c>
      <c r="K639" s="514">
        <v>4.0</v>
      </c>
      <c r="L639" s="514">
        <v>321505.0</v>
      </c>
      <c r="M639" s="514">
        <v>1.0E-4</v>
      </c>
      <c r="N639" s="6">
        <v>2.0</v>
      </c>
    </row>
    <row r="640">
      <c r="A640" s="512" t="s">
        <v>2037</v>
      </c>
      <c r="B640" s="512" t="s">
        <v>1867</v>
      </c>
      <c r="C640" s="512" t="s">
        <v>1882</v>
      </c>
      <c r="D640" s="512" t="s">
        <v>1882</v>
      </c>
      <c r="E640" s="513" t="s">
        <v>373</v>
      </c>
      <c r="F640" s="514">
        <v>114503.0</v>
      </c>
      <c r="G640" s="514">
        <v>103412.0</v>
      </c>
      <c r="H640" s="514">
        <v>90.31</v>
      </c>
      <c r="I640" s="514">
        <v>31.9</v>
      </c>
      <c r="J640" s="514">
        <v>33.73</v>
      </c>
      <c r="K640" s="514">
        <v>1.8632645E7</v>
      </c>
      <c r="L640" s="514">
        <v>5.8416412E7</v>
      </c>
      <c r="M640" s="514">
        <v>162.7263</v>
      </c>
      <c r="N640" s="6">
        <v>180.1788</v>
      </c>
    </row>
    <row r="641">
      <c r="A641" s="512" t="s">
        <v>2037</v>
      </c>
      <c r="B641" s="512" t="s">
        <v>1867</v>
      </c>
      <c r="C641" s="512" t="s">
        <v>1882</v>
      </c>
      <c r="D641" s="512" t="s">
        <v>1882</v>
      </c>
      <c r="E641" s="513" t="s">
        <v>42</v>
      </c>
      <c r="F641" s="514">
        <v>114503.0</v>
      </c>
      <c r="G641" s="514">
        <v>53784.0</v>
      </c>
      <c r="H641" s="514">
        <v>46.97</v>
      </c>
      <c r="I641" s="514">
        <v>13.62</v>
      </c>
      <c r="J641" s="514">
        <v>12.67</v>
      </c>
      <c r="K641" s="514">
        <v>7956550.0</v>
      </c>
      <c r="L641" s="514">
        <v>5.8416412E7</v>
      </c>
      <c r="M641" s="514">
        <v>69.4877</v>
      </c>
      <c r="N641" s="6">
        <v>147.9353</v>
      </c>
    </row>
    <row r="642">
      <c r="A642" s="512" t="s">
        <v>2037</v>
      </c>
      <c r="B642" s="512" t="s">
        <v>1867</v>
      </c>
      <c r="C642" s="512" t="s">
        <v>1882</v>
      </c>
      <c r="D642" s="512" t="s">
        <v>1882</v>
      </c>
      <c r="E642" s="513" t="s">
        <v>379</v>
      </c>
      <c r="F642" s="514">
        <v>114503.0</v>
      </c>
      <c r="G642" s="514">
        <v>91507.0</v>
      </c>
      <c r="H642" s="514">
        <v>79.92</v>
      </c>
      <c r="I642" s="514">
        <v>13.07</v>
      </c>
      <c r="J642" s="514">
        <v>15.02</v>
      </c>
      <c r="K642" s="514">
        <v>7635965.0</v>
      </c>
      <c r="L642" s="514">
        <v>5.8416412E7</v>
      </c>
      <c r="M642" s="514">
        <v>66.6879</v>
      </c>
      <c r="N642" s="6">
        <v>83.4468</v>
      </c>
    </row>
    <row r="643">
      <c r="A643" s="512" t="s">
        <v>2037</v>
      </c>
      <c r="B643" s="512" t="s">
        <v>1867</v>
      </c>
      <c r="C643" s="512" t="s">
        <v>1882</v>
      </c>
      <c r="D643" s="512" t="s">
        <v>1882</v>
      </c>
      <c r="E643" s="513" t="s">
        <v>40</v>
      </c>
      <c r="F643" s="514">
        <v>114503.0</v>
      </c>
      <c r="G643" s="514">
        <v>32320.0</v>
      </c>
      <c r="H643" s="514">
        <v>28.23</v>
      </c>
      <c r="I643" s="514">
        <v>11.44</v>
      </c>
      <c r="J643" s="514">
        <v>7.18</v>
      </c>
      <c r="K643" s="514">
        <v>6684120.0</v>
      </c>
      <c r="L643" s="514">
        <v>5.8416412E7</v>
      </c>
      <c r="M643" s="514">
        <v>58.3751</v>
      </c>
      <c r="N643" s="6">
        <v>206.8106</v>
      </c>
    </row>
    <row r="644">
      <c r="A644" s="512" t="s">
        <v>2037</v>
      </c>
      <c r="B644" s="512" t="s">
        <v>1867</v>
      </c>
      <c r="C644" s="512" t="s">
        <v>1882</v>
      </c>
      <c r="D644" s="512" t="s">
        <v>1882</v>
      </c>
      <c r="E644" s="513" t="s">
        <v>380</v>
      </c>
      <c r="F644" s="514">
        <v>114503.0</v>
      </c>
      <c r="G644" s="514">
        <v>81239.0</v>
      </c>
      <c r="H644" s="514">
        <v>70.95</v>
      </c>
      <c r="I644" s="514">
        <v>7.55</v>
      </c>
      <c r="J644" s="514">
        <v>10.75</v>
      </c>
      <c r="K644" s="514">
        <v>4410915.0</v>
      </c>
      <c r="L644" s="514">
        <v>5.8416412E7</v>
      </c>
      <c r="M644" s="514">
        <v>38.5223</v>
      </c>
      <c r="N644" s="6">
        <v>54.2955</v>
      </c>
    </row>
    <row r="645">
      <c r="A645" s="512" t="s">
        <v>2037</v>
      </c>
      <c r="B645" s="512" t="s">
        <v>1867</v>
      </c>
      <c r="C645" s="512" t="s">
        <v>1882</v>
      </c>
      <c r="D645" s="512" t="s">
        <v>1882</v>
      </c>
      <c r="E645" s="513" t="s">
        <v>367</v>
      </c>
      <c r="F645" s="514">
        <v>114503.0</v>
      </c>
      <c r="G645" s="514">
        <v>39815.0</v>
      </c>
      <c r="H645" s="514">
        <v>34.77</v>
      </c>
      <c r="I645" s="514">
        <v>7.15</v>
      </c>
      <c r="J645" s="514">
        <v>4.86</v>
      </c>
      <c r="K645" s="514">
        <v>4175125.0</v>
      </c>
      <c r="L645" s="514">
        <v>5.8416412E7</v>
      </c>
      <c r="M645" s="514">
        <v>36.463</v>
      </c>
      <c r="N645" s="6">
        <v>104.8631</v>
      </c>
    </row>
    <row r="646">
      <c r="A646" s="512" t="s">
        <v>2037</v>
      </c>
      <c r="B646" s="512" t="s">
        <v>1867</v>
      </c>
      <c r="C646" s="512" t="s">
        <v>1882</v>
      </c>
      <c r="D646" s="512" t="s">
        <v>1882</v>
      </c>
      <c r="E646" s="513" t="s">
        <v>372</v>
      </c>
      <c r="F646" s="514">
        <v>114503.0</v>
      </c>
      <c r="G646" s="514">
        <v>48845.0</v>
      </c>
      <c r="H646" s="514">
        <v>42.66</v>
      </c>
      <c r="I646" s="514">
        <v>4.01</v>
      </c>
      <c r="J646" s="514">
        <v>4.71</v>
      </c>
      <c r="K646" s="514">
        <v>2341765.0</v>
      </c>
      <c r="L646" s="514">
        <v>5.8416412E7</v>
      </c>
      <c r="M646" s="514">
        <v>20.4516</v>
      </c>
      <c r="N646" s="6">
        <v>47.9428</v>
      </c>
    </row>
    <row r="647">
      <c r="A647" s="512" t="s">
        <v>2037</v>
      </c>
      <c r="B647" s="512" t="s">
        <v>1867</v>
      </c>
      <c r="C647" s="512" t="s">
        <v>1882</v>
      </c>
      <c r="D647" s="512" t="s">
        <v>1882</v>
      </c>
      <c r="E647" s="513" t="s">
        <v>374</v>
      </c>
      <c r="F647" s="514">
        <v>114503.0</v>
      </c>
      <c r="G647" s="514">
        <v>36494.0</v>
      </c>
      <c r="H647" s="514">
        <v>31.87</v>
      </c>
      <c r="I647" s="514">
        <v>3.18</v>
      </c>
      <c r="J647" s="514">
        <v>3.69</v>
      </c>
      <c r="K647" s="514">
        <v>1860295.0</v>
      </c>
      <c r="L647" s="514">
        <v>5.8416412E7</v>
      </c>
      <c r="M647" s="514">
        <v>16.2467</v>
      </c>
      <c r="N647" s="6">
        <v>50.9754</v>
      </c>
    </row>
    <row r="648">
      <c r="A648" s="512" t="s">
        <v>2037</v>
      </c>
      <c r="B648" s="512" t="s">
        <v>1867</v>
      </c>
      <c r="C648" s="512" t="s">
        <v>1882</v>
      </c>
      <c r="D648" s="512" t="s">
        <v>1882</v>
      </c>
      <c r="E648" s="513" t="s">
        <v>50</v>
      </c>
      <c r="F648" s="514">
        <v>114503.0</v>
      </c>
      <c r="G648" s="514">
        <v>20593.0</v>
      </c>
      <c r="H648" s="514">
        <v>17.98</v>
      </c>
      <c r="I648" s="514">
        <v>2.72</v>
      </c>
      <c r="J648" s="514">
        <v>2.26</v>
      </c>
      <c r="K648" s="514">
        <v>1590800.0</v>
      </c>
      <c r="L648" s="514">
        <v>5.8416412E7</v>
      </c>
      <c r="M648" s="514">
        <v>13.8931</v>
      </c>
      <c r="N648" s="6">
        <v>77.2496</v>
      </c>
    </row>
    <row r="649">
      <c r="A649" s="512" t="s">
        <v>2037</v>
      </c>
      <c r="B649" s="512" t="s">
        <v>1867</v>
      </c>
      <c r="C649" s="512" t="s">
        <v>1882</v>
      </c>
      <c r="D649" s="512" t="s">
        <v>1882</v>
      </c>
      <c r="E649" s="513" t="s">
        <v>377</v>
      </c>
      <c r="F649" s="514">
        <v>114503.0</v>
      </c>
      <c r="G649" s="514">
        <v>31848.0</v>
      </c>
      <c r="H649" s="514">
        <v>27.81</v>
      </c>
      <c r="I649" s="514">
        <v>2.51</v>
      </c>
      <c r="J649" s="514">
        <v>1.95</v>
      </c>
      <c r="K649" s="514">
        <v>1463497.0</v>
      </c>
      <c r="L649" s="514">
        <v>5.8416412E7</v>
      </c>
      <c r="M649" s="514">
        <v>12.7813</v>
      </c>
      <c r="N649" s="6">
        <v>45.9526</v>
      </c>
    </row>
    <row r="650">
      <c r="A650" s="512" t="s">
        <v>2037</v>
      </c>
      <c r="B650" s="512" t="s">
        <v>1867</v>
      </c>
      <c r="C650" s="512" t="s">
        <v>1882</v>
      </c>
      <c r="D650" s="512" t="s">
        <v>1882</v>
      </c>
      <c r="E650" s="513" t="s">
        <v>134</v>
      </c>
      <c r="F650" s="514">
        <v>114503.0</v>
      </c>
      <c r="G650" s="514">
        <v>12483.0</v>
      </c>
      <c r="H650" s="514">
        <v>10.9</v>
      </c>
      <c r="I650" s="514">
        <v>0.92</v>
      </c>
      <c r="J650" s="514">
        <v>1.05</v>
      </c>
      <c r="K650" s="514">
        <v>535185.0</v>
      </c>
      <c r="L650" s="514">
        <v>5.8416412E7</v>
      </c>
      <c r="M650" s="514">
        <v>4.674</v>
      </c>
      <c r="N650" s="6">
        <v>42.8731</v>
      </c>
    </row>
    <row r="651">
      <c r="A651" s="512" t="s">
        <v>2037</v>
      </c>
      <c r="B651" s="512" t="s">
        <v>1867</v>
      </c>
      <c r="C651" s="512" t="s">
        <v>1882</v>
      </c>
      <c r="D651" s="512" t="s">
        <v>1882</v>
      </c>
      <c r="E651" s="513" t="s">
        <v>44</v>
      </c>
      <c r="F651" s="514">
        <v>114503.0</v>
      </c>
      <c r="G651" s="514">
        <v>22093.0</v>
      </c>
      <c r="H651" s="514">
        <v>19.29</v>
      </c>
      <c r="I651" s="514">
        <v>0.6</v>
      </c>
      <c r="J651" s="514">
        <v>0.59</v>
      </c>
      <c r="K651" s="514">
        <v>350945.0</v>
      </c>
      <c r="L651" s="514">
        <v>5.8416412E7</v>
      </c>
      <c r="M651" s="514">
        <v>3.0649</v>
      </c>
      <c r="N651" s="6">
        <v>15.8849</v>
      </c>
    </row>
    <row r="652">
      <c r="A652" s="512" t="s">
        <v>2037</v>
      </c>
      <c r="B652" s="512" t="s">
        <v>1867</v>
      </c>
      <c r="C652" s="512" t="s">
        <v>1882</v>
      </c>
      <c r="D652" s="512" t="s">
        <v>1882</v>
      </c>
      <c r="E652" s="513" t="s">
        <v>312</v>
      </c>
      <c r="F652" s="514">
        <v>114503.0</v>
      </c>
      <c r="G652" s="514">
        <v>2223.0</v>
      </c>
      <c r="H652" s="514">
        <v>1.94</v>
      </c>
      <c r="I652" s="514">
        <v>0.37</v>
      </c>
      <c r="J652" s="514">
        <v>0.38</v>
      </c>
      <c r="K652" s="514">
        <v>214425.0</v>
      </c>
      <c r="L652" s="514">
        <v>5.8416412E7</v>
      </c>
      <c r="M652" s="514">
        <v>1.8727</v>
      </c>
      <c r="N652" s="6">
        <v>96.4575</v>
      </c>
    </row>
    <row r="653">
      <c r="A653" s="512" t="s">
        <v>2037</v>
      </c>
      <c r="B653" s="512" t="s">
        <v>1867</v>
      </c>
      <c r="C653" s="512" t="s">
        <v>1882</v>
      </c>
      <c r="D653" s="512" t="s">
        <v>1882</v>
      </c>
      <c r="E653" s="513" t="s">
        <v>32</v>
      </c>
      <c r="F653" s="514">
        <v>114503.0</v>
      </c>
      <c r="G653" s="514">
        <v>2366.0</v>
      </c>
      <c r="H653" s="514">
        <v>2.07</v>
      </c>
      <c r="I653" s="514">
        <v>0.35</v>
      </c>
      <c r="J653" s="514">
        <v>0.39</v>
      </c>
      <c r="K653" s="514">
        <v>206245.0</v>
      </c>
      <c r="L653" s="514">
        <v>5.8416412E7</v>
      </c>
      <c r="M653" s="514">
        <v>1.8012</v>
      </c>
      <c r="N653" s="6">
        <v>87.1703</v>
      </c>
    </row>
    <row r="654">
      <c r="A654" s="512" t="s">
        <v>2037</v>
      </c>
      <c r="B654" s="512" t="s">
        <v>1867</v>
      </c>
      <c r="C654" s="512" t="s">
        <v>1882</v>
      </c>
      <c r="D654" s="512" t="s">
        <v>1882</v>
      </c>
      <c r="E654" s="513" t="s">
        <v>310</v>
      </c>
      <c r="F654" s="514">
        <v>114503.0</v>
      </c>
      <c r="G654" s="514">
        <v>1816.0</v>
      </c>
      <c r="H654" s="514">
        <v>1.59</v>
      </c>
      <c r="I654" s="514">
        <v>0.28</v>
      </c>
      <c r="J654" s="514">
        <v>0.33</v>
      </c>
      <c r="K654" s="514">
        <v>164850.0</v>
      </c>
      <c r="L654" s="514">
        <v>5.8416412E7</v>
      </c>
      <c r="M654" s="514">
        <v>1.4397</v>
      </c>
      <c r="N654" s="6">
        <v>90.7764</v>
      </c>
    </row>
    <row r="655">
      <c r="A655" s="512" t="s">
        <v>2037</v>
      </c>
      <c r="B655" s="512" t="s">
        <v>1867</v>
      </c>
      <c r="C655" s="512" t="s">
        <v>1882</v>
      </c>
      <c r="D655" s="512" t="s">
        <v>1882</v>
      </c>
      <c r="E655" s="513" t="s">
        <v>35</v>
      </c>
      <c r="F655" s="514">
        <v>114503.0</v>
      </c>
      <c r="G655" s="514">
        <v>1621.0</v>
      </c>
      <c r="H655" s="514">
        <v>1.42</v>
      </c>
      <c r="I655" s="514">
        <v>0.08</v>
      </c>
      <c r="J655" s="514">
        <v>0.07</v>
      </c>
      <c r="K655" s="514">
        <v>45875.0</v>
      </c>
      <c r="L655" s="514">
        <v>5.8416412E7</v>
      </c>
      <c r="M655" s="514">
        <v>0.4006</v>
      </c>
      <c r="N655" s="6">
        <v>28.3004</v>
      </c>
    </row>
    <row r="656">
      <c r="A656" s="512" t="s">
        <v>2037</v>
      </c>
      <c r="B656" s="512" t="s">
        <v>1867</v>
      </c>
      <c r="C656" s="512" t="s">
        <v>1882</v>
      </c>
      <c r="D656" s="512" t="s">
        <v>1882</v>
      </c>
      <c r="E656" s="513" t="s">
        <v>375</v>
      </c>
      <c r="F656" s="514">
        <v>114503.0</v>
      </c>
      <c r="G656" s="514">
        <v>1612.0</v>
      </c>
      <c r="H656" s="514">
        <v>1.41</v>
      </c>
      <c r="I656" s="514">
        <v>0.08</v>
      </c>
      <c r="J656" s="514">
        <v>0.13</v>
      </c>
      <c r="K656" s="514">
        <v>49210.0</v>
      </c>
      <c r="L656" s="514">
        <v>5.8416412E7</v>
      </c>
      <c r="M656" s="514">
        <v>0.4298</v>
      </c>
      <c r="N656" s="6">
        <v>30.5273</v>
      </c>
    </row>
    <row r="657">
      <c r="A657" s="512" t="s">
        <v>2037</v>
      </c>
      <c r="B657" s="512" t="s">
        <v>1867</v>
      </c>
      <c r="C657" s="512" t="s">
        <v>1882</v>
      </c>
      <c r="D657" s="512" t="s">
        <v>1882</v>
      </c>
      <c r="E657" s="513" t="s">
        <v>311</v>
      </c>
      <c r="F657" s="514">
        <v>114503.0</v>
      </c>
      <c r="G657" s="514">
        <v>439.0</v>
      </c>
      <c r="H657" s="514">
        <v>0.38</v>
      </c>
      <c r="I657" s="514">
        <v>0.07</v>
      </c>
      <c r="J657" s="514">
        <v>0.12</v>
      </c>
      <c r="K657" s="514">
        <v>40450.0</v>
      </c>
      <c r="L657" s="514">
        <v>5.8416412E7</v>
      </c>
      <c r="M657" s="514">
        <v>0.3533</v>
      </c>
      <c r="N657" s="6">
        <v>92.1412</v>
      </c>
    </row>
    <row r="658">
      <c r="A658" s="512" t="s">
        <v>2037</v>
      </c>
      <c r="B658" s="512" t="s">
        <v>1867</v>
      </c>
      <c r="C658" s="512" t="s">
        <v>1882</v>
      </c>
      <c r="D658" s="512" t="s">
        <v>1882</v>
      </c>
      <c r="E658" s="513" t="s">
        <v>43</v>
      </c>
      <c r="F658" s="514">
        <v>114503.0</v>
      </c>
      <c r="G658" s="514">
        <v>233.0</v>
      </c>
      <c r="H658" s="514">
        <v>0.2</v>
      </c>
      <c r="I658" s="514">
        <v>0.06</v>
      </c>
      <c r="J658" s="514">
        <v>0.06</v>
      </c>
      <c r="K658" s="514">
        <v>35100.0</v>
      </c>
      <c r="L658" s="514">
        <v>5.8416412E7</v>
      </c>
      <c r="M658" s="514">
        <v>0.3065</v>
      </c>
      <c r="N658" s="6">
        <v>150.6438</v>
      </c>
    </row>
    <row r="659">
      <c r="A659" s="512" t="s">
        <v>2037</v>
      </c>
      <c r="B659" s="512" t="s">
        <v>1867</v>
      </c>
      <c r="C659" s="512" t="s">
        <v>1882</v>
      </c>
      <c r="D659" s="512" t="s">
        <v>1882</v>
      </c>
      <c r="E659" s="513" t="s">
        <v>189</v>
      </c>
      <c r="F659" s="514">
        <v>114503.0</v>
      </c>
      <c r="G659" s="514">
        <v>867.0</v>
      </c>
      <c r="H659" s="514">
        <v>0.76</v>
      </c>
      <c r="I659" s="514">
        <v>0.04</v>
      </c>
      <c r="J659" s="514">
        <v>0.05</v>
      </c>
      <c r="K659" s="514">
        <v>22450.0</v>
      </c>
      <c r="L659" s="514">
        <v>5.8416412E7</v>
      </c>
      <c r="M659" s="514">
        <v>0.1961</v>
      </c>
      <c r="N659" s="6">
        <v>25.8939</v>
      </c>
    </row>
    <row r="660">
      <c r="A660" s="512" t="s">
        <v>2037</v>
      </c>
      <c r="B660" s="512" t="s">
        <v>1867</v>
      </c>
      <c r="C660" s="512" t="s">
        <v>69</v>
      </c>
      <c r="D660" s="512" t="s">
        <v>574</v>
      </c>
      <c r="E660" s="513" t="s">
        <v>380</v>
      </c>
      <c r="F660" s="514">
        <v>103159.0</v>
      </c>
      <c r="G660" s="514">
        <v>67619.0</v>
      </c>
      <c r="H660" s="514">
        <v>65.55</v>
      </c>
      <c r="I660" s="514">
        <v>23.38</v>
      </c>
      <c r="J660" s="514">
        <v>20.9</v>
      </c>
      <c r="K660" s="514">
        <v>196027.0</v>
      </c>
      <c r="L660" s="514">
        <v>838488.0</v>
      </c>
      <c r="M660" s="514">
        <v>1.9002</v>
      </c>
      <c r="N660" s="6">
        <v>2.899</v>
      </c>
    </row>
    <row r="661">
      <c r="A661" s="512" t="s">
        <v>2037</v>
      </c>
      <c r="B661" s="512" t="s">
        <v>1867</v>
      </c>
      <c r="C661" s="512" t="s">
        <v>69</v>
      </c>
      <c r="D661" s="512" t="s">
        <v>574</v>
      </c>
      <c r="E661" s="513" t="s">
        <v>379</v>
      </c>
      <c r="F661" s="514">
        <v>103159.0</v>
      </c>
      <c r="G661" s="514">
        <v>67861.0</v>
      </c>
      <c r="H661" s="514">
        <v>65.78</v>
      </c>
      <c r="I661" s="514">
        <v>22.05</v>
      </c>
      <c r="J661" s="514">
        <v>20.74</v>
      </c>
      <c r="K661" s="514">
        <v>184913.0</v>
      </c>
      <c r="L661" s="514">
        <v>838488.0</v>
      </c>
      <c r="M661" s="514">
        <v>1.7925</v>
      </c>
      <c r="N661" s="6">
        <v>2.7249</v>
      </c>
    </row>
    <row r="662">
      <c r="A662" s="512" t="s">
        <v>2037</v>
      </c>
      <c r="B662" s="512" t="s">
        <v>1867</v>
      </c>
      <c r="C662" s="512" t="s">
        <v>69</v>
      </c>
      <c r="D662" s="512" t="s">
        <v>574</v>
      </c>
      <c r="E662" s="513" t="s">
        <v>377</v>
      </c>
      <c r="F662" s="514">
        <v>103159.0</v>
      </c>
      <c r="G662" s="514">
        <v>78369.0</v>
      </c>
      <c r="H662" s="514">
        <v>75.97</v>
      </c>
      <c r="I662" s="514">
        <v>21.84</v>
      </c>
      <c r="J662" s="514">
        <v>29.66</v>
      </c>
      <c r="K662" s="514">
        <v>183160.0</v>
      </c>
      <c r="L662" s="514">
        <v>838488.0</v>
      </c>
      <c r="M662" s="514">
        <v>1.7755</v>
      </c>
      <c r="N662" s="6">
        <v>2.3371</v>
      </c>
    </row>
    <row r="663">
      <c r="A663" s="512" t="s">
        <v>2037</v>
      </c>
      <c r="B663" s="512" t="s">
        <v>1867</v>
      </c>
      <c r="C663" s="512" t="s">
        <v>69</v>
      </c>
      <c r="D663" s="512" t="s">
        <v>574</v>
      </c>
      <c r="E663" s="513" t="s">
        <v>44</v>
      </c>
      <c r="F663" s="514">
        <v>103159.0</v>
      </c>
      <c r="G663" s="514">
        <v>58668.0</v>
      </c>
      <c r="H663" s="514">
        <v>56.87</v>
      </c>
      <c r="I663" s="514">
        <v>14.58</v>
      </c>
      <c r="J663" s="514">
        <v>14.44</v>
      </c>
      <c r="K663" s="514">
        <v>122247.0</v>
      </c>
      <c r="L663" s="514">
        <v>838488.0</v>
      </c>
      <c r="M663" s="514">
        <v>1.185</v>
      </c>
      <c r="N663" s="6">
        <v>2.0837</v>
      </c>
    </row>
    <row r="664">
      <c r="A664" s="512" t="s">
        <v>2037</v>
      </c>
      <c r="B664" s="512" t="s">
        <v>1867</v>
      </c>
      <c r="C664" s="512" t="s">
        <v>69</v>
      </c>
      <c r="D664" s="512" t="s">
        <v>574</v>
      </c>
      <c r="E664" s="513" t="s">
        <v>374</v>
      </c>
      <c r="F664" s="514">
        <v>103159.0</v>
      </c>
      <c r="G664" s="514">
        <v>28990.0</v>
      </c>
      <c r="H664" s="514">
        <v>28.1</v>
      </c>
      <c r="I664" s="514">
        <v>12.15</v>
      </c>
      <c r="J664" s="514">
        <v>8.32</v>
      </c>
      <c r="K664" s="514">
        <v>101847.0</v>
      </c>
      <c r="L664" s="514">
        <v>838488.0</v>
      </c>
      <c r="M664" s="514">
        <v>0.9873</v>
      </c>
      <c r="N664" s="6">
        <v>3.5132</v>
      </c>
    </row>
    <row r="665">
      <c r="A665" s="512" t="s">
        <v>2037</v>
      </c>
      <c r="B665" s="512" t="s">
        <v>1867</v>
      </c>
      <c r="C665" s="512" t="s">
        <v>69</v>
      </c>
      <c r="D665" s="512" t="s">
        <v>574</v>
      </c>
      <c r="E665" s="513" t="s">
        <v>49</v>
      </c>
      <c r="F665" s="514">
        <v>103159.0</v>
      </c>
      <c r="G665" s="514">
        <v>18419.0</v>
      </c>
      <c r="H665" s="514">
        <v>17.85</v>
      </c>
      <c r="I665" s="514">
        <v>2.99</v>
      </c>
      <c r="J665" s="514">
        <v>2.95</v>
      </c>
      <c r="K665" s="514">
        <v>25109.0</v>
      </c>
      <c r="L665" s="514">
        <v>838488.0</v>
      </c>
      <c r="M665" s="514">
        <v>0.2434</v>
      </c>
      <c r="N665" s="6">
        <v>1.3632</v>
      </c>
    </row>
    <row r="666">
      <c r="A666" s="512" t="s">
        <v>2037</v>
      </c>
      <c r="B666" s="512" t="s">
        <v>1867</v>
      </c>
      <c r="C666" s="512" t="s">
        <v>69</v>
      </c>
      <c r="D666" s="512" t="s">
        <v>574</v>
      </c>
      <c r="E666" s="513" t="s">
        <v>42</v>
      </c>
      <c r="F666" s="514">
        <v>103159.0</v>
      </c>
      <c r="G666" s="514">
        <v>9198.0</v>
      </c>
      <c r="H666" s="514">
        <v>8.92</v>
      </c>
      <c r="I666" s="514">
        <v>1.47</v>
      </c>
      <c r="J666" s="514">
        <v>1.47</v>
      </c>
      <c r="K666" s="514">
        <v>12307.0</v>
      </c>
      <c r="L666" s="514">
        <v>838488.0</v>
      </c>
      <c r="M666" s="514">
        <v>0.1193</v>
      </c>
      <c r="N666" s="6">
        <v>1.338</v>
      </c>
    </row>
    <row r="667">
      <c r="A667" s="512" t="s">
        <v>2037</v>
      </c>
      <c r="B667" s="512" t="s">
        <v>1867</v>
      </c>
      <c r="C667" s="512" t="s">
        <v>69</v>
      </c>
      <c r="D667" s="512" t="s">
        <v>574</v>
      </c>
      <c r="E667" s="513" t="s">
        <v>372</v>
      </c>
      <c r="F667" s="514">
        <v>103159.0</v>
      </c>
      <c r="G667" s="514">
        <v>7743.0</v>
      </c>
      <c r="H667" s="514">
        <v>7.51</v>
      </c>
      <c r="I667" s="514">
        <v>0.95</v>
      </c>
      <c r="J667" s="514">
        <v>0.98</v>
      </c>
      <c r="K667" s="514">
        <v>7932.0</v>
      </c>
      <c r="L667" s="514">
        <v>838488.0</v>
      </c>
      <c r="M667" s="514">
        <v>0.0769</v>
      </c>
      <c r="N667" s="6">
        <v>1.0244</v>
      </c>
    </row>
    <row r="668">
      <c r="A668" s="512" t="s">
        <v>2037</v>
      </c>
      <c r="B668" s="512" t="s">
        <v>1867</v>
      </c>
      <c r="C668" s="512" t="s">
        <v>69</v>
      </c>
      <c r="D668" s="512" t="s">
        <v>574</v>
      </c>
      <c r="E668" s="513" t="s">
        <v>50</v>
      </c>
      <c r="F668" s="514">
        <v>103159.0</v>
      </c>
      <c r="G668" s="514">
        <v>2076.0</v>
      </c>
      <c r="H668" s="514">
        <v>2.01</v>
      </c>
      <c r="I668" s="514">
        <v>0.26</v>
      </c>
      <c r="J668" s="514">
        <v>0.17</v>
      </c>
      <c r="K668" s="514">
        <v>2221.0</v>
      </c>
      <c r="L668" s="514">
        <v>838488.0</v>
      </c>
      <c r="M668" s="514">
        <v>0.0215</v>
      </c>
      <c r="N668" s="6">
        <v>1.0698</v>
      </c>
    </row>
    <row r="669">
      <c r="A669" s="512" t="s">
        <v>2037</v>
      </c>
      <c r="B669" s="512" t="s">
        <v>1867</v>
      </c>
      <c r="C669" s="512" t="s">
        <v>69</v>
      </c>
      <c r="D669" s="512" t="s">
        <v>574</v>
      </c>
      <c r="E669" s="513" t="s">
        <v>134</v>
      </c>
      <c r="F669" s="514">
        <v>103159.0</v>
      </c>
      <c r="G669" s="514">
        <v>1179.0</v>
      </c>
      <c r="H669" s="514">
        <v>1.14</v>
      </c>
      <c r="I669" s="514">
        <v>0.17</v>
      </c>
      <c r="J669" s="514">
        <v>0.12</v>
      </c>
      <c r="K669" s="514">
        <v>1466.0</v>
      </c>
      <c r="L669" s="514">
        <v>838488.0</v>
      </c>
      <c r="M669" s="514">
        <v>0.0142</v>
      </c>
      <c r="N669" s="6">
        <v>1.2434</v>
      </c>
    </row>
    <row r="670">
      <c r="A670" s="512" t="s">
        <v>2037</v>
      </c>
      <c r="B670" s="512" t="s">
        <v>1867</v>
      </c>
      <c r="C670" s="512" t="s">
        <v>69</v>
      </c>
      <c r="D670" s="512" t="s">
        <v>574</v>
      </c>
      <c r="E670" s="513" t="s">
        <v>43</v>
      </c>
      <c r="F670" s="514">
        <v>103159.0</v>
      </c>
      <c r="G670" s="514">
        <v>705.0</v>
      </c>
      <c r="H670" s="514">
        <v>0.68</v>
      </c>
      <c r="I670" s="514">
        <v>0.09</v>
      </c>
      <c r="J670" s="514">
        <v>0.11</v>
      </c>
      <c r="K670" s="514">
        <v>735.0</v>
      </c>
      <c r="L670" s="514">
        <v>838488.0</v>
      </c>
      <c r="M670" s="514">
        <v>0.0071</v>
      </c>
      <c r="N670" s="6">
        <v>1.0426</v>
      </c>
    </row>
    <row r="671">
      <c r="A671" s="512" t="s">
        <v>2037</v>
      </c>
      <c r="B671" s="512" t="s">
        <v>1867</v>
      </c>
      <c r="C671" s="512" t="s">
        <v>69</v>
      </c>
      <c r="D671" s="512" t="s">
        <v>574</v>
      </c>
      <c r="E671" s="513" t="s">
        <v>375</v>
      </c>
      <c r="F671" s="514">
        <v>103159.0</v>
      </c>
      <c r="G671" s="514">
        <v>271.0</v>
      </c>
      <c r="H671" s="514">
        <v>0.26</v>
      </c>
      <c r="I671" s="514">
        <v>0.04</v>
      </c>
      <c r="J671" s="514">
        <v>0.08</v>
      </c>
      <c r="K671" s="514">
        <v>313.0</v>
      </c>
      <c r="L671" s="514">
        <v>838488.0</v>
      </c>
      <c r="M671" s="514">
        <v>0.003</v>
      </c>
      <c r="N671" s="6">
        <v>1.155</v>
      </c>
    </row>
    <row r="672">
      <c r="A672" s="512" t="s">
        <v>2037</v>
      </c>
      <c r="B672" s="512" t="s">
        <v>1867</v>
      </c>
      <c r="C672" s="512" t="s">
        <v>69</v>
      </c>
      <c r="D672" s="512" t="s">
        <v>574</v>
      </c>
      <c r="E672" s="513" t="s">
        <v>35</v>
      </c>
      <c r="F672" s="514">
        <v>103159.0</v>
      </c>
      <c r="G672" s="514">
        <v>82.0</v>
      </c>
      <c r="H672" s="514">
        <v>0.08</v>
      </c>
      <c r="I672" s="514">
        <v>0.01</v>
      </c>
      <c r="J672" s="514">
        <v>0.02</v>
      </c>
      <c r="K672" s="514">
        <v>97.0</v>
      </c>
      <c r="L672" s="514">
        <v>838488.0</v>
      </c>
      <c r="M672" s="514">
        <v>9.0E-4</v>
      </c>
      <c r="N672" s="6">
        <v>1.1829</v>
      </c>
    </row>
    <row r="673">
      <c r="A673" s="512" t="s">
        <v>2037</v>
      </c>
      <c r="B673" s="512" t="s">
        <v>1867</v>
      </c>
      <c r="C673" s="512" t="s">
        <v>69</v>
      </c>
      <c r="D673" s="512" t="s">
        <v>574</v>
      </c>
      <c r="E673" s="513" t="s">
        <v>189</v>
      </c>
      <c r="F673" s="514">
        <v>103159.0</v>
      </c>
      <c r="G673" s="514">
        <v>77.0</v>
      </c>
      <c r="H673" s="514">
        <v>0.07</v>
      </c>
      <c r="I673" s="514">
        <v>0.01</v>
      </c>
      <c r="J673" s="514">
        <v>0.02</v>
      </c>
      <c r="K673" s="514">
        <v>80.0</v>
      </c>
      <c r="L673" s="514">
        <v>838488.0</v>
      </c>
      <c r="M673" s="514">
        <v>8.0E-4</v>
      </c>
      <c r="N673" s="6">
        <v>1.039</v>
      </c>
    </row>
    <row r="674">
      <c r="A674" s="512" t="s">
        <v>2037</v>
      </c>
      <c r="B674" s="512" t="s">
        <v>1867</v>
      </c>
      <c r="C674" s="512" t="s">
        <v>69</v>
      </c>
      <c r="D674" s="512" t="s">
        <v>574</v>
      </c>
      <c r="E674" s="513" t="s">
        <v>32</v>
      </c>
      <c r="F674" s="514">
        <v>103159.0</v>
      </c>
      <c r="G674" s="514">
        <v>25.0</v>
      </c>
      <c r="H674" s="514">
        <v>0.02</v>
      </c>
      <c r="I674" s="514">
        <v>0.0</v>
      </c>
      <c r="J674" s="514">
        <v>0.01</v>
      </c>
      <c r="K674" s="514">
        <v>31.0</v>
      </c>
      <c r="L674" s="514">
        <v>838488.0</v>
      </c>
      <c r="M674" s="514">
        <v>3.0E-4</v>
      </c>
      <c r="N674" s="6">
        <v>1.24</v>
      </c>
    </row>
    <row r="675">
      <c r="A675" s="512" t="s">
        <v>2037</v>
      </c>
      <c r="B675" s="512" t="s">
        <v>1867</v>
      </c>
      <c r="C675" s="512" t="s">
        <v>69</v>
      </c>
      <c r="D675" s="512" t="s">
        <v>574</v>
      </c>
      <c r="E675" s="513" t="s">
        <v>310</v>
      </c>
      <c r="F675" s="514">
        <v>103159.0</v>
      </c>
      <c r="G675" s="514">
        <v>1.0</v>
      </c>
      <c r="H675" s="514">
        <v>0.0</v>
      </c>
      <c r="I675" s="514">
        <v>0.0</v>
      </c>
      <c r="J675" s="514">
        <v>0.0</v>
      </c>
      <c r="K675" s="514">
        <v>1.0</v>
      </c>
      <c r="L675" s="514">
        <v>838488.0</v>
      </c>
      <c r="M675" s="514">
        <v>0.0</v>
      </c>
      <c r="N675" s="6">
        <v>1.0</v>
      </c>
    </row>
    <row r="676">
      <c r="A676" s="512" t="s">
        <v>2037</v>
      </c>
      <c r="B676" s="512" t="s">
        <v>1867</v>
      </c>
      <c r="C676" s="512" t="s">
        <v>69</v>
      </c>
      <c r="D676" s="512" t="s">
        <v>574</v>
      </c>
      <c r="E676" s="513" t="s">
        <v>312</v>
      </c>
      <c r="F676" s="514">
        <v>103159.0</v>
      </c>
      <c r="G676" s="514">
        <v>2.0</v>
      </c>
      <c r="H676" s="514">
        <v>0.0</v>
      </c>
      <c r="I676" s="514">
        <v>0.0</v>
      </c>
      <c r="J676" s="514">
        <v>0.0</v>
      </c>
      <c r="K676" s="514">
        <v>2.0</v>
      </c>
      <c r="L676" s="514">
        <v>838488.0</v>
      </c>
      <c r="M676" s="514">
        <v>0.0</v>
      </c>
      <c r="N676" s="6">
        <v>1.0</v>
      </c>
    </row>
    <row r="677">
      <c r="A677" s="512" t="s">
        <v>2037</v>
      </c>
      <c r="B677" s="512" t="s">
        <v>1867</v>
      </c>
      <c r="C677" s="512" t="s">
        <v>68</v>
      </c>
      <c r="D677" s="512" t="s">
        <v>574</v>
      </c>
      <c r="E677" s="513" t="s">
        <v>377</v>
      </c>
      <c r="F677" s="514">
        <v>87852.0</v>
      </c>
      <c r="G677" s="514">
        <v>76200.0</v>
      </c>
      <c r="H677" s="514">
        <v>86.74</v>
      </c>
      <c r="I677" s="514">
        <v>72.25</v>
      </c>
      <c r="J677" s="514">
        <v>71.53</v>
      </c>
      <c r="K677" s="514">
        <v>8565534.0</v>
      </c>
      <c r="L677" s="514">
        <v>1.1856129E7</v>
      </c>
      <c r="M677" s="514">
        <v>97.4996</v>
      </c>
      <c r="N677" s="6">
        <v>112.4086</v>
      </c>
    </row>
    <row r="678">
      <c r="A678" s="512" t="s">
        <v>2037</v>
      </c>
      <c r="B678" s="512" t="s">
        <v>1867</v>
      </c>
      <c r="C678" s="512" t="s">
        <v>68</v>
      </c>
      <c r="D678" s="512" t="s">
        <v>574</v>
      </c>
      <c r="E678" s="513" t="s">
        <v>50</v>
      </c>
      <c r="F678" s="514">
        <v>87852.0</v>
      </c>
      <c r="G678" s="514">
        <v>27141.0</v>
      </c>
      <c r="H678" s="514">
        <v>30.89</v>
      </c>
      <c r="I678" s="514">
        <v>17.58</v>
      </c>
      <c r="J678" s="514">
        <v>14.02</v>
      </c>
      <c r="K678" s="514">
        <v>2084595.0</v>
      </c>
      <c r="L678" s="514">
        <v>1.1856129E7</v>
      </c>
      <c r="M678" s="514">
        <v>23.7285</v>
      </c>
      <c r="N678" s="6">
        <v>76.8061</v>
      </c>
    </row>
    <row r="679">
      <c r="A679" s="512" t="s">
        <v>2037</v>
      </c>
      <c r="B679" s="512" t="s">
        <v>1867</v>
      </c>
      <c r="C679" s="512" t="s">
        <v>68</v>
      </c>
      <c r="D679" s="512" t="s">
        <v>574</v>
      </c>
      <c r="E679" s="513" t="s">
        <v>43</v>
      </c>
      <c r="F679" s="514">
        <v>87852.0</v>
      </c>
      <c r="G679" s="514">
        <v>6382.0</v>
      </c>
      <c r="H679" s="514">
        <v>7.26</v>
      </c>
      <c r="I679" s="514">
        <v>4.5</v>
      </c>
      <c r="J679" s="514">
        <v>3.08</v>
      </c>
      <c r="K679" s="514">
        <v>533100.0</v>
      </c>
      <c r="L679" s="514">
        <v>1.1856129E7</v>
      </c>
      <c r="M679" s="514">
        <v>6.0682</v>
      </c>
      <c r="N679" s="6">
        <v>83.5318</v>
      </c>
    </row>
    <row r="680">
      <c r="A680" s="512" t="s">
        <v>2037</v>
      </c>
      <c r="B680" s="512" t="s">
        <v>1867</v>
      </c>
      <c r="C680" s="512" t="s">
        <v>68</v>
      </c>
      <c r="D680" s="512" t="s">
        <v>574</v>
      </c>
      <c r="E680" s="513" t="s">
        <v>49</v>
      </c>
      <c r="F680" s="514">
        <v>87852.0</v>
      </c>
      <c r="G680" s="514">
        <v>17751.0</v>
      </c>
      <c r="H680" s="514">
        <v>20.21</v>
      </c>
      <c r="I680" s="514">
        <v>4.07</v>
      </c>
      <c r="J680" s="514">
        <v>5.45</v>
      </c>
      <c r="K680" s="514">
        <v>482000.0</v>
      </c>
      <c r="L680" s="514">
        <v>1.1856129E7</v>
      </c>
      <c r="M680" s="514">
        <v>5.4865</v>
      </c>
      <c r="N680" s="6">
        <v>27.1534</v>
      </c>
    </row>
    <row r="681">
      <c r="A681" s="512" t="s">
        <v>2037</v>
      </c>
      <c r="B681" s="512" t="s">
        <v>1867</v>
      </c>
      <c r="C681" s="512" t="s">
        <v>68</v>
      </c>
      <c r="D681" s="512" t="s">
        <v>574</v>
      </c>
      <c r="E681" s="513" t="s">
        <v>380</v>
      </c>
      <c r="F681" s="514">
        <v>87852.0</v>
      </c>
      <c r="G681" s="514">
        <v>7004.0</v>
      </c>
      <c r="H681" s="514">
        <v>7.97</v>
      </c>
      <c r="I681" s="514">
        <v>1.41</v>
      </c>
      <c r="J681" s="514">
        <v>5.75</v>
      </c>
      <c r="K681" s="514">
        <v>167310.0</v>
      </c>
      <c r="L681" s="514">
        <v>1.1856129E7</v>
      </c>
      <c r="M681" s="514">
        <v>1.9045</v>
      </c>
      <c r="N681" s="6">
        <v>23.8878</v>
      </c>
    </row>
    <row r="682">
      <c r="A682" s="512" t="s">
        <v>2037</v>
      </c>
      <c r="B682" s="512" t="s">
        <v>1867</v>
      </c>
      <c r="C682" s="512" t="s">
        <v>68</v>
      </c>
      <c r="D682" s="512" t="s">
        <v>574</v>
      </c>
      <c r="E682" s="513" t="s">
        <v>134</v>
      </c>
      <c r="F682" s="514">
        <v>87852.0</v>
      </c>
      <c r="G682" s="514">
        <v>944.0</v>
      </c>
      <c r="H682" s="514">
        <v>1.07</v>
      </c>
      <c r="I682" s="514">
        <v>0.2</v>
      </c>
      <c r="J682" s="514">
        <v>0.16</v>
      </c>
      <c r="K682" s="514">
        <v>23280.0</v>
      </c>
      <c r="L682" s="514">
        <v>1.1856129E7</v>
      </c>
      <c r="M682" s="514">
        <v>0.265</v>
      </c>
      <c r="N682" s="6">
        <v>24.661</v>
      </c>
    </row>
    <row r="683">
      <c r="A683" s="512" t="s">
        <v>2037</v>
      </c>
      <c r="B683" s="512" t="s">
        <v>1867</v>
      </c>
      <c r="C683" s="512" t="s">
        <v>68</v>
      </c>
      <c r="D683" s="512" t="s">
        <v>574</v>
      </c>
      <c r="E683" s="513" t="s">
        <v>189</v>
      </c>
      <c r="F683" s="514">
        <v>87852.0</v>
      </c>
      <c r="G683" s="514">
        <v>1.0</v>
      </c>
      <c r="H683" s="514">
        <v>0.0</v>
      </c>
      <c r="I683" s="514">
        <v>0.0</v>
      </c>
      <c r="J683" s="514">
        <v>0.0</v>
      </c>
      <c r="K683" s="514">
        <v>25.0</v>
      </c>
      <c r="L683" s="514">
        <v>1.1856129E7</v>
      </c>
      <c r="M683" s="514">
        <v>3.0E-4</v>
      </c>
      <c r="N683" s="6">
        <v>25.0</v>
      </c>
    </row>
    <row r="684">
      <c r="A684" s="512" t="s">
        <v>2037</v>
      </c>
      <c r="B684" s="512" t="s">
        <v>1867</v>
      </c>
      <c r="C684" s="512" t="s">
        <v>68</v>
      </c>
      <c r="D684" s="512" t="s">
        <v>574</v>
      </c>
      <c r="E684" s="513" t="s">
        <v>42</v>
      </c>
      <c r="F684" s="514">
        <v>87852.0</v>
      </c>
      <c r="G684" s="514">
        <v>2.0</v>
      </c>
      <c r="H684" s="514">
        <v>0.0</v>
      </c>
      <c r="I684" s="514">
        <v>0.0</v>
      </c>
      <c r="J684" s="514">
        <v>0.0</v>
      </c>
      <c r="K684" s="514">
        <v>70.0</v>
      </c>
      <c r="L684" s="514">
        <v>1.1856129E7</v>
      </c>
      <c r="M684" s="514">
        <v>8.0E-4</v>
      </c>
      <c r="N684" s="6">
        <v>35.0</v>
      </c>
    </row>
    <row r="685">
      <c r="A685" s="512" t="s">
        <v>2037</v>
      </c>
      <c r="B685" s="512" t="s">
        <v>1867</v>
      </c>
      <c r="C685" s="512" t="s">
        <v>68</v>
      </c>
      <c r="D685" s="512" t="s">
        <v>574</v>
      </c>
      <c r="E685" s="513" t="s">
        <v>32</v>
      </c>
      <c r="F685" s="514">
        <v>87852.0</v>
      </c>
      <c r="G685" s="514">
        <v>12.0</v>
      </c>
      <c r="H685" s="514">
        <v>0.01</v>
      </c>
      <c r="I685" s="514">
        <v>0.0</v>
      </c>
      <c r="J685" s="514">
        <v>0.01</v>
      </c>
      <c r="K685" s="514">
        <v>150.0</v>
      </c>
      <c r="L685" s="514">
        <v>1.1856129E7</v>
      </c>
      <c r="M685" s="514">
        <v>0.0017</v>
      </c>
      <c r="N685" s="6">
        <v>12.5</v>
      </c>
    </row>
    <row r="686">
      <c r="A686" s="512" t="s">
        <v>2037</v>
      </c>
      <c r="B686" s="512" t="s">
        <v>1867</v>
      </c>
      <c r="C686" s="512" t="s">
        <v>68</v>
      </c>
      <c r="D686" s="512" t="s">
        <v>574</v>
      </c>
      <c r="E686" s="513" t="s">
        <v>40</v>
      </c>
      <c r="F686" s="514">
        <v>87852.0</v>
      </c>
      <c r="G686" s="514">
        <v>1.0</v>
      </c>
      <c r="H686" s="514">
        <v>0.0</v>
      </c>
      <c r="I686" s="514">
        <v>0.0</v>
      </c>
      <c r="J686" s="514">
        <v>0.0</v>
      </c>
      <c r="K686" s="514">
        <v>65.0</v>
      </c>
      <c r="L686" s="514">
        <v>1.1856129E7</v>
      </c>
      <c r="M686" s="514">
        <v>7.0E-4</v>
      </c>
      <c r="N686" s="6">
        <v>65.0</v>
      </c>
    </row>
    <row r="687">
      <c r="A687" s="512" t="s">
        <v>2037</v>
      </c>
      <c r="B687" s="512" t="s">
        <v>1867</v>
      </c>
      <c r="C687" s="512" t="s">
        <v>2035</v>
      </c>
      <c r="D687" s="512" t="s">
        <v>2036</v>
      </c>
      <c r="E687" s="513" t="s">
        <v>134</v>
      </c>
      <c r="F687" s="514">
        <v>1938.0</v>
      </c>
      <c r="G687" s="514">
        <v>1887.0</v>
      </c>
      <c r="H687" s="514">
        <v>97.37</v>
      </c>
      <c r="I687" s="514">
        <v>96.06</v>
      </c>
      <c r="J687" s="514">
        <v>97.34</v>
      </c>
      <c r="K687" s="514">
        <v>20850.0</v>
      </c>
      <c r="L687" s="514">
        <v>21705.0</v>
      </c>
      <c r="M687" s="514">
        <v>10.7585</v>
      </c>
      <c r="N687" s="6">
        <v>11.0493</v>
      </c>
    </row>
    <row r="688">
      <c r="A688" s="512" t="s">
        <v>2037</v>
      </c>
      <c r="B688" s="512" t="s">
        <v>1867</v>
      </c>
      <c r="C688" s="512" t="s">
        <v>2035</v>
      </c>
      <c r="D688" s="512" t="s">
        <v>2036</v>
      </c>
      <c r="E688" s="513" t="s">
        <v>373</v>
      </c>
      <c r="F688" s="514">
        <v>1938.0</v>
      </c>
      <c r="G688" s="514">
        <v>52.0</v>
      </c>
      <c r="H688" s="514">
        <v>2.68</v>
      </c>
      <c r="I688" s="514">
        <v>3.94</v>
      </c>
      <c r="J688" s="514">
        <v>2.66</v>
      </c>
      <c r="K688" s="514">
        <v>855.0</v>
      </c>
      <c r="L688" s="514">
        <v>21705.0</v>
      </c>
      <c r="M688" s="514">
        <v>0.4412</v>
      </c>
      <c r="N688" s="6">
        <v>16.4423</v>
      </c>
    </row>
    <row r="689">
      <c r="A689" s="512" t="s">
        <v>2037</v>
      </c>
      <c r="B689" s="512" t="s">
        <v>1867</v>
      </c>
      <c r="C689" s="512" t="s">
        <v>73</v>
      </c>
      <c r="D689" s="512" t="s">
        <v>574</v>
      </c>
      <c r="E689" s="513" t="s">
        <v>373</v>
      </c>
      <c r="F689" s="514">
        <v>87377.0</v>
      </c>
      <c r="G689" s="514">
        <v>50972.0</v>
      </c>
      <c r="H689" s="514">
        <v>58.34</v>
      </c>
      <c r="I689" s="514">
        <v>19.84</v>
      </c>
      <c r="J689" s="514">
        <v>18.45</v>
      </c>
      <c r="K689" s="514">
        <v>116212.0</v>
      </c>
      <c r="L689" s="514">
        <v>585811.0</v>
      </c>
      <c r="M689" s="514">
        <v>1.33</v>
      </c>
      <c r="N689" s="6">
        <v>2.2799</v>
      </c>
    </row>
    <row r="690">
      <c r="A690" s="512" t="s">
        <v>2037</v>
      </c>
      <c r="B690" s="512" t="s">
        <v>1867</v>
      </c>
      <c r="C690" s="512" t="s">
        <v>73</v>
      </c>
      <c r="D690" s="512" t="s">
        <v>574</v>
      </c>
      <c r="E690" s="513" t="s">
        <v>379</v>
      </c>
      <c r="F690" s="514">
        <v>87377.0</v>
      </c>
      <c r="G690" s="514">
        <v>59202.0</v>
      </c>
      <c r="H690" s="514">
        <v>67.75</v>
      </c>
      <c r="I690" s="514">
        <v>18.18</v>
      </c>
      <c r="J690" s="514">
        <v>22.13</v>
      </c>
      <c r="K690" s="514">
        <v>106480.0</v>
      </c>
      <c r="L690" s="514">
        <v>585811.0</v>
      </c>
      <c r="M690" s="514">
        <v>1.2186</v>
      </c>
      <c r="N690" s="6">
        <v>1.7986</v>
      </c>
    </row>
    <row r="691">
      <c r="A691" s="512" t="s">
        <v>2037</v>
      </c>
      <c r="B691" s="512" t="s">
        <v>1867</v>
      </c>
      <c r="C691" s="512" t="s">
        <v>73</v>
      </c>
      <c r="D691" s="512" t="s">
        <v>574</v>
      </c>
      <c r="E691" s="513" t="s">
        <v>367</v>
      </c>
      <c r="F691" s="514">
        <v>87377.0</v>
      </c>
      <c r="G691" s="514">
        <v>27676.0</v>
      </c>
      <c r="H691" s="514">
        <v>31.67</v>
      </c>
      <c r="I691" s="514">
        <v>15.8</v>
      </c>
      <c r="J691" s="514">
        <v>10.57</v>
      </c>
      <c r="K691" s="514">
        <v>92564.0</v>
      </c>
      <c r="L691" s="514">
        <v>585811.0</v>
      </c>
      <c r="M691" s="514">
        <v>1.0594</v>
      </c>
      <c r="N691" s="6">
        <v>3.3446</v>
      </c>
    </row>
    <row r="692">
      <c r="A692" s="512" t="s">
        <v>2037</v>
      </c>
      <c r="B692" s="512" t="s">
        <v>1867</v>
      </c>
      <c r="C692" s="512" t="s">
        <v>73</v>
      </c>
      <c r="D692" s="512" t="s">
        <v>574</v>
      </c>
      <c r="E692" s="513" t="s">
        <v>42</v>
      </c>
      <c r="F692" s="514">
        <v>87377.0</v>
      </c>
      <c r="G692" s="514">
        <v>38666.0</v>
      </c>
      <c r="H692" s="514">
        <v>44.25</v>
      </c>
      <c r="I692" s="514">
        <v>12.75</v>
      </c>
      <c r="J692" s="514">
        <v>14.61</v>
      </c>
      <c r="K692" s="514">
        <v>74704.0</v>
      </c>
      <c r="L692" s="514">
        <v>585811.0</v>
      </c>
      <c r="M692" s="514">
        <v>0.855</v>
      </c>
      <c r="N692" s="6">
        <v>1.932</v>
      </c>
    </row>
    <row r="693">
      <c r="A693" s="512" t="s">
        <v>2037</v>
      </c>
      <c r="B693" s="512" t="s">
        <v>1867</v>
      </c>
      <c r="C693" s="512" t="s">
        <v>73</v>
      </c>
      <c r="D693" s="512" t="s">
        <v>574</v>
      </c>
      <c r="E693" s="513" t="s">
        <v>380</v>
      </c>
      <c r="F693" s="514">
        <v>87377.0</v>
      </c>
      <c r="G693" s="514">
        <v>38995.0</v>
      </c>
      <c r="H693" s="514">
        <v>44.63</v>
      </c>
      <c r="I693" s="514">
        <v>11.41</v>
      </c>
      <c r="J693" s="514">
        <v>10.7</v>
      </c>
      <c r="K693" s="514">
        <v>66816.0</v>
      </c>
      <c r="L693" s="514">
        <v>585811.0</v>
      </c>
      <c r="M693" s="514">
        <v>0.7647</v>
      </c>
      <c r="N693" s="6">
        <v>1.7135</v>
      </c>
    </row>
    <row r="694">
      <c r="A694" s="512" t="s">
        <v>2037</v>
      </c>
      <c r="B694" s="512" t="s">
        <v>1867</v>
      </c>
      <c r="C694" s="512" t="s">
        <v>73</v>
      </c>
      <c r="D694" s="512" t="s">
        <v>574</v>
      </c>
      <c r="E694" s="513" t="s">
        <v>40</v>
      </c>
      <c r="F694" s="514">
        <v>87377.0</v>
      </c>
      <c r="G694" s="514">
        <v>9172.0</v>
      </c>
      <c r="H694" s="514">
        <v>10.5</v>
      </c>
      <c r="I694" s="514">
        <v>7.13</v>
      </c>
      <c r="J694" s="514">
        <v>4.47</v>
      </c>
      <c r="K694" s="514">
        <v>41746.0</v>
      </c>
      <c r="L694" s="514">
        <v>585811.0</v>
      </c>
      <c r="M694" s="514">
        <v>0.4778</v>
      </c>
      <c r="N694" s="6">
        <v>4.5515</v>
      </c>
    </row>
    <row r="695">
      <c r="A695" s="512" t="s">
        <v>2037</v>
      </c>
      <c r="B695" s="512" t="s">
        <v>1867</v>
      </c>
      <c r="C695" s="512" t="s">
        <v>73</v>
      </c>
      <c r="D695" s="512" t="s">
        <v>574</v>
      </c>
      <c r="E695" s="513" t="s">
        <v>372</v>
      </c>
      <c r="F695" s="514">
        <v>87377.0</v>
      </c>
      <c r="G695" s="514">
        <v>24176.0</v>
      </c>
      <c r="H695" s="514">
        <v>27.67</v>
      </c>
      <c r="I695" s="514">
        <v>4.39</v>
      </c>
      <c r="J695" s="514">
        <v>5.84</v>
      </c>
      <c r="K695" s="514">
        <v>25715.0</v>
      </c>
      <c r="L695" s="514">
        <v>585811.0</v>
      </c>
      <c r="M695" s="514">
        <v>0.2943</v>
      </c>
      <c r="N695" s="6">
        <v>1.0637</v>
      </c>
    </row>
    <row r="696">
      <c r="A696" s="512" t="s">
        <v>2037</v>
      </c>
      <c r="B696" s="512" t="s">
        <v>1867</v>
      </c>
      <c r="C696" s="512" t="s">
        <v>73</v>
      </c>
      <c r="D696" s="512" t="s">
        <v>574</v>
      </c>
      <c r="E696" s="513" t="s">
        <v>377</v>
      </c>
      <c r="F696" s="514">
        <v>87377.0</v>
      </c>
      <c r="G696" s="514">
        <v>11859.0</v>
      </c>
      <c r="H696" s="514">
        <v>13.57</v>
      </c>
      <c r="I696" s="514">
        <v>3.01</v>
      </c>
      <c r="J696" s="514">
        <v>3.25</v>
      </c>
      <c r="K696" s="514">
        <v>17623.0</v>
      </c>
      <c r="L696" s="514">
        <v>585811.0</v>
      </c>
      <c r="M696" s="514">
        <v>0.2017</v>
      </c>
      <c r="N696" s="6">
        <v>1.486</v>
      </c>
    </row>
    <row r="697">
      <c r="A697" s="512" t="s">
        <v>2037</v>
      </c>
      <c r="B697" s="512" t="s">
        <v>1867</v>
      </c>
      <c r="C697" s="512" t="s">
        <v>73</v>
      </c>
      <c r="D697" s="512" t="s">
        <v>574</v>
      </c>
      <c r="E697" s="513" t="s">
        <v>50</v>
      </c>
      <c r="F697" s="514">
        <v>87377.0</v>
      </c>
      <c r="G697" s="514">
        <v>8842.0</v>
      </c>
      <c r="H697" s="514">
        <v>10.12</v>
      </c>
      <c r="I697" s="514">
        <v>1.76</v>
      </c>
      <c r="J697" s="514">
        <v>1.84</v>
      </c>
      <c r="K697" s="514">
        <v>10292.0</v>
      </c>
      <c r="L697" s="514">
        <v>585811.0</v>
      </c>
      <c r="M697" s="514">
        <v>0.1178</v>
      </c>
      <c r="N697" s="6">
        <v>1.164</v>
      </c>
    </row>
    <row r="698">
      <c r="A698" s="512" t="s">
        <v>2037</v>
      </c>
      <c r="B698" s="512" t="s">
        <v>1867</v>
      </c>
      <c r="C698" s="512" t="s">
        <v>73</v>
      </c>
      <c r="D698" s="512" t="s">
        <v>574</v>
      </c>
      <c r="E698" s="513" t="s">
        <v>134</v>
      </c>
      <c r="F698" s="514">
        <v>87377.0</v>
      </c>
      <c r="G698" s="514">
        <v>6653.0</v>
      </c>
      <c r="H698" s="514">
        <v>7.61</v>
      </c>
      <c r="I698" s="514">
        <v>1.54</v>
      </c>
      <c r="J698" s="514">
        <v>2.19</v>
      </c>
      <c r="K698" s="514">
        <v>9022.0</v>
      </c>
      <c r="L698" s="514">
        <v>585811.0</v>
      </c>
      <c r="M698" s="514">
        <v>0.1033</v>
      </c>
      <c r="N698" s="6">
        <v>1.3561</v>
      </c>
    </row>
    <row r="699">
      <c r="A699" s="512" t="s">
        <v>2037</v>
      </c>
      <c r="B699" s="512" t="s">
        <v>1867</v>
      </c>
      <c r="C699" s="512" t="s">
        <v>73</v>
      </c>
      <c r="D699" s="512" t="s">
        <v>574</v>
      </c>
      <c r="E699" s="513" t="s">
        <v>32</v>
      </c>
      <c r="F699" s="514">
        <v>87377.0</v>
      </c>
      <c r="G699" s="514">
        <v>6754.0</v>
      </c>
      <c r="H699" s="514">
        <v>7.73</v>
      </c>
      <c r="I699" s="514">
        <v>1.24</v>
      </c>
      <c r="J699" s="514">
        <v>1.8</v>
      </c>
      <c r="K699" s="514">
        <v>7269.0</v>
      </c>
      <c r="L699" s="514">
        <v>585811.0</v>
      </c>
      <c r="M699" s="514">
        <v>0.0832</v>
      </c>
      <c r="N699" s="6">
        <v>1.0763</v>
      </c>
    </row>
    <row r="700">
      <c r="A700" s="512" t="s">
        <v>2037</v>
      </c>
      <c r="B700" s="512" t="s">
        <v>1867</v>
      </c>
      <c r="C700" s="512" t="s">
        <v>73</v>
      </c>
      <c r="D700" s="512" t="s">
        <v>574</v>
      </c>
      <c r="E700" s="513" t="s">
        <v>312</v>
      </c>
      <c r="F700" s="514">
        <v>87377.0</v>
      </c>
      <c r="G700" s="514">
        <v>5469.0</v>
      </c>
      <c r="H700" s="514">
        <v>6.26</v>
      </c>
      <c r="I700" s="514">
        <v>1.03</v>
      </c>
      <c r="J700" s="514">
        <v>1.47</v>
      </c>
      <c r="K700" s="514">
        <v>6044.0</v>
      </c>
      <c r="L700" s="514">
        <v>585811.0</v>
      </c>
      <c r="M700" s="514">
        <v>0.0692</v>
      </c>
      <c r="N700" s="6">
        <v>1.1051</v>
      </c>
    </row>
    <row r="701">
      <c r="A701" s="512" t="s">
        <v>2037</v>
      </c>
      <c r="B701" s="512" t="s">
        <v>1867</v>
      </c>
      <c r="C701" s="512" t="s">
        <v>73</v>
      </c>
      <c r="D701" s="512" t="s">
        <v>574</v>
      </c>
      <c r="E701" s="513" t="s">
        <v>310</v>
      </c>
      <c r="F701" s="514">
        <v>87377.0</v>
      </c>
      <c r="G701" s="514">
        <v>5104.0</v>
      </c>
      <c r="H701" s="514">
        <v>5.84</v>
      </c>
      <c r="I701" s="514">
        <v>0.93</v>
      </c>
      <c r="J701" s="514">
        <v>1.4</v>
      </c>
      <c r="K701" s="514">
        <v>5450.0</v>
      </c>
      <c r="L701" s="514">
        <v>585811.0</v>
      </c>
      <c r="M701" s="514">
        <v>0.0624</v>
      </c>
      <c r="N701" s="6">
        <v>1.0678</v>
      </c>
    </row>
    <row r="702">
      <c r="A702" s="512" t="s">
        <v>2037</v>
      </c>
      <c r="B702" s="512" t="s">
        <v>1867</v>
      </c>
      <c r="C702" s="512" t="s">
        <v>73</v>
      </c>
      <c r="D702" s="512" t="s">
        <v>574</v>
      </c>
      <c r="E702" s="513" t="s">
        <v>44</v>
      </c>
      <c r="F702" s="514">
        <v>87377.0</v>
      </c>
      <c r="G702" s="514">
        <v>3765.0</v>
      </c>
      <c r="H702" s="514">
        <v>4.31</v>
      </c>
      <c r="I702" s="514">
        <v>0.75</v>
      </c>
      <c r="J702" s="514">
        <v>0.75</v>
      </c>
      <c r="K702" s="514">
        <v>4390.0</v>
      </c>
      <c r="L702" s="514">
        <v>585811.0</v>
      </c>
      <c r="M702" s="514">
        <v>0.0502</v>
      </c>
      <c r="N702" s="6">
        <v>1.166</v>
      </c>
    </row>
    <row r="703">
      <c r="A703" s="512" t="s">
        <v>2037</v>
      </c>
      <c r="B703" s="512" t="s">
        <v>1867</v>
      </c>
      <c r="C703" s="512" t="s">
        <v>73</v>
      </c>
      <c r="D703" s="512" t="s">
        <v>574</v>
      </c>
      <c r="E703" s="513" t="s">
        <v>311</v>
      </c>
      <c r="F703" s="514">
        <v>87377.0</v>
      </c>
      <c r="G703" s="514">
        <v>1210.0</v>
      </c>
      <c r="H703" s="514">
        <v>1.38</v>
      </c>
      <c r="I703" s="514">
        <v>0.21</v>
      </c>
      <c r="J703" s="514">
        <v>0.46</v>
      </c>
      <c r="K703" s="514">
        <v>1241.0</v>
      </c>
      <c r="L703" s="514">
        <v>585811.0</v>
      </c>
      <c r="M703" s="514">
        <v>0.0142</v>
      </c>
      <c r="N703" s="6">
        <v>1.0256</v>
      </c>
    </row>
    <row r="704">
      <c r="A704" s="512" t="s">
        <v>2037</v>
      </c>
      <c r="B704" s="512" t="s">
        <v>1867</v>
      </c>
      <c r="C704" s="512" t="s">
        <v>73</v>
      </c>
      <c r="D704" s="512" t="s">
        <v>574</v>
      </c>
      <c r="E704" s="513" t="s">
        <v>43</v>
      </c>
      <c r="F704" s="514">
        <v>87377.0</v>
      </c>
      <c r="G704" s="514">
        <v>215.0</v>
      </c>
      <c r="H704" s="514">
        <v>0.25</v>
      </c>
      <c r="I704" s="514">
        <v>0.04</v>
      </c>
      <c r="J704" s="514">
        <v>0.08</v>
      </c>
      <c r="K704" s="514">
        <v>223.0</v>
      </c>
      <c r="L704" s="514">
        <v>585811.0</v>
      </c>
      <c r="M704" s="514">
        <v>0.0026</v>
      </c>
      <c r="N704" s="6">
        <v>1.0372</v>
      </c>
    </row>
    <row r="705">
      <c r="A705" s="512" t="s">
        <v>2037</v>
      </c>
      <c r="B705" s="512" t="s">
        <v>1867</v>
      </c>
      <c r="C705" s="512" t="s">
        <v>73</v>
      </c>
      <c r="D705" s="512" t="s">
        <v>574</v>
      </c>
      <c r="E705" s="513" t="s">
        <v>54</v>
      </c>
      <c r="F705" s="514">
        <v>87377.0</v>
      </c>
      <c r="G705" s="514">
        <v>1.0</v>
      </c>
      <c r="H705" s="514">
        <v>0.0</v>
      </c>
      <c r="I705" s="514">
        <v>0.0</v>
      </c>
      <c r="J705" s="514">
        <v>0.0</v>
      </c>
      <c r="K705" s="514">
        <v>1.0</v>
      </c>
      <c r="L705" s="514">
        <v>585811.0</v>
      </c>
      <c r="M705" s="514">
        <v>0.0</v>
      </c>
      <c r="N705" s="6">
        <v>1.0</v>
      </c>
    </row>
    <row r="706">
      <c r="A706" s="512" t="s">
        <v>2037</v>
      </c>
      <c r="B706" s="512" t="s">
        <v>1867</v>
      </c>
      <c r="C706" s="512" t="s">
        <v>73</v>
      </c>
      <c r="D706" s="512" t="s">
        <v>574</v>
      </c>
      <c r="E706" s="513" t="s">
        <v>374</v>
      </c>
      <c r="F706" s="514">
        <v>87377.0</v>
      </c>
      <c r="G706" s="514">
        <v>4.0</v>
      </c>
      <c r="H706" s="514">
        <v>0.0</v>
      </c>
      <c r="I706" s="514">
        <v>0.0</v>
      </c>
      <c r="J706" s="514">
        <v>0.0</v>
      </c>
      <c r="K706" s="514">
        <v>8.0</v>
      </c>
      <c r="L706" s="514">
        <v>585811.0</v>
      </c>
      <c r="M706" s="514">
        <v>1.0E-4</v>
      </c>
      <c r="N706" s="6">
        <v>2.0</v>
      </c>
    </row>
    <row r="707">
      <c r="A707" s="512" t="s">
        <v>2037</v>
      </c>
      <c r="B707" s="512" t="s">
        <v>1867</v>
      </c>
      <c r="C707" s="512" t="s">
        <v>73</v>
      </c>
      <c r="D707" s="512" t="s">
        <v>574</v>
      </c>
      <c r="E707" s="513" t="s">
        <v>375</v>
      </c>
      <c r="F707" s="514">
        <v>87377.0</v>
      </c>
      <c r="G707" s="514">
        <v>1.0</v>
      </c>
      <c r="H707" s="514">
        <v>0.0</v>
      </c>
      <c r="I707" s="514">
        <v>0.0</v>
      </c>
      <c r="J707" s="514">
        <v>0.0</v>
      </c>
      <c r="K707" s="514">
        <v>1.0</v>
      </c>
      <c r="L707" s="514">
        <v>585811.0</v>
      </c>
      <c r="M707" s="514">
        <v>0.0</v>
      </c>
      <c r="N707" s="6">
        <v>1.0</v>
      </c>
    </row>
    <row r="708">
      <c r="A708" s="512" t="s">
        <v>2037</v>
      </c>
      <c r="B708" s="512" t="s">
        <v>1867</v>
      </c>
      <c r="C708" s="512" t="s">
        <v>73</v>
      </c>
      <c r="D708" s="512" t="s">
        <v>574</v>
      </c>
      <c r="E708" s="513" t="s">
        <v>35</v>
      </c>
      <c r="F708" s="514">
        <v>87377.0</v>
      </c>
      <c r="G708" s="514">
        <v>7.0</v>
      </c>
      <c r="H708" s="514">
        <v>0.01</v>
      </c>
      <c r="I708" s="514">
        <v>0.0</v>
      </c>
      <c r="J708" s="514">
        <v>0.0</v>
      </c>
      <c r="K708" s="514">
        <v>9.0</v>
      </c>
      <c r="L708" s="514">
        <v>585811.0</v>
      </c>
      <c r="M708" s="514">
        <v>1.0E-4</v>
      </c>
      <c r="N708" s="6">
        <v>1.2857</v>
      </c>
    </row>
    <row r="709">
      <c r="A709" s="512" t="s">
        <v>2037</v>
      </c>
      <c r="B709" s="512" t="s">
        <v>1867</v>
      </c>
      <c r="C709" s="512" t="s">
        <v>73</v>
      </c>
      <c r="D709" s="512" t="s">
        <v>574</v>
      </c>
      <c r="E709" s="513" t="s">
        <v>189</v>
      </c>
      <c r="F709" s="514">
        <v>87377.0</v>
      </c>
      <c r="G709" s="514">
        <v>1.0</v>
      </c>
      <c r="H709" s="514">
        <v>0.0</v>
      </c>
      <c r="I709" s="514">
        <v>0.0</v>
      </c>
      <c r="J709" s="514">
        <v>0.0</v>
      </c>
      <c r="K709" s="514">
        <v>1.0</v>
      </c>
      <c r="L709" s="514">
        <v>585811.0</v>
      </c>
      <c r="M709" s="514">
        <v>0.0</v>
      </c>
      <c r="N709" s="6">
        <v>1.0</v>
      </c>
    </row>
    <row r="710">
      <c r="A710" s="512" t="s">
        <v>2037</v>
      </c>
      <c r="B710" s="512" t="s">
        <v>1867</v>
      </c>
      <c r="C710" s="512" t="s">
        <v>72</v>
      </c>
      <c r="D710" s="512" t="s">
        <v>574</v>
      </c>
      <c r="E710" s="513" t="s">
        <v>373</v>
      </c>
      <c r="F710" s="514">
        <v>90629.0</v>
      </c>
      <c r="G710" s="514">
        <v>60254.0</v>
      </c>
      <c r="H710" s="514">
        <v>66.48</v>
      </c>
      <c r="I710" s="514">
        <v>24.97</v>
      </c>
      <c r="J710" s="514">
        <v>24.32</v>
      </c>
      <c r="K710" s="514">
        <v>175785.0</v>
      </c>
      <c r="L710" s="514">
        <v>703952.0</v>
      </c>
      <c r="M710" s="514">
        <v>1.9396</v>
      </c>
      <c r="N710" s="6">
        <v>2.9174</v>
      </c>
    </row>
    <row r="711">
      <c r="A711" s="512" t="s">
        <v>2037</v>
      </c>
      <c r="B711" s="512" t="s">
        <v>1867</v>
      </c>
      <c r="C711" s="512" t="s">
        <v>72</v>
      </c>
      <c r="D711" s="512" t="s">
        <v>574</v>
      </c>
      <c r="E711" s="513" t="s">
        <v>367</v>
      </c>
      <c r="F711" s="514">
        <v>90629.0</v>
      </c>
      <c r="G711" s="514">
        <v>27549.0</v>
      </c>
      <c r="H711" s="514">
        <v>30.4</v>
      </c>
      <c r="I711" s="514">
        <v>13.09</v>
      </c>
      <c r="J711" s="514">
        <v>8.94</v>
      </c>
      <c r="K711" s="514">
        <v>92129.0</v>
      </c>
      <c r="L711" s="514">
        <v>703952.0</v>
      </c>
      <c r="M711" s="514">
        <v>1.0166</v>
      </c>
      <c r="N711" s="6">
        <v>3.3442</v>
      </c>
    </row>
    <row r="712">
      <c r="A712" s="512" t="s">
        <v>2037</v>
      </c>
      <c r="B712" s="512" t="s">
        <v>1867</v>
      </c>
      <c r="C712" s="512" t="s">
        <v>72</v>
      </c>
      <c r="D712" s="512" t="s">
        <v>574</v>
      </c>
      <c r="E712" s="513" t="s">
        <v>379</v>
      </c>
      <c r="F712" s="514">
        <v>90629.0</v>
      </c>
      <c r="G712" s="514">
        <v>50257.0</v>
      </c>
      <c r="H712" s="514">
        <v>55.45</v>
      </c>
      <c r="I712" s="514">
        <v>11.46</v>
      </c>
      <c r="J712" s="514">
        <v>13.32</v>
      </c>
      <c r="K712" s="514">
        <v>80652.0</v>
      </c>
      <c r="L712" s="514">
        <v>703952.0</v>
      </c>
      <c r="M712" s="514">
        <v>0.8899</v>
      </c>
      <c r="N712" s="6">
        <v>1.6048</v>
      </c>
    </row>
    <row r="713">
      <c r="A713" s="512" t="s">
        <v>2037</v>
      </c>
      <c r="B713" s="512" t="s">
        <v>1867</v>
      </c>
      <c r="C713" s="512" t="s">
        <v>72</v>
      </c>
      <c r="D713" s="512" t="s">
        <v>574</v>
      </c>
      <c r="E713" s="513" t="s">
        <v>40</v>
      </c>
      <c r="F713" s="514">
        <v>90629.0</v>
      </c>
      <c r="G713" s="514">
        <v>27735.0</v>
      </c>
      <c r="H713" s="514">
        <v>30.6</v>
      </c>
      <c r="I713" s="514">
        <v>11.42</v>
      </c>
      <c r="J713" s="514">
        <v>10.2</v>
      </c>
      <c r="K713" s="514">
        <v>80407.0</v>
      </c>
      <c r="L713" s="514">
        <v>703952.0</v>
      </c>
      <c r="M713" s="514">
        <v>0.8872</v>
      </c>
      <c r="N713" s="6">
        <v>2.8991</v>
      </c>
    </row>
    <row r="714">
      <c r="A714" s="512" t="s">
        <v>2037</v>
      </c>
      <c r="B714" s="512" t="s">
        <v>1867</v>
      </c>
      <c r="C714" s="512" t="s">
        <v>72</v>
      </c>
      <c r="D714" s="512" t="s">
        <v>574</v>
      </c>
      <c r="E714" s="513" t="s">
        <v>42</v>
      </c>
      <c r="F714" s="514">
        <v>90629.0</v>
      </c>
      <c r="G714" s="514">
        <v>31593.0</v>
      </c>
      <c r="H714" s="514">
        <v>34.86</v>
      </c>
      <c r="I714" s="514">
        <v>7.55</v>
      </c>
      <c r="J714" s="514">
        <v>8.74</v>
      </c>
      <c r="K714" s="514">
        <v>53121.0</v>
      </c>
      <c r="L714" s="514">
        <v>703952.0</v>
      </c>
      <c r="M714" s="514">
        <v>0.5861</v>
      </c>
      <c r="N714" s="6">
        <v>1.6814</v>
      </c>
    </row>
    <row r="715">
      <c r="A715" s="512" t="s">
        <v>2037</v>
      </c>
      <c r="B715" s="512" t="s">
        <v>1867</v>
      </c>
      <c r="C715" s="512" t="s">
        <v>72</v>
      </c>
      <c r="D715" s="512" t="s">
        <v>574</v>
      </c>
      <c r="E715" s="513" t="s">
        <v>377</v>
      </c>
      <c r="F715" s="514">
        <v>90629.0</v>
      </c>
      <c r="G715" s="514">
        <v>26112.0</v>
      </c>
      <c r="H715" s="514">
        <v>28.81</v>
      </c>
      <c r="I715" s="514">
        <v>5.65</v>
      </c>
      <c r="J715" s="514">
        <v>6.24</v>
      </c>
      <c r="K715" s="514">
        <v>39770.0</v>
      </c>
      <c r="L715" s="514">
        <v>703952.0</v>
      </c>
      <c r="M715" s="514">
        <v>0.4388</v>
      </c>
      <c r="N715" s="6">
        <v>1.5231</v>
      </c>
    </row>
    <row r="716">
      <c r="A716" s="512" t="s">
        <v>2037</v>
      </c>
      <c r="B716" s="512" t="s">
        <v>1867</v>
      </c>
      <c r="C716" s="512" t="s">
        <v>72</v>
      </c>
      <c r="D716" s="512" t="s">
        <v>574</v>
      </c>
      <c r="E716" s="513" t="s">
        <v>374</v>
      </c>
      <c r="F716" s="514">
        <v>90629.0</v>
      </c>
      <c r="G716" s="514">
        <v>14892.0</v>
      </c>
      <c r="H716" s="514">
        <v>16.43</v>
      </c>
      <c r="I716" s="514">
        <v>4.22</v>
      </c>
      <c r="J716" s="514">
        <v>3.33</v>
      </c>
      <c r="K716" s="514">
        <v>29734.0</v>
      </c>
      <c r="L716" s="514">
        <v>703952.0</v>
      </c>
      <c r="M716" s="514">
        <v>0.3281</v>
      </c>
      <c r="N716" s="6">
        <v>1.9966</v>
      </c>
    </row>
    <row r="717">
      <c r="A717" s="512" t="s">
        <v>2037</v>
      </c>
      <c r="B717" s="512" t="s">
        <v>1867</v>
      </c>
      <c r="C717" s="512" t="s">
        <v>72</v>
      </c>
      <c r="D717" s="512" t="s">
        <v>574</v>
      </c>
      <c r="E717" s="513" t="s">
        <v>380</v>
      </c>
      <c r="F717" s="514">
        <v>90629.0</v>
      </c>
      <c r="G717" s="514">
        <v>14195.0</v>
      </c>
      <c r="H717" s="514">
        <v>15.66</v>
      </c>
      <c r="I717" s="514">
        <v>3.99</v>
      </c>
      <c r="J717" s="514">
        <v>3.29</v>
      </c>
      <c r="K717" s="514">
        <v>28064.0</v>
      </c>
      <c r="L717" s="514">
        <v>703952.0</v>
      </c>
      <c r="M717" s="514">
        <v>0.3097</v>
      </c>
      <c r="N717" s="6">
        <v>1.977</v>
      </c>
    </row>
    <row r="718">
      <c r="A718" s="512" t="s">
        <v>2037</v>
      </c>
      <c r="B718" s="512" t="s">
        <v>1867</v>
      </c>
      <c r="C718" s="512" t="s">
        <v>72</v>
      </c>
      <c r="D718" s="512" t="s">
        <v>574</v>
      </c>
      <c r="E718" s="513" t="s">
        <v>32</v>
      </c>
      <c r="F718" s="514">
        <v>90629.0</v>
      </c>
      <c r="G718" s="514">
        <v>21201.0</v>
      </c>
      <c r="H718" s="514">
        <v>23.39</v>
      </c>
      <c r="I718" s="514">
        <v>3.62</v>
      </c>
      <c r="J718" s="514">
        <v>4.25</v>
      </c>
      <c r="K718" s="514">
        <v>25503.0</v>
      </c>
      <c r="L718" s="514">
        <v>703952.0</v>
      </c>
      <c r="M718" s="514">
        <v>0.2814</v>
      </c>
      <c r="N718" s="6">
        <v>1.2029</v>
      </c>
    </row>
    <row r="719">
      <c r="A719" s="512" t="s">
        <v>2037</v>
      </c>
      <c r="B719" s="512" t="s">
        <v>1867</v>
      </c>
      <c r="C719" s="512" t="s">
        <v>72</v>
      </c>
      <c r="D719" s="512" t="s">
        <v>574</v>
      </c>
      <c r="E719" s="513" t="s">
        <v>49</v>
      </c>
      <c r="F719" s="514">
        <v>90629.0</v>
      </c>
      <c r="G719" s="514">
        <v>18419.0</v>
      </c>
      <c r="H719" s="514">
        <v>20.32</v>
      </c>
      <c r="I719" s="514">
        <v>3.57</v>
      </c>
      <c r="J719" s="514">
        <v>4.17</v>
      </c>
      <c r="K719" s="514">
        <v>25109.0</v>
      </c>
      <c r="L719" s="514">
        <v>703952.0</v>
      </c>
      <c r="M719" s="514">
        <v>0.2771</v>
      </c>
      <c r="N719" s="6">
        <v>1.3632</v>
      </c>
    </row>
    <row r="720">
      <c r="A720" s="512" t="s">
        <v>2037</v>
      </c>
      <c r="B720" s="512" t="s">
        <v>1867</v>
      </c>
      <c r="C720" s="512" t="s">
        <v>72</v>
      </c>
      <c r="D720" s="512" t="s">
        <v>574</v>
      </c>
      <c r="E720" s="513" t="s">
        <v>310</v>
      </c>
      <c r="F720" s="514">
        <v>90629.0</v>
      </c>
      <c r="G720" s="514">
        <v>17565.0</v>
      </c>
      <c r="H720" s="514">
        <v>19.38</v>
      </c>
      <c r="I720" s="514">
        <v>2.94</v>
      </c>
      <c r="J720" s="514">
        <v>3.67</v>
      </c>
      <c r="K720" s="514">
        <v>20723.0</v>
      </c>
      <c r="L720" s="514">
        <v>703952.0</v>
      </c>
      <c r="M720" s="514">
        <v>0.2287</v>
      </c>
      <c r="N720" s="6">
        <v>1.1798</v>
      </c>
    </row>
    <row r="721">
      <c r="A721" s="512" t="s">
        <v>2037</v>
      </c>
      <c r="B721" s="512" t="s">
        <v>1867</v>
      </c>
      <c r="C721" s="512" t="s">
        <v>72</v>
      </c>
      <c r="D721" s="512" t="s">
        <v>574</v>
      </c>
      <c r="E721" s="513" t="s">
        <v>312</v>
      </c>
      <c r="F721" s="514">
        <v>90629.0</v>
      </c>
      <c r="G721" s="514">
        <v>15246.0</v>
      </c>
      <c r="H721" s="514">
        <v>16.82</v>
      </c>
      <c r="I721" s="514">
        <v>2.61</v>
      </c>
      <c r="J721" s="514">
        <v>3.41</v>
      </c>
      <c r="K721" s="514">
        <v>18390.0</v>
      </c>
      <c r="L721" s="514">
        <v>703952.0</v>
      </c>
      <c r="M721" s="514">
        <v>0.2029</v>
      </c>
      <c r="N721" s="6">
        <v>1.2062</v>
      </c>
    </row>
    <row r="722">
      <c r="A722" s="512" t="s">
        <v>2037</v>
      </c>
      <c r="B722" s="512" t="s">
        <v>1867</v>
      </c>
      <c r="C722" s="512" t="s">
        <v>72</v>
      </c>
      <c r="D722" s="512" t="s">
        <v>574</v>
      </c>
      <c r="E722" s="513" t="s">
        <v>372</v>
      </c>
      <c r="F722" s="514">
        <v>90629.0</v>
      </c>
      <c r="G722" s="514">
        <v>17237.0</v>
      </c>
      <c r="H722" s="514">
        <v>19.02</v>
      </c>
      <c r="I722" s="514">
        <v>2.56</v>
      </c>
      <c r="J722" s="514">
        <v>3.27</v>
      </c>
      <c r="K722" s="514">
        <v>17999.0</v>
      </c>
      <c r="L722" s="514">
        <v>703952.0</v>
      </c>
      <c r="M722" s="514">
        <v>0.1986</v>
      </c>
      <c r="N722" s="6">
        <v>1.0442</v>
      </c>
    </row>
    <row r="723">
      <c r="A723" s="512" t="s">
        <v>2037</v>
      </c>
      <c r="B723" s="512" t="s">
        <v>1867</v>
      </c>
      <c r="C723" s="512" t="s">
        <v>72</v>
      </c>
      <c r="D723" s="512" t="s">
        <v>574</v>
      </c>
      <c r="E723" s="513" t="s">
        <v>50</v>
      </c>
      <c r="F723" s="514">
        <v>90629.0</v>
      </c>
      <c r="G723" s="514">
        <v>8692.0</v>
      </c>
      <c r="H723" s="514">
        <v>9.59</v>
      </c>
      <c r="I723" s="514">
        <v>1.41</v>
      </c>
      <c r="J723" s="514">
        <v>1.34</v>
      </c>
      <c r="K723" s="514">
        <v>9944.0</v>
      </c>
      <c r="L723" s="514">
        <v>703952.0</v>
      </c>
      <c r="M723" s="514">
        <v>0.1097</v>
      </c>
      <c r="N723" s="6">
        <v>1.144</v>
      </c>
    </row>
    <row r="724">
      <c r="A724" s="512" t="s">
        <v>2037</v>
      </c>
      <c r="B724" s="512" t="s">
        <v>1867</v>
      </c>
      <c r="C724" s="512" t="s">
        <v>72</v>
      </c>
      <c r="D724" s="512" t="s">
        <v>574</v>
      </c>
      <c r="E724" s="513" t="s">
        <v>311</v>
      </c>
      <c r="F724" s="514">
        <v>90629.0</v>
      </c>
      <c r="G724" s="514">
        <v>4450.0</v>
      </c>
      <c r="H724" s="514">
        <v>4.91</v>
      </c>
      <c r="I724" s="514">
        <v>0.64</v>
      </c>
      <c r="J724" s="514">
        <v>1.05</v>
      </c>
      <c r="K724" s="514">
        <v>4537.0</v>
      </c>
      <c r="L724" s="514">
        <v>703952.0</v>
      </c>
      <c r="M724" s="514">
        <v>0.0501</v>
      </c>
      <c r="N724" s="6">
        <v>1.0196</v>
      </c>
    </row>
    <row r="725">
      <c r="A725" s="512" t="s">
        <v>2037</v>
      </c>
      <c r="B725" s="512" t="s">
        <v>1867</v>
      </c>
      <c r="C725" s="512" t="s">
        <v>72</v>
      </c>
      <c r="D725" s="512" t="s">
        <v>574</v>
      </c>
      <c r="E725" s="513" t="s">
        <v>44</v>
      </c>
      <c r="F725" s="514">
        <v>90629.0</v>
      </c>
      <c r="G725" s="514">
        <v>1003.0</v>
      </c>
      <c r="H725" s="514">
        <v>1.11</v>
      </c>
      <c r="I725" s="514">
        <v>0.17</v>
      </c>
      <c r="J725" s="514">
        <v>0.23</v>
      </c>
      <c r="K725" s="514">
        <v>1191.0</v>
      </c>
      <c r="L725" s="514">
        <v>703952.0</v>
      </c>
      <c r="M725" s="514">
        <v>0.0131</v>
      </c>
      <c r="N725" s="6">
        <v>1.1874</v>
      </c>
    </row>
    <row r="726">
      <c r="A726" s="512" t="s">
        <v>2037</v>
      </c>
      <c r="B726" s="512" t="s">
        <v>1867</v>
      </c>
      <c r="C726" s="512" t="s">
        <v>72</v>
      </c>
      <c r="D726" s="512" t="s">
        <v>574</v>
      </c>
      <c r="E726" s="513" t="s">
        <v>43</v>
      </c>
      <c r="F726" s="514">
        <v>90629.0</v>
      </c>
      <c r="G726" s="514">
        <v>670.0</v>
      </c>
      <c r="H726" s="514">
        <v>0.74</v>
      </c>
      <c r="I726" s="514">
        <v>0.1</v>
      </c>
      <c r="J726" s="514">
        <v>0.19</v>
      </c>
      <c r="K726" s="514">
        <v>703.0</v>
      </c>
      <c r="L726" s="514">
        <v>703952.0</v>
      </c>
      <c r="M726" s="514">
        <v>0.0078</v>
      </c>
      <c r="N726" s="6">
        <v>1.0493</v>
      </c>
    </row>
    <row r="727">
      <c r="A727" s="512" t="s">
        <v>2037</v>
      </c>
      <c r="B727" s="512" t="s">
        <v>1867</v>
      </c>
      <c r="C727" s="512" t="s">
        <v>72</v>
      </c>
      <c r="D727" s="512" t="s">
        <v>574</v>
      </c>
      <c r="E727" s="513" t="s">
        <v>134</v>
      </c>
      <c r="F727" s="514">
        <v>90629.0</v>
      </c>
      <c r="G727" s="514">
        <v>122.0</v>
      </c>
      <c r="H727" s="514">
        <v>0.13</v>
      </c>
      <c r="I727" s="514">
        <v>0.02</v>
      </c>
      <c r="J727" s="514">
        <v>0.02</v>
      </c>
      <c r="K727" s="514">
        <v>171.0</v>
      </c>
      <c r="L727" s="514">
        <v>703952.0</v>
      </c>
      <c r="M727" s="514">
        <v>0.0019</v>
      </c>
      <c r="N727" s="6">
        <v>1.4016</v>
      </c>
    </row>
    <row r="728">
      <c r="A728" s="512" t="s">
        <v>2037</v>
      </c>
      <c r="B728" s="512" t="s">
        <v>1867</v>
      </c>
      <c r="C728" s="512" t="s">
        <v>72</v>
      </c>
      <c r="D728" s="512" t="s">
        <v>574</v>
      </c>
      <c r="E728" s="513" t="s">
        <v>54</v>
      </c>
      <c r="F728" s="514">
        <v>90629.0</v>
      </c>
      <c r="G728" s="514">
        <v>1.0</v>
      </c>
      <c r="H728" s="514">
        <v>0.0</v>
      </c>
      <c r="I728" s="514">
        <v>0.0</v>
      </c>
      <c r="J728" s="514">
        <v>0.0</v>
      </c>
      <c r="K728" s="514">
        <v>1.0</v>
      </c>
      <c r="L728" s="514">
        <v>703952.0</v>
      </c>
      <c r="M728" s="514">
        <v>0.0</v>
      </c>
      <c r="N728" s="6">
        <v>1.0</v>
      </c>
    </row>
    <row r="729">
      <c r="A729" s="512" t="s">
        <v>2037</v>
      </c>
      <c r="B729" s="512" t="s">
        <v>1867</v>
      </c>
      <c r="C729" s="512" t="s">
        <v>72</v>
      </c>
      <c r="D729" s="512" t="s">
        <v>574</v>
      </c>
      <c r="E729" s="513" t="s">
        <v>189</v>
      </c>
      <c r="F729" s="514">
        <v>90629.0</v>
      </c>
      <c r="G729" s="514">
        <v>8.0</v>
      </c>
      <c r="H729" s="514">
        <v>0.01</v>
      </c>
      <c r="I729" s="514">
        <v>0.0</v>
      </c>
      <c r="J729" s="514">
        <v>0.0</v>
      </c>
      <c r="K729" s="514">
        <v>8.0</v>
      </c>
      <c r="L729" s="514">
        <v>703952.0</v>
      </c>
      <c r="M729" s="514">
        <v>1.0E-4</v>
      </c>
      <c r="N729" s="6">
        <v>1.0</v>
      </c>
    </row>
    <row r="730">
      <c r="A730" s="512" t="s">
        <v>2037</v>
      </c>
      <c r="B730" s="512" t="s">
        <v>1867</v>
      </c>
      <c r="C730" s="512" t="s">
        <v>72</v>
      </c>
      <c r="D730" s="512" t="s">
        <v>574</v>
      </c>
      <c r="E730" s="513" t="s">
        <v>375</v>
      </c>
      <c r="F730" s="514">
        <v>90629.0</v>
      </c>
      <c r="G730" s="514">
        <v>8.0</v>
      </c>
      <c r="H730" s="514">
        <v>0.01</v>
      </c>
      <c r="I730" s="514">
        <v>0.0</v>
      </c>
      <c r="J730" s="514">
        <v>0.0</v>
      </c>
      <c r="K730" s="514">
        <v>11.0</v>
      </c>
      <c r="L730" s="514">
        <v>703952.0</v>
      </c>
      <c r="M730" s="514">
        <v>1.0E-4</v>
      </c>
      <c r="N730" s="6">
        <v>1.375</v>
      </c>
    </row>
    <row r="731">
      <c r="A731" s="512" t="s">
        <v>2037</v>
      </c>
      <c r="B731" s="512" t="s">
        <v>1867</v>
      </c>
      <c r="C731" s="512" t="s">
        <v>1883</v>
      </c>
      <c r="D731" s="512" t="s">
        <v>2036</v>
      </c>
      <c r="E731" s="513" t="s">
        <v>373</v>
      </c>
      <c r="F731" s="514">
        <v>25122.0</v>
      </c>
      <c r="G731" s="514">
        <v>17877.0</v>
      </c>
      <c r="H731" s="514">
        <v>71.16</v>
      </c>
      <c r="I731" s="514">
        <v>75.49</v>
      </c>
      <c r="J731" s="514">
        <v>66.61</v>
      </c>
      <c r="K731" s="514">
        <v>558570.0</v>
      </c>
      <c r="L731" s="514">
        <v>739960.0</v>
      </c>
      <c r="M731" s="514">
        <v>22.2343</v>
      </c>
      <c r="N731" s="6">
        <v>31.2452</v>
      </c>
    </row>
    <row r="732">
      <c r="A732" s="512" t="s">
        <v>2037</v>
      </c>
      <c r="B732" s="512" t="s">
        <v>1867</v>
      </c>
      <c r="C732" s="512" t="s">
        <v>1883</v>
      </c>
      <c r="D732" s="512" t="s">
        <v>2036</v>
      </c>
      <c r="E732" s="513" t="s">
        <v>380</v>
      </c>
      <c r="F732" s="514">
        <v>25122.0</v>
      </c>
      <c r="G732" s="514">
        <v>8672.0</v>
      </c>
      <c r="H732" s="514">
        <v>34.52</v>
      </c>
      <c r="I732" s="514">
        <v>18.13</v>
      </c>
      <c r="J732" s="514">
        <v>26.75</v>
      </c>
      <c r="K732" s="514">
        <v>134170.0</v>
      </c>
      <c r="L732" s="514">
        <v>739960.0</v>
      </c>
      <c r="M732" s="514">
        <v>5.3407</v>
      </c>
      <c r="N732" s="6">
        <v>15.4716</v>
      </c>
    </row>
    <row r="733">
      <c r="A733" s="512" t="s">
        <v>2037</v>
      </c>
      <c r="B733" s="512" t="s">
        <v>1867</v>
      </c>
      <c r="C733" s="512" t="s">
        <v>1883</v>
      </c>
      <c r="D733" s="512" t="s">
        <v>2036</v>
      </c>
      <c r="E733" s="513" t="s">
        <v>134</v>
      </c>
      <c r="F733" s="514">
        <v>25122.0</v>
      </c>
      <c r="G733" s="514">
        <v>1504.0</v>
      </c>
      <c r="H733" s="514">
        <v>5.99</v>
      </c>
      <c r="I733" s="514">
        <v>4.52</v>
      </c>
      <c r="J733" s="514">
        <v>4.26</v>
      </c>
      <c r="K733" s="514">
        <v>33465.0</v>
      </c>
      <c r="L733" s="514">
        <v>739960.0</v>
      </c>
      <c r="M733" s="514">
        <v>1.3321</v>
      </c>
      <c r="N733" s="6">
        <v>22.2507</v>
      </c>
    </row>
    <row r="734">
      <c r="A734" s="512" t="s">
        <v>2037</v>
      </c>
      <c r="B734" s="512" t="s">
        <v>1867</v>
      </c>
      <c r="C734" s="512" t="s">
        <v>1883</v>
      </c>
      <c r="D734" s="512" t="s">
        <v>2036</v>
      </c>
      <c r="E734" s="513" t="s">
        <v>377</v>
      </c>
      <c r="F734" s="514">
        <v>25122.0</v>
      </c>
      <c r="G734" s="514">
        <v>272.0</v>
      </c>
      <c r="H734" s="514">
        <v>1.08</v>
      </c>
      <c r="I734" s="514">
        <v>1.15</v>
      </c>
      <c r="J734" s="514">
        <v>1.06</v>
      </c>
      <c r="K734" s="514">
        <v>8485.0</v>
      </c>
      <c r="L734" s="514">
        <v>739960.0</v>
      </c>
      <c r="M734" s="514">
        <v>0.3378</v>
      </c>
      <c r="N734" s="6">
        <v>31.1949</v>
      </c>
    </row>
    <row r="735">
      <c r="A735" s="512" t="s">
        <v>2037</v>
      </c>
      <c r="B735" s="512" t="s">
        <v>1867</v>
      </c>
      <c r="C735" s="512" t="s">
        <v>1883</v>
      </c>
      <c r="D735" s="512" t="s">
        <v>2036</v>
      </c>
      <c r="E735" s="513" t="s">
        <v>375</v>
      </c>
      <c r="F735" s="514">
        <v>25122.0</v>
      </c>
      <c r="G735" s="514">
        <v>271.0</v>
      </c>
      <c r="H735" s="514">
        <v>1.08</v>
      </c>
      <c r="I735" s="514">
        <v>0.42</v>
      </c>
      <c r="J735" s="514">
        <v>0.8</v>
      </c>
      <c r="K735" s="514">
        <v>3130.0</v>
      </c>
      <c r="L735" s="514">
        <v>739960.0</v>
      </c>
      <c r="M735" s="514">
        <v>0.1246</v>
      </c>
      <c r="N735" s="6">
        <v>11.5498</v>
      </c>
    </row>
    <row r="736">
      <c r="A736" s="512" t="s">
        <v>2037</v>
      </c>
      <c r="B736" s="512" t="s">
        <v>1867</v>
      </c>
      <c r="C736" s="512" t="s">
        <v>1883</v>
      </c>
      <c r="D736" s="512" t="s">
        <v>2036</v>
      </c>
      <c r="E736" s="513" t="s">
        <v>189</v>
      </c>
      <c r="F736" s="514">
        <v>25122.0</v>
      </c>
      <c r="G736" s="514">
        <v>176.0</v>
      </c>
      <c r="H736" s="514">
        <v>0.7</v>
      </c>
      <c r="I736" s="514">
        <v>0.25</v>
      </c>
      <c r="J736" s="514">
        <v>0.5</v>
      </c>
      <c r="K736" s="514">
        <v>1865.0</v>
      </c>
      <c r="L736" s="514">
        <v>739960.0</v>
      </c>
      <c r="M736" s="514">
        <v>0.0742</v>
      </c>
      <c r="N736" s="6">
        <v>10.5966</v>
      </c>
    </row>
    <row r="737">
      <c r="A737" s="512" t="s">
        <v>2037</v>
      </c>
      <c r="B737" s="512" t="s">
        <v>1867</v>
      </c>
      <c r="C737" s="512" t="s">
        <v>1883</v>
      </c>
      <c r="D737" s="512" t="s">
        <v>2036</v>
      </c>
      <c r="E737" s="513" t="s">
        <v>35</v>
      </c>
      <c r="F737" s="514">
        <v>25122.0</v>
      </c>
      <c r="G737" s="514">
        <v>10.0</v>
      </c>
      <c r="H737" s="514">
        <v>0.04</v>
      </c>
      <c r="I737" s="514">
        <v>0.03</v>
      </c>
      <c r="J737" s="514">
        <v>0.02</v>
      </c>
      <c r="K737" s="514">
        <v>255.0</v>
      </c>
      <c r="L737" s="514">
        <v>739960.0</v>
      </c>
      <c r="M737" s="514">
        <v>0.0102</v>
      </c>
      <c r="N737" s="6">
        <v>25.5</v>
      </c>
    </row>
    <row r="738">
      <c r="A738" s="512" t="s">
        <v>2037</v>
      </c>
      <c r="B738" s="512" t="s">
        <v>1867</v>
      </c>
      <c r="C738" s="512" t="s">
        <v>1883</v>
      </c>
      <c r="D738" s="512" t="s">
        <v>2036</v>
      </c>
      <c r="E738" s="513" t="s">
        <v>42</v>
      </c>
      <c r="F738" s="514">
        <v>25122.0</v>
      </c>
      <c r="G738" s="514">
        <v>1.0</v>
      </c>
      <c r="H738" s="514">
        <v>0.0</v>
      </c>
      <c r="I738" s="514">
        <v>0.0</v>
      </c>
      <c r="J738" s="514">
        <v>0.0</v>
      </c>
      <c r="K738" s="514">
        <v>20.0</v>
      </c>
      <c r="L738" s="514">
        <v>739960.0</v>
      </c>
      <c r="M738" s="514">
        <v>8.0E-4</v>
      </c>
      <c r="N738" s="6">
        <v>20.0</v>
      </c>
    </row>
    <row r="739">
      <c r="A739" s="512" t="s">
        <v>2037</v>
      </c>
      <c r="B739" s="512" t="s">
        <v>1867</v>
      </c>
      <c r="C739" s="512" t="s">
        <v>1884</v>
      </c>
      <c r="D739" s="512" t="s">
        <v>2036</v>
      </c>
      <c r="E739" s="513" t="s">
        <v>380</v>
      </c>
      <c r="F739" s="514">
        <v>72651.0</v>
      </c>
      <c r="G739" s="514">
        <v>62248.0</v>
      </c>
      <c r="H739" s="514">
        <v>85.68</v>
      </c>
      <c r="I739" s="514">
        <v>47.51</v>
      </c>
      <c r="J739" s="514">
        <v>64.09</v>
      </c>
      <c r="K739" s="514">
        <v>1385515.0</v>
      </c>
      <c r="L739" s="514">
        <v>2916190.0</v>
      </c>
      <c r="M739" s="514">
        <v>19.0708</v>
      </c>
      <c r="N739" s="6">
        <v>22.258</v>
      </c>
    </row>
    <row r="740">
      <c r="A740" s="512" t="s">
        <v>2037</v>
      </c>
      <c r="B740" s="512" t="s">
        <v>1867</v>
      </c>
      <c r="C740" s="512" t="s">
        <v>1884</v>
      </c>
      <c r="D740" s="512" t="s">
        <v>2036</v>
      </c>
      <c r="E740" s="513" t="s">
        <v>373</v>
      </c>
      <c r="F740" s="514">
        <v>72651.0</v>
      </c>
      <c r="G740" s="514">
        <v>17914.0</v>
      </c>
      <c r="H740" s="514">
        <v>24.66</v>
      </c>
      <c r="I740" s="514">
        <v>38.25</v>
      </c>
      <c r="J740" s="514">
        <v>17.7</v>
      </c>
      <c r="K740" s="514">
        <v>1115535.0</v>
      </c>
      <c r="L740" s="514">
        <v>2916190.0</v>
      </c>
      <c r="M740" s="514">
        <v>15.3547</v>
      </c>
      <c r="N740" s="6">
        <v>62.2717</v>
      </c>
    </row>
    <row r="741">
      <c r="A741" s="512" t="s">
        <v>2037</v>
      </c>
      <c r="B741" s="512" t="s">
        <v>1867</v>
      </c>
      <c r="C741" s="512" t="s">
        <v>1884</v>
      </c>
      <c r="D741" s="512" t="s">
        <v>2036</v>
      </c>
      <c r="E741" s="513" t="s">
        <v>375</v>
      </c>
      <c r="F741" s="514">
        <v>72651.0</v>
      </c>
      <c r="G741" s="514">
        <v>19951.0</v>
      </c>
      <c r="H741" s="514">
        <v>27.46</v>
      </c>
      <c r="I741" s="514">
        <v>8.85</v>
      </c>
      <c r="J741" s="514">
        <v>10.63</v>
      </c>
      <c r="K741" s="514">
        <v>257955.0</v>
      </c>
      <c r="L741" s="514">
        <v>2916190.0</v>
      </c>
      <c r="M741" s="514">
        <v>3.5506</v>
      </c>
      <c r="N741" s="6">
        <v>12.9294</v>
      </c>
    </row>
    <row r="742">
      <c r="A742" s="512" t="s">
        <v>2037</v>
      </c>
      <c r="B742" s="512" t="s">
        <v>1867</v>
      </c>
      <c r="C742" s="512" t="s">
        <v>1884</v>
      </c>
      <c r="D742" s="512" t="s">
        <v>2036</v>
      </c>
      <c r="E742" s="513" t="s">
        <v>189</v>
      </c>
      <c r="F742" s="514">
        <v>72651.0</v>
      </c>
      <c r="G742" s="514">
        <v>7396.0</v>
      </c>
      <c r="H742" s="514">
        <v>10.18</v>
      </c>
      <c r="I742" s="514">
        <v>2.57</v>
      </c>
      <c r="J742" s="514">
        <v>3.54</v>
      </c>
      <c r="K742" s="514">
        <v>74950.0</v>
      </c>
      <c r="L742" s="514">
        <v>2916190.0</v>
      </c>
      <c r="M742" s="514">
        <v>1.0316</v>
      </c>
      <c r="N742" s="6">
        <v>10.1339</v>
      </c>
    </row>
    <row r="743">
      <c r="A743" s="512" t="s">
        <v>2037</v>
      </c>
      <c r="B743" s="512" t="s">
        <v>1867</v>
      </c>
      <c r="C743" s="512" t="s">
        <v>1884</v>
      </c>
      <c r="D743" s="512" t="s">
        <v>2036</v>
      </c>
      <c r="E743" s="513" t="s">
        <v>134</v>
      </c>
      <c r="F743" s="514">
        <v>72651.0</v>
      </c>
      <c r="G743" s="514">
        <v>5644.0</v>
      </c>
      <c r="H743" s="514">
        <v>7.77</v>
      </c>
      <c r="I743" s="514">
        <v>2.31</v>
      </c>
      <c r="J743" s="514">
        <v>3.42</v>
      </c>
      <c r="K743" s="514">
        <v>67305.0</v>
      </c>
      <c r="L743" s="514">
        <v>2916190.0</v>
      </c>
      <c r="M743" s="514">
        <v>0.9264</v>
      </c>
      <c r="N743" s="6">
        <v>11.9251</v>
      </c>
    </row>
    <row r="744">
      <c r="A744" s="512" t="s">
        <v>2037</v>
      </c>
      <c r="B744" s="512" t="s">
        <v>1867</v>
      </c>
      <c r="C744" s="512" t="s">
        <v>1884</v>
      </c>
      <c r="D744" s="512" t="s">
        <v>2036</v>
      </c>
      <c r="E744" s="513" t="s">
        <v>377</v>
      </c>
      <c r="F744" s="514">
        <v>72651.0</v>
      </c>
      <c r="G744" s="514">
        <v>273.0</v>
      </c>
      <c r="H744" s="514">
        <v>0.38</v>
      </c>
      <c r="I744" s="514">
        <v>0.29</v>
      </c>
      <c r="J744" s="514">
        <v>0.29</v>
      </c>
      <c r="K744" s="514">
        <v>8525.0</v>
      </c>
      <c r="L744" s="514">
        <v>2916190.0</v>
      </c>
      <c r="M744" s="514">
        <v>0.1173</v>
      </c>
      <c r="N744" s="6">
        <v>31.2271</v>
      </c>
    </row>
    <row r="745">
      <c r="A745" s="512" t="s">
        <v>2037</v>
      </c>
      <c r="B745" s="512" t="s">
        <v>1867</v>
      </c>
      <c r="C745" s="512" t="s">
        <v>1884</v>
      </c>
      <c r="D745" s="512" t="s">
        <v>2036</v>
      </c>
      <c r="E745" s="513" t="s">
        <v>44</v>
      </c>
      <c r="F745" s="514">
        <v>72651.0</v>
      </c>
      <c r="G745" s="514">
        <v>488.0</v>
      </c>
      <c r="H745" s="514">
        <v>0.67</v>
      </c>
      <c r="I745" s="514">
        <v>0.19</v>
      </c>
      <c r="J745" s="514">
        <v>0.31</v>
      </c>
      <c r="K745" s="514">
        <v>5490.0</v>
      </c>
      <c r="L745" s="514">
        <v>2916190.0</v>
      </c>
      <c r="M745" s="514">
        <v>0.0756</v>
      </c>
      <c r="N745" s="6">
        <v>11.25</v>
      </c>
    </row>
    <row r="746">
      <c r="A746" s="512" t="s">
        <v>2037</v>
      </c>
      <c r="B746" s="512" t="s">
        <v>1867</v>
      </c>
      <c r="C746" s="512" t="s">
        <v>1884</v>
      </c>
      <c r="D746" s="512" t="s">
        <v>2036</v>
      </c>
      <c r="E746" s="513" t="s">
        <v>35</v>
      </c>
      <c r="F746" s="514">
        <v>72651.0</v>
      </c>
      <c r="G746" s="514">
        <v>44.0</v>
      </c>
      <c r="H746" s="514">
        <v>0.06</v>
      </c>
      <c r="I746" s="514">
        <v>0.03</v>
      </c>
      <c r="J746" s="514">
        <v>0.03</v>
      </c>
      <c r="K746" s="514">
        <v>885.0</v>
      </c>
      <c r="L746" s="514">
        <v>2916190.0</v>
      </c>
      <c r="M746" s="514">
        <v>0.0122</v>
      </c>
      <c r="N746" s="6">
        <v>20.1136</v>
      </c>
    </row>
    <row r="747">
      <c r="A747" s="512" t="s">
        <v>2037</v>
      </c>
      <c r="B747" s="512" t="s">
        <v>1867</v>
      </c>
      <c r="C747" s="512" t="s">
        <v>1884</v>
      </c>
      <c r="D747" s="512" t="s">
        <v>2036</v>
      </c>
      <c r="E747" s="513" t="s">
        <v>374</v>
      </c>
      <c r="F747" s="514">
        <v>72651.0</v>
      </c>
      <c r="G747" s="514">
        <v>3.0</v>
      </c>
      <c r="H747" s="514">
        <v>0.0</v>
      </c>
      <c r="I747" s="514">
        <v>0.0</v>
      </c>
      <c r="J747" s="514">
        <v>0.0</v>
      </c>
      <c r="K747" s="514">
        <v>30.0</v>
      </c>
      <c r="L747" s="514">
        <v>2916190.0</v>
      </c>
      <c r="M747" s="514">
        <v>4.0E-4</v>
      </c>
      <c r="N747" s="6">
        <v>10.0</v>
      </c>
    </row>
    <row r="748">
      <c r="A748" s="512" t="s">
        <v>2037</v>
      </c>
      <c r="B748" s="512" t="s">
        <v>1867</v>
      </c>
      <c r="C748" s="512" t="s">
        <v>1885</v>
      </c>
      <c r="D748" s="512" t="s">
        <v>2036</v>
      </c>
      <c r="E748" s="513" t="s">
        <v>380</v>
      </c>
      <c r="F748" s="514">
        <v>83376.0</v>
      </c>
      <c r="G748" s="514">
        <v>74299.0</v>
      </c>
      <c r="H748" s="514">
        <v>89.11</v>
      </c>
      <c r="I748" s="514">
        <v>46.44</v>
      </c>
      <c r="J748" s="514">
        <v>63.45</v>
      </c>
      <c r="K748" s="514">
        <v>1593020.0</v>
      </c>
      <c r="L748" s="514">
        <v>3430140.0</v>
      </c>
      <c r="M748" s="514">
        <v>19.1065</v>
      </c>
      <c r="N748" s="6">
        <v>21.4407</v>
      </c>
    </row>
    <row r="749">
      <c r="A749" s="512" t="s">
        <v>2037</v>
      </c>
      <c r="B749" s="512" t="s">
        <v>1867</v>
      </c>
      <c r="C749" s="512" t="s">
        <v>1885</v>
      </c>
      <c r="D749" s="512" t="s">
        <v>2036</v>
      </c>
      <c r="E749" s="513" t="s">
        <v>373</v>
      </c>
      <c r="F749" s="514">
        <v>83376.0</v>
      </c>
      <c r="G749" s="514">
        <v>18162.0</v>
      </c>
      <c r="H749" s="514">
        <v>21.78</v>
      </c>
      <c r="I749" s="514">
        <v>32.94</v>
      </c>
      <c r="J749" s="514">
        <v>13.85</v>
      </c>
      <c r="K749" s="514">
        <v>1129815.0</v>
      </c>
      <c r="L749" s="514">
        <v>3430140.0</v>
      </c>
      <c r="M749" s="514">
        <v>13.5508</v>
      </c>
      <c r="N749" s="6">
        <v>62.2076</v>
      </c>
    </row>
    <row r="750">
      <c r="A750" s="512" t="s">
        <v>2037</v>
      </c>
      <c r="B750" s="512" t="s">
        <v>1867</v>
      </c>
      <c r="C750" s="512" t="s">
        <v>1885</v>
      </c>
      <c r="D750" s="512" t="s">
        <v>2036</v>
      </c>
      <c r="E750" s="513" t="s">
        <v>375</v>
      </c>
      <c r="F750" s="514">
        <v>83376.0</v>
      </c>
      <c r="G750" s="514">
        <v>35576.0</v>
      </c>
      <c r="H750" s="514">
        <v>42.67</v>
      </c>
      <c r="I750" s="514">
        <v>14.63</v>
      </c>
      <c r="J750" s="514">
        <v>15.77</v>
      </c>
      <c r="K750" s="514">
        <v>501785.0</v>
      </c>
      <c r="L750" s="514">
        <v>3430140.0</v>
      </c>
      <c r="M750" s="514">
        <v>6.0183</v>
      </c>
      <c r="N750" s="6">
        <v>14.1046</v>
      </c>
    </row>
    <row r="751">
      <c r="A751" s="512" t="s">
        <v>2037</v>
      </c>
      <c r="B751" s="512" t="s">
        <v>1867</v>
      </c>
      <c r="C751" s="512" t="s">
        <v>1885</v>
      </c>
      <c r="D751" s="512" t="s">
        <v>2036</v>
      </c>
      <c r="E751" s="513" t="s">
        <v>189</v>
      </c>
      <c r="F751" s="514">
        <v>83376.0</v>
      </c>
      <c r="G751" s="514">
        <v>14850.0</v>
      </c>
      <c r="H751" s="514">
        <v>17.81</v>
      </c>
      <c r="I751" s="514">
        <v>4.4</v>
      </c>
      <c r="J751" s="514">
        <v>5.16</v>
      </c>
      <c r="K751" s="514">
        <v>150815.0</v>
      </c>
      <c r="L751" s="514">
        <v>3430140.0</v>
      </c>
      <c r="M751" s="514">
        <v>1.8089</v>
      </c>
      <c r="N751" s="6">
        <v>10.1559</v>
      </c>
    </row>
    <row r="752">
      <c r="A752" s="512" t="s">
        <v>2037</v>
      </c>
      <c r="B752" s="512" t="s">
        <v>1867</v>
      </c>
      <c r="C752" s="512" t="s">
        <v>1885</v>
      </c>
      <c r="D752" s="512" t="s">
        <v>2036</v>
      </c>
      <c r="E752" s="513" t="s">
        <v>134</v>
      </c>
      <c r="F752" s="514">
        <v>83376.0</v>
      </c>
      <c r="G752" s="514">
        <v>2289.0</v>
      </c>
      <c r="H752" s="514">
        <v>2.75</v>
      </c>
      <c r="I752" s="514">
        <v>0.83</v>
      </c>
      <c r="J752" s="514">
        <v>0.85</v>
      </c>
      <c r="K752" s="514">
        <v>28335.0</v>
      </c>
      <c r="L752" s="514">
        <v>3430140.0</v>
      </c>
      <c r="M752" s="514">
        <v>0.3398</v>
      </c>
      <c r="N752" s="6">
        <v>12.3788</v>
      </c>
    </row>
    <row r="753">
      <c r="A753" s="512" t="s">
        <v>2037</v>
      </c>
      <c r="B753" s="512" t="s">
        <v>1867</v>
      </c>
      <c r="C753" s="512" t="s">
        <v>1885</v>
      </c>
      <c r="D753" s="512" t="s">
        <v>2036</v>
      </c>
      <c r="E753" s="513" t="s">
        <v>44</v>
      </c>
      <c r="F753" s="514">
        <v>83376.0</v>
      </c>
      <c r="G753" s="514">
        <v>1003.0</v>
      </c>
      <c r="H753" s="514">
        <v>1.2</v>
      </c>
      <c r="I753" s="514">
        <v>0.35</v>
      </c>
      <c r="J753" s="514">
        <v>0.51</v>
      </c>
      <c r="K753" s="514">
        <v>11880.0</v>
      </c>
      <c r="L753" s="514">
        <v>3430140.0</v>
      </c>
      <c r="M753" s="514">
        <v>0.1425</v>
      </c>
      <c r="N753" s="6">
        <v>11.8445</v>
      </c>
    </row>
    <row r="754">
      <c r="A754" s="512" t="s">
        <v>2037</v>
      </c>
      <c r="B754" s="512" t="s">
        <v>1867</v>
      </c>
      <c r="C754" s="512" t="s">
        <v>1885</v>
      </c>
      <c r="D754" s="512" t="s">
        <v>2036</v>
      </c>
      <c r="E754" s="513" t="s">
        <v>377</v>
      </c>
      <c r="F754" s="514">
        <v>83376.0</v>
      </c>
      <c r="G754" s="514">
        <v>275.0</v>
      </c>
      <c r="H754" s="514">
        <v>0.33</v>
      </c>
      <c r="I754" s="514">
        <v>0.25</v>
      </c>
      <c r="J754" s="514">
        <v>0.25</v>
      </c>
      <c r="K754" s="514">
        <v>8625.0</v>
      </c>
      <c r="L754" s="514">
        <v>3430140.0</v>
      </c>
      <c r="M754" s="514">
        <v>0.1034</v>
      </c>
      <c r="N754" s="6">
        <v>31.3636</v>
      </c>
    </row>
    <row r="755">
      <c r="A755" s="512" t="s">
        <v>2037</v>
      </c>
      <c r="B755" s="512" t="s">
        <v>1867</v>
      </c>
      <c r="C755" s="512" t="s">
        <v>1885</v>
      </c>
      <c r="D755" s="512" t="s">
        <v>2036</v>
      </c>
      <c r="E755" s="513" t="s">
        <v>35</v>
      </c>
      <c r="F755" s="514">
        <v>83376.0</v>
      </c>
      <c r="G755" s="514">
        <v>361.0</v>
      </c>
      <c r="H755" s="514">
        <v>0.43</v>
      </c>
      <c r="I755" s="514">
        <v>0.17</v>
      </c>
      <c r="J755" s="514">
        <v>0.16</v>
      </c>
      <c r="K755" s="514">
        <v>5805.0</v>
      </c>
      <c r="L755" s="514">
        <v>3430140.0</v>
      </c>
      <c r="M755" s="514">
        <v>0.0696</v>
      </c>
      <c r="N755" s="6">
        <v>16.0803</v>
      </c>
    </row>
    <row r="756">
      <c r="A756" s="512" t="s">
        <v>2037</v>
      </c>
      <c r="B756" s="512" t="s">
        <v>1867</v>
      </c>
      <c r="C756" s="512" t="s">
        <v>1885</v>
      </c>
      <c r="D756" s="512" t="s">
        <v>2036</v>
      </c>
      <c r="E756" s="513" t="s">
        <v>374</v>
      </c>
      <c r="F756" s="514">
        <v>83376.0</v>
      </c>
      <c r="G756" s="514">
        <v>1.0</v>
      </c>
      <c r="H756" s="514">
        <v>0.0</v>
      </c>
      <c r="I756" s="514">
        <v>0.0</v>
      </c>
      <c r="J756" s="514">
        <v>0.0</v>
      </c>
      <c r="K756" s="514">
        <v>10.0</v>
      </c>
      <c r="L756" s="514">
        <v>3430140.0</v>
      </c>
      <c r="M756" s="514">
        <v>1.0E-4</v>
      </c>
      <c r="N756" s="6">
        <v>10.0</v>
      </c>
    </row>
    <row r="757">
      <c r="A757" s="512" t="s">
        <v>2037</v>
      </c>
      <c r="B757" s="512" t="s">
        <v>1867</v>
      </c>
      <c r="C757" s="512" t="s">
        <v>1885</v>
      </c>
      <c r="D757" s="512" t="s">
        <v>2036</v>
      </c>
      <c r="E757" s="513" t="s">
        <v>382</v>
      </c>
      <c r="F757" s="514">
        <v>83376.0</v>
      </c>
      <c r="G757" s="514">
        <v>2.0</v>
      </c>
      <c r="H757" s="514">
        <v>0.0</v>
      </c>
      <c r="I757" s="514">
        <v>0.0</v>
      </c>
      <c r="J757" s="514">
        <v>0.0</v>
      </c>
      <c r="K757" s="514">
        <v>20.0</v>
      </c>
      <c r="L757" s="514">
        <v>3430140.0</v>
      </c>
      <c r="M757" s="514">
        <v>2.0E-4</v>
      </c>
      <c r="N757" s="6">
        <v>10.0</v>
      </c>
    </row>
    <row r="758">
      <c r="A758" s="512" t="s">
        <v>2037</v>
      </c>
      <c r="B758" s="512" t="s">
        <v>1867</v>
      </c>
      <c r="C758" s="512" t="s">
        <v>1885</v>
      </c>
      <c r="D758" s="512" t="s">
        <v>2036</v>
      </c>
      <c r="E758" s="513" t="s">
        <v>54</v>
      </c>
      <c r="F758" s="514">
        <v>83376.0</v>
      </c>
      <c r="G758" s="514">
        <v>1.0</v>
      </c>
      <c r="H758" s="514">
        <v>0.0</v>
      </c>
      <c r="I758" s="514">
        <v>0.0</v>
      </c>
      <c r="J758" s="514">
        <v>0.0</v>
      </c>
      <c r="K758" s="514">
        <v>15.0</v>
      </c>
      <c r="L758" s="514">
        <v>3430140.0</v>
      </c>
      <c r="M758" s="514">
        <v>2.0E-4</v>
      </c>
      <c r="N758" s="6">
        <v>15.0</v>
      </c>
    </row>
    <row r="759">
      <c r="A759" s="512" t="s">
        <v>2037</v>
      </c>
      <c r="B759" s="512" t="s">
        <v>1867</v>
      </c>
      <c r="C759" s="512" t="s">
        <v>1885</v>
      </c>
      <c r="D759" s="512" t="s">
        <v>2036</v>
      </c>
      <c r="E759" s="513" t="s">
        <v>379</v>
      </c>
      <c r="F759" s="514">
        <v>83376.0</v>
      </c>
      <c r="G759" s="514">
        <v>1.0</v>
      </c>
      <c r="H759" s="514">
        <v>0.0</v>
      </c>
      <c r="I759" s="514">
        <v>0.0</v>
      </c>
      <c r="J759" s="514">
        <v>0.0</v>
      </c>
      <c r="K759" s="514">
        <v>15.0</v>
      </c>
      <c r="L759" s="514">
        <v>3430140.0</v>
      </c>
      <c r="M759" s="514">
        <v>2.0E-4</v>
      </c>
      <c r="N759" s="6">
        <v>15.0</v>
      </c>
    </row>
    <row r="760">
      <c r="A760" s="512" t="s">
        <v>2037</v>
      </c>
      <c r="B760" s="512" t="s">
        <v>1867</v>
      </c>
      <c r="C760" s="512" t="s">
        <v>75</v>
      </c>
      <c r="D760" s="512" t="s">
        <v>2036</v>
      </c>
      <c r="E760" s="513" t="s">
        <v>49</v>
      </c>
      <c r="F760" s="514">
        <v>113286.0</v>
      </c>
      <c r="G760" s="514">
        <v>71780.0</v>
      </c>
      <c r="H760" s="514">
        <v>63.36</v>
      </c>
      <c r="I760" s="514">
        <v>25.37</v>
      </c>
      <c r="J760" s="514">
        <v>22.56</v>
      </c>
      <c r="K760" s="514">
        <v>2.002394E7</v>
      </c>
      <c r="L760" s="514">
        <v>7.893324E7</v>
      </c>
      <c r="M760" s="514">
        <v>176.7556</v>
      </c>
      <c r="N760" s="6">
        <v>278.9627</v>
      </c>
    </row>
    <row r="761">
      <c r="A761" s="512" t="s">
        <v>2037</v>
      </c>
      <c r="B761" s="512" t="s">
        <v>1867</v>
      </c>
      <c r="C761" s="512" t="s">
        <v>75</v>
      </c>
      <c r="D761" s="512" t="s">
        <v>2036</v>
      </c>
      <c r="E761" s="513" t="s">
        <v>373</v>
      </c>
      <c r="F761" s="514">
        <v>113286.0</v>
      </c>
      <c r="G761" s="514">
        <v>95312.0</v>
      </c>
      <c r="H761" s="514">
        <v>84.13</v>
      </c>
      <c r="I761" s="514">
        <v>21.86</v>
      </c>
      <c r="J761" s="514">
        <v>21.32</v>
      </c>
      <c r="K761" s="514">
        <v>1.725255E7</v>
      </c>
      <c r="L761" s="514">
        <v>7.893324E7</v>
      </c>
      <c r="M761" s="514">
        <v>152.292</v>
      </c>
      <c r="N761" s="6">
        <v>181.0113</v>
      </c>
    </row>
    <row r="762">
      <c r="A762" s="512" t="s">
        <v>2037</v>
      </c>
      <c r="B762" s="512" t="s">
        <v>1867</v>
      </c>
      <c r="C762" s="512" t="s">
        <v>75</v>
      </c>
      <c r="D762" s="512" t="s">
        <v>2036</v>
      </c>
      <c r="E762" s="513" t="s">
        <v>379</v>
      </c>
      <c r="F762" s="514">
        <v>113286.0</v>
      </c>
      <c r="G762" s="514">
        <v>90180.0</v>
      </c>
      <c r="H762" s="514">
        <v>79.6</v>
      </c>
      <c r="I762" s="514">
        <v>13.76</v>
      </c>
      <c r="J762" s="514">
        <v>14.27</v>
      </c>
      <c r="K762" s="514">
        <v>1.0863205E7</v>
      </c>
      <c r="L762" s="514">
        <v>7.893324E7</v>
      </c>
      <c r="M762" s="514">
        <v>95.8919</v>
      </c>
      <c r="N762" s="6">
        <v>120.4614</v>
      </c>
    </row>
    <row r="763">
      <c r="A763" s="512" t="s">
        <v>2037</v>
      </c>
      <c r="B763" s="512" t="s">
        <v>1867</v>
      </c>
      <c r="C763" s="512" t="s">
        <v>75</v>
      </c>
      <c r="D763" s="512" t="s">
        <v>2036</v>
      </c>
      <c r="E763" s="513" t="s">
        <v>380</v>
      </c>
      <c r="F763" s="514">
        <v>113286.0</v>
      </c>
      <c r="G763" s="514">
        <v>78606.0</v>
      </c>
      <c r="H763" s="514">
        <v>69.39</v>
      </c>
      <c r="I763" s="514">
        <v>12.77</v>
      </c>
      <c r="J763" s="514">
        <v>16.44</v>
      </c>
      <c r="K763" s="514">
        <v>1.007692E7</v>
      </c>
      <c r="L763" s="514">
        <v>7.893324E7</v>
      </c>
      <c r="M763" s="514">
        <v>88.9512</v>
      </c>
      <c r="N763" s="6">
        <v>128.1953</v>
      </c>
    </row>
    <row r="764">
      <c r="A764" s="512" t="s">
        <v>2037</v>
      </c>
      <c r="B764" s="512" t="s">
        <v>1867</v>
      </c>
      <c r="C764" s="512" t="s">
        <v>75</v>
      </c>
      <c r="D764" s="512" t="s">
        <v>2036</v>
      </c>
      <c r="E764" s="513" t="s">
        <v>44</v>
      </c>
      <c r="F764" s="514">
        <v>113286.0</v>
      </c>
      <c r="G764" s="514">
        <v>59033.0</v>
      </c>
      <c r="H764" s="514">
        <v>52.11</v>
      </c>
      <c r="I764" s="514">
        <v>9.46</v>
      </c>
      <c r="J764" s="514">
        <v>9.26</v>
      </c>
      <c r="K764" s="514">
        <v>7466520.0</v>
      </c>
      <c r="L764" s="514">
        <v>7.893324E7</v>
      </c>
      <c r="M764" s="514">
        <v>65.9086</v>
      </c>
      <c r="N764" s="6">
        <v>126.4804</v>
      </c>
    </row>
    <row r="765">
      <c r="A765" s="512" t="s">
        <v>2037</v>
      </c>
      <c r="B765" s="512" t="s">
        <v>1867</v>
      </c>
      <c r="C765" s="512" t="s">
        <v>75</v>
      </c>
      <c r="D765" s="512" t="s">
        <v>2036</v>
      </c>
      <c r="E765" s="513" t="s">
        <v>374</v>
      </c>
      <c r="F765" s="514">
        <v>113286.0</v>
      </c>
      <c r="G765" s="514">
        <v>42219.0</v>
      </c>
      <c r="H765" s="514">
        <v>37.27</v>
      </c>
      <c r="I765" s="514">
        <v>6.67</v>
      </c>
      <c r="J765" s="514">
        <v>5.78</v>
      </c>
      <c r="K765" s="514">
        <v>5264020.0</v>
      </c>
      <c r="L765" s="514">
        <v>7.893324E7</v>
      </c>
      <c r="M765" s="514">
        <v>46.4666</v>
      </c>
      <c r="N765" s="6">
        <v>124.6837</v>
      </c>
    </row>
    <row r="766">
      <c r="A766" s="512" t="s">
        <v>2037</v>
      </c>
      <c r="B766" s="512" t="s">
        <v>1867</v>
      </c>
      <c r="C766" s="512" t="s">
        <v>75</v>
      </c>
      <c r="D766" s="512" t="s">
        <v>2036</v>
      </c>
      <c r="E766" s="513" t="s">
        <v>32</v>
      </c>
      <c r="F766" s="514">
        <v>113286.0</v>
      </c>
      <c r="G766" s="514">
        <v>46958.0</v>
      </c>
      <c r="H766" s="514">
        <v>41.45</v>
      </c>
      <c r="I766" s="514">
        <v>3.35</v>
      </c>
      <c r="J766" s="514">
        <v>3.31</v>
      </c>
      <c r="K766" s="514">
        <v>2646960.0</v>
      </c>
      <c r="L766" s="514">
        <v>7.893324E7</v>
      </c>
      <c r="M766" s="514">
        <v>23.3653</v>
      </c>
      <c r="N766" s="6">
        <v>56.3687</v>
      </c>
    </row>
    <row r="767">
      <c r="A767" s="512" t="s">
        <v>2037</v>
      </c>
      <c r="B767" s="512" t="s">
        <v>1867</v>
      </c>
      <c r="C767" s="512" t="s">
        <v>75</v>
      </c>
      <c r="D767" s="512" t="s">
        <v>2036</v>
      </c>
      <c r="E767" s="513" t="s">
        <v>372</v>
      </c>
      <c r="F767" s="514">
        <v>113286.0</v>
      </c>
      <c r="G767" s="514">
        <v>30406.0</v>
      </c>
      <c r="H767" s="514">
        <v>26.84</v>
      </c>
      <c r="I767" s="514">
        <v>1.86</v>
      </c>
      <c r="J767" s="514">
        <v>2.03</v>
      </c>
      <c r="K767" s="514">
        <v>1471200.0</v>
      </c>
      <c r="L767" s="514">
        <v>7.893324E7</v>
      </c>
      <c r="M767" s="514">
        <v>12.9866</v>
      </c>
      <c r="N767" s="6">
        <v>48.3852</v>
      </c>
    </row>
    <row r="768">
      <c r="A768" s="512" t="s">
        <v>2037</v>
      </c>
      <c r="B768" s="512" t="s">
        <v>1867</v>
      </c>
      <c r="C768" s="512" t="s">
        <v>75</v>
      </c>
      <c r="D768" s="512" t="s">
        <v>2036</v>
      </c>
      <c r="E768" s="513" t="s">
        <v>367</v>
      </c>
      <c r="F768" s="514">
        <v>113286.0</v>
      </c>
      <c r="G768" s="514">
        <v>30144.0</v>
      </c>
      <c r="H768" s="514">
        <v>26.61</v>
      </c>
      <c r="I768" s="514">
        <v>1.74</v>
      </c>
      <c r="J768" s="514">
        <v>1.37</v>
      </c>
      <c r="K768" s="514">
        <v>1373140.0</v>
      </c>
      <c r="L768" s="514">
        <v>7.893324E7</v>
      </c>
      <c r="M768" s="514">
        <v>12.121</v>
      </c>
      <c r="N768" s="6">
        <v>45.5527</v>
      </c>
    </row>
    <row r="769">
      <c r="A769" s="512" t="s">
        <v>2037</v>
      </c>
      <c r="B769" s="512" t="s">
        <v>1867</v>
      </c>
      <c r="C769" s="512" t="s">
        <v>75</v>
      </c>
      <c r="D769" s="512" t="s">
        <v>2036</v>
      </c>
      <c r="E769" s="513" t="s">
        <v>43</v>
      </c>
      <c r="F769" s="514">
        <v>113286.0</v>
      </c>
      <c r="G769" s="514">
        <v>25005.0</v>
      </c>
      <c r="H769" s="514">
        <v>22.07</v>
      </c>
      <c r="I769" s="514">
        <v>1.25</v>
      </c>
      <c r="J769" s="514">
        <v>1.34</v>
      </c>
      <c r="K769" s="514">
        <v>984425.0</v>
      </c>
      <c r="L769" s="514">
        <v>7.893324E7</v>
      </c>
      <c r="M769" s="514">
        <v>8.6897</v>
      </c>
      <c r="N769" s="6">
        <v>39.3691</v>
      </c>
    </row>
    <row r="770">
      <c r="A770" s="512" t="s">
        <v>2037</v>
      </c>
      <c r="B770" s="512" t="s">
        <v>1867</v>
      </c>
      <c r="C770" s="512" t="s">
        <v>75</v>
      </c>
      <c r="D770" s="512" t="s">
        <v>2036</v>
      </c>
      <c r="E770" s="513" t="s">
        <v>377</v>
      </c>
      <c r="F770" s="514">
        <v>113286.0</v>
      </c>
      <c r="G770" s="514">
        <v>13136.0</v>
      </c>
      <c r="H770" s="514">
        <v>11.6</v>
      </c>
      <c r="I770" s="514">
        <v>1.12</v>
      </c>
      <c r="J770" s="514">
        <v>1.32</v>
      </c>
      <c r="K770" s="514">
        <v>887660.0</v>
      </c>
      <c r="L770" s="514">
        <v>7.893324E7</v>
      </c>
      <c r="M770" s="514">
        <v>7.8356</v>
      </c>
      <c r="N770" s="6">
        <v>67.5746</v>
      </c>
    </row>
    <row r="771">
      <c r="A771" s="512" t="s">
        <v>2037</v>
      </c>
      <c r="B771" s="512" t="s">
        <v>1867</v>
      </c>
      <c r="C771" s="512" t="s">
        <v>75</v>
      </c>
      <c r="D771" s="512" t="s">
        <v>2036</v>
      </c>
      <c r="E771" s="513" t="s">
        <v>375</v>
      </c>
      <c r="F771" s="514">
        <v>113286.0</v>
      </c>
      <c r="G771" s="514">
        <v>7533.0</v>
      </c>
      <c r="H771" s="514">
        <v>6.65</v>
      </c>
      <c r="I771" s="514">
        <v>0.37</v>
      </c>
      <c r="J771" s="514">
        <v>0.46</v>
      </c>
      <c r="K771" s="514">
        <v>290880.0</v>
      </c>
      <c r="L771" s="514">
        <v>7.893324E7</v>
      </c>
      <c r="M771" s="514">
        <v>2.5677</v>
      </c>
      <c r="N771" s="6">
        <v>38.6141</v>
      </c>
    </row>
    <row r="772">
      <c r="A772" s="512" t="s">
        <v>2037</v>
      </c>
      <c r="B772" s="512" t="s">
        <v>1867</v>
      </c>
      <c r="C772" s="512" t="s">
        <v>75</v>
      </c>
      <c r="D772" s="512" t="s">
        <v>2036</v>
      </c>
      <c r="E772" s="513" t="s">
        <v>35</v>
      </c>
      <c r="F772" s="514">
        <v>113286.0</v>
      </c>
      <c r="G772" s="514">
        <v>5079.0</v>
      </c>
      <c r="H772" s="514">
        <v>4.48</v>
      </c>
      <c r="I772" s="514">
        <v>0.23</v>
      </c>
      <c r="J772" s="514">
        <v>0.25</v>
      </c>
      <c r="K772" s="514">
        <v>181770.0</v>
      </c>
      <c r="L772" s="514">
        <v>7.893324E7</v>
      </c>
      <c r="M772" s="514">
        <v>1.6045</v>
      </c>
      <c r="N772" s="6">
        <v>35.7885</v>
      </c>
    </row>
    <row r="773">
      <c r="A773" s="512" t="s">
        <v>2037</v>
      </c>
      <c r="B773" s="512" t="s">
        <v>1867</v>
      </c>
      <c r="C773" s="512" t="s">
        <v>75</v>
      </c>
      <c r="D773" s="512" t="s">
        <v>2036</v>
      </c>
      <c r="E773" s="513" t="s">
        <v>189</v>
      </c>
      <c r="F773" s="514">
        <v>113286.0</v>
      </c>
      <c r="G773" s="514">
        <v>3112.0</v>
      </c>
      <c r="H773" s="514">
        <v>2.75</v>
      </c>
      <c r="I773" s="514">
        <v>0.12</v>
      </c>
      <c r="J773" s="514">
        <v>0.14</v>
      </c>
      <c r="K773" s="514">
        <v>97740.0</v>
      </c>
      <c r="L773" s="514">
        <v>7.893324E7</v>
      </c>
      <c r="M773" s="514">
        <v>0.8628</v>
      </c>
      <c r="N773" s="6">
        <v>31.4075</v>
      </c>
    </row>
    <row r="774">
      <c r="A774" s="512" t="s">
        <v>2037</v>
      </c>
      <c r="B774" s="512" t="s">
        <v>1867</v>
      </c>
      <c r="C774" s="512" t="s">
        <v>75</v>
      </c>
      <c r="D774" s="512" t="s">
        <v>2036</v>
      </c>
      <c r="E774" s="513" t="s">
        <v>50</v>
      </c>
      <c r="F774" s="514">
        <v>113286.0</v>
      </c>
      <c r="G774" s="514">
        <v>732.0</v>
      </c>
      <c r="H774" s="514">
        <v>0.65</v>
      </c>
      <c r="I774" s="514">
        <v>0.05</v>
      </c>
      <c r="J774" s="514">
        <v>0.12</v>
      </c>
      <c r="K774" s="514">
        <v>37235.0</v>
      </c>
      <c r="L774" s="514">
        <v>7.893324E7</v>
      </c>
      <c r="M774" s="514">
        <v>0.3287</v>
      </c>
      <c r="N774" s="6">
        <v>50.8675</v>
      </c>
    </row>
    <row r="775">
      <c r="A775" s="512" t="s">
        <v>2037</v>
      </c>
      <c r="B775" s="512" t="s">
        <v>1867</v>
      </c>
      <c r="C775" s="512" t="s">
        <v>75</v>
      </c>
      <c r="D775" s="512" t="s">
        <v>2036</v>
      </c>
      <c r="E775" s="513" t="s">
        <v>134</v>
      </c>
      <c r="F775" s="514">
        <v>113286.0</v>
      </c>
      <c r="G775" s="514">
        <v>894.0</v>
      </c>
      <c r="H775" s="514">
        <v>0.79</v>
      </c>
      <c r="I775" s="514">
        <v>0.02</v>
      </c>
      <c r="J775" s="514">
        <v>0.04</v>
      </c>
      <c r="K775" s="514">
        <v>15015.0</v>
      </c>
      <c r="L775" s="514">
        <v>7.893324E7</v>
      </c>
      <c r="M775" s="514">
        <v>0.1325</v>
      </c>
      <c r="N775" s="6">
        <v>16.7953</v>
      </c>
    </row>
    <row r="776">
      <c r="A776" s="512" t="s">
        <v>2037</v>
      </c>
      <c r="B776" s="512" t="s">
        <v>1867</v>
      </c>
      <c r="C776" s="512" t="s">
        <v>75</v>
      </c>
      <c r="D776" s="512" t="s">
        <v>2036</v>
      </c>
      <c r="E776" s="513" t="s">
        <v>382</v>
      </c>
      <c r="F776" s="514">
        <v>113286.0</v>
      </c>
      <c r="G776" s="514">
        <v>2.0</v>
      </c>
      <c r="H776" s="514">
        <v>0.0</v>
      </c>
      <c r="I776" s="514">
        <v>0.0</v>
      </c>
      <c r="J776" s="514">
        <v>0.0</v>
      </c>
      <c r="K776" s="514">
        <v>30.0</v>
      </c>
      <c r="L776" s="514">
        <v>7.893324E7</v>
      </c>
      <c r="M776" s="514">
        <v>3.0E-4</v>
      </c>
      <c r="N776" s="6">
        <v>15.0</v>
      </c>
    </row>
    <row r="777">
      <c r="A777" s="512" t="s">
        <v>2037</v>
      </c>
      <c r="B777" s="512" t="s">
        <v>1867</v>
      </c>
      <c r="C777" s="512" t="s">
        <v>75</v>
      </c>
      <c r="D777" s="512" t="s">
        <v>2036</v>
      </c>
      <c r="E777" s="513" t="s">
        <v>42</v>
      </c>
      <c r="F777" s="514">
        <v>113286.0</v>
      </c>
      <c r="G777" s="514">
        <v>1.0</v>
      </c>
      <c r="H777" s="514">
        <v>0.0</v>
      </c>
      <c r="I777" s="514">
        <v>0.0</v>
      </c>
      <c r="J777" s="514">
        <v>0.0</v>
      </c>
      <c r="K777" s="514">
        <v>30.0</v>
      </c>
      <c r="L777" s="514">
        <v>7.893324E7</v>
      </c>
      <c r="M777" s="514">
        <v>3.0E-4</v>
      </c>
      <c r="N777" s="6">
        <v>30.0</v>
      </c>
    </row>
    <row r="778">
      <c r="A778" s="512" t="s">
        <v>2038</v>
      </c>
      <c r="B778" s="512" t="s">
        <v>163</v>
      </c>
      <c r="C778" s="512" t="s">
        <v>71</v>
      </c>
      <c r="D778" s="512" t="s">
        <v>574</v>
      </c>
      <c r="E778" s="513" t="s">
        <v>379</v>
      </c>
      <c r="F778" s="514">
        <v>127044.0</v>
      </c>
      <c r="G778" s="514">
        <v>91141.0</v>
      </c>
      <c r="H778" s="514">
        <v>71.74</v>
      </c>
      <c r="I778" s="514">
        <v>34.7</v>
      </c>
      <c r="J778" s="514">
        <v>33.48</v>
      </c>
      <c r="K778" s="514">
        <v>236520.0</v>
      </c>
      <c r="L778" s="514">
        <v>681600.0</v>
      </c>
      <c r="M778" s="514">
        <v>1.8617</v>
      </c>
      <c r="N778" s="6">
        <v>2.5951</v>
      </c>
    </row>
    <row r="779">
      <c r="A779" s="512" t="s">
        <v>2038</v>
      </c>
      <c r="B779" s="512" t="s">
        <v>163</v>
      </c>
      <c r="C779" s="512" t="s">
        <v>71</v>
      </c>
      <c r="D779" s="512" t="s">
        <v>574</v>
      </c>
      <c r="E779" s="513" t="s">
        <v>377</v>
      </c>
      <c r="F779" s="514">
        <v>127044.0</v>
      </c>
      <c r="G779" s="514">
        <v>86735.0</v>
      </c>
      <c r="H779" s="514">
        <v>68.27</v>
      </c>
      <c r="I779" s="514">
        <v>21.86</v>
      </c>
      <c r="J779" s="514">
        <v>30.04</v>
      </c>
      <c r="K779" s="514">
        <v>148971.0</v>
      </c>
      <c r="L779" s="514">
        <v>681600.0</v>
      </c>
      <c r="M779" s="514">
        <v>1.1726</v>
      </c>
      <c r="N779" s="6">
        <v>1.7175</v>
      </c>
    </row>
    <row r="780">
      <c r="A780" s="512" t="s">
        <v>2038</v>
      </c>
      <c r="B780" s="512" t="s">
        <v>163</v>
      </c>
      <c r="C780" s="512" t="s">
        <v>71</v>
      </c>
      <c r="D780" s="512" t="s">
        <v>574</v>
      </c>
      <c r="E780" s="513" t="s">
        <v>380</v>
      </c>
      <c r="F780" s="514">
        <v>127044.0</v>
      </c>
      <c r="G780" s="514">
        <v>42711.0</v>
      </c>
      <c r="H780" s="514">
        <v>33.62</v>
      </c>
      <c r="I780" s="514">
        <v>10.66</v>
      </c>
      <c r="J780" s="514">
        <v>7.61</v>
      </c>
      <c r="K780" s="514">
        <v>72653.0</v>
      </c>
      <c r="L780" s="514">
        <v>681600.0</v>
      </c>
      <c r="M780" s="514">
        <v>0.5719</v>
      </c>
      <c r="N780" s="6">
        <v>1.701</v>
      </c>
    </row>
    <row r="781">
      <c r="A781" s="512" t="s">
        <v>2038</v>
      </c>
      <c r="B781" s="512" t="s">
        <v>163</v>
      </c>
      <c r="C781" s="512" t="s">
        <v>71</v>
      </c>
      <c r="D781" s="512" t="s">
        <v>574</v>
      </c>
      <c r="E781" s="513" t="s">
        <v>49</v>
      </c>
      <c r="F781" s="514">
        <v>127044.0</v>
      </c>
      <c r="G781" s="514">
        <v>38658.0</v>
      </c>
      <c r="H781" s="514">
        <v>30.43</v>
      </c>
      <c r="I781" s="514">
        <v>9.59</v>
      </c>
      <c r="J781" s="514">
        <v>8.14</v>
      </c>
      <c r="K781" s="514">
        <v>65383.0</v>
      </c>
      <c r="L781" s="514">
        <v>681600.0</v>
      </c>
      <c r="M781" s="514">
        <v>0.5146</v>
      </c>
      <c r="N781" s="6">
        <v>1.6913</v>
      </c>
    </row>
    <row r="782">
      <c r="A782" s="512" t="s">
        <v>2038</v>
      </c>
      <c r="B782" s="512" t="s">
        <v>163</v>
      </c>
      <c r="C782" s="512" t="s">
        <v>71</v>
      </c>
      <c r="D782" s="512" t="s">
        <v>574</v>
      </c>
      <c r="E782" s="513" t="s">
        <v>42</v>
      </c>
      <c r="F782" s="514">
        <v>127044.0</v>
      </c>
      <c r="G782" s="514">
        <v>30297.0</v>
      </c>
      <c r="H782" s="514">
        <v>23.85</v>
      </c>
      <c r="I782" s="514">
        <v>7.48</v>
      </c>
      <c r="J782" s="514">
        <v>7.28</v>
      </c>
      <c r="K782" s="514">
        <v>50970.0</v>
      </c>
      <c r="L782" s="514">
        <v>681600.0</v>
      </c>
      <c r="M782" s="514">
        <v>0.4012</v>
      </c>
      <c r="N782" s="6">
        <v>1.6823</v>
      </c>
    </row>
    <row r="783">
      <c r="A783" s="512" t="s">
        <v>2038</v>
      </c>
      <c r="B783" s="512" t="s">
        <v>163</v>
      </c>
      <c r="C783" s="512" t="s">
        <v>71</v>
      </c>
      <c r="D783" s="512" t="s">
        <v>574</v>
      </c>
      <c r="E783" s="513" t="s">
        <v>44</v>
      </c>
      <c r="F783" s="514">
        <v>127044.0</v>
      </c>
      <c r="G783" s="514">
        <v>31283.0</v>
      </c>
      <c r="H783" s="514">
        <v>24.62</v>
      </c>
      <c r="I783" s="514">
        <v>6.66</v>
      </c>
      <c r="J783" s="514">
        <v>4.66</v>
      </c>
      <c r="K783" s="514">
        <v>45380.0</v>
      </c>
      <c r="L783" s="514">
        <v>681600.0</v>
      </c>
      <c r="M783" s="514">
        <v>0.3572</v>
      </c>
      <c r="N783" s="6">
        <v>1.4506</v>
      </c>
    </row>
    <row r="784">
      <c r="A784" s="512" t="s">
        <v>2038</v>
      </c>
      <c r="B784" s="512" t="s">
        <v>163</v>
      </c>
      <c r="C784" s="512" t="s">
        <v>71</v>
      </c>
      <c r="D784" s="512" t="s">
        <v>574</v>
      </c>
      <c r="E784" s="513" t="s">
        <v>50</v>
      </c>
      <c r="F784" s="514">
        <v>127044.0</v>
      </c>
      <c r="G784" s="514">
        <v>21387.0</v>
      </c>
      <c r="H784" s="514">
        <v>16.83</v>
      </c>
      <c r="I784" s="514">
        <v>4.11</v>
      </c>
      <c r="J784" s="514">
        <v>3.07</v>
      </c>
      <c r="K784" s="514">
        <v>28041.0</v>
      </c>
      <c r="L784" s="514">
        <v>681600.0</v>
      </c>
      <c r="M784" s="514">
        <v>0.2207</v>
      </c>
      <c r="N784" s="6">
        <v>1.3111</v>
      </c>
    </row>
    <row r="785">
      <c r="A785" s="512" t="s">
        <v>2038</v>
      </c>
      <c r="B785" s="512" t="s">
        <v>163</v>
      </c>
      <c r="C785" s="512" t="s">
        <v>71</v>
      </c>
      <c r="D785" s="512" t="s">
        <v>574</v>
      </c>
      <c r="E785" s="513" t="s">
        <v>372</v>
      </c>
      <c r="F785" s="514">
        <v>127044.0</v>
      </c>
      <c r="G785" s="514">
        <v>21380.0</v>
      </c>
      <c r="H785" s="514">
        <v>16.83</v>
      </c>
      <c r="I785" s="514">
        <v>3.25</v>
      </c>
      <c r="J785" s="514">
        <v>3.92</v>
      </c>
      <c r="K785" s="514">
        <v>22154.0</v>
      </c>
      <c r="L785" s="514">
        <v>681600.0</v>
      </c>
      <c r="M785" s="514">
        <v>0.1744</v>
      </c>
      <c r="N785" s="6">
        <v>1.0362</v>
      </c>
    </row>
    <row r="786">
      <c r="A786" s="512" t="s">
        <v>2038</v>
      </c>
      <c r="B786" s="512" t="s">
        <v>163</v>
      </c>
      <c r="C786" s="512" t="s">
        <v>71</v>
      </c>
      <c r="D786" s="512" t="s">
        <v>574</v>
      </c>
      <c r="E786" s="513" t="s">
        <v>134</v>
      </c>
      <c r="F786" s="514">
        <v>127044.0</v>
      </c>
      <c r="G786" s="514">
        <v>7696.0</v>
      </c>
      <c r="H786" s="514">
        <v>6.06</v>
      </c>
      <c r="I786" s="514">
        <v>1.37</v>
      </c>
      <c r="J786" s="514">
        <v>1.5</v>
      </c>
      <c r="K786" s="514">
        <v>9307.0</v>
      </c>
      <c r="L786" s="514">
        <v>681600.0</v>
      </c>
      <c r="M786" s="514">
        <v>0.0733</v>
      </c>
      <c r="N786" s="6">
        <v>1.2093</v>
      </c>
    </row>
    <row r="787">
      <c r="A787" s="512" t="s">
        <v>2038</v>
      </c>
      <c r="B787" s="512" t="s">
        <v>163</v>
      </c>
      <c r="C787" s="512" t="s">
        <v>71</v>
      </c>
      <c r="D787" s="512" t="s">
        <v>574</v>
      </c>
      <c r="E787" s="513" t="s">
        <v>43</v>
      </c>
      <c r="F787" s="514">
        <v>127044.0</v>
      </c>
      <c r="G787" s="514">
        <v>1968.0</v>
      </c>
      <c r="H787" s="514">
        <v>1.55</v>
      </c>
      <c r="I787" s="514">
        <v>0.3</v>
      </c>
      <c r="J787" s="514">
        <v>0.27</v>
      </c>
      <c r="K787" s="514">
        <v>2048.0</v>
      </c>
      <c r="L787" s="514">
        <v>681600.0</v>
      </c>
      <c r="M787" s="514">
        <v>0.0161</v>
      </c>
      <c r="N787" s="6">
        <v>1.0407</v>
      </c>
    </row>
    <row r="788">
      <c r="A788" s="512" t="s">
        <v>2038</v>
      </c>
      <c r="B788" s="512" t="s">
        <v>163</v>
      </c>
      <c r="C788" s="512" t="s">
        <v>71</v>
      </c>
      <c r="D788" s="512" t="s">
        <v>574</v>
      </c>
      <c r="E788" s="513" t="s">
        <v>375</v>
      </c>
      <c r="F788" s="514">
        <v>127044.0</v>
      </c>
      <c r="G788" s="514">
        <v>82.0</v>
      </c>
      <c r="H788" s="514">
        <v>0.06</v>
      </c>
      <c r="I788" s="514">
        <v>0.01</v>
      </c>
      <c r="J788" s="514">
        <v>0.01</v>
      </c>
      <c r="K788" s="514">
        <v>85.0</v>
      </c>
      <c r="L788" s="514">
        <v>681600.0</v>
      </c>
      <c r="M788" s="514">
        <v>7.0E-4</v>
      </c>
      <c r="N788" s="6">
        <v>1.0366</v>
      </c>
    </row>
    <row r="789">
      <c r="A789" s="512" t="s">
        <v>2038</v>
      </c>
      <c r="B789" s="512" t="s">
        <v>163</v>
      </c>
      <c r="C789" s="512" t="s">
        <v>71</v>
      </c>
      <c r="D789" s="512" t="s">
        <v>574</v>
      </c>
      <c r="E789" s="513" t="s">
        <v>35</v>
      </c>
      <c r="F789" s="514">
        <v>127044.0</v>
      </c>
      <c r="G789" s="514">
        <v>40.0</v>
      </c>
      <c r="H789" s="514">
        <v>0.03</v>
      </c>
      <c r="I789" s="514">
        <v>0.01</v>
      </c>
      <c r="J789" s="514">
        <v>0.01</v>
      </c>
      <c r="K789" s="514">
        <v>42.0</v>
      </c>
      <c r="L789" s="514">
        <v>681600.0</v>
      </c>
      <c r="M789" s="514">
        <v>3.0E-4</v>
      </c>
      <c r="N789" s="6">
        <v>1.05</v>
      </c>
    </row>
    <row r="790">
      <c r="A790" s="512" t="s">
        <v>2038</v>
      </c>
      <c r="B790" s="512" t="s">
        <v>163</v>
      </c>
      <c r="C790" s="512" t="s">
        <v>71</v>
      </c>
      <c r="D790" s="512" t="s">
        <v>574</v>
      </c>
      <c r="E790" s="513" t="s">
        <v>189</v>
      </c>
      <c r="F790" s="514">
        <v>127044.0</v>
      </c>
      <c r="G790" s="514">
        <v>8.0</v>
      </c>
      <c r="H790" s="514">
        <v>0.01</v>
      </c>
      <c r="I790" s="514">
        <v>0.0</v>
      </c>
      <c r="J790" s="514">
        <v>0.0</v>
      </c>
      <c r="K790" s="514">
        <v>8.0</v>
      </c>
      <c r="L790" s="514">
        <v>681600.0</v>
      </c>
      <c r="M790" s="514">
        <v>1.0E-4</v>
      </c>
      <c r="N790" s="6">
        <v>1.0</v>
      </c>
    </row>
    <row r="791">
      <c r="A791" s="512" t="s">
        <v>2038</v>
      </c>
      <c r="B791" s="512" t="s">
        <v>163</v>
      </c>
      <c r="C791" s="512" t="s">
        <v>71</v>
      </c>
      <c r="D791" s="512" t="s">
        <v>574</v>
      </c>
      <c r="E791" s="513" t="s">
        <v>32</v>
      </c>
      <c r="F791" s="514">
        <v>127044.0</v>
      </c>
      <c r="G791" s="514">
        <v>11.0</v>
      </c>
      <c r="H791" s="514">
        <v>0.01</v>
      </c>
      <c r="I791" s="514">
        <v>0.0</v>
      </c>
      <c r="J791" s="514">
        <v>0.0</v>
      </c>
      <c r="K791" s="514">
        <v>18.0</v>
      </c>
      <c r="L791" s="514">
        <v>681600.0</v>
      </c>
      <c r="M791" s="514">
        <v>1.0E-4</v>
      </c>
      <c r="N791" s="6">
        <v>1.6364</v>
      </c>
    </row>
    <row r="792">
      <c r="A792" s="512" t="s">
        <v>2038</v>
      </c>
      <c r="B792" s="512" t="s">
        <v>163</v>
      </c>
      <c r="C792" s="512" t="s">
        <v>71</v>
      </c>
      <c r="D792" s="512" t="s">
        <v>574</v>
      </c>
      <c r="E792" s="513" t="s">
        <v>312</v>
      </c>
      <c r="F792" s="514">
        <v>127044.0</v>
      </c>
      <c r="G792" s="514">
        <v>4.0</v>
      </c>
      <c r="H792" s="514">
        <v>0.0</v>
      </c>
      <c r="I792" s="514">
        <v>0.0</v>
      </c>
      <c r="J792" s="514">
        <v>0.0</v>
      </c>
      <c r="K792" s="514">
        <v>5.0</v>
      </c>
      <c r="L792" s="514">
        <v>681600.0</v>
      </c>
      <c r="M792" s="514">
        <v>0.0</v>
      </c>
      <c r="N792" s="6">
        <v>1.25</v>
      </c>
    </row>
    <row r="793">
      <c r="A793" s="512" t="s">
        <v>2038</v>
      </c>
      <c r="B793" s="512" t="s">
        <v>163</v>
      </c>
      <c r="C793" s="512" t="s">
        <v>71</v>
      </c>
      <c r="D793" s="512" t="s">
        <v>574</v>
      </c>
      <c r="E793" s="513" t="s">
        <v>374</v>
      </c>
      <c r="F793" s="514">
        <v>127044.0</v>
      </c>
      <c r="G793" s="514">
        <v>5.0</v>
      </c>
      <c r="H793" s="514">
        <v>0.0</v>
      </c>
      <c r="I793" s="514">
        <v>0.0</v>
      </c>
      <c r="J793" s="514">
        <v>0.0</v>
      </c>
      <c r="K793" s="514">
        <v>9.0</v>
      </c>
      <c r="L793" s="514">
        <v>681600.0</v>
      </c>
      <c r="M793" s="514">
        <v>1.0E-4</v>
      </c>
      <c r="N793" s="6">
        <v>1.8</v>
      </c>
    </row>
    <row r="794">
      <c r="A794" s="512" t="s">
        <v>2038</v>
      </c>
      <c r="B794" s="512" t="s">
        <v>163</v>
      </c>
      <c r="C794" s="512" t="s">
        <v>71</v>
      </c>
      <c r="D794" s="512" t="s">
        <v>574</v>
      </c>
      <c r="E794" s="513" t="s">
        <v>382</v>
      </c>
      <c r="F794" s="514">
        <v>127044.0</v>
      </c>
      <c r="G794" s="514">
        <v>3.0</v>
      </c>
      <c r="H794" s="514">
        <v>0.0</v>
      </c>
      <c r="I794" s="514">
        <v>0.0</v>
      </c>
      <c r="J794" s="514">
        <v>0.0</v>
      </c>
      <c r="K794" s="514">
        <v>6.0</v>
      </c>
      <c r="L794" s="514">
        <v>681600.0</v>
      </c>
      <c r="M794" s="514">
        <v>0.0</v>
      </c>
      <c r="N794" s="6">
        <v>2.0</v>
      </c>
    </row>
    <row r="795">
      <c r="A795" s="512" t="s">
        <v>2038</v>
      </c>
      <c r="B795" s="512" t="s">
        <v>163</v>
      </c>
      <c r="C795" s="512" t="s">
        <v>70</v>
      </c>
      <c r="D795" s="512" t="s">
        <v>574</v>
      </c>
      <c r="E795" s="513" t="s">
        <v>379</v>
      </c>
      <c r="F795" s="514">
        <v>141673.0</v>
      </c>
      <c r="G795" s="514">
        <v>112904.0</v>
      </c>
      <c r="H795" s="514">
        <v>79.69</v>
      </c>
      <c r="I795" s="514">
        <v>32.2</v>
      </c>
      <c r="J795" s="514">
        <v>31.09</v>
      </c>
      <c r="K795" s="514">
        <v>421162.0</v>
      </c>
      <c r="L795" s="514">
        <v>1307982.0</v>
      </c>
      <c r="M795" s="514">
        <v>2.9728</v>
      </c>
      <c r="N795" s="6">
        <v>3.7303</v>
      </c>
    </row>
    <row r="796">
      <c r="A796" s="512" t="s">
        <v>2038</v>
      </c>
      <c r="B796" s="512" t="s">
        <v>163</v>
      </c>
      <c r="C796" s="512" t="s">
        <v>70</v>
      </c>
      <c r="D796" s="512" t="s">
        <v>574</v>
      </c>
      <c r="E796" s="513" t="s">
        <v>380</v>
      </c>
      <c r="F796" s="514">
        <v>141673.0</v>
      </c>
      <c r="G796" s="514">
        <v>92718.0</v>
      </c>
      <c r="H796" s="514">
        <v>65.45</v>
      </c>
      <c r="I796" s="514">
        <v>20.82</v>
      </c>
      <c r="J796" s="514">
        <v>21.53</v>
      </c>
      <c r="K796" s="514">
        <v>272368.0</v>
      </c>
      <c r="L796" s="514">
        <v>1307982.0</v>
      </c>
      <c r="M796" s="514">
        <v>1.9225</v>
      </c>
      <c r="N796" s="6">
        <v>2.9376</v>
      </c>
    </row>
    <row r="797">
      <c r="A797" s="512" t="s">
        <v>2038</v>
      </c>
      <c r="B797" s="512" t="s">
        <v>163</v>
      </c>
      <c r="C797" s="512" t="s">
        <v>70</v>
      </c>
      <c r="D797" s="512" t="s">
        <v>574</v>
      </c>
      <c r="E797" s="513" t="s">
        <v>377</v>
      </c>
      <c r="F797" s="514">
        <v>141673.0</v>
      </c>
      <c r="G797" s="514">
        <v>87239.0</v>
      </c>
      <c r="H797" s="514">
        <v>61.58</v>
      </c>
      <c r="I797" s="514">
        <v>11.5</v>
      </c>
      <c r="J797" s="514">
        <v>14.7</v>
      </c>
      <c r="K797" s="514">
        <v>150402.0</v>
      </c>
      <c r="L797" s="514">
        <v>1307982.0</v>
      </c>
      <c r="M797" s="514">
        <v>1.0616</v>
      </c>
      <c r="N797" s="6">
        <v>1.724</v>
      </c>
    </row>
    <row r="798">
      <c r="A798" s="512" t="s">
        <v>2038</v>
      </c>
      <c r="B798" s="512" t="s">
        <v>163</v>
      </c>
      <c r="C798" s="512" t="s">
        <v>70</v>
      </c>
      <c r="D798" s="512" t="s">
        <v>574</v>
      </c>
      <c r="E798" s="513" t="s">
        <v>44</v>
      </c>
      <c r="F798" s="514">
        <v>141673.0</v>
      </c>
      <c r="G798" s="514">
        <v>55170.0</v>
      </c>
      <c r="H798" s="514">
        <v>38.94</v>
      </c>
      <c r="I798" s="514">
        <v>7.12</v>
      </c>
      <c r="J798" s="514">
        <v>5.92</v>
      </c>
      <c r="K798" s="514">
        <v>93153.0</v>
      </c>
      <c r="L798" s="514">
        <v>1307982.0</v>
      </c>
      <c r="M798" s="514">
        <v>0.6575</v>
      </c>
      <c r="N798" s="6">
        <v>1.6885</v>
      </c>
    </row>
    <row r="799">
      <c r="A799" s="512" t="s">
        <v>2038</v>
      </c>
      <c r="B799" s="512" t="s">
        <v>163</v>
      </c>
      <c r="C799" s="512" t="s">
        <v>70</v>
      </c>
      <c r="D799" s="512" t="s">
        <v>574</v>
      </c>
      <c r="E799" s="513" t="s">
        <v>375</v>
      </c>
      <c r="F799" s="514">
        <v>141673.0</v>
      </c>
      <c r="G799" s="514">
        <v>62986.0</v>
      </c>
      <c r="H799" s="514">
        <v>44.46</v>
      </c>
      <c r="I799" s="514">
        <v>6.69</v>
      </c>
      <c r="J799" s="514">
        <v>7.13</v>
      </c>
      <c r="K799" s="514">
        <v>87473.0</v>
      </c>
      <c r="L799" s="514">
        <v>1307982.0</v>
      </c>
      <c r="M799" s="514">
        <v>0.6174</v>
      </c>
      <c r="N799" s="6">
        <v>1.3888</v>
      </c>
    </row>
    <row r="800">
      <c r="A800" s="512" t="s">
        <v>2038</v>
      </c>
      <c r="B800" s="512" t="s">
        <v>163</v>
      </c>
      <c r="C800" s="512" t="s">
        <v>70</v>
      </c>
      <c r="D800" s="512" t="s">
        <v>574</v>
      </c>
      <c r="E800" s="513" t="s">
        <v>374</v>
      </c>
      <c r="F800" s="514">
        <v>141673.0</v>
      </c>
      <c r="G800" s="514">
        <v>31636.0</v>
      </c>
      <c r="H800" s="514">
        <v>22.33</v>
      </c>
      <c r="I800" s="514">
        <v>6.16</v>
      </c>
      <c r="J800" s="514">
        <v>5.36</v>
      </c>
      <c r="K800" s="514">
        <v>80566.0</v>
      </c>
      <c r="L800" s="514">
        <v>1307982.0</v>
      </c>
      <c r="M800" s="514">
        <v>0.5687</v>
      </c>
      <c r="N800" s="6">
        <v>2.5467</v>
      </c>
    </row>
    <row r="801">
      <c r="A801" s="512" t="s">
        <v>2038</v>
      </c>
      <c r="B801" s="512" t="s">
        <v>163</v>
      </c>
      <c r="C801" s="512" t="s">
        <v>70</v>
      </c>
      <c r="D801" s="512" t="s">
        <v>574</v>
      </c>
      <c r="E801" s="513" t="s">
        <v>49</v>
      </c>
      <c r="F801" s="514">
        <v>141673.0</v>
      </c>
      <c r="G801" s="514">
        <v>38658.0</v>
      </c>
      <c r="H801" s="514">
        <v>27.29</v>
      </c>
      <c r="I801" s="514">
        <v>5.0</v>
      </c>
      <c r="J801" s="514">
        <v>4.15</v>
      </c>
      <c r="K801" s="514">
        <v>65383.0</v>
      </c>
      <c r="L801" s="514">
        <v>1307982.0</v>
      </c>
      <c r="M801" s="514">
        <v>0.4615</v>
      </c>
      <c r="N801" s="6">
        <v>1.6913</v>
      </c>
    </row>
    <row r="802">
      <c r="A802" s="512" t="s">
        <v>2038</v>
      </c>
      <c r="B802" s="512" t="s">
        <v>163</v>
      </c>
      <c r="C802" s="512" t="s">
        <v>70</v>
      </c>
      <c r="D802" s="512" t="s">
        <v>574</v>
      </c>
      <c r="E802" s="513" t="s">
        <v>189</v>
      </c>
      <c r="F802" s="514">
        <v>141673.0</v>
      </c>
      <c r="G802" s="514">
        <v>34002.0</v>
      </c>
      <c r="H802" s="514">
        <v>24.0</v>
      </c>
      <c r="I802" s="514">
        <v>2.66</v>
      </c>
      <c r="J802" s="514">
        <v>2.86</v>
      </c>
      <c r="K802" s="514">
        <v>34759.0</v>
      </c>
      <c r="L802" s="514">
        <v>1307982.0</v>
      </c>
      <c r="M802" s="514">
        <v>0.2453</v>
      </c>
      <c r="N802" s="6">
        <v>1.0223</v>
      </c>
    </row>
    <row r="803">
      <c r="A803" s="512" t="s">
        <v>2038</v>
      </c>
      <c r="B803" s="512" t="s">
        <v>163</v>
      </c>
      <c r="C803" s="512" t="s">
        <v>70</v>
      </c>
      <c r="D803" s="512" t="s">
        <v>574</v>
      </c>
      <c r="E803" s="513" t="s">
        <v>35</v>
      </c>
      <c r="F803" s="514">
        <v>141673.0</v>
      </c>
      <c r="G803" s="514">
        <v>27103.0</v>
      </c>
      <c r="H803" s="514">
        <v>19.13</v>
      </c>
      <c r="I803" s="514">
        <v>2.29</v>
      </c>
      <c r="J803" s="514">
        <v>2.24</v>
      </c>
      <c r="K803" s="514">
        <v>30005.0</v>
      </c>
      <c r="L803" s="514">
        <v>1307982.0</v>
      </c>
      <c r="M803" s="514">
        <v>0.2118</v>
      </c>
      <c r="N803" s="6">
        <v>1.1071</v>
      </c>
    </row>
    <row r="804">
      <c r="A804" s="512" t="s">
        <v>2038</v>
      </c>
      <c r="B804" s="512" t="s">
        <v>163</v>
      </c>
      <c r="C804" s="512" t="s">
        <v>70</v>
      </c>
      <c r="D804" s="512" t="s">
        <v>574</v>
      </c>
      <c r="E804" s="513" t="s">
        <v>372</v>
      </c>
      <c r="F804" s="514">
        <v>141673.0</v>
      </c>
      <c r="G804" s="514">
        <v>22702.0</v>
      </c>
      <c r="H804" s="514">
        <v>16.02</v>
      </c>
      <c r="I804" s="514">
        <v>1.99</v>
      </c>
      <c r="J804" s="514">
        <v>2.01</v>
      </c>
      <c r="K804" s="514">
        <v>26024.0</v>
      </c>
      <c r="L804" s="514">
        <v>1307982.0</v>
      </c>
      <c r="M804" s="514">
        <v>0.1837</v>
      </c>
      <c r="N804" s="6">
        <v>1.1463</v>
      </c>
    </row>
    <row r="805">
      <c r="A805" s="512" t="s">
        <v>2038</v>
      </c>
      <c r="B805" s="512" t="s">
        <v>163</v>
      </c>
      <c r="C805" s="512" t="s">
        <v>70</v>
      </c>
      <c r="D805" s="512" t="s">
        <v>574</v>
      </c>
      <c r="E805" s="513" t="s">
        <v>42</v>
      </c>
      <c r="F805" s="514">
        <v>141673.0</v>
      </c>
      <c r="G805" s="514">
        <v>13326.0</v>
      </c>
      <c r="H805" s="514">
        <v>9.41</v>
      </c>
      <c r="I805" s="514">
        <v>1.31</v>
      </c>
      <c r="J805" s="514">
        <v>1.29</v>
      </c>
      <c r="K805" s="514">
        <v>17132.0</v>
      </c>
      <c r="L805" s="514">
        <v>1307982.0</v>
      </c>
      <c r="M805" s="514">
        <v>0.1209</v>
      </c>
      <c r="N805" s="6">
        <v>1.2856</v>
      </c>
    </row>
    <row r="806">
      <c r="A806" s="512" t="s">
        <v>2038</v>
      </c>
      <c r="B806" s="512" t="s">
        <v>163</v>
      </c>
      <c r="C806" s="512" t="s">
        <v>70</v>
      </c>
      <c r="D806" s="512" t="s">
        <v>574</v>
      </c>
      <c r="E806" s="513" t="s">
        <v>50</v>
      </c>
      <c r="F806" s="514">
        <v>141673.0</v>
      </c>
      <c r="G806" s="514">
        <v>12601.0</v>
      </c>
      <c r="H806" s="514">
        <v>8.89</v>
      </c>
      <c r="I806" s="514">
        <v>1.16</v>
      </c>
      <c r="J806" s="514">
        <v>0.78</v>
      </c>
      <c r="K806" s="514">
        <v>15179.0</v>
      </c>
      <c r="L806" s="514">
        <v>1307982.0</v>
      </c>
      <c r="M806" s="514">
        <v>0.1071</v>
      </c>
      <c r="N806" s="6">
        <v>1.2046</v>
      </c>
    </row>
    <row r="807">
      <c r="A807" s="512" t="s">
        <v>2038</v>
      </c>
      <c r="B807" s="512" t="s">
        <v>163</v>
      </c>
      <c r="C807" s="512" t="s">
        <v>70</v>
      </c>
      <c r="D807" s="512" t="s">
        <v>574</v>
      </c>
      <c r="E807" s="513" t="s">
        <v>134</v>
      </c>
      <c r="F807" s="514">
        <v>141673.0</v>
      </c>
      <c r="G807" s="514">
        <v>9227.0</v>
      </c>
      <c r="H807" s="514">
        <v>6.51</v>
      </c>
      <c r="I807" s="514">
        <v>0.93</v>
      </c>
      <c r="J807" s="514">
        <v>0.76</v>
      </c>
      <c r="K807" s="514">
        <v>12224.0</v>
      </c>
      <c r="L807" s="514">
        <v>1307982.0</v>
      </c>
      <c r="M807" s="514">
        <v>0.0863</v>
      </c>
      <c r="N807" s="6">
        <v>1.3248</v>
      </c>
    </row>
    <row r="808">
      <c r="A808" s="512" t="s">
        <v>2038</v>
      </c>
      <c r="B808" s="512" t="s">
        <v>163</v>
      </c>
      <c r="C808" s="512" t="s">
        <v>70</v>
      </c>
      <c r="D808" s="512" t="s">
        <v>574</v>
      </c>
      <c r="E808" s="513" t="s">
        <v>43</v>
      </c>
      <c r="F808" s="514">
        <v>141673.0</v>
      </c>
      <c r="G808" s="514">
        <v>2018.0</v>
      </c>
      <c r="H808" s="514">
        <v>1.42</v>
      </c>
      <c r="I808" s="514">
        <v>0.16</v>
      </c>
      <c r="J808" s="514">
        <v>0.16</v>
      </c>
      <c r="K808" s="514">
        <v>2103.0</v>
      </c>
      <c r="L808" s="514">
        <v>1307982.0</v>
      </c>
      <c r="M808" s="514">
        <v>0.0148</v>
      </c>
      <c r="N808" s="6">
        <v>1.0421</v>
      </c>
    </row>
    <row r="809">
      <c r="A809" s="512" t="s">
        <v>2038</v>
      </c>
      <c r="B809" s="512" t="s">
        <v>163</v>
      </c>
      <c r="C809" s="512" t="s">
        <v>70</v>
      </c>
      <c r="D809" s="512" t="s">
        <v>574</v>
      </c>
      <c r="E809" s="513" t="s">
        <v>311</v>
      </c>
      <c r="F809" s="514">
        <v>141673.0</v>
      </c>
      <c r="G809" s="514">
        <v>1.0</v>
      </c>
      <c r="H809" s="514">
        <v>0.0</v>
      </c>
      <c r="I809" s="514">
        <v>0.0</v>
      </c>
      <c r="J809" s="514">
        <v>0.0</v>
      </c>
      <c r="K809" s="514">
        <v>2.0</v>
      </c>
      <c r="L809" s="514">
        <v>1307982.0</v>
      </c>
      <c r="M809" s="514">
        <v>0.0</v>
      </c>
      <c r="N809" s="6">
        <v>2.0</v>
      </c>
    </row>
    <row r="810">
      <c r="A810" s="512" t="s">
        <v>2038</v>
      </c>
      <c r="B810" s="512" t="s">
        <v>163</v>
      </c>
      <c r="C810" s="512" t="s">
        <v>70</v>
      </c>
      <c r="D810" s="512" t="s">
        <v>574</v>
      </c>
      <c r="E810" s="513" t="s">
        <v>32</v>
      </c>
      <c r="F810" s="514">
        <v>141673.0</v>
      </c>
      <c r="G810" s="514">
        <v>33.0</v>
      </c>
      <c r="H810" s="514">
        <v>0.02</v>
      </c>
      <c r="I810" s="514">
        <v>0.0</v>
      </c>
      <c r="J810" s="514">
        <v>0.01</v>
      </c>
      <c r="K810" s="514">
        <v>37.0</v>
      </c>
      <c r="L810" s="514">
        <v>1307982.0</v>
      </c>
      <c r="M810" s="514">
        <v>3.0E-4</v>
      </c>
      <c r="N810" s="6">
        <v>1.1212</v>
      </c>
    </row>
    <row r="811">
      <c r="A811" s="512" t="s">
        <v>2038</v>
      </c>
      <c r="B811" s="512" t="s">
        <v>163</v>
      </c>
      <c r="C811" s="512" t="s">
        <v>70</v>
      </c>
      <c r="D811" s="512" t="s">
        <v>574</v>
      </c>
      <c r="E811" s="513" t="s">
        <v>382</v>
      </c>
      <c r="F811" s="514">
        <v>141673.0</v>
      </c>
      <c r="G811" s="514">
        <v>3.0</v>
      </c>
      <c r="H811" s="514">
        <v>0.0</v>
      </c>
      <c r="I811" s="514">
        <v>0.0</v>
      </c>
      <c r="J811" s="514">
        <v>0.0</v>
      </c>
      <c r="K811" s="514">
        <v>10.0</v>
      </c>
      <c r="L811" s="514">
        <v>1307982.0</v>
      </c>
      <c r="M811" s="514">
        <v>1.0E-4</v>
      </c>
      <c r="N811" s="6">
        <v>3.3333</v>
      </c>
    </row>
    <row r="812">
      <c r="A812" s="512" t="s">
        <v>2038</v>
      </c>
      <c r="B812" s="512" t="s">
        <v>163</v>
      </c>
      <c r="C812" s="512" t="s">
        <v>74</v>
      </c>
      <c r="D812" s="512" t="s">
        <v>574</v>
      </c>
      <c r="E812" s="513" t="s">
        <v>379</v>
      </c>
      <c r="F812" s="514">
        <v>110203.0</v>
      </c>
      <c r="G812" s="514">
        <v>86807.0</v>
      </c>
      <c r="H812" s="514">
        <v>78.77</v>
      </c>
      <c r="I812" s="514">
        <v>38.94</v>
      </c>
      <c r="J812" s="514">
        <v>44.17</v>
      </c>
      <c r="K812" s="514">
        <v>178992.0</v>
      </c>
      <c r="L812" s="514">
        <v>459710.0</v>
      </c>
      <c r="M812" s="514">
        <v>1.6242</v>
      </c>
      <c r="N812" s="6">
        <v>2.062</v>
      </c>
    </row>
    <row r="813">
      <c r="A813" s="512" t="s">
        <v>2038</v>
      </c>
      <c r="B813" s="512" t="s">
        <v>163</v>
      </c>
      <c r="C813" s="512" t="s">
        <v>74</v>
      </c>
      <c r="D813" s="512" t="s">
        <v>574</v>
      </c>
      <c r="E813" s="513" t="s">
        <v>42</v>
      </c>
      <c r="F813" s="514">
        <v>110203.0</v>
      </c>
      <c r="G813" s="514">
        <v>50349.0</v>
      </c>
      <c r="H813" s="514">
        <v>45.69</v>
      </c>
      <c r="I813" s="514">
        <v>22.23</v>
      </c>
      <c r="J813" s="514">
        <v>20.98</v>
      </c>
      <c r="K813" s="514">
        <v>102192.0</v>
      </c>
      <c r="L813" s="514">
        <v>459710.0</v>
      </c>
      <c r="M813" s="514">
        <v>0.9273</v>
      </c>
      <c r="N813" s="6">
        <v>2.0297</v>
      </c>
    </row>
    <row r="814">
      <c r="A814" s="512" t="s">
        <v>2038</v>
      </c>
      <c r="B814" s="512" t="s">
        <v>163</v>
      </c>
      <c r="C814" s="512" t="s">
        <v>74</v>
      </c>
      <c r="D814" s="512" t="s">
        <v>574</v>
      </c>
      <c r="E814" s="513" t="s">
        <v>367</v>
      </c>
      <c r="F814" s="514">
        <v>110203.0</v>
      </c>
      <c r="G814" s="514">
        <v>18151.0</v>
      </c>
      <c r="H814" s="514">
        <v>16.47</v>
      </c>
      <c r="I814" s="514">
        <v>8.32</v>
      </c>
      <c r="J814" s="514">
        <v>5.26</v>
      </c>
      <c r="K814" s="514">
        <v>38261.0</v>
      </c>
      <c r="L814" s="514">
        <v>459710.0</v>
      </c>
      <c r="M814" s="514">
        <v>0.3472</v>
      </c>
      <c r="N814" s="6">
        <v>2.1079</v>
      </c>
    </row>
    <row r="815">
      <c r="A815" s="512" t="s">
        <v>2038</v>
      </c>
      <c r="B815" s="512" t="s">
        <v>163</v>
      </c>
      <c r="C815" s="512" t="s">
        <v>74</v>
      </c>
      <c r="D815" s="512" t="s">
        <v>574</v>
      </c>
      <c r="E815" s="513" t="s">
        <v>50</v>
      </c>
      <c r="F815" s="514">
        <v>110203.0</v>
      </c>
      <c r="G815" s="514">
        <v>21677.0</v>
      </c>
      <c r="H815" s="514">
        <v>19.67</v>
      </c>
      <c r="I815" s="514">
        <v>6.37</v>
      </c>
      <c r="J815" s="514">
        <v>6.11</v>
      </c>
      <c r="K815" s="514">
        <v>29285.0</v>
      </c>
      <c r="L815" s="514">
        <v>459710.0</v>
      </c>
      <c r="M815" s="514">
        <v>0.2657</v>
      </c>
      <c r="N815" s="6">
        <v>1.351</v>
      </c>
    </row>
    <row r="816">
      <c r="A816" s="512" t="s">
        <v>2038</v>
      </c>
      <c r="B816" s="512" t="s">
        <v>163</v>
      </c>
      <c r="C816" s="512" t="s">
        <v>74</v>
      </c>
      <c r="D816" s="512" t="s">
        <v>574</v>
      </c>
      <c r="E816" s="513" t="s">
        <v>372</v>
      </c>
      <c r="F816" s="514">
        <v>110203.0</v>
      </c>
      <c r="G816" s="514">
        <v>26931.0</v>
      </c>
      <c r="H816" s="514">
        <v>24.44</v>
      </c>
      <c r="I816" s="514">
        <v>6.22</v>
      </c>
      <c r="J816" s="514">
        <v>7.78</v>
      </c>
      <c r="K816" s="514">
        <v>28593.0</v>
      </c>
      <c r="L816" s="514">
        <v>459710.0</v>
      </c>
      <c r="M816" s="514">
        <v>0.2595</v>
      </c>
      <c r="N816" s="6">
        <v>1.0617</v>
      </c>
    </row>
    <row r="817">
      <c r="A817" s="512" t="s">
        <v>2038</v>
      </c>
      <c r="B817" s="512" t="s">
        <v>163</v>
      </c>
      <c r="C817" s="512" t="s">
        <v>74</v>
      </c>
      <c r="D817" s="512" t="s">
        <v>574</v>
      </c>
      <c r="E817" s="513" t="s">
        <v>134</v>
      </c>
      <c r="F817" s="514">
        <v>110203.0</v>
      </c>
      <c r="G817" s="514">
        <v>20590.0</v>
      </c>
      <c r="H817" s="514">
        <v>18.68</v>
      </c>
      <c r="I817" s="514">
        <v>6.18</v>
      </c>
      <c r="J817" s="514">
        <v>6.55</v>
      </c>
      <c r="K817" s="514">
        <v>28426.0</v>
      </c>
      <c r="L817" s="514">
        <v>459710.0</v>
      </c>
      <c r="M817" s="514">
        <v>0.2579</v>
      </c>
      <c r="N817" s="6">
        <v>1.3806</v>
      </c>
    </row>
    <row r="818">
      <c r="A818" s="512" t="s">
        <v>2038</v>
      </c>
      <c r="B818" s="512" t="s">
        <v>163</v>
      </c>
      <c r="C818" s="512" t="s">
        <v>74</v>
      </c>
      <c r="D818" s="512" t="s">
        <v>574</v>
      </c>
      <c r="E818" s="513" t="s">
        <v>377</v>
      </c>
      <c r="F818" s="514">
        <v>110203.0</v>
      </c>
      <c r="G818" s="514">
        <v>15588.0</v>
      </c>
      <c r="H818" s="514">
        <v>14.14</v>
      </c>
      <c r="I818" s="514">
        <v>3.93</v>
      </c>
      <c r="J818" s="514">
        <v>3.09</v>
      </c>
      <c r="K818" s="514">
        <v>18059.0</v>
      </c>
      <c r="L818" s="514">
        <v>459710.0</v>
      </c>
      <c r="M818" s="514">
        <v>0.1639</v>
      </c>
      <c r="N818" s="6">
        <v>1.1585</v>
      </c>
    </row>
    <row r="819">
      <c r="A819" s="512" t="s">
        <v>2038</v>
      </c>
      <c r="B819" s="512" t="s">
        <v>163</v>
      </c>
      <c r="C819" s="512" t="s">
        <v>74</v>
      </c>
      <c r="D819" s="512" t="s">
        <v>574</v>
      </c>
      <c r="E819" s="513" t="s">
        <v>373</v>
      </c>
      <c r="F819" s="514">
        <v>110203.0</v>
      </c>
      <c r="G819" s="514">
        <v>14814.0</v>
      </c>
      <c r="H819" s="514">
        <v>13.44</v>
      </c>
      <c r="I819" s="514">
        <v>3.35</v>
      </c>
      <c r="J819" s="514">
        <v>2.47</v>
      </c>
      <c r="K819" s="514">
        <v>15405.0</v>
      </c>
      <c r="L819" s="514">
        <v>459710.0</v>
      </c>
      <c r="M819" s="514">
        <v>0.1398</v>
      </c>
      <c r="N819" s="6">
        <v>1.0399</v>
      </c>
    </row>
    <row r="820">
      <c r="A820" s="512" t="s">
        <v>2038</v>
      </c>
      <c r="B820" s="512" t="s">
        <v>163</v>
      </c>
      <c r="C820" s="512" t="s">
        <v>74</v>
      </c>
      <c r="D820" s="512" t="s">
        <v>574</v>
      </c>
      <c r="E820" s="513" t="s">
        <v>40</v>
      </c>
      <c r="F820" s="514">
        <v>110203.0</v>
      </c>
      <c r="G820" s="514">
        <v>5244.0</v>
      </c>
      <c r="H820" s="514">
        <v>4.76</v>
      </c>
      <c r="I820" s="514">
        <v>2.39</v>
      </c>
      <c r="J820" s="514">
        <v>1.73</v>
      </c>
      <c r="K820" s="514">
        <v>10992.0</v>
      </c>
      <c r="L820" s="514">
        <v>459710.0</v>
      </c>
      <c r="M820" s="514">
        <v>0.0997</v>
      </c>
      <c r="N820" s="6">
        <v>2.0961</v>
      </c>
    </row>
    <row r="821">
      <c r="A821" s="512" t="s">
        <v>2038</v>
      </c>
      <c r="B821" s="512" t="s">
        <v>163</v>
      </c>
      <c r="C821" s="512" t="s">
        <v>74</v>
      </c>
      <c r="D821" s="512" t="s">
        <v>574</v>
      </c>
      <c r="E821" s="513" t="s">
        <v>44</v>
      </c>
      <c r="F821" s="514">
        <v>110203.0</v>
      </c>
      <c r="G821" s="514">
        <v>1985.0</v>
      </c>
      <c r="H821" s="514">
        <v>1.8</v>
      </c>
      <c r="I821" s="514">
        <v>0.55</v>
      </c>
      <c r="J821" s="514">
        <v>0.36</v>
      </c>
      <c r="K821" s="514">
        <v>2517.0</v>
      </c>
      <c r="L821" s="514">
        <v>459710.0</v>
      </c>
      <c r="M821" s="514">
        <v>0.0228</v>
      </c>
      <c r="N821" s="6">
        <v>1.268</v>
      </c>
    </row>
    <row r="822">
      <c r="A822" s="512" t="s">
        <v>2038</v>
      </c>
      <c r="B822" s="512" t="s">
        <v>163</v>
      </c>
      <c r="C822" s="512" t="s">
        <v>74</v>
      </c>
      <c r="D822" s="512" t="s">
        <v>574</v>
      </c>
      <c r="E822" s="513" t="s">
        <v>310</v>
      </c>
      <c r="F822" s="514">
        <v>110203.0</v>
      </c>
      <c r="G822" s="514">
        <v>2152.0</v>
      </c>
      <c r="H822" s="514">
        <v>1.95</v>
      </c>
      <c r="I822" s="514">
        <v>0.5</v>
      </c>
      <c r="J822" s="514">
        <v>0.47</v>
      </c>
      <c r="K822" s="514">
        <v>2276.0</v>
      </c>
      <c r="L822" s="514">
        <v>459710.0</v>
      </c>
      <c r="M822" s="514">
        <v>0.0207</v>
      </c>
      <c r="N822" s="6">
        <v>1.0576</v>
      </c>
    </row>
    <row r="823">
      <c r="A823" s="512" t="s">
        <v>2038</v>
      </c>
      <c r="B823" s="512" t="s">
        <v>163</v>
      </c>
      <c r="C823" s="512" t="s">
        <v>74</v>
      </c>
      <c r="D823" s="512" t="s">
        <v>574</v>
      </c>
      <c r="E823" s="513" t="s">
        <v>32</v>
      </c>
      <c r="F823" s="514">
        <v>110203.0</v>
      </c>
      <c r="G823" s="514">
        <v>1996.0</v>
      </c>
      <c r="H823" s="514">
        <v>1.81</v>
      </c>
      <c r="I823" s="514">
        <v>0.45</v>
      </c>
      <c r="J823" s="514">
        <v>0.49</v>
      </c>
      <c r="K823" s="514">
        <v>2062.0</v>
      </c>
      <c r="L823" s="514">
        <v>459710.0</v>
      </c>
      <c r="M823" s="514">
        <v>0.0187</v>
      </c>
      <c r="N823" s="6">
        <v>1.0331</v>
      </c>
    </row>
    <row r="824">
      <c r="A824" s="512" t="s">
        <v>2038</v>
      </c>
      <c r="B824" s="512" t="s">
        <v>163</v>
      </c>
      <c r="C824" s="512" t="s">
        <v>74</v>
      </c>
      <c r="D824" s="512" t="s">
        <v>574</v>
      </c>
      <c r="E824" s="513" t="s">
        <v>312</v>
      </c>
      <c r="F824" s="514">
        <v>110203.0</v>
      </c>
      <c r="G824" s="514">
        <v>1687.0</v>
      </c>
      <c r="H824" s="514">
        <v>1.53</v>
      </c>
      <c r="I824" s="514">
        <v>0.39</v>
      </c>
      <c r="J824" s="514">
        <v>0.35</v>
      </c>
      <c r="K824" s="514">
        <v>1805.0</v>
      </c>
      <c r="L824" s="514">
        <v>459710.0</v>
      </c>
      <c r="M824" s="514">
        <v>0.0164</v>
      </c>
      <c r="N824" s="6">
        <v>1.0699</v>
      </c>
    </row>
    <row r="825">
      <c r="A825" s="512" t="s">
        <v>2038</v>
      </c>
      <c r="B825" s="512" t="s">
        <v>163</v>
      </c>
      <c r="C825" s="512" t="s">
        <v>74</v>
      </c>
      <c r="D825" s="512" t="s">
        <v>574</v>
      </c>
      <c r="E825" s="513" t="s">
        <v>311</v>
      </c>
      <c r="F825" s="514">
        <v>110203.0</v>
      </c>
      <c r="G825" s="514">
        <v>422.0</v>
      </c>
      <c r="H825" s="514">
        <v>0.38</v>
      </c>
      <c r="I825" s="514">
        <v>0.09</v>
      </c>
      <c r="J825" s="514">
        <v>0.13</v>
      </c>
      <c r="K825" s="514">
        <v>434.0</v>
      </c>
      <c r="L825" s="514">
        <v>459710.0</v>
      </c>
      <c r="M825" s="514">
        <v>0.0039</v>
      </c>
      <c r="N825" s="6">
        <v>1.0284</v>
      </c>
    </row>
    <row r="826">
      <c r="A826" s="512" t="s">
        <v>2038</v>
      </c>
      <c r="B826" s="512" t="s">
        <v>163</v>
      </c>
      <c r="C826" s="512" t="s">
        <v>74</v>
      </c>
      <c r="D826" s="512" t="s">
        <v>574</v>
      </c>
      <c r="E826" s="513" t="s">
        <v>374</v>
      </c>
      <c r="F826" s="514">
        <v>110203.0</v>
      </c>
      <c r="G826" s="514">
        <v>178.0</v>
      </c>
      <c r="H826" s="514">
        <v>0.16</v>
      </c>
      <c r="I826" s="514">
        <v>0.05</v>
      </c>
      <c r="J826" s="514">
        <v>0.03</v>
      </c>
      <c r="K826" s="514">
        <v>229.0</v>
      </c>
      <c r="L826" s="514">
        <v>459710.0</v>
      </c>
      <c r="M826" s="514">
        <v>0.0021</v>
      </c>
      <c r="N826" s="6">
        <v>1.2865</v>
      </c>
    </row>
    <row r="827">
      <c r="A827" s="512" t="s">
        <v>2038</v>
      </c>
      <c r="B827" s="512" t="s">
        <v>163</v>
      </c>
      <c r="C827" s="512" t="s">
        <v>74</v>
      </c>
      <c r="D827" s="512" t="s">
        <v>574</v>
      </c>
      <c r="E827" s="513" t="s">
        <v>43</v>
      </c>
      <c r="F827" s="514">
        <v>110203.0</v>
      </c>
      <c r="G827" s="514">
        <v>75.0</v>
      </c>
      <c r="H827" s="514">
        <v>0.07</v>
      </c>
      <c r="I827" s="514">
        <v>0.02</v>
      </c>
      <c r="J827" s="514">
        <v>0.02</v>
      </c>
      <c r="K827" s="514">
        <v>79.0</v>
      </c>
      <c r="L827" s="514">
        <v>459710.0</v>
      </c>
      <c r="M827" s="514">
        <v>7.0E-4</v>
      </c>
      <c r="N827" s="6">
        <v>1.0533</v>
      </c>
    </row>
    <row r="828">
      <c r="A828" s="512" t="s">
        <v>2038</v>
      </c>
      <c r="B828" s="512" t="s">
        <v>163</v>
      </c>
      <c r="C828" s="512" t="s">
        <v>74</v>
      </c>
      <c r="D828" s="512" t="s">
        <v>574</v>
      </c>
      <c r="E828" s="513" t="s">
        <v>375</v>
      </c>
      <c r="F828" s="514">
        <v>110203.0</v>
      </c>
      <c r="G828" s="514">
        <v>82.0</v>
      </c>
      <c r="H828" s="514">
        <v>0.07</v>
      </c>
      <c r="I828" s="514">
        <v>0.02</v>
      </c>
      <c r="J828" s="514">
        <v>0.01</v>
      </c>
      <c r="K828" s="514">
        <v>85.0</v>
      </c>
      <c r="L828" s="514">
        <v>459710.0</v>
      </c>
      <c r="M828" s="514">
        <v>8.0E-4</v>
      </c>
      <c r="N828" s="6">
        <v>1.0366</v>
      </c>
    </row>
    <row r="829">
      <c r="A829" s="512" t="s">
        <v>2038</v>
      </c>
      <c r="B829" s="512" t="s">
        <v>163</v>
      </c>
      <c r="C829" s="512" t="s">
        <v>74</v>
      </c>
      <c r="D829" s="512" t="s">
        <v>574</v>
      </c>
      <c r="E829" s="513" t="s">
        <v>382</v>
      </c>
      <c r="F829" s="514">
        <v>110203.0</v>
      </c>
      <c r="G829" s="514">
        <v>3.0</v>
      </c>
      <c r="H829" s="514">
        <v>0.0</v>
      </c>
      <c r="I829" s="514">
        <v>0.0</v>
      </c>
      <c r="J829" s="514">
        <v>0.0</v>
      </c>
      <c r="K829" s="514">
        <v>10.0</v>
      </c>
      <c r="L829" s="514">
        <v>459710.0</v>
      </c>
      <c r="M829" s="514">
        <v>1.0E-4</v>
      </c>
      <c r="N829" s="6">
        <v>3.3333</v>
      </c>
    </row>
    <row r="830">
      <c r="A830" s="512" t="s">
        <v>2038</v>
      </c>
      <c r="B830" s="512" t="s">
        <v>163</v>
      </c>
      <c r="C830" s="512" t="s">
        <v>74</v>
      </c>
      <c r="D830" s="512" t="s">
        <v>574</v>
      </c>
      <c r="E830" s="513" t="s">
        <v>189</v>
      </c>
      <c r="F830" s="514">
        <v>110203.0</v>
      </c>
      <c r="G830" s="514">
        <v>8.0</v>
      </c>
      <c r="H830" s="514">
        <v>0.01</v>
      </c>
      <c r="I830" s="514">
        <v>0.0</v>
      </c>
      <c r="J830" s="514">
        <v>0.0</v>
      </c>
      <c r="K830" s="514">
        <v>8.0</v>
      </c>
      <c r="L830" s="514">
        <v>459710.0</v>
      </c>
      <c r="M830" s="514">
        <v>1.0E-4</v>
      </c>
      <c r="N830" s="6">
        <v>1.0</v>
      </c>
    </row>
    <row r="831">
      <c r="A831" s="512" t="s">
        <v>2038</v>
      </c>
      <c r="B831" s="512" t="s">
        <v>163</v>
      </c>
      <c r="C831" s="512" t="s">
        <v>1882</v>
      </c>
      <c r="D831" s="512" t="s">
        <v>1882</v>
      </c>
      <c r="E831" s="513" t="s">
        <v>379</v>
      </c>
      <c r="F831" s="514">
        <v>150624.0</v>
      </c>
      <c r="G831" s="514">
        <v>141862.0</v>
      </c>
      <c r="H831" s="514">
        <v>94.18</v>
      </c>
      <c r="I831" s="514">
        <v>20.5</v>
      </c>
      <c r="J831" s="514">
        <v>24.64</v>
      </c>
      <c r="K831" s="514">
        <v>1.7467345E7</v>
      </c>
      <c r="L831" s="514">
        <v>8.5225362E7</v>
      </c>
      <c r="M831" s="514">
        <v>115.9665</v>
      </c>
      <c r="N831" s="6">
        <v>123.1291</v>
      </c>
    </row>
    <row r="832">
      <c r="A832" s="512" t="s">
        <v>2038</v>
      </c>
      <c r="B832" s="512" t="s">
        <v>163</v>
      </c>
      <c r="C832" s="512" t="s">
        <v>1882</v>
      </c>
      <c r="D832" s="512" t="s">
        <v>1882</v>
      </c>
      <c r="E832" s="513" t="s">
        <v>373</v>
      </c>
      <c r="F832" s="514">
        <v>150624.0</v>
      </c>
      <c r="G832" s="514">
        <v>126601.0</v>
      </c>
      <c r="H832" s="514">
        <v>84.05</v>
      </c>
      <c r="I832" s="514">
        <v>18.71</v>
      </c>
      <c r="J832" s="514">
        <v>18.9</v>
      </c>
      <c r="K832" s="514">
        <v>1.594552E7</v>
      </c>
      <c r="L832" s="514">
        <v>8.5225362E7</v>
      </c>
      <c r="M832" s="514">
        <v>105.8631</v>
      </c>
      <c r="N832" s="6">
        <v>125.951</v>
      </c>
    </row>
    <row r="833">
      <c r="A833" s="512" t="s">
        <v>2038</v>
      </c>
      <c r="B833" s="512" t="s">
        <v>163</v>
      </c>
      <c r="C833" s="512" t="s">
        <v>1882</v>
      </c>
      <c r="D833" s="512" t="s">
        <v>1882</v>
      </c>
      <c r="E833" s="513" t="s">
        <v>42</v>
      </c>
      <c r="F833" s="514">
        <v>150624.0</v>
      </c>
      <c r="G833" s="514">
        <v>52194.0</v>
      </c>
      <c r="H833" s="514">
        <v>34.65</v>
      </c>
      <c r="I833" s="514">
        <v>8.34</v>
      </c>
      <c r="J833" s="514">
        <v>7.2</v>
      </c>
      <c r="K833" s="514">
        <v>7103815.0</v>
      </c>
      <c r="L833" s="514">
        <v>8.5225362E7</v>
      </c>
      <c r="M833" s="514">
        <v>47.1626</v>
      </c>
      <c r="N833" s="6">
        <v>136.1041</v>
      </c>
    </row>
    <row r="834">
      <c r="A834" s="512" t="s">
        <v>2038</v>
      </c>
      <c r="B834" s="512" t="s">
        <v>163</v>
      </c>
      <c r="C834" s="512" t="s">
        <v>1882</v>
      </c>
      <c r="D834" s="512" t="s">
        <v>1882</v>
      </c>
      <c r="E834" s="513" t="s">
        <v>374</v>
      </c>
      <c r="F834" s="514">
        <v>150624.0</v>
      </c>
      <c r="G834" s="514">
        <v>61317.0</v>
      </c>
      <c r="H834" s="514">
        <v>40.71</v>
      </c>
      <c r="I834" s="514">
        <v>7.69</v>
      </c>
      <c r="J834" s="514">
        <v>8.44</v>
      </c>
      <c r="K834" s="514">
        <v>6553410.0</v>
      </c>
      <c r="L834" s="514">
        <v>8.5225362E7</v>
      </c>
      <c r="M834" s="514">
        <v>43.5084</v>
      </c>
      <c r="N834" s="6">
        <v>106.8775</v>
      </c>
    </row>
    <row r="835">
      <c r="A835" s="512" t="s">
        <v>2038</v>
      </c>
      <c r="B835" s="512" t="s">
        <v>163</v>
      </c>
      <c r="C835" s="512" t="s">
        <v>1882</v>
      </c>
      <c r="D835" s="512" t="s">
        <v>1882</v>
      </c>
      <c r="E835" s="513" t="s">
        <v>372</v>
      </c>
      <c r="F835" s="514">
        <v>150624.0</v>
      </c>
      <c r="G835" s="514">
        <v>91599.0</v>
      </c>
      <c r="H835" s="514">
        <v>60.81</v>
      </c>
      <c r="I835" s="514">
        <v>7.4</v>
      </c>
      <c r="J835" s="514">
        <v>9.51</v>
      </c>
      <c r="K835" s="514">
        <v>6308625.0</v>
      </c>
      <c r="L835" s="514">
        <v>8.5225362E7</v>
      </c>
      <c r="M835" s="514">
        <v>41.8833</v>
      </c>
      <c r="N835" s="6">
        <v>68.8722</v>
      </c>
    </row>
    <row r="836">
      <c r="A836" s="512" t="s">
        <v>2038</v>
      </c>
      <c r="B836" s="512" t="s">
        <v>163</v>
      </c>
      <c r="C836" s="512" t="s">
        <v>1882</v>
      </c>
      <c r="D836" s="512" t="s">
        <v>1882</v>
      </c>
      <c r="E836" s="513" t="s">
        <v>50</v>
      </c>
      <c r="F836" s="514">
        <v>150624.0</v>
      </c>
      <c r="G836" s="514">
        <v>56752.0</v>
      </c>
      <c r="H836" s="514">
        <v>37.68</v>
      </c>
      <c r="I836" s="514">
        <v>6.85</v>
      </c>
      <c r="J836" s="514">
        <v>5.58</v>
      </c>
      <c r="K836" s="514">
        <v>5835190.0</v>
      </c>
      <c r="L836" s="514">
        <v>8.5225362E7</v>
      </c>
      <c r="M836" s="514">
        <v>38.7401</v>
      </c>
      <c r="N836" s="6">
        <v>102.8191</v>
      </c>
    </row>
    <row r="837">
      <c r="A837" s="512" t="s">
        <v>2038</v>
      </c>
      <c r="B837" s="512" t="s">
        <v>163</v>
      </c>
      <c r="C837" s="512" t="s">
        <v>1882</v>
      </c>
      <c r="D837" s="512" t="s">
        <v>1882</v>
      </c>
      <c r="E837" s="513" t="s">
        <v>380</v>
      </c>
      <c r="F837" s="514">
        <v>150624.0</v>
      </c>
      <c r="G837" s="514">
        <v>99701.0</v>
      </c>
      <c r="H837" s="514">
        <v>66.19</v>
      </c>
      <c r="I837" s="514">
        <v>6.68</v>
      </c>
      <c r="J837" s="514">
        <v>8.48</v>
      </c>
      <c r="K837" s="514">
        <v>5692255.0</v>
      </c>
      <c r="L837" s="514">
        <v>8.5225362E7</v>
      </c>
      <c r="M837" s="514">
        <v>37.7912</v>
      </c>
      <c r="N837" s="6">
        <v>57.0933</v>
      </c>
    </row>
    <row r="838">
      <c r="A838" s="512" t="s">
        <v>2038</v>
      </c>
      <c r="B838" s="512" t="s">
        <v>163</v>
      </c>
      <c r="C838" s="512" t="s">
        <v>1882</v>
      </c>
      <c r="D838" s="512" t="s">
        <v>1882</v>
      </c>
      <c r="E838" s="513" t="s">
        <v>40</v>
      </c>
      <c r="F838" s="514">
        <v>150624.0</v>
      </c>
      <c r="G838" s="514">
        <v>33746.0</v>
      </c>
      <c r="H838" s="514">
        <v>22.4</v>
      </c>
      <c r="I838" s="514">
        <v>5.17</v>
      </c>
      <c r="J838" s="514">
        <v>3.78</v>
      </c>
      <c r="K838" s="514">
        <v>4402680.0</v>
      </c>
      <c r="L838" s="514">
        <v>8.5225362E7</v>
      </c>
      <c r="M838" s="514">
        <v>29.2296</v>
      </c>
      <c r="N838" s="6">
        <v>130.4652</v>
      </c>
    </row>
    <row r="839">
      <c r="A839" s="512" t="s">
        <v>2038</v>
      </c>
      <c r="B839" s="512" t="s">
        <v>163</v>
      </c>
      <c r="C839" s="512" t="s">
        <v>1882</v>
      </c>
      <c r="D839" s="512" t="s">
        <v>1882</v>
      </c>
      <c r="E839" s="513" t="s">
        <v>377</v>
      </c>
      <c r="F839" s="514">
        <v>150624.0</v>
      </c>
      <c r="G839" s="514">
        <v>40913.0</v>
      </c>
      <c r="H839" s="514">
        <v>27.16</v>
      </c>
      <c r="I839" s="514">
        <v>4.88</v>
      </c>
      <c r="J839" s="514">
        <v>3.06</v>
      </c>
      <c r="K839" s="514">
        <v>4158922.0</v>
      </c>
      <c r="L839" s="514">
        <v>8.5225362E7</v>
      </c>
      <c r="M839" s="514">
        <v>27.6113</v>
      </c>
      <c r="N839" s="6">
        <v>101.6528</v>
      </c>
    </row>
    <row r="840">
      <c r="A840" s="512" t="s">
        <v>2038</v>
      </c>
      <c r="B840" s="512" t="s">
        <v>163</v>
      </c>
      <c r="C840" s="512" t="s">
        <v>1882</v>
      </c>
      <c r="D840" s="512" t="s">
        <v>1882</v>
      </c>
      <c r="E840" s="513" t="s">
        <v>367</v>
      </c>
      <c r="F840" s="514">
        <v>150624.0</v>
      </c>
      <c r="G840" s="514">
        <v>40471.0</v>
      </c>
      <c r="H840" s="514">
        <v>26.87</v>
      </c>
      <c r="I840" s="514">
        <v>4.3</v>
      </c>
      <c r="J840" s="514">
        <v>2.8</v>
      </c>
      <c r="K840" s="514">
        <v>3668565.0</v>
      </c>
      <c r="L840" s="514">
        <v>8.5225362E7</v>
      </c>
      <c r="M840" s="514">
        <v>24.3558</v>
      </c>
      <c r="N840" s="6">
        <v>90.6468</v>
      </c>
    </row>
    <row r="841">
      <c r="A841" s="512" t="s">
        <v>2038</v>
      </c>
      <c r="B841" s="512" t="s">
        <v>163</v>
      </c>
      <c r="C841" s="512" t="s">
        <v>1882</v>
      </c>
      <c r="D841" s="512" t="s">
        <v>1882</v>
      </c>
      <c r="E841" s="513" t="s">
        <v>134</v>
      </c>
      <c r="F841" s="514">
        <v>150624.0</v>
      </c>
      <c r="G841" s="514">
        <v>25244.0</v>
      </c>
      <c r="H841" s="514">
        <v>16.76</v>
      </c>
      <c r="I841" s="514">
        <v>1.79</v>
      </c>
      <c r="J841" s="514">
        <v>1.66</v>
      </c>
      <c r="K841" s="514">
        <v>1529165.0</v>
      </c>
      <c r="L841" s="514">
        <v>8.5225362E7</v>
      </c>
      <c r="M841" s="514">
        <v>10.1522</v>
      </c>
      <c r="N841" s="6">
        <v>60.5754</v>
      </c>
    </row>
    <row r="842">
      <c r="A842" s="512" t="s">
        <v>2038</v>
      </c>
      <c r="B842" s="512" t="s">
        <v>163</v>
      </c>
      <c r="C842" s="512" t="s">
        <v>1882</v>
      </c>
      <c r="D842" s="512" t="s">
        <v>1882</v>
      </c>
      <c r="E842" s="513" t="s">
        <v>310</v>
      </c>
      <c r="F842" s="514">
        <v>150624.0</v>
      </c>
      <c r="G842" s="514">
        <v>11627.0</v>
      </c>
      <c r="H842" s="514">
        <v>7.72</v>
      </c>
      <c r="I842" s="514">
        <v>1.44</v>
      </c>
      <c r="J842" s="514">
        <v>1.07</v>
      </c>
      <c r="K842" s="514">
        <v>1227950.0</v>
      </c>
      <c r="L842" s="514">
        <v>8.5225362E7</v>
      </c>
      <c r="M842" s="514">
        <v>8.1524</v>
      </c>
      <c r="N842" s="6">
        <v>105.6119</v>
      </c>
    </row>
    <row r="843">
      <c r="A843" s="512" t="s">
        <v>2038</v>
      </c>
      <c r="B843" s="512" t="s">
        <v>163</v>
      </c>
      <c r="C843" s="512" t="s">
        <v>1882</v>
      </c>
      <c r="D843" s="512" t="s">
        <v>1882</v>
      </c>
      <c r="E843" s="513" t="s">
        <v>44</v>
      </c>
      <c r="F843" s="514">
        <v>150624.0</v>
      </c>
      <c r="G843" s="514">
        <v>56152.0</v>
      </c>
      <c r="H843" s="514">
        <v>37.28</v>
      </c>
      <c r="I843" s="514">
        <v>1.41</v>
      </c>
      <c r="J843" s="514">
        <v>1.24</v>
      </c>
      <c r="K843" s="514">
        <v>1200030.0</v>
      </c>
      <c r="L843" s="514">
        <v>8.5225362E7</v>
      </c>
      <c r="M843" s="514">
        <v>7.9671</v>
      </c>
      <c r="N843" s="6">
        <v>21.3711</v>
      </c>
    </row>
    <row r="844">
      <c r="A844" s="512" t="s">
        <v>2038</v>
      </c>
      <c r="B844" s="512" t="s">
        <v>163</v>
      </c>
      <c r="C844" s="512" t="s">
        <v>1882</v>
      </c>
      <c r="D844" s="512" t="s">
        <v>1882</v>
      </c>
      <c r="E844" s="513" t="s">
        <v>32</v>
      </c>
      <c r="F844" s="514">
        <v>150624.0</v>
      </c>
      <c r="G844" s="514">
        <v>11352.0</v>
      </c>
      <c r="H844" s="514">
        <v>7.54</v>
      </c>
      <c r="I844" s="514">
        <v>1.35</v>
      </c>
      <c r="J844" s="514">
        <v>1.09</v>
      </c>
      <c r="K844" s="514">
        <v>1149560.0</v>
      </c>
      <c r="L844" s="514">
        <v>8.5225362E7</v>
      </c>
      <c r="M844" s="514">
        <v>7.632</v>
      </c>
      <c r="N844" s="6">
        <v>101.265</v>
      </c>
    </row>
    <row r="845">
      <c r="A845" s="512" t="s">
        <v>2038</v>
      </c>
      <c r="B845" s="512" t="s">
        <v>163</v>
      </c>
      <c r="C845" s="512" t="s">
        <v>1882</v>
      </c>
      <c r="D845" s="512" t="s">
        <v>1882</v>
      </c>
      <c r="E845" s="513" t="s">
        <v>312</v>
      </c>
      <c r="F845" s="514">
        <v>150624.0</v>
      </c>
      <c r="G845" s="514">
        <v>8716.0</v>
      </c>
      <c r="H845" s="514">
        <v>5.79</v>
      </c>
      <c r="I845" s="514">
        <v>1.11</v>
      </c>
      <c r="J845" s="514">
        <v>0.83</v>
      </c>
      <c r="K845" s="514">
        <v>945875.0</v>
      </c>
      <c r="L845" s="514">
        <v>8.5225362E7</v>
      </c>
      <c r="M845" s="514">
        <v>6.2797</v>
      </c>
      <c r="N845" s="6">
        <v>108.5217</v>
      </c>
    </row>
    <row r="846">
      <c r="A846" s="512" t="s">
        <v>2038</v>
      </c>
      <c r="B846" s="512" t="s">
        <v>163</v>
      </c>
      <c r="C846" s="512" t="s">
        <v>1882</v>
      </c>
      <c r="D846" s="512" t="s">
        <v>1882</v>
      </c>
      <c r="E846" s="513" t="s">
        <v>375</v>
      </c>
      <c r="F846" s="514">
        <v>150624.0</v>
      </c>
      <c r="G846" s="514">
        <v>26038.0</v>
      </c>
      <c r="H846" s="514">
        <v>17.29</v>
      </c>
      <c r="I846" s="514">
        <v>1.02</v>
      </c>
      <c r="J846" s="514">
        <v>0.69</v>
      </c>
      <c r="K846" s="514">
        <v>871655.0</v>
      </c>
      <c r="L846" s="514">
        <v>8.5225362E7</v>
      </c>
      <c r="M846" s="514">
        <v>5.787</v>
      </c>
      <c r="N846" s="6">
        <v>33.4763</v>
      </c>
    </row>
    <row r="847">
      <c r="A847" s="512" t="s">
        <v>2038</v>
      </c>
      <c r="B847" s="512" t="s">
        <v>163</v>
      </c>
      <c r="C847" s="512" t="s">
        <v>1882</v>
      </c>
      <c r="D847" s="512" t="s">
        <v>1882</v>
      </c>
      <c r="E847" s="513" t="s">
        <v>35</v>
      </c>
      <c r="F847" s="514">
        <v>150624.0</v>
      </c>
      <c r="G847" s="514">
        <v>14031.0</v>
      </c>
      <c r="H847" s="514">
        <v>9.32</v>
      </c>
      <c r="I847" s="514">
        <v>0.48</v>
      </c>
      <c r="J847" s="514">
        <v>0.35</v>
      </c>
      <c r="K847" s="514">
        <v>409325.0</v>
      </c>
      <c r="L847" s="514">
        <v>8.5225362E7</v>
      </c>
      <c r="M847" s="514">
        <v>2.7175</v>
      </c>
      <c r="N847" s="6">
        <v>29.1729</v>
      </c>
    </row>
    <row r="848">
      <c r="A848" s="512" t="s">
        <v>2038</v>
      </c>
      <c r="B848" s="512" t="s">
        <v>163</v>
      </c>
      <c r="C848" s="512" t="s">
        <v>1882</v>
      </c>
      <c r="D848" s="512" t="s">
        <v>1882</v>
      </c>
      <c r="E848" s="513" t="s">
        <v>189</v>
      </c>
      <c r="F848" s="514">
        <v>150624.0</v>
      </c>
      <c r="G848" s="514">
        <v>13361.0</v>
      </c>
      <c r="H848" s="514">
        <v>8.87</v>
      </c>
      <c r="I848" s="514">
        <v>0.41</v>
      </c>
      <c r="J848" s="514">
        <v>0.27</v>
      </c>
      <c r="K848" s="514">
        <v>345875.0</v>
      </c>
      <c r="L848" s="514">
        <v>8.5225362E7</v>
      </c>
      <c r="M848" s="514">
        <v>2.2963</v>
      </c>
      <c r="N848" s="6">
        <v>25.8869</v>
      </c>
    </row>
    <row r="849">
      <c r="A849" s="512" t="s">
        <v>2038</v>
      </c>
      <c r="B849" s="512" t="s">
        <v>163</v>
      </c>
      <c r="C849" s="512" t="s">
        <v>1882</v>
      </c>
      <c r="D849" s="512" t="s">
        <v>1882</v>
      </c>
      <c r="E849" s="513" t="s">
        <v>311</v>
      </c>
      <c r="F849" s="514">
        <v>150624.0</v>
      </c>
      <c r="G849" s="514">
        <v>2523.0</v>
      </c>
      <c r="H849" s="514">
        <v>1.68</v>
      </c>
      <c r="I849" s="514">
        <v>0.28</v>
      </c>
      <c r="J849" s="514">
        <v>0.28</v>
      </c>
      <c r="K849" s="514">
        <v>237650.0</v>
      </c>
      <c r="L849" s="514">
        <v>8.5225362E7</v>
      </c>
      <c r="M849" s="514">
        <v>1.5778</v>
      </c>
      <c r="N849" s="6">
        <v>94.1934</v>
      </c>
    </row>
    <row r="850">
      <c r="A850" s="512" t="s">
        <v>2038</v>
      </c>
      <c r="B850" s="512" t="s">
        <v>163</v>
      </c>
      <c r="C850" s="512" t="s">
        <v>1882</v>
      </c>
      <c r="D850" s="512" t="s">
        <v>1882</v>
      </c>
      <c r="E850" s="513" t="s">
        <v>43</v>
      </c>
      <c r="F850" s="514">
        <v>150624.0</v>
      </c>
      <c r="G850" s="514">
        <v>1146.0</v>
      </c>
      <c r="H850" s="514">
        <v>0.76</v>
      </c>
      <c r="I850" s="514">
        <v>0.2</v>
      </c>
      <c r="J850" s="514">
        <v>0.13</v>
      </c>
      <c r="K850" s="514">
        <v>171950.0</v>
      </c>
      <c r="L850" s="514">
        <v>8.5225362E7</v>
      </c>
      <c r="M850" s="514">
        <v>1.1416</v>
      </c>
      <c r="N850" s="6">
        <v>150.0436</v>
      </c>
    </row>
    <row r="851">
      <c r="A851" s="512" t="s">
        <v>2038</v>
      </c>
      <c r="B851" s="512" t="s">
        <v>163</v>
      </c>
      <c r="C851" s="512" t="s">
        <v>69</v>
      </c>
      <c r="D851" s="512" t="s">
        <v>574</v>
      </c>
      <c r="E851" s="513" t="s">
        <v>379</v>
      </c>
      <c r="F851" s="514">
        <v>140961.0</v>
      </c>
      <c r="G851" s="514">
        <v>110085.0</v>
      </c>
      <c r="H851" s="514">
        <v>78.1</v>
      </c>
      <c r="I851" s="514">
        <v>33.68</v>
      </c>
      <c r="J851" s="514">
        <v>32.62</v>
      </c>
      <c r="K851" s="514">
        <v>424901.0</v>
      </c>
      <c r="L851" s="514">
        <v>1261528.0</v>
      </c>
      <c r="M851" s="514">
        <v>3.0143</v>
      </c>
      <c r="N851" s="6">
        <v>3.8598</v>
      </c>
    </row>
    <row r="852">
      <c r="A852" s="512" t="s">
        <v>2038</v>
      </c>
      <c r="B852" s="512" t="s">
        <v>163</v>
      </c>
      <c r="C852" s="512" t="s">
        <v>69</v>
      </c>
      <c r="D852" s="512" t="s">
        <v>574</v>
      </c>
      <c r="E852" s="513" t="s">
        <v>380</v>
      </c>
      <c r="F852" s="514">
        <v>140961.0</v>
      </c>
      <c r="G852" s="514">
        <v>82527.0</v>
      </c>
      <c r="H852" s="514">
        <v>58.55</v>
      </c>
      <c r="I852" s="514">
        <v>18.3</v>
      </c>
      <c r="J852" s="514">
        <v>17.44</v>
      </c>
      <c r="K852" s="514">
        <v>230866.0</v>
      </c>
      <c r="L852" s="514">
        <v>1261528.0</v>
      </c>
      <c r="M852" s="514">
        <v>1.6378</v>
      </c>
      <c r="N852" s="6">
        <v>2.7975</v>
      </c>
    </row>
    <row r="853">
      <c r="A853" s="512" t="s">
        <v>2038</v>
      </c>
      <c r="B853" s="512" t="s">
        <v>163</v>
      </c>
      <c r="C853" s="512" t="s">
        <v>69</v>
      </c>
      <c r="D853" s="512" t="s">
        <v>574</v>
      </c>
      <c r="E853" s="513" t="s">
        <v>374</v>
      </c>
      <c r="F853" s="514">
        <v>140961.0</v>
      </c>
      <c r="G853" s="514">
        <v>49203.0</v>
      </c>
      <c r="H853" s="514">
        <v>34.91</v>
      </c>
      <c r="I853" s="514">
        <v>13.3</v>
      </c>
      <c r="J853" s="514">
        <v>11.43</v>
      </c>
      <c r="K853" s="514">
        <v>167804.0</v>
      </c>
      <c r="L853" s="514">
        <v>1261528.0</v>
      </c>
      <c r="M853" s="514">
        <v>1.1904</v>
      </c>
      <c r="N853" s="6">
        <v>3.4104</v>
      </c>
    </row>
    <row r="854">
      <c r="A854" s="512" t="s">
        <v>2038</v>
      </c>
      <c r="B854" s="512" t="s">
        <v>163</v>
      </c>
      <c r="C854" s="512" t="s">
        <v>69</v>
      </c>
      <c r="D854" s="512" t="s">
        <v>574</v>
      </c>
      <c r="E854" s="513" t="s">
        <v>377</v>
      </c>
      <c r="F854" s="514">
        <v>140961.0</v>
      </c>
      <c r="G854" s="514">
        <v>87600.0</v>
      </c>
      <c r="H854" s="514">
        <v>62.14</v>
      </c>
      <c r="I854" s="514">
        <v>11.96</v>
      </c>
      <c r="J854" s="514">
        <v>15.9</v>
      </c>
      <c r="K854" s="514">
        <v>150846.0</v>
      </c>
      <c r="L854" s="514">
        <v>1261528.0</v>
      </c>
      <c r="M854" s="514">
        <v>1.0701</v>
      </c>
      <c r="N854" s="6">
        <v>1.722</v>
      </c>
    </row>
    <row r="855">
      <c r="A855" s="512" t="s">
        <v>2038</v>
      </c>
      <c r="B855" s="512" t="s">
        <v>163</v>
      </c>
      <c r="C855" s="512" t="s">
        <v>69</v>
      </c>
      <c r="D855" s="512" t="s">
        <v>574</v>
      </c>
      <c r="E855" s="513" t="s">
        <v>44</v>
      </c>
      <c r="F855" s="514">
        <v>140961.0</v>
      </c>
      <c r="G855" s="514">
        <v>82242.0</v>
      </c>
      <c r="H855" s="514">
        <v>58.34</v>
      </c>
      <c r="I855" s="514">
        <v>11.52</v>
      </c>
      <c r="J855" s="514">
        <v>13.01</v>
      </c>
      <c r="K855" s="514">
        <v>145364.0</v>
      </c>
      <c r="L855" s="514">
        <v>1261528.0</v>
      </c>
      <c r="M855" s="514">
        <v>1.0312</v>
      </c>
      <c r="N855" s="6">
        <v>1.7675</v>
      </c>
    </row>
    <row r="856">
      <c r="A856" s="512" t="s">
        <v>2038</v>
      </c>
      <c r="B856" s="512" t="s">
        <v>163</v>
      </c>
      <c r="C856" s="512" t="s">
        <v>69</v>
      </c>
      <c r="D856" s="512" t="s">
        <v>574</v>
      </c>
      <c r="E856" s="513" t="s">
        <v>49</v>
      </c>
      <c r="F856" s="514">
        <v>140961.0</v>
      </c>
      <c r="G856" s="514">
        <v>38658.0</v>
      </c>
      <c r="H856" s="514">
        <v>27.42</v>
      </c>
      <c r="I856" s="514">
        <v>5.18</v>
      </c>
      <c r="J856" s="514">
        <v>4.36</v>
      </c>
      <c r="K856" s="514">
        <v>65383.0</v>
      </c>
      <c r="L856" s="514">
        <v>1261528.0</v>
      </c>
      <c r="M856" s="514">
        <v>0.4638</v>
      </c>
      <c r="N856" s="6">
        <v>1.6913</v>
      </c>
    </row>
    <row r="857">
      <c r="A857" s="512" t="s">
        <v>2038</v>
      </c>
      <c r="B857" s="512" t="s">
        <v>163</v>
      </c>
      <c r="C857" s="512" t="s">
        <v>69</v>
      </c>
      <c r="D857" s="512" t="s">
        <v>574</v>
      </c>
      <c r="E857" s="513" t="s">
        <v>372</v>
      </c>
      <c r="F857" s="514">
        <v>140961.0</v>
      </c>
      <c r="G857" s="514">
        <v>21511.0</v>
      </c>
      <c r="H857" s="514">
        <v>15.26</v>
      </c>
      <c r="I857" s="514">
        <v>1.84</v>
      </c>
      <c r="J857" s="514">
        <v>2.09</v>
      </c>
      <c r="K857" s="514">
        <v>23254.0</v>
      </c>
      <c r="L857" s="514">
        <v>1261528.0</v>
      </c>
      <c r="M857" s="514">
        <v>0.165</v>
      </c>
      <c r="N857" s="6">
        <v>1.081</v>
      </c>
    </row>
    <row r="858">
      <c r="A858" s="512" t="s">
        <v>2038</v>
      </c>
      <c r="B858" s="512" t="s">
        <v>163</v>
      </c>
      <c r="C858" s="512" t="s">
        <v>69</v>
      </c>
      <c r="D858" s="512" t="s">
        <v>574</v>
      </c>
      <c r="E858" s="513" t="s">
        <v>375</v>
      </c>
      <c r="F858" s="514">
        <v>140961.0</v>
      </c>
      <c r="G858" s="514">
        <v>12639.0</v>
      </c>
      <c r="H858" s="514">
        <v>8.97</v>
      </c>
      <c r="I858" s="514">
        <v>1.23</v>
      </c>
      <c r="J858" s="514">
        <v>0.83</v>
      </c>
      <c r="K858" s="514">
        <v>15576.0</v>
      </c>
      <c r="L858" s="514">
        <v>1261528.0</v>
      </c>
      <c r="M858" s="514">
        <v>0.1105</v>
      </c>
      <c r="N858" s="6">
        <v>1.2324</v>
      </c>
    </row>
    <row r="859">
      <c r="A859" s="512" t="s">
        <v>2038</v>
      </c>
      <c r="B859" s="512" t="s">
        <v>163</v>
      </c>
      <c r="C859" s="512" t="s">
        <v>69</v>
      </c>
      <c r="D859" s="512" t="s">
        <v>574</v>
      </c>
      <c r="E859" s="513" t="s">
        <v>134</v>
      </c>
      <c r="F859" s="514">
        <v>140961.0</v>
      </c>
      <c r="G859" s="514">
        <v>8702.0</v>
      </c>
      <c r="H859" s="514">
        <v>6.17</v>
      </c>
      <c r="I859" s="514">
        <v>0.94</v>
      </c>
      <c r="J859" s="514">
        <v>0.61</v>
      </c>
      <c r="K859" s="514">
        <v>11866.0</v>
      </c>
      <c r="L859" s="514">
        <v>1261528.0</v>
      </c>
      <c r="M859" s="514">
        <v>0.0842</v>
      </c>
      <c r="N859" s="6">
        <v>1.3636</v>
      </c>
    </row>
    <row r="860">
      <c r="A860" s="512" t="s">
        <v>2038</v>
      </c>
      <c r="B860" s="512" t="s">
        <v>163</v>
      </c>
      <c r="C860" s="512" t="s">
        <v>69</v>
      </c>
      <c r="D860" s="512" t="s">
        <v>574</v>
      </c>
      <c r="E860" s="513" t="s">
        <v>42</v>
      </c>
      <c r="F860" s="514">
        <v>140961.0</v>
      </c>
      <c r="G860" s="514">
        <v>7342.0</v>
      </c>
      <c r="H860" s="514">
        <v>5.21</v>
      </c>
      <c r="I860" s="514">
        <v>0.69</v>
      </c>
      <c r="J860" s="514">
        <v>0.68</v>
      </c>
      <c r="K860" s="514">
        <v>8683.0</v>
      </c>
      <c r="L860" s="514">
        <v>1261528.0</v>
      </c>
      <c r="M860" s="514">
        <v>0.0616</v>
      </c>
      <c r="N860" s="6">
        <v>1.1826</v>
      </c>
    </row>
    <row r="861">
      <c r="A861" s="512" t="s">
        <v>2038</v>
      </c>
      <c r="B861" s="512" t="s">
        <v>163</v>
      </c>
      <c r="C861" s="512" t="s">
        <v>69</v>
      </c>
      <c r="D861" s="512" t="s">
        <v>574</v>
      </c>
      <c r="E861" s="513" t="s">
        <v>50</v>
      </c>
      <c r="F861" s="514">
        <v>140961.0</v>
      </c>
      <c r="G861" s="514">
        <v>5819.0</v>
      </c>
      <c r="H861" s="514">
        <v>4.13</v>
      </c>
      <c r="I861" s="514">
        <v>0.52</v>
      </c>
      <c r="J861" s="514">
        <v>0.35</v>
      </c>
      <c r="K861" s="514">
        <v>6520.0</v>
      </c>
      <c r="L861" s="514">
        <v>1261528.0</v>
      </c>
      <c r="M861" s="514">
        <v>0.0463</v>
      </c>
      <c r="N861" s="6">
        <v>1.1205</v>
      </c>
    </row>
    <row r="862">
      <c r="A862" s="512" t="s">
        <v>2038</v>
      </c>
      <c r="B862" s="512" t="s">
        <v>163</v>
      </c>
      <c r="C862" s="512" t="s">
        <v>69</v>
      </c>
      <c r="D862" s="512" t="s">
        <v>574</v>
      </c>
      <c r="E862" s="513" t="s">
        <v>35</v>
      </c>
      <c r="F862" s="514">
        <v>140961.0</v>
      </c>
      <c r="G862" s="514">
        <v>4126.0</v>
      </c>
      <c r="H862" s="514">
        <v>2.93</v>
      </c>
      <c r="I862" s="514">
        <v>0.36</v>
      </c>
      <c r="J862" s="514">
        <v>0.27</v>
      </c>
      <c r="K862" s="514">
        <v>4529.0</v>
      </c>
      <c r="L862" s="514">
        <v>1261528.0</v>
      </c>
      <c r="M862" s="514">
        <v>0.0321</v>
      </c>
      <c r="N862" s="6">
        <v>1.0977</v>
      </c>
    </row>
    <row r="863">
      <c r="A863" s="512" t="s">
        <v>2038</v>
      </c>
      <c r="B863" s="512" t="s">
        <v>163</v>
      </c>
      <c r="C863" s="512" t="s">
        <v>69</v>
      </c>
      <c r="D863" s="512" t="s">
        <v>574</v>
      </c>
      <c r="E863" s="513" t="s">
        <v>189</v>
      </c>
      <c r="F863" s="514">
        <v>140961.0</v>
      </c>
      <c r="G863" s="514">
        <v>3460.0</v>
      </c>
      <c r="H863" s="514">
        <v>2.45</v>
      </c>
      <c r="I863" s="514">
        <v>0.28</v>
      </c>
      <c r="J863" s="514">
        <v>0.21</v>
      </c>
      <c r="K863" s="514">
        <v>3570.0</v>
      </c>
      <c r="L863" s="514">
        <v>1261528.0</v>
      </c>
      <c r="M863" s="514">
        <v>0.0253</v>
      </c>
      <c r="N863" s="6">
        <v>1.0318</v>
      </c>
    </row>
    <row r="864">
      <c r="A864" s="512" t="s">
        <v>2038</v>
      </c>
      <c r="B864" s="512" t="s">
        <v>163</v>
      </c>
      <c r="C864" s="512" t="s">
        <v>69</v>
      </c>
      <c r="D864" s="512" t="s">
        <v>574</v>
      </c>
      <c r="E864" s="513" t="s">
        <v>43</v>
      </c>
      <c r="F864" s="514">
        <v>140961.0</v>
      </c>
      <c r="G864" s="514">
        <v>2211.0</v>
      </c>
      <c r="H864" s="514">
        <v>1.57</v>
      </c>
      <c r="I864" s="514">
        <v>0.18</v>
      </c>
      <c r="J864" s="514">
        <v>0.18</v>
      </c>
      <c r="K864" s="514">
        <v>2292.0</v>
      </c>
      <c r="L864" s="514">
        <v>1261528.0</v>
      </c>
      <c r="M864" s="514">
        <v>0.0163</v>
      </c>
      <c r="N864" s="6">
        <v>1.0366</v>
      </c>
    </row>
    <row r="865">
      <c r="A865" s="512" t="s">
        <v>2038</v>
      </c>
      <c r="B865" s="512" t="s">
        <v>163</v>
      </c>
      <c r="C865" s="512" t="s">
        <v>69</v>
      </c>
      <c r="D865" s="512" t="s">
        <v>574</v>
      </c>
      <c r="E865" s="513" t="s">
        <v>32</v>
      </c>
      <c r="F865" s="514">
        <v>140961.0</v>
      </c>
      <c r="G865" s="514">
        <v>52.0</v>
      </c>
      <c r="H865" s="514">
        <v>0.04</v>
      </c>
      <c r="I865" s="514">
        <v>0.0</v>
      </c>
      <c r="J865" s="514">
        <v>0.01</v>
      </c>
      <c r="K865" s="514">
        <v>63.0</v>
      </c>
      <c r="L865" s="514">
        <v>1261528.0</v>
      </c>
      <c r="M865" s="514">
        <v>4.0E-4</v>
      </c>
      <c r="N865" s="6">
        <v>1.2115</v>
      </c>
    </row>
    <row r="866">
      <c r="A866" s="512" t="s">
        <v>2038</v>
      </c>
      <c r="B866" s="512" t="s">
        <v>163</v>
      </c>
      <c r="C866" s="512" t="s">
        <v>69</v>
      </c>
      <c r="D866" s="512" t="s">
        <v>574</v>
      </c>
      <c r="E866" s="513" t="s">
        <v>311</v>
      </c>
      <c r="F866" s="514">
        <v>140961.0</v>
      </c>
      <c r="G866" s="514">
        <v>1.0</v>
      </c>
      <c r="H866" s="514">
        <v>0.0</v>
      </c>
      <c r="I866" s="514">
        <v>0.0</v>
      </c>
      <c r="J866" s="514">
        <v>0.0</v>
      </c>
      <c r="K866" s="514">
        <v>1.0</v>
      </c>
      <c r="L866" s="514">
        <v>1261528.0</v>
      </c>
      <c r="M866" s="514">
        <v>0.0</v>
      </c>
      <c r="N866" s="6">
        <v>1.0</v>
      </c>
    </row>
    <row r="867">
      <c r="A867" s="512" t="s">
        <v>2038</v>
      </c>
      <c r="B867" s="512" t="s">
        <v>163</v>
      </c>
      <c r="C867" s="512" t="s">
        <v>69</v>
      </c>
      <c r="D867" s="512" t="s">
        <v>574</v>
      </c>
      <c r="E867" s="513" t="s">
        <v>383</v>
      </c>
      <c r="F867" s="514">
        <v>140961.0</v>
      </c>
      <c r="G867" s="514">
        <v>1.0</v>
      </c>
      <c r="H867" s="514">
        <v>0.0</v>
      </c>
      <c r="I867" s="514">
        <v>0.0</v>
      </c>
      <c r="J867" s="514">
        <v>0.0</v>
      </c>
      <c r="K867" s="514">
        <v>2.0</v>
      </c>
      <c r="L867" s="514">
        <v>1261528.0</v>
      </c>
      <c r="M867" s="514">
        <v>0.0</v>
      </c>
      <c r="N867" s="6">
        <v>2.0</v>
      </c>
    </row>
    <row r="868">
      <c r="A868" s="512" t="s">
        <v>2038</v>
      </c>
      <c r="B868" s="512" t="s">
        <v>163</v>
      </c>
      <c r="C868" s="512" t="s">
        <v>69</v>
      </c>
      <c r="D868" s="512" t="s">
        <v>574</v>
      </c>
      <c r="E868" s="513" t="s">
        <v>310</v>
      </c>
      <c r="F868" s="514">
        <v>140961.0</v>
      </c>
      <c r="G868" s="514">
        <v>2.0</v>
      </c>
      <c r="H868" s="514">
        <v>0.0</v>
      </c>
      <c r="I868" s="514">
        <v>0.0</v>
      </c>
      <c r="J868" s="514">
        <v>0.0</v>
      </c>
      <c r="K868" s="514">
        <v>3.0</v>
      </c>
      <c r="L868" s="514">
        <v>1261528.0</v>
      </c>
      <c r="M868" s="514">
        <v>0.0</v>
      </c>
      <c r="N868" s="6">
        <v>1.5</v>
      </c>
    </row>
    <row r="869">
      <c r="A869" s="512" t="s">
        <v>2038</v>
      </c>
      <c r="B869" s="512" t="s">
        <v>163</v>
      </c>
      <c r="C869" s="512" t="s">
        <v>69</v>
      </c>
      <c r="D869" s="512" t="s">
        <v>574</v>
      </c>
      <c r="E869" s="513" t="s">
        <v>312</v>
      </c>
      <c r="F869" s="514">
        <v>140961.0</v>
      </c>
      <c r="G869" s="514">
        <v>5.0</v>
      </c>
      <c r="H869" s="514">
        <v>0.0</v>
      </c>
      <c r="I869" s="514">
        <v>0.0</v>
      </c>
      <c r="J869" s="514">
        <v>0.0</v>
      </c>
      <c r="K869" s="514">
        <v>5.0</v>
      </c>
      <c r="L869" s="514">
        <v>1261528.0</v>
      </c>
      <c r="M869" s="514">
        <v>0.0</v>
      </c>
      <c r="N869" s="6">
        <v>1.0</v>
      </c>
    </row>
    <row r="870">
      <c r="A870" s="512" t="s">
        <v>2038</v>
      </c>
      <c r="B870" s="512" t="s">
        <v>163</v>
      </c>
      <c r="C870" s="512" t="s">
        <v>68</v>
      </c>
      <c r="D870" s="512" t="s">
        <v>574</v>
      </c>
      <c r="E870" s="513" t="s">
        <v>50</v>
      </c>
      <c r="F870" s="514">
        <v>111587.0</v>
      </c>
      <c r="G870" s="514">
        <v>66710.0</v>
      </c>
      <c r="H870" s="514">
        <v>59.78</v>
      </c>
      <c r="I870" s="514">
        <v>45.72</v>
      </c>
      <c r="J870" s="514">
        <v>36.84</v>
      </c>
      <c r="K870" s="514">
        <v>7535110.0</v>
      </c>
      <c r="L870" s="514">
        <v>1.6481694E7</v>
      </c>
      <c r="M870" s="514">
        <v>67.5268</v>
      </c>
      <c r="N870" s="6">
        <v>112.9532</v>
      </c>
    </row>
    <row r="871">
      <c r="A871" s="512" t="s">
        <v>2038</v>
      </c>
      <c r="B871" s="512" t="s">
        <v>163</v>
      </c>
      <c r="C871" s="512" t="s">
        <v>68</v>
      </c>
      <c r="D871" s="512" t="s">
        <v>574</v>
      </c>
      <c r="E871" s="513" t="s">
        <v>377</v>
      </c>
      <c r="F871" s="514">
        <v>111587.0</v>
      </c>
      <c r="G871" s="514">
        <v>80160.0</v>
      </c>
      <c r="H871" s="514">
        <v>71.84</v>
      </c>
      <c r="I871" s="514">
        <v>32.08</v>
      </c>
      <c r="J871" s="514">
        <v>42.5</v>
      </c>
      <c r="K871" s="514">
        <v>5287657.0</v>
      </c>
      <c r="L871" s="514">
        <v>1.6481694E7</v>
      </c>
      <c r="M871" s="514">
        <v>47.386</v>
      </c>
      <c r="N871" s="6">
        <v>65.9638</v>
      </c>
    </row>
    <row r="872">
      <c r="A872" s="512" t="s">
        <v>2038</v>
      </c>
      <c r="B872" s="512" t="s">
        <v>163</v>
      </c>
      <c r="C872" s="512" t="s">
        <v>68</v>
      </c>
      <c r="D872" s="512" t="s">
        <v>574</v>
      </c>
      <c r="E872" s="513" t="s">
        <v>43</v>
      </c>
      <c r="F872" s="514">
        <v>111587.0</v>
      </c>
      <c r="G872" s="514">
        <v>17903.0</v>
      </c>
      <c r="H872" s="514">
        <v>16.04</v>
      </c>
      <c r="I872" s="514">
        <v>11.33</v>
      </c>
      <c r="J872" s="514">
        <v>6.69</v>
      </c>
      <c r="K872" s="514">
        <v>1867930.0</v>
      </c>
      <c r="L872" s="514">
        <v>1.6481694E7</v>
      </c>
      <c r="M872" s="514">
        <v>16.7397</v>
      </c>
      <c r="N872" s="6">
        <v>104.3361</v>
      </c>
    </row>
    <row r="873">
      <c r="A873" s="512" t="s">
        <v>2038</v>
      </c>
      <c r="B873" s="512" t="s">
        <v>163</v>
      </c>
      <c r="C873" s="512" t="s">
        <v>68</v>
      </c>
      <c r="D873" s="512" t="s">
        <v>574</v>
      </c>
      <c r="E873" s="513" t="s">
        <v>49</v>
      </c>
      <c r="F873" s="514">
        <v>111587.0</v>
      </c>
      <c r="G873" s="514">
        <v>37595.0</v>
      </c>
      <c r="H873" s="514">
        <v>33.69</v>
      </c>
      <c r="I873" s="514">
        <v>7.67</v>
      </c>
      <c r="J873" s="514">
        <v>9.07</v>
      </c>
      <c r="K873" s="514">
        <v>1264420.0</v>
      </c>
      <c r="L873" s="514">
        <v>1.6481694E7</v>
      </c>
      <c r="M873" s="514">
        <v>11.3312</v>
      </c>
      <c r="N873" s="6">
        <v>33.6327</v>
      </c>
    </row>
    <row r="874">
      <c r="A874" s="512" t="s">
        <v>2038</v>
      </c>
      <c r="B874" s="512" t="s">
        <v>163</v>
      </c>
      <c r="C874" s="512" t="s">
        <v>68</v>
      </c>
      <c r="D874" s="512" t="s">
        <v>574</v>
      </c>
      <c r="E874" s="513" t="s">
        <v>380</v>
      </c>
      <c r="F874" s="514">
        <v>111587.0</v>
      </c>
      <c r="G874" s="514">
        <v>6876.0</v>
      </c>
      <c r="H874" s="514">
        <v>6.16</v>
      </c>
      <c r="I874" s="514">
        <v>2.12</v>
      </c>
      <c r="J874" s="514">
        <v>3.93</v>
      </c>
      <c r="K874" s="514">
        <v>349142.0</v>
      </c>
      <c r="L874" s="514">
        <v>1.6481694E7</v>
      </c>
      <c r="M874" s="514">
        <v>3.1289</v>
      </c>
      <c r="N874" s="6">
        <v>50.7769</v>
      </c>
    </row>
    <row r="875">
      <c r="A875" s="512" t="s">
        <v>2038</v>
      </c>
      <c r="B875" s="512" t="s">
        <v>163</v>
      </c>
      <c r="C875" s="512" t="s">
        <v>68</v>
      </c>
      <c r="D875" s="512" t="s">
        <v>574</v>
      </c>
      <c r="E875" s="513" t="s">
        <v>134</v>
      </c>
      <c r="F875" s="514">
        <v>111587.0</v>
      </c>
      <c r="G875" s="514">
        <v>5756.0</v>
      </c>
      <c r="H875" s="514">
        <v>5.16</v>
      </c>
      <c r="I875" s="514">
        <v>1.07</v>
      </c>
      <c r="J875" s="514">
        <v>0.95</v>
      </c>
      <c r="K875" s="514">
        <v>176910.0</v>
      </c>
      <c r="L875" s="514">
        <v>1.6481694E7</v>
      </c>
      <c r="M875" s="514">
        <v>1.5854</v>
      </c>
      <c r="N875" s="6">
        <v>30.7349</v>
      </c>
    </row>
    <row r="876">
      <c r="A876" s="512" t="s">
        <v>2038</v>
      </c>
      <c r="B876" s="512" t="s">
        <v>163</v>
      </c>
      <c r="C876" s="512" t="s">
        <v>68</v>
      </c>
      <c r="D876" s="512" t="s">
        <v>574</v>
      </c>
      <c r="E876" s="513" t="s">
        <v>32</v>
      </c>
      <c r="F876" s="514">
        <v>111587.0</v>
      </c>
      <c r="G876" s="514">
        <v>31.0</v>
      </c>
      <c r="H876" s="514">
        <v>0.03</v>
      </c>
      <c r="I876" s="514">
        <v>0.0</v>
      </c>
      <c r="J876" s="514">
        <v>0.01</v>
      </c>
      <c r="K876" s="514">
        <v>330.0</v>
      </c>
      <c r="L876" s="514">
        <v>1.6481694E7</v>
      </c>
      <c r="M876" s="514">
        <v>0.003</v>
      </c>
      <c r="N876" s="6">
        <v>10.6452</v>
      </c>
    </row>
    <row r="877">
      <c r="A877" s="512" t="s">
        <v>2038</v>
      </c>
      <c r="B877" s="512" t="s">
        <v>163</v>
      </c>
      <c r="C877" s="512" t="s">
        <v>68</v>
      </c>
      <c r="D877" s="512" t="s">
        <v>574</v>
      </c>
      <c r="E877" s="513" t="s">
        <v>42</v>
      </c>
      <c r="F877" s="514">
        <v>111587.0</v>
      </c>
      <c r="G877" s="514">
        <v>2.0</v>
      </c>
      <c r="H877" s="514">
        <v>0.0</v>
      </c>
      <c r="I877" s="514">
        <v>0.0</v>
      </c>
      <c r="J877" s="514">
        <v>0.0</v>
      </c>
      <c r="K877" s="514">
        <v>40.0</v>
      </c>
      <c r="L877" s="514">
        <v>1.6481694E7</v>
      </c>
      <c r="M877" s="514">
        <v>4.0E-4</v>
      </c>
      <c r="N877" s="6">
        <v>20.0</v>
      </c>
    </row>
    <row r="878">
      <c r="A878" s="512" t="s">
        <v>2038</v>
      </c>
      <c r="B878" s="512" t="s">
        <v>163</v>
      </c>
      <c r="C878" s="512" t="s">
        <v>68</v>
      </c>
      <c r="D878" s="512" t="s">
        <v>574</v>
      </c>
      <c r="E878" s="513" t="s">
        <v>40</v>
      </c>
      <c r="F878" s="514">
        <v>111587.0</v>
      </c>
      <c r="G878" s="514">
        <v>2.0</v>
      </c>
      <c r="H878" s="514">
        <v>0.0</v>
      </c>
      <c r="I878" s="514">
        <v>0.0</v>
      </c>
      <c r="J878" s="514">
        <v>0.0</v>
      </c>
      <c r="K878" s="514">
        <v>130.0</v>
      </c>
      <c r="L878" s="514">
        <v>1.6481694E7</v>
      </c>
      <c r="M878" s="514">
        <v>0.0012</v>
      </c>
      <c r="N878" s="6">
        <v>65.0</v>
      </c>
    </row>
    <row r="879">
      <c r="A879" s="512" t="s">
        <v>2038</v>
      </c>
      <c r="B879" s="512" t="s">
        <v>163</v>
      </c>
      <c r="C879" s="512" t="s">
        <v>68</v>
      </c>
      <c r="D879" s="512" t="s">
        <v>574</v>
      </c>
      <c r="E879" s="513" t="s">
        <v>189</v>
      </c>
      <c r="F879" s="514">
        <v>111587.0</v>
      </c>
      <c r="G879" s="514">
        <v>1.0</v>
      </c>
      <c r="H879" s="514">
        <v>0.0</v>
      </c>
      <c r="I879" s="514">
        <v>0.0</v>
      </c>
      <c r="J879" s="514">
        <v>0.0</v>
      </c>
      <c r="K879" s="514">
        <v>25.0</v>
      </c>
      <c r="L879" s="514">
        <v>1.6481694E7</v>
      </c>
      <c r="M879" s="514">
        <v>2.0E-4</v>
      </c>
      <c r="N879" s="6">
        <v>25.0</v>
      </c>
    </row>
    <row r="880">
      <c r="A880" s="512" t="s">
        <v>2038</v>
      </c>
      <c r="B880" s="512" t="s">
        <v>163</v>
      </c>
      <c r="C880" s="512" t="s">
        <v>2035</v>
      </c>
      <c r="D880" s="512" t="s">
        <v>2036</v>
      </c>
      <c r="E880" s="513" t="s">
        <v>134</v>
      </c>
      <c r="F880" s="514">
        <v>7130.0</v>
      </c>
      <c r="G880" s="514">
        <v>7021.0</v>
      </c>
      <c r="H880" s="514">
        <v>98.47</v>
      </c>
      <c r="I880" s="514">
        <v>97.37</v>
      </c>
      <c r="J880" s="514">
        <v>98.45</v>
      </c>
      <c r="K880" s="514">
        <v>88430.0</v>
      </c>
      <c r="L880" s="514">
        <v>90815.0</v>
      </c>
      <c r="M880" s="514">
        <v>12.4025</v>
      </c>
      <c r="N880" s="6">
        <v>12.5951</v>
      </c>
    </row>
    <row r="881">
      <c r="A881" s="512" t="s">
        <v>2038</v>
      </c>
      <c r="B881" s="512" t="s">
        <v>163</v>
      </c>
      <c r="C881" s="512" t="s">
        <v>2035</v>
      </c>
      <c r="D881" s="512" t="s">
        <v>2036</v>
      </c>
      <c r="E881" s="513" t="s">
        <v>373</v>
      </c>
      <c r="F881" s="514">
        <v>7130.0</v>
      </c>
      <c r="G881" s="514">
        <v>112.0</v>
      </c>
      <c r="H881" s="514">
        <v>1.57</v>
      </c>
      <c r="I881" s="514">
        <v>2.61</v>
      </c>
      <c r="J881" s="514">
        <v>1.55</v>
      </c>
      <c r="K881" s="514">
        <v>2370.0</v>
      </c>
      <c r="L881" s="514">
        <v>90815.0</v>
      </c>
      <c r="M881" s="514">
        <v>0.3324</v>
      </c>
      <c r="N881" s="6">
        <v>21.1607</v>
      </c>
    </row>
    <row r="882">
      <c r="A882" s="512" t="s">
        <v>2038</v>
      </c>
      <c r="B882" s="512" t="s">
        <v>163</v>
      </c>
      <c r="C882" s="512" t="s">
        <v>2035</v>
      </c>
      <c r="D882" s="512" t="s">
        <v>2036</v>
      </c>
      <c r="E882" s="513" t="s">
        <v>377</v>
      </c>
      <c r="F882" s="514">
        <v>7130.0</v>
      </c>
      <c r="G882" s="514">
        <v>1.0</v>
      </c>
      <c r="H882" s="514">
        <v>0.01</v>
      </c>
      <c r="I882" s="514">
        <v>0.02</v>
      </c>
      <c r="J882" s="514">
        <v>0.01</v>
      </c>
      <c r="K882" s="514">
        <v>15.0</v>
      </c>
      <c r="L882" s="514">
        <v>90815.0</v>
      </c>
      <c r="M882" s="514">
        <v>0.0021</v>
      </c>
      <c r="N882" s="6">
        <v>15.0</v>
      </c>
    </row>
    <row r="883">
      <c r="A883" s="512" t="s">
        <v>2038</v>
      </c>
      <c r="B883" s="512" t="s">
        <v>163</v>
      </c>
      <c r="C883" s="512" t="s">
        <v>73</v>
      </c>
      <c r="D883" s="512" t="s">
        <v>574</v>
      </c>
      <c r="E883" s="513" t="s">
        <v>379</v>
      </c>
      <c r="F883" s="514">
        <v>126156.0</v>
      </c>
      <c r="G883" s="514">
        <v>95894.0</v>
      </c>
      <c r="H883" s="514">
        <v>76.01</v>
      </c>
      <c r="I883" s="514">
        <v>26.28</v>
      </c>
      <c r="J883" s="514">
        <v>30.44</v>
      </c>
      <c r="K883" s="514">
        <v>238501.0</v>
      </c>
      <c r="L883" s="514">
        <v>907509.0</v>
      </c>
      <c r="M883" s="514">
        <v>1.8905</v>
      </c>
      <c r="N883" s="6">
        <v>2.4871</v>
      </c>
    </row>
    <row r="884">
      <c r="A884" s="512" t="s">
        <v>2038</v>
      </c>
      <c r="B884" s="512" t="s">
        <v>163</v>
      </c>
      <c r="C884" s="512" t="s">
        <v>73</v>
      </c>
      <c r="D884" s="512" t="s">
        <v>574</v>
      </c>
      <c r="E884" s="513" t="s">
        <v>373</v>
      </c>
      <c r="F884" s="514">
        <v>126156.0</v>
      </c>
      <c r="G884" s="514">
        <v>57077.0</v>
      </c>
      <c r="H884" s="514">
        <v>45.24</v>
      </c>
      <c r="I884" s="514">
        <v>11.3</v>
      </c>
      <c r="J884" s="514">
        <v>9.39</v>
      </c>
      <c r="K884" s="514">
        <v>102581.0</v>
      </c>
      <c r="L884" s="514">
        <v>907509.0</v>
      </c>
      <c r="M884" s="514">
        <v>0.8131</v>
      </c>
      <c r="N884" s="6">
        <v>1.7972</v>
      </c>
    </row>
    <row r="885">
      <c r="A885" s="512" t="s">
        <v>2038</v>
      </c>
      <c r="B885" s="512" t="s">
        <v>163</v>
      </c>
      <c r="C885" s="512" t="s">
        <v>73</v>
      </c>
      <c r="D885" s="512" t="s">
        <v>574</v>
      </c>
      <c r="E885" s="513" t="s">
        <v>367</v>
      </c>
      <c r="F885" s="514">
        <v>126156.0</v>
      </c>
      <c r="G885" s="514">
        <v>26574.0</v>
      </c>
      <c r="H885" s="514">
        <v>21.06</v>
      </c>
      <c r="I885" s="514">
        <v>9.01</v>
      </c>
      <c r="J885" s="514">
        <v>5.52</v>
      </c>
      <c r="K885" s="514">
        <v>81741.0</v>
      </c>
      <c r="L885" s="514">
        <v>907509.0</v>
      </c>
      <c r="M885" s="514">
        <v>0.6479</v>
      </c>
      <c r="N885" s="6">
        <v>3.076</v>
      </c>
    </row>
    <row r="886">
      <c r="A886" s="512" t="s">
        <v>2038</v>
      </c>
      <c r="B886" s="512" t="s">
        <v>163</v>
      </c>
      <c r="C886" s="512" t="s">
        <v>73</v>
      </c>
      <c r="D886" s="512" t="s">
        <v>574</v>
      </c>
      <c r="E886" s="513" t="s">
        <v>380</v>
      </c>
      <c r="F886" s="514">
        <v>126156.0</v>
      </c>
      <c r="G886" s="514">
        <v>51144.0</v>
      </c>
      <c r="H886" s="514">
        <v>40.54</v>
      </c>
      <c r="I886" s="514">
        <v>8.81</v>
      </c>
      <c r="J886" s="514">
        <v>8.38</v>
      </c>
      <c r="K886" s="514">
        <v>79915.0</v>
      </c>
      <c r="L886" s="514">
        <v>907509.0</v>
      </c>
      <c r="M886" s="514">
        <v>0.6335</v>
      </c>
      <c r="N886" s="6">
        <v>1.5625</v>
      </c>
    </row>
    <row r="887">
      <c r="A887" s="512" t="s">
        <v>2038</v>
      </c>
      <c r="B887" s="512" t="s">
        <v>163</v>
      </c>
      <c r="C887" s="512" t="s">
        <v>73</v>
      </c>
      <c r="D887" s="512" t="s">
        <v>574</v>
      </c>
      <c r="E887" s="513" t="s">
        <v>372</v>
      </c>
      <c r="F887" s="514">
        <v>126156.0</v>
      </c>
      <c r="G887" s="514">
        <v>54976.0</v>
      </c>
      <c r="H887" s="514">
        <v>43.58</v>
      </c>
      <c r="I887" s="514">
        <v>7.69</v>
      </c>
      <c r="J887" s="514">
        <v>10.7</v>
      </c>
      <c r="K887" s="514">
        <v>69764.0</v>
      </c>
      <c r="L887" s="514">
        <v>907509.0</v>
      </c>
      <c r="M887" s="514">
        <v>0.553</v>
      </c>
      <c r="N887" s="6">
        <v>1.269</v>
      </c>
    </row>
    <row r="888">
      <c r="A888" s="512" t="s">
        <v>2038</v>
      </c>
      <c r="B888" s="512" t="s">
        <v>163</v>
      </c>
      <c r="C888" s="512" t="s">
        <v>73</v>
      </c>
      <c r="D888" s="512" t="s">
        <v>574</v>
      </c>
      <c r="E888" s="513" t="s">
        <v>42</v>
      </c>
      <c r="F888" s="514">
        <v>126156.0</v>
      </c>
      <c r="G888" s="514">
        <v>37565.0</v>
      </c>
      <c r="H888" s="514">
        <v>29.78</v>
      </c>
      <c r="I888" s="514">
        <v>7.05</v>
      </c>
      <c r="J888" s="514">
        <v>7.12</v>
      </c>
      <c r="K888" s="514">
        <v>63960.0</v>
      </c>
      <c r="L888" s="514">
        <v>907509.0</v>
      </c>
      <c r="M888" s="514">
        <v>0.507</v>
      </c>
      <c r="N888" s="6">
        <v>1.7026</v>
      </c>
    </row>
    <row r="889">
      <c r="A889" s="512" t="s">
        <v>2038</v>
      </c>
      <c r="B889" s="512" t="s">
        <v>163</v>
      </c>
      <c r="C889" s="512" t="s">
        <v>73</v>
      </c>
      <c r="D889" s="512" t="s">
        <v>574</v>
      </c>
      <c r="E889" s="513" t="s">
        <v>377</v>
      </c>
      <c r="F889" s="514">
        <v>126156.0</v>
      </c>
      <c r="G889" s="514">
        <v>33166.0</v>
      </c>
      <c r="H889" s="514">
        <v>26.29</v>
      </c>
      <c r="I889" s="514">
        <v>5.58</v>
      </c>
      <c r="J889" s="514">
        <v>5.31</v>
      </c>
      <c r="K889" s="514">
        <v>50675.0</v>
      </c>
      <c r="L889" s="514">
        <v>907509.0</v>
      </c>
      <c r="M889" s="514">
        <v>0.4017</v>
      </c>
      <c r="N889" s="6">
        <v>1.5279</v>
      </c>
    </row>
    <row r="890">
      <c r="A890" s="512" t="s">
        <v>2038</v>
      </c>
      <c r="B890" s="512" t="s">
        <v>163</v>
      </c>
      <c r="C890" s="512" t="s">
        <v>73</v>
      </c>
      <c r="D890" s="512" t="s">
        <v>574</v>
      </c>
      <c r="E890" s="513" t="s">
        <v>44</v>
      </c>
      <c r="F890" s="514">
        <v>126156.0</v>
      </c>
      <c r="G890" s="514">
        <v>31283.0</v>
      </c>
      <c r="H890" s="514">
        <v>24.8</v>
      </c>
      <c r="I890" s="514">
        <v>5.0</v>
      </c>
      <c r="J890" s="514">
        <v>3.47</v>
      </c>
      <c r="K890" s="514">
        <v>45380.0</v>
      </c>
      <c r="L890" s="514">
        <v>907509.0</v>
      </c>
      <c r="M890" s="514">
        <v>0.3597</v>
      </c>
      <c r="N890" s="6">
        <v>1.4506</v>
      </c>
    </row>
    <row r="891">
      <c r="A891" s="512" t="s">
        <v>2038</v>
      </c>
      <c r="B891" s="512" t="s">
        <v>163</v>
      </c>
      <c r="C891" s="512" t="s">
        <v>73</v>
      </c>
      <c r="D891" s="512" t="s">
        <v>574</v>
      </c>
      <c r="E891" s="513" t="s">
        <v>50</v>
      </c>
      <c r="F891" s="514">
        <v>126156.0</v>
      </c>
      <c r="G891" s="514">
        <v>28919.0</v>
      </c>
      <c r="H891" s="514">
        <v>22.92</v>
      </c>
      <c r="I891" s="514">
        <v>4.32</v>
      </c>
      <c r="J891" s="514">
        <v>4.17</v>
      </c>
      <c r="K891" s="514">
        <v>39207.0</v>
      </c>
      <c r="L891" s="514">
        <v>907509.0</v>
      </c>
      <c r="M891" s="514">
        <v>0.3108</v>
      </c>
      <c r="N891" s="6">
        <v>1.3558</v>
      </c>
    </row>
    <row r="892">
      <c r="A892" s="512" t="s">
        <v>2038</v>
      </c>
      <c r="B892" s="512" t="s">
        <v>163</v>
      </c>
      <c r="C892" s="512" t="s">
        <v>73</v>
      </c>
      <c r="D892" s="512" t="s">
        <v>574</v>
      </c>
      <c r="E892" s="513" t="s">
        <v>134</v>
      </c>
      <c r="F892" s="514">
        <v>126156.0</v>
      </c>
      <c r="G892" s="514">
        <v>19277.0</v>
      </c>
      <c r="H892" s="514">
        <v>15.28</v>
      </c>
      <c r="I892" s="514">
        <v>3.35</v>
      </c>
      <c r="J892" s="514">
        <v>4.03</v>
      </c>
      <c r="K892" s="514">
        <v>30404.0</v>
      </c>
      <c r="L892" s="514">
        <v>907509.0</v>
      </c>
      <c r="M892" s="514">
        <v>0.241</v>
      </c>
      <c r="N892" s="6">
        <v>1.5772</v>
      </c>
    </row>
    <row r="893">
      <c r="A893" s="512" t="s">
        <v>2038</v>
      </c>
      <c r="B893" s="512" t="s">
        <v>163</v>
      </c>
      <c r="C893" s="512" t="s">
        <v>73</v>
      </c>
      <c r="D893" s="512" t="s">
        <v>574</v>
      </c>
      <c r="E893" s="513" t="s">
        <v>40</v>
      </c>
      <c r="F893" s="514">
        <v>126156.0</v>
      </c>
      <c r="G893" s="514">
        <v>8641.0</v>
      </c>
      <c r="H893" s="514">
        <v>6.85</v>
      </c>
      <c r="I893" s="514">
        <v>3.02</v>
      </c>
      <c r="J893" s="514">
        <v>2.27</v>
      </c>
      <c r="K893" s="514">
        <v>27366.0</v>
      </c>
      <c r="L893" s="514">
        <v>907509.0</v>
      </c>
      <c r="M893" s="514">
        <v>0.2169</v>
      </c>
      <c r="N893" s="6">
        <v>3.167</v>
      </c>
    </row>
    <row r="894">
      <c r="A894" s="512" t="s">
        <v>2038</v>
      </c>
      <c r="B894" s="512" t="s">
        <v>163</v>
      </c>
      <c r="C894" s="512" t="s">
        <v>73</v>
      </c>
      <c r="D894" s="512" t="s">
        <v>574</v>
      </c>
      <c r="E894" s="513" t="s">
        <v>310</v>
      </c>
      <c r="F894" s="514">
        <v>126156.0</v>
      </c>
      <c r="G894" s="514">
        <v>21733.0</v>
      </c>
      <c r="H894" s="514">
        <v>17.23</v>
      </c>
      <c r="I894" s="514">
        <v>2.86</v>
      </c>
      <c r="J894" s="514">
        <v>2.91</v>
      </c>
      <c r="K894" s="514">
        <v>25990.0</v>
      </c>
      <c r="L894" s="514">
        <v>907509.0</v>
      </c>
      <c r="M894" s="514">
        <v>0.206</v>
      </c>
      <c r="N894" s="6">
        <v>1.1959</v>
      </c>
    </row>
    <row r="895">
      <c r="A895" s="512" t="s">
        <v>2038</v>
      </c>
      <c r="B895" s="512" t="s">
        <v>163</v>
      </c>
      <c r="C895" s="512" t="s">
        <v>73</v>
      </c>
      <c r="D895" s="512" t="s">
        <v>574</v>
      </c>
      <c r="E895" s="513" t="s">
        <v>32</v>
      </c>
      <c r="F895" s="514">
        <v>126156.0</v>
      </c>
      <c r="G895" s="514">
        <v>21189.0</v>
      </c>
      <c r="H895" s="514">
        <v>16.8</v>
      </c>
      <c r="I895" s="514">
        <v>2.74</v>
      </c>
      <c r="J895" s="514">
        <v>2.96</v>
      </c>
      <c r="K895" s="514">
        <v>24845.0</v>
      </c>
      <c r="L895" s="514">
        <v>907509.0</v>
      </c>
      <c r="M895" s="514">
        <v>0.1969</v>
      </c>
      <c r="N895" s="6">
        <v>1.1725</v>
      </c>
    </row>
    <row r="896">
      <c r="A896" s="512" t="s">
        <v>2038</v>
      </c>
      <c r="B896" s="512" t="s">
        <v>163</v>
      </c>
      <c r="C896" s="512" t="s">
        <v>73</v>
      </c>
      <c r="D896" s="512" t="s">
        <v>574</v>
      </c>
      <c r="E896" s="513" t="s">
        <v>312</v>
      </c>
      <c r="F896" s="514">
        <v>126156.0</v>
      </c>
      <c r="G896" s="514">
        <v>16892.0</v>
      </c>
      <c r="H896" s="514">
        <v>13.39</v>
      </c>
      <c r="I896" s="514">
        <v>2.25</v>
      </c>
      <c r="J896" s="514">
        <v>2.38</v>
      </c>
      <c r="K896" s="514">
        <v>20386.0</v>
      </c>
      <c r="L896" s="514">
        <v>907509.0</v>
      </c>
      <c r="M896" s="514">
        <v>0.1616</v>
      </c>
      <c r="N896" s="6">
        <v>1.2068</v>
      </c>
    </row>
    <row r="897">
      <c r="A897" s="512" t="s">
        <v>2038</v>
      </c>
      <c r="B897" s="512" t="s">
        <v>163</v>
      </c>
      <c r="C897" s="512" t="s">
        <v>73</v>
      </c>
      <c r="D897" s="512" t="s">
        <v>574</v>
      </c>
      <c r="E897" s="513" t="s">
        <v>311</v>
      </c>
      <c r="F897" s="514">
        <v>126156.0</v>
      </c>
      <c r="G897" s="514">
        <v>5333.0</v>
      </c>
      <c r="H897" s="514">
        <v>4.23</v>
      </c>
      <c r="I897" s="514">
        <v>0.6</v>
      </c>
      <c r="J897" s="514">
        <v>0.8</v>
      </c>
      <c r="K897" s="514">
        <v>5479.0</v>
      </c>
      <c r="L897" s="514">
        <v>907509.0</v>
      </c>
      <c r="M897" s="514">
        <v>0.0434</v>
      </c>
      <c r="N897" s="6">
        <v>1.0274</v>
      </c>
    </row>
    <row r="898">
      <c r="A898" s="512" t="s">
        <v>2038</v>
      </c>
      <c r="B898" s="512" t="s">
        <v>163</v>
      </c>
      <c r="C898" s="512" t="s">
        <v>73</v>
      </c>
      <c r="D898" s="512" t="s">
        <v>574</v>
      </c>
      <c r="E898" s="513" t="s">
        <v>43</v>
      </c>
      <c r="F898" s="514">
        <v>126156.0</v>
      </c>
      <c r="G898" s="514">
        <v>1126.0</v>
      </c>
      <c r="H898" s="514">
        <v>0.89</v>
      </c>
      <c r="I898" s="514">
        <v>0.13</v>
      </c>
      <c r="J898" s="514">
        <v>0.14</v>
      </c>
      <c r="K898" s="514">
        <v>1195.0</v>
      </c>
      <c r="L898" s="514">
        <v>907509.0</v>
      </c>
      <c r="M898" s="514">
        <v>0.0095</v>
      </c>
      <c r="N898" s="6">
        <v>1.0613</v>
      </c>
    </row>
    <row r="899">
      <c r="A899" s="512" t="s">
        <v>2038</v>
      </c>
      <c r="B899" s="512" t="s">
        <v>163</v>
      </c>
      <c r="C899" s="512" t="s">
        <v>73</v>
      </c>
      <c r="D899" s="512" t="s">
        <v>574</v>
      </c>
      <c r="E899" s="513" t="s">
        <v>35</v>
      </c>
      <c r="F899" s="514">
        <v>126156.0</v>
      </c>
      <c r="G899" s="514">
        <v>85.0</v>
      </c>
      <c r="H899" s="514">
        <v>0.07</v>
      </c>
      <c r="I899" s="514">
        <v>0.01</v>
      </c>
      <c r="J899" s="514">
        <v>0.01</v>
      </c>
      <c r="K899" s="514">
        <v>89.0</v>
      </c>
      <c r="L899" s="514">
        <v>907509.0</v>
      </c>
      <c r="M899" s="514">
        <v>7.0E-4</v>
      </c>
      <c r="N899" s="6">
        <v>1.0471</v>
      </c>
    </row>
    <row r="900">
      <c r="A900" s="512" t="s">
        <v>2038</v>
      </c>
      <c r="B900" s="512" t="s">
        <v>163</v>
      </c>
      <c r="C900" s="512" t="s">
        <v>73</v>
      </c>
      <c r="D900" s="512" t="s">
        <v>574</v>
      </c>
      <c r="E900" s="513" t="s">
        <v>375</v>
      </c>
      <c r="F900" s="514">
        <v>126156.0</v>
      </c>
      <c r="G900" s="514">
        <v>1.0</v>
      </c>
      <c r="H900" s="514">
        <v>0.0</v>
      </c>
      <c r="I900" s="514">
        <v>0.0</v>
      </c>
      <c r="J900" s="514">
        <v>0.0</v>
      </c>
      <c r="K900" s="514">
        <v>1.0</v>
      </c>
      <c r="L900" s="514">
        <v>907509.0</v>
      </c>
      <c r="M900" s="514">
        <v>0.0</v>
      </c>
      <c r="N900" s="6">
        <v>1.0</v>
      </c>
    </row>
    <row r="901">
      <c r="A901" s="512" t="s">
        <v>2038</v>
      </c>
      <c r="B901" s="512" t="s">
        <v>163</v>
      </c>
      <c r="C901" s="512" t="s">
        <v>73</v>
      </c>
      <c r="D901" s="512" t="s">
        <v>574</v>
      </c>
      <c r="E901" s="513" t="s">
        <v>189</v>
      </c>
      <c r="F901" s="514">
        <v>126156.0</v>
      </c>
      <c r="G901" s="514">
        <v>9.0</v>
      </c>
      <c r="H901" s="514">
        <v>0.01</v>
      </c>
      <c r="I901" s="514">
        <v>0.0</v>
      </c>
      <c r="J901" s="514">
        <v>0.0</v>
      </c>
      <c r="K901" s="514">
        <v>9.0</v>
      </c>
      <c r="L901" s="514">
        <v>907509.0</v>
      </c>
      <c r="M901" s="514">
        <v>1.0E-4</v>
      </c>
      <c r="N901" s="6">
        <v>1.0</v>
      </c>
    </row>
    <row r="902">
      <c r="A902" s="512" t="s">
        <v>2038</v>
      </c>
      <c r="B902" s="512" t="s">
        <v>163</v>
      </c>
      <c r="C902" s="512" t="s">
        <v>73</v>
      </c>
      <c r="D902" s="512" t="s">
        <v>574</v>
      </c>
      <c r="E902" s="513" t="s">
        <v>374</v>
      </c>
      <c r="F902" s="514">
        <v>126156.0</v>
      </c>
      <c r="G902" s="514">
        <v>10.0</v>
      </c>
      <c r="H902" s="514">
        <v>0.01</v>
      </c>
      <c r="I902" s="514">
        <v>0.0</v>
      </c>
      <c r="J902" s="514">
        <v>0.0</v>
      </c>
      <c r="K902" s="514">
        <v>21.0</v>
      </c>
      <c r="L902" s="514">
        <v>907509.0</v>
      </c>
      <c r="M902" s="514">
        <v>2.0E-4</v>
      </c>
      <c r="N902" s="6">
        <v>2.1</v>
      </c>
    </row>
    <row r="903">
      <c r="A903" s="512" t="s">
        <v>2038</v>
      </c>
      <c r="B903" s="512" t="s">
        <v>163</v>
      </c>
      <c r="C903" s="512" t="s">
        <v>72</v>
      </c>
      <c r="D903" s="512" t="s">
        <v>574</v>
      </c>
      <c r="E903" s="513" t="s">
        <v>379</v>
      </c>
      <c r="F903" s="514">
        <v>125925.0</v>
      </c>
      <c r="G903" s="514">
        <v>83252.0</v>
      </c>
      <c r="H903" s="514">
        <v>66.11</v>
      </c>
      <c r="I903" s="514">
        <v>18.29</v>
      </c>
      <c r="J903" s="514">
        <v>21.42</v>
      </c>
      <c r="K903" s="514">
        <v>179054.0</v>
      </c>
      <c r="L903" s="514">
        <v>979165.0</v>
      </c>
      <c r="M903" s="514">
        <v>1.4219</v>
      </c>
      <c r="N903" s="6">
        <v>2.1507</v>
      </c>
    </row>
    <row r="904">
      <c r="A904" s="512" t="s">
        <v>2038</v>
      </c>
      <c r="B904" s="512" t="s">
        <v>163</v>
      </c>
      <c r="C904" s="512" t="s">
        <v>72</v>
      </c>
      <c r="D904" s="512" t="s">
        <v>574</v>
      </c>
      <c r="E904" s="513" t="s">
        <v>373</v>
      </c>
      <c r="F904" s="514">
        <v>125925.0</v>
      </c>
      <c r="G904" s="514">
        <v>70307.0</v>
      </c>
      <c r="H904" s="514">
        <v>55.83</v>
      </c>
      <c r="I904" s="514">
        <v>15.78</v>
      </c>
      <c r="J904" s="514">
        <v>14.34</v>
      </c>
      <c r="K904" s="514">
        <v>154547.0</v>
      </c>
      <c r="L904" s="514">
        <v>979165.0</v>
      </c>
      <c r="M904" s="514">
        <v>1.2273</v>
      </c>
      <c r="N904" s="6">
        <v>2.1982</v>
      </c>
    </row>
    <row r="905">
      <c r="A905" s="512" t="s">
        <v>2038</v>
      </c>
      <c r="B905" s="512" t="s">
        <v>163</v>
      </c>
      <c r="C905" s="512" t="s">
        <v>72</v>
      </c>
      <c r="D905" s="512" t="s">
        <v>574</v>
      </c>
      <c r="E905" s="513" t="s">
        <v>367</v>
      </c>
      <c r="F905" s="514">
        <v>125925.0</v>
      </c>
      <c r="G905" s="514">
        <v>26716.0</v>
      </c>
      <c r="H905" s="514">
        <v>21.22</v>
      </c>
      <c r="I905" s="514">
        <v>8.32</v>
      </c>
      <c r="J905" s="514">
        <v>5.2</v>
      </c>
      <c r="K905" s="514">
        <v>81447.0</v>
      </c>
      <c r="L905" s="514">
        <v>979165.0</v>
      </c>
      <c r="M905" s="514">
        <v>0.6468</v>
      </c>
      <c r="N905" s="6">
        <v>3.0486</v>
      </c>
    </row>
    <row r="906">
      <c r="A906" s="512" t="s">
        <v>2038</v>
      </c>
      <c r="B906" s="512" t="s">
        <v>163</v>
      </c>
      <c r="C906" s="512" t="s">
        <v>72</v>
      </c>
      <c r="D906" s="512" t="s">
        <v>574</v>
      </c>
      <c r="E906" s="513" t="s">
        <v>374</v>
      </c>
      <c r="F906" s="514">
        <v>125925.0</v>
      </c>
      <c r="G906" s="514">
        <v>31800.0</v>
      </c>
      <c r="H906" s="514">
        <v>25.25</v>
      </c>
      <c r="I906" s="514">
        <v>8.25</v>
      </c>
      <c r="J906" s="514">
        <v>8.99</v>
      </c>
      <c r="K906" s="514">
        <v>80789.0</v>
      </c>
      <c r="L906" s="514">
        <v>979165.0</v>
      </c>
      <c r="M906" s="514">
        <v>0.6416</v>
      </c>
      <c r="N906" s="6">
        <v>2.5405</v>
      </c>
    </row>
    <row r="907">
      <c r="A907" s="512" t="s">
        <v>2038</v>
      </c>
      <c r="B907" s="512" t="s">
        <v>163</v>
      </c>
      <c r="C907" s="512" t="s">
        <v>72</v>
      </c>
      <c r="D907" s="512" t="s">
        <v>574</v>
      </c>
      <c r="E907" s="513" t="s">
        <v>49</v>
      </c>
      <c r="F907" s="514">
        <v>125925.0</v>
      </c>
      <c r="G907" s="514">
        <v>38658.0</v>
      </c>
      <c r="H907" s="514">
        <v>30.7</v>
      </c>
      <c r="I907" s="514">
        <v>6.68</v>
      </c>
      <c r="J907" s="514">
        <v>6.42</v>
      </c>
      <c r="K907" s="514">
        <v>65383.0</v>
      </c>
      <c r="L907" s="514">
        <v>979165.0</v>
      </c>
      <c r="M907" s="514">
        <v>0.5192</v>
      </c>
      <c r="N907" s="6">
        <v>1.6913</v>
      </c>
    </row>
    <row r="908">
      <c r="A908" s="512" t="s">
        <v>2038</v>
      </c>
      <c r="B908" s="512" t="s">
        <v>163</v>
      </c>
      <c r="C908" s="512" t="s">
        <v>72</v>
      </c>
      <c r="D908" s="512" t="s">
        <v>574</v>
      </c>
      <c r="E908" s="513" t="s">
        <v>377</v>
      </c>
      <c r="F908" s="514">
        <v>125925.0</v>
      </c>
      <c r="G908" s="514">
        <v>42959.0</v>
      </c>
      <c r="H908" s="514">
        <v>34.11</v>
      </c>
      <c r="I908" s="514">
        <v>6.45</v>
      </c>
      <c r="J908" s="514">
        <v>6.73</v>
      </c>
      <c r="K908" s="514">
        <v>63175.0</v>
      </c>
      <c r="L908" s="514">
        <v>979165.0</v>
      </c>
      <c r="M908" s="514">
        <v>0.5017</v>
      </c>
      <c r="N908" s="6">
        <v>1.4706</v>
      </c>
    </row>
    <row r="909">
      <c r="A909" s="512" t="s">
        <v>2038</v>
      </c>
      <c r="B909" s="512" t="s">
        <v>163</v>
      </c>
      <c r="C909" s="512" t="s">
        <v>72</v>
      </c>
      <c r="D909" s="512" t="s">
        <v>574</v>
      </c>
      <c r="E909" s="513" t="s">
        <v>40</v>
      </c>
      <c r="F909" s="514">
        <v>125925.0</v>
      </c>
      <c r="G909" s="514">
        <v>28217.0</v>
      </c>
      <c r="H909" s="514">
        <v>22.41</v>
      </c>
      <c r="I909" s="514">
        <v>6.02</v>
      </c>
      <c r="J909" s="514">
        <v>5.67</v>
      </c>
      <c r="K909" s="514">
        <v>58972.0</v>
      </c>
      <c r="L909" s="514">
        <v>979165.0</v>
      </c>
      <c r="M909" s="514">
        <v>0.4683</v>
      </c>
      <c r="N909" s="6">
        <v>2.0899</v>
      </c>
    </row>
    <row r="910">
      <c r="A910" s="512" t="s">
        <v>2038</v>
      </c>
      <c r="B910" s="512" t="s">
        <v>163</v>
      </c>
      <c r="C910" s="512" t="s">
        <v>72</v>
      </c>
      <c r="D910" s="512" t="s">
        <v>574</v>
      </c>
      <c r="E910" s="513" t="s">
        <v>42</v>
      </c>
      <c r="F910" s="514">
        <v>125925.0</v>
      </c>
      <c r="G910" s="514">
        <v>32286.0</v>
      </c>
      <c r="H910" s="514">
        <v>25.64</v>
      </c>
      <c r="I910" s="514">
        <v>4.91</v>
      </c>
      <c r="J910" s="514">
        <v>5.26</v>
      </c>
      <c r="K910" s="514">
        <v>48101.0</v>
      </c>
      <c r="L910" s="514">
        <v>979165.0</v>
      </c>
      <c r="M910" s="514">
        <v>0.382</v>
      </c>
      <c r="N910" s="6">
        <v>1.4898</v>
      </c>
    </row>
    <row r="911">
      <c r="A911" s="512" t="s">
        <v>2038</v>
      </c>
      <c r="B911" s="512" t="s">
        <v>163</v>
      </c>
      <c r="C911" s="512" t="s">
        <v>72</v>
      </c>
      <c r="D911" s="512" t="s">
        <v>574</v>
      </c>
      <c r="E911" s="513" t="s">
        <v>372</v>
      </c>
      <c r="F911" s="514">
        <v>125925.0</v>
      </c>
      <c r="G911" s="514">
        <v>39490.0</v>
      </c>
      <c r="H911" s="514">
        <v>31.36</v>
      </c>
      <c r="I911" s="514">
        <v>4.71</v>
      </c>
      <c r="J911" s="514">
        <v>6.23</v>
      </c>
      <c r="K911" s="514">
        <v>46095.0</v>
      </c>
      <c r="L911" s="514">
        <v>979165.0</v>
      </c>
      <c r="M911" s="514">
        <v>0.3661</v>
      </c>
      <c r="N911" s="6">
        <v>1.1673</v>
      </c>
    </row>
    <row r="912">
      <c r="A912" s="512" t="s">
        <v>2038</v>
      </c>
      <c r="B912" s="512" t="s">
        <v>163</v>
      </c>
      <c r="C912" s="512" t="s">
        <v>72</v>
      </c>
      <c r="D912" s="512" t="s">
        <v>574</v>
      </c>
      <c r="E912" s="513" t="s">
        <v>50</v>
      </c>
      <c r="F912" s="514">
        <v>125925.0</v>
      </c>
      <c r="G912" s="514">
        <v>28035.0</v>
      </c>
      <c r="H912" s="514">
        <v>22.26</v>
      </c>
      <c r="I912" s="514">
        <v>3.87</v>
      </c>
      <c r="J912" s="514">
        <v>3.52</v>
      </c>
      <c r="K912" s="514">
        <v>37854.0</v>
      </c>
      <c r="L912" s="514">
        <v>979165.0</v>
      </c>
      <c r="M912" s="514">
        <v>0.3006</v>
      </c>
      <c r="N912" s="6">
        <v>1.3502</v>
      </c>
    </row>
    <row r="913">
      <c r="A913" s="512" t="s">
        <v>2038</v>
      </c>
      <c r="B913" s="512" t="s">
        <v>163</v>
      </c>
      <c r="C913" s="512" t="s">
        <v>72</v>
      </c>
      <c r="D913" s="512" t="s">
        <v>574</v>
      </c>
      <c r="E913" s="513" t="s">
        <v>310</v>
      </c>
      <c r="F913" s="514">
        <v>125925.0</v>
      </c>
      <c r="G913" s="514">
        <v>30398.0</v>
      </c>
      <c r="H913" s="514">
        <v>24.14</v>
      </c>
      <c r="I913" s="514">
        <v>3.85</v>
      </c>
      <c r="J913" s="514">
        <v>4.04</v>
      </c>
      <c r="K913" s="514">
        <v>37713.0</v>
      </c>
      <c r="L913" s="514">
        <v>979165.0</v>
      </c>
      <c r="M913" s="514">
        <v>0.2995</v>
      </c>
      <c r="N913" s="6">
        <v>1.2406</v>
      </c>
    </row>
    <row r="914">
      <c r="A914" s="512" t="s">
        <v>2038</v>
      </c>
      <c r="B914" s="512" t="s">
        <v>163</v>
      </c>
      <c r="C914" s="512" t="s">
        <v>72</v>
      </c>
      <c r="D914" s="512" t="s">
        <v>574</v>
      </c>
      <c r="E914" s="513" t="s">
        <v>312</v>
      </c>
      <c r="F914" s="514">
        <v>125925.0</v>
      </c>
      <c r="G914" s="514">
        <v>27437.0</v>
      </c>
      <c r="H914" s="514">
        <v>21.79</v>
      </c>
      <c r="I914" s="514">
        <v>3.46</v>
      </c>
      <c r="J914" s="514">
        <v>3.96</v>
      </c>
      <c r="K914" s="514">
        <v>33899.0</v>
      </c>
      <c r="L914" s="514">
        <v>979165.0</v>
      </c>
      <c r="M914" s="514">
        <v>0.2692</v>
      </c>
      <c r="N914" s="6">
        <v>1.2355</v>
      </c>
    </row>
    <row r="915">
      <c r="A915" s="512" t="s">
        <v>2038</v>
      </c>
      <c r="B915" s="512" t="s">
        <v>163</v>
      </c>
      <c r="C915" s="512" t="s">
        <v>72</v>
      </c>
      <c r="D915" s="512" t="s">
        <v>574</v>
      </c>
      <c r="E915" s="513" t="s">
        <v>32</v>
      </c>
      <c r="F915" s="514">
        <v>125925.0</v>
      </c>
      <c r="G915" s="514">
        <v>27298.0</v>
      </c>
      <c r="H915" s="514">
        <v>21.68</v>
      </c>
      <c r="I915" s="514">
        <v>3.41</v>
      </c>
      <c r="J915" s="514">
        <v>3.38</v>
      </c>
      <c r="K915" s="514">
        <v>33390.0</v>
      </c>
      <c r="L915" s="514">
        <v>979165.0</v>
      </c>
      <c r="M915" s="514">
        <v>0.2652</v>
      </c>
      <c r="N915" s="6">
        <v>1.2232</v>
      </c>
    </row>
    <row r="916">
      <c r="A916" s="512" t="s">
        <v>2038</v>
      </c>
      <c r="B916" s="512" t="s">
        <v>163</v>
      </c>
      <c r="C916" s="512" t="s">
        <v>72</v>
      </c>
      <c r="D916" s="512" t="s">
        <v>574</v>
      </c>
      <c r="E916" s="513" t="s">
        <v>380</v>
      </c>
      <c r="F916" s="514">
        <v>125925.0</v>
      </c>
      <c r="G916" s="514">
        <v>23576.0</v>
      </c>
      <c r="H916" s="514">
        <v>18.72</v>
      </c>
      <c r="I916" s="514">
        <v>3.06</v>
      </c>
      <c r="J916" s="514">
        <v>2.16</v>
      </c>
      <c r="K916" s="514">
        <v>29996.0</v>
      </c>
      <c r="L916" s="514">
        <v>979165.0</v>
      </c>
      <c r="M916" s="514">
        <v>0.2382</v>
      </c>
      <c r="N916" s="6">
        <v>1.2723</v>
      </c>
    </row>
    <row r="917">
      <c r="A917" s="512" t="s">
        <v>2038</v>
      </c>
      <c r="B917" s="512" t="s">
        <v>163</v>
      </c>
      <c r="C917" s="512" t="s">
        <v>72</v>
      </c>
      <c r="D917" s="512" t="s">
        <v>574</v>
      </c>
      <c r="E917" s="513" t="s">
        <v>44</v>
      </c>
      <c r="F917" s="514">
        <v>125925.0</v>
      </c>
      <c r="G917" s="514">
        <v>9216.0</v>
      </c>
      <c r="H917" s="514">
        <v>7.32</v>
      </c>
      <c r="I917" s="514">
        <v>1.14</v>
      </c>
      <c r="J917" s="514">
        <v>0.83</v>
      </c>
      <c r="K917" s="514">
        <v>11188.0</v>
      </c>
      <c r="L917" s="514">
        <v>979165.0</v>
      </c>
      <c r="M917" s="514">
        <v>0.0888</v>
      </c>
      <c r="N917" s="6">
        <v>1.214</v>
      </c>
    </row>
    <row r="918">
      <c r="A918" s="512" t="s">
        <v>2038</v>
      </c>
      <c r="B918" s="512" t="s">
        <v>163</v>
      </c>
      <c r="C918" s="512" t="s">
        <v>72</v>
      </c>
      <c r="D918" s="512" t="s">
        <v>574</v>
      </c>
      <c r="E918" s="513" t="s">
        <v>311</v>
      </c>
      <c r="F918" s="514">
        <v>125925.0</v>
      </c>
      <c r="G918" s="514">
        <v>9019.0</v>
      </c>
      <c r="H918" s="514">
        <v>7.16</v>
      </c>
      <c r="I918" s="514">
        <v>0.95</v>
      </c>
      <c r="J918" s="514">
        <v>1.17</v>
      </c>
      <c r="K918" s="514">
        <v>9263.0</v>
      </c>
      <c r="L918" s="514">
        <v>979165.0</v>
      </c>
      <c r="M918" s="514">
        <v>0.0736</v>
      </c>
      <c r="N918" s="6">
        <v>1.0271</v>
      </c>
    </row>
    <row r="919">
      <c r="A919" s="512" t="s">
        <v>2038</v>
      </c>
      <c r="B919" s="512" t="s">
        <v>163</v>
      </c>
      <c r="C919" s="512" t="s">
        <v>72</v>
      </c>
      <c r="D919" s="512" t="s">
        <v>574</v>
      </c>
      <c r="E919" s="513" t="s">
        <v>134</v>
      </c>
      <c r="F919" s="514">
        <v>125925.0</v>
      </c>
      <c r="G919" s="514">
        <v>3039.0</v>
      </c>
      <c r="H919" s="514">
        <v>2.41</v>
      </c>
      <c r="I919" s="514">
        <v>0.44</v>
      </c>
      <c r="J919" s="514">
        <v>0.25</v>
      </c>
      <c r="K919" s="514">
        <v>4334.0</v>
      </c>
      <c r="L919" s="514">
        <v>979165.0</v>
      </c>
      <c r="M919" s="514">
        <v>0.0344</v>
      </c>
      <c r="N919" s="6">
        <v>1.4261</v>
      </c>
    </row>
    <row r="920">
      <c r="A920" s="512" t="s">
        <v>2038</v>
      </c>
      <c r="B920" s="512" t="s">
        <v>163</v>
      </c>
      <c r="C920" s="512" t="s">
        <v>72</v>
      </c>
      <c r="D920" s="512" t="s">
        <v>574</v>
      </c>
      <c r="E920" s="513" t="s">
        <v>43</v>
      </c>
      <c r="F920" s="514">
        <v>125925.0</v>
      </c>
      <c r="G920" s="514">
        <v>3490.0</v>
      </c>
      <c r="H920" s="514">
        <v>2.77</v>
      </c>
      <c r="I920" s="514">
        <v>0.39</v>
      </c>
      <c r="J920" s="514">
        <v>0.41</v>
      </c>
      <c r="K920" s="514">
        <v>3783.0</v>
      </c>
      <c r="L920" s="514">
        <v>979165.0</v>
      </c>
      <c r="M920" s="514">
        <v>0.03</v>
      </c>
      <c r="N920" s="6">
        <v>1.084</v>
      </c>
    </row>
    <row r="921">
      <c r="A921" s="512" t="s">
        <v>2038</v>
      </c>
      <c r="B921" s="512" t="s">
        <v>163</v>
      </c>
      <c r="C921" s="512" t="s">
        <v>72</v>
      </c>
      <c r="D921" s="512" t="s">
        <v>574</v>
      </c>
      <c r="E921" s="513" t="s">
        <v>375</v>
      </c>
      <c r="F921" s="514">
        <v>125925.0</v>
      </c>
      <c r="G921" s="514">
        <v>130.0</v>
      </c>
      <c r="H921" s="514">
        <v>0.1</v>
      </c>
      <c r="I921" s="514">
        <v>0.01</v>
      </c>
      <c r="J921" s="514">
        <v>0.01</v>
      </c>
      <c r="K921" s="514">
        <v>140.0</v>
      </c>
      <c r="L921" s="514">
        <v>979165.0</v>
      </c>
      <c r="M921" s="514">
        <v>0.0011</v>
      </c>
      <c r="N921" s="6">
        <v>1.0769</v>
      </c>
    </row>
    <row r="922">
      <c r="A922" s="512" t="s">
        <v>2038</v>
      </c>
      <c r="B922" s="512" t="s">
        <v>163</v>
      </c>
      <c r="C922" s="512" t="s">
        <v>72</v>
      </c>
      <c r="D922" s="512" t="s">
        <v>574</v>
      </c>
      <c r="E922" s="513" t="s">
        <v>189</v>
      </c>
      <c r="F922" s="514">
        <v>125925.0</v>
      </c>
      <c r="G922" s="514">
        <v>41.0</v>
      </c>
      <c r="H922" s="514">
        <v>0.03</v>
      </c>
      <c r="I922" s="514">
        <v>0.0</v>
      </c>
      <c r="J922" s="514">
        <v>0.0</v>
      </c>
      <c r="K922" s="514">
        <v>42.0</v>
      </c>
      <c r="L922" s="514">
        <v>979165.0</v>
      </c>
      <c r="M922" s="514">
        <v>3.0E-4</v>
      </c>
      <c r="N922" s="6">
        <v>1.0244</v>
      </c>
    </row>
    <row r="923">
      <c r="A923" s="512" t="s">
        <v>2038</v>
      </c>
      <c r="B923" s="512" t="s">
        <v>163</v>
      </c>
      <c r="C923" s="512" t="s">
        <v>1883</v>
      </c>
      <c r="D923" s="512" t="s">
        <v>2036</v>
      </c>
      <c r="E923" s="513" t="s">
        <v>373</v>
      </c>
      <c r="F923" s="514">
        <v>33808.0</v>
      </c>
      <c r="G923" s="514">
        <v>16773.0</v>
      </c>
      <c r="H923" s="514">
        <v>49.61</v>
      </c>
      <c r="I923" s="514">
        <v>53.93</v>
      </c>
      <c r="J923" s="514">
        <v>42.52</v>
      </c>
      <c r="K923" s="514">
        <v>514800.0</v>
      </c>
      <c r="L923" s="514">
        <v>954550.0</v>
      </c>
      <c r="M923" s="514">
        <v>15.2272</v>
      </c>
      <c r="N923" s="6">
        <v>30.6922</v>
      </c>
    </row>
    <row r="924">
      <c r="A924" s="512" t="s">
        <v>2038</v>
      </c>
      <c r="B924" s="512" t="s">
        <v>163</v>
      </c>
      <c r="C924" s="512" t="s">
        <v>1883</v>
      </c>
      <c r="D924" s="512" t="s">
        <v>2036</v>
      </c>
      <c r="E924" s="513" t="s">
        <v>134</v>
      </c>
      <c r="F924" s="514">
        <v>33808.0</v>
      </c>
      <c r="G924" s="514">
        <v>8231.0</v>
      </c>
      <c r="H924" s="514">
        <v>24.35</v>
      </c>
      <c r="I924" s="514">
        <v>20.09</v>
      </c>
      <c r="J924" s="514">
        <v>18.7</v>
      </c>
      <c r="K924" s="514">
        <v>191745.0</v>
      </c>
      <c r="L924" s="514">
        <v>954550.0</v>
      </c>
      <c r="M924" s="514">
        <v>5.6716</v>
      </c>
      <c r="N924" s="6">
        <v>23.2955</v>
      </c>
    </row>
    <row r="925">
      <c r="A925" s="512" t="s">
        <v>2038</v>
      </c>
      <c r="B925" s="512" t="s">
        <v>163</v>
      </c>
      <c r="C925" s="512" t="s">
        <v>1883</v>
      </c>
      <c r="D925" s="512" t="s">
        <v>2036</v>
      </c>
      <c r="E925" s="513" t="s">
        <v>375</v>
      </c>
      <c r="F925" s="514">
        <v>33808.0</v>
      </c>
      <c r="G925" s="514">
        <v>12650.0</v>
      </c>
      <c r="H925" s="514">
        <v>37.42</v>
      </c>
      <c r="I925" s="514">
        <v>16.13</v>
      </c>
      <c r="J925" s="514">
        <v>23.96</v>
      </c>
      <c r="K925" s="514">
        <v>153925.0</v>
      </c>
      <c r="L925" s="514">
        <v>954550.0</v>
      </c>
      <c r="M925" s="514">
        <v>4.5529</v>
      </c>
      <c r="N925" s="6">
        <v>12.168</v>
      </c>
    </row>
    <row r="926">
      <c r="A926" s="512" t="s">
        <v>2038</v>
      </c>
      <c r="B926" s="512" t="s">
        <v>163</v>
      </c>
      <c r="C926" s="512" t="s">
        <v>1883</v>
      </c>
      <c r="D926" s="512" t="s">
        <v>2036</v>
      </c>
      <c r="E926" s="513" t="s">
        <v>189</v>
      </c>
      <c r="F926" s="514">
        <v>33808.0</v>
      </c>
      <c r="G926" s="514">
        <v>7280.0</v>
      </c>
      <c r="H926" s="514">
        <v>21.53</v>
      </c>
      <c r="I926" s="514">
        <v>7.77</v>
      </c>
      <c r="J926" s="514">
        <v>12.65</v>
      </c>
      <c r="K926" s="514">
        <v>74185.0</v>
      </c>
      <c r="L926" s="514">
        <v>954550.0</v>
      </c>
      <c r="M926" s="514">
        <v>2.1943</v>
      </c>
      <c r="N926" s="6">
        <v>10.1902</v>
      </c>
    </row>
    <row r="927">
      <c r="A927" s="512" t="s">
        <v>2038</v>
      </c>
      <c r="B927" s="512" t="s">
        <v>163</v>
      </c>
      <c r="C927" s="512" t="s">
        <v>1883</v>
      </c>
      <c r="D927" s="512" t="s">
        <v>2036</v>
      </c>
      <c r="E927" s="513" t="s">
        <v>377</v>
      </c>
      <c r="F927" s="514">
        <v>33808.0</v>
      </c>
      <c r="G927" s="514">
        <v>496.0</v>
      </c>
      <c r="H927" s="514">
        <v>1.47</v>
      </c>
      <c r="I927" s="514">
        <v>1.66</v>
      </c>
      <c r="J927" s="514">
        <v>1.44</v>
      </c>
      <c r="K927" s="514">
        <v>15825.0</v>
      </c>
      <c r="L927" s="514">
        <v>954550.0</v>
      </c>
      <c r="M927" s="514">
        <v>0.4681</v>
      </c>
      <c r="N927" s="6">
        <v>31.9052</v>
      </c>
    </row>
    <row r="928">
      <c r="A928" s="512" t="s">
        <v>2038</v>
      </c>
      <c r="B928" s="512" t="s">
        <v>163</v>
      </c>
      <c r="C928" s="512" t="s">
        <v>1883</v>
      </c>
      <c r="D928" s="512" t="s">
        <v>2036</v>
      </c>
      <c r="E928" s="513" t="s">
        <v>35</v>
      </c>
      <c r="F928" s="514">
        <v>33808.0</v>
      </c>
      <c r="G928" s="514">
        <v>158.0</v>
      </c>
      <c r="H928" s="514">
        <v>0.47</v>
      </c>
      <c r="I928" s="514">
        <v>0.26</v>
      </c>
      <c r="J928" s="514">
        <v>0.28</v>
      </c>
      <c r="K928" s="514">
        <v>2460.0</v>
      </c>
      <c r="L928" s="514">
        <v>954550.0</v>
      </c>
      <c r="M928" s="514">
        <v>0.0728</v>
      </c>
      <c r="N928" s="6">
        <v>15.5696</v>
      </c>
    </row>
    <row r="929">
      <c r="A929" s="512" t="s">
        <v>2038</v>
      </c>
      <c r="B929" s="512" t="s">
        <v>163</v>
      </c>
      <c r="C929" s="512" t="s">
        <v>1883</v>
      </c>
      <c r="D929" s="512" t="s">
        <v>2036</v>
      </c>
      <c r="E929" s="513" t="s">
        <v>380</v>
      </c>
      <c r="F929" s="514">
        <v>33808.0</v>
      </c>
      <c r="G929" s="514">
        <v>153.0</v>
      </c>
      <c r="H929" s="514">
        <v>0.45</v>
      </c>
      <c r="I929" s="514">
        <v>0.17</v>
      </c>
      <c r="J929" s="514">
        <v>0.44</v>
      </c>
      <c r="K929" s="514">
        <v>1600.0</v>
      </c>
      <c r="L929" s="514">
        <v>954550.0</v>
      </c>
      <c r="M929" s="514">
        <v>0.0473</v>
      </c>
      <c r="N929" s="6">
        <v>10.4575</v>
      </c>
    </row>
    <row r="930">
      <c r="A930" s="512" t="s">
        <v>2038</v>
      </c>
      <c r="B930" s="512" t="s">
        <v>163</v>
      </c>
      <c r="C930" s="512" t="s">
        <v>1883</v>
      </c>
      <c r="D930" s="512" t="s">
        <v>2036</v>
      </c>
      <c r="E930" s="513" t="s">
        <v>374</v>
      </c>
      <c r="F930" s="514">
        <v>33808.0</v>
      </c>
      <c r="G930" s="514">
        <v>1.0</v>
      </c>
      <c r="H930" s="514">
        <v>0.0</v>
      </c>
      <c r="I930" s="514">
        <v>0.0</v>
      </c>
      <c r="J930" s="514">
        <v>0.0</v>
      </c>
      <c r="K930" s="514">
        <v>10.0</v>
      </c>
      <c r="L930" s="514">
        <v>954550.0</v>
      </c>
      <c r="M930" s="514">
        <v>3.0E-4</v>
      </c>
      <c r="N930" s="6">
        <v>10.0</v>
      </c>
    </row>
    <row r="931">
      <c r="A931" s="512" t="s">
        <v>2038</v>
      </c>
      <c r="B931" s="512" t="s">
        <v>163</v>
      </c>
      <c r="C931" s="512" t="s">
        <v>1884</v>
      </c>
      <c r="D931" s="512" t="s">
        <v>2036</v>
      </c>
      <c r="E931" s="513" t="s">
        <v>380</v>
      </c>
      <c r="F931" s="514">
        <v>97015.0</v>
      </c>
      <c r="G931" s="514">
        <v>62716.0</v>
      </c>
      <c r="H931" s="514">
        <v>64.65</v>
      </c>
      <c r="I931" s="514">
        <v>34.37</v>
      </c>
      <c r="J931" s="514">
        <v>44.33</v>
      </c>
      <c r="K931" s="514">
        <v>1156380.0</v>
      </c>
      <c r="L931" s="514">
        <v>3364635.0</v>
      </c>
      <c r="M931" s="514">
        <v>11.9196</v>
      </c>
      <c r="N931" s="6">
        <v>18.4384</v>
      </c>
    </row>
    <row r="932">
      <c r="A932" s="512" t="s">
        <v>2038</v>
      </c>
      <c r="B932" s="512" t="s">
        <v>163</v>
      </c>
      <c r="C932" s="512" t="s">
        <v>1884</v>
      </c>
      <c r="D932" s="512" t="s">
        <v>2036</v>
      </c>
      <c r="E932" s="513" t="s">
        <v>373</v>
      </c>
      <c r="F932" s="514">
        <v>97015.0</v>
      </c>
      <c r="G932" s="514">
        <v>16419.0</v>
      </c>
      <c r="H932" s="514">
        <v>16.92</v>
      </c>
      <c r="I932" s="514">
        <v>29.98</v>
      </c>
      <c r="J932" s="514">
        <v>12.09</v>
      </c>
      <c r="K932" s="514">
        <v>1008660.0</v>
      </c>
      <c r="L932" s="514">
        <v>3364635.0</v>
      </c>
      <c r="M932" s="514">
        <v>10.3969</v>
      </c>
      <c r="N932" s="6">
        <v>61.4325</v>
      </c>
    </row>
    <row r="933">
      <c r="A933" s="512" t="s">
        <v>2038</v>
      </c>
      <c r="B933" s="512" t="s">
        <v>163</v>
      </c>
      <c r="C933" s="512" t="s">
        <v>1884</v>
      </c>
      <c r="D933" s="512" t="s">
        <v>2036</v>
      </c>
      <c r="E933" s="513" t="s">
        <v>375</v>
      </c>
      <c r="F933" s="514">
        <v>97015.0</v>
      </c>
      <c r="G933" s="514">
        <v>49119.0</v>
      </c>
      <c r="H933" s="514">
        <v>50.63</v>
      </c>
      <c r="I933" s="514">
        <v>19.82</v>
      </c>
      <c r="J933" s="514">
        <v>24.23</v>
      </c>
      <c r="K933" s="514">
        <v>666915.0</v>
      </c>
      <c r="L933" s="514">
        <v>3364635.0</v>
      </c>
      <c r="M933" s="514">
        <v>6.8743</v>
      </c>
      <c r="N933" s="6">
        <v>13.5775</v>
      </c>
    </row>
    <row r="934">
      <c r="A934" s="512" t="s">
        <v>2038</v>
      </c>
      <c r="B934" s="512" t="s">
        <v>163</v>
      </c>
      <c r="C934" s="512" t="s">
        <v>1884</v>
      </c>
      <c r="D934" s="512" t="s">
        <v>2036</v>
      </c>
      <c r="E934" s="513" t="s">
        <v>189</v>
      </c>
      <c r="F934" s="514">
        <v>97015.0</v>
      </c>
      <c r="G934" s="514">
        <v>25924.0</v>
      </c>
      <c r="H934" s="514">
        <v>26.72</v>
      </c>
      <c r="I934" s="514">
        <v>7.81</v>
      </c>
      <c r="J934" s="514">
        <v>10.52</v>
      </c>
      <c r="K934" s="514">
        <v>262905.0</v>
      </c>
      <c r="L934" s="514">
        <v>3364635.0</v>
      </c>
      <c r="M934" s="514">
        <v>2.7099</v>
      </c>
      <c r="N934" s="6">
        <v>10.1414</v>
      </c>
    </row>
    <row r="935">
      <c r="A935" s="512" t="s">
        <v>2038</v>
      </c>
      <c r="B935" s="512" t="s">
        <v>163</v>
      </c>
      <c r="C935" s="512" t="s">
        <v>1884</v>
      </c>
      <c r="D935" s="512" t="s">
        <v>2036</v>
      </c>
      <c r="E935" s="513" t="s">
        <v>134</v>
      </c>
      <c r="F935" s="514">
        <v>97015.0</v>
      </c>
      <c r="G935" s="514">
        <v>14138.0</v>
      </c>
      <c r="H935" s="514">
        <v>14.57</v>
      </c>
      <c r="I935" s="514">
        <v>6.09</v>
      </c>
      <c r="J935" s="514">
        <v>6.96</v>
      </c>
      <c r="K935" s="514">
        <v>204875.0</v>
      </c>
      <c r="L935" s="514">
        <v>3364635.0</v>
      </c>
      <c r="M935" s="514">
        <v>2.1118</v>
      </c>
      <c r="N935" s="6">
        <v>14.4911</v>
      </c>
    </row>
    <row r="936">
      <c r="A936" s="512" t="s">
        <v>2038</v>
      </c>
      <c r="B936" s="512" t="s">
        <v>163</v>
      </c>
      <c r="C936" s="512" t="s">
        <v>1884</v>
      </c>
      <c r="D936" s="512" t="s">
        <v>2036</v>
      </c>
      <c r="E936" s="513" t="s">
        <v>44</v>
      </c>
      <c r="F936" s="514">
        <v>97015.0</v>
      </c>
      <c r="G936" s="514">
        <v>1985.0</v>
      </c>
      <c r="H936" s="514">
        <v>2.05</v>
      </c>
      <c r="I936" s="514">
        <v>0.75</v>
      </c>
      <c r="J936" s="514">
        <v>0.84</v>
      </c>
      <c r="K936" s="514">
        <v>25090.0</v>
      </c>
      <c r="L936" s="514">
        <v>3364635.0</v>
      </c>
      <c r="M936" s="514">
        <v>0.2586</v>
      </c>
      <c r="N936" s="6">
        <v>12.6398</v>
      </c>
    </row>
    <row r="937">
      <c r="A937" s="512" t="s">
        <v>2038</v>
      </c>
      <c r="B937" s="512" t="s">
        <v>163</v>
      </c>
      <c r="C937" s="512" t="s">
        <v>1884</v>
      </c>
      <c r="D937" s="512" t="s">
        <v>2036</v>
      </c>
      <c r="E937" s="513" t="s">
        <v>35</v>
      </c>
      <c r="F937" s="514">
        <v>97015.0</v>
      </c>
      <c r="G937" s="514">
        <v>1512.0</v>
      </c>
      <c r="H937" s="514">
        <v>1.56</v>
      </c>
      <c r="I937" s="514">
        <v>0.71</v>
      </c>
      <c r="J937" s="514">
        <v>0.63</v>
      </c>
      <c r="K937" s="514">
        <v>23790.0</v>
      </c>
      <c r="L937" s="514">
        <v>3364635.0</v>
      </c>
      <c r="M937" s="514">
        <v>0.2452</v>
      </c>
      <c r="N937" s="6">
        <v>15.7341</v>
      </c>
    </row>
    <row r="938">
      <c r="A938" s="512" t="s">
        <v>2038</v>
      </c>
      <c r="B938" s="512" t="s">
        <v>163</v>
      </c>
      <c r="C938" s="512" t="s">
        <v>1884</v>
      </c>
      <c r="D938" s="512" t="s">
        <v>2036</v>
      </c>
      <c r="E938" s="513" t="s">
        <v>377</v>
      </c>
      <c r="F938" s="514">
        <v>97015.0</v>
      </c>
      <c r="G938" s="514">
        <v>504.0</v>
      </c>
      <c r="H938" s="514">
        <v>0.52</v>
      </c>
      <c r="I938" s="514">
        <v>0.47</v>
      </c>
      <c r="J938" s="514">
        <v>0.39</v>
      </c>
      <c r="K938" s="514">
        <v>15940.0</v>
      </c>
      <c r="L938" s="514">
        <v>3364635.0</v>
      </c>
      <c r="M938" s="514">
        <v>0.1643</v>
      </c>
      <c r="N938" s="6">
        <v>31.627</v>
      </c>
    </row>
    <row r="939">
      <c r="A939" s="512" t="s">
        <v>2038</v>
      </c>
      <c r="B939" s="512" t="s">
        <v>163</v>
      </c>
      <c r="C939" s="512" t="s">
        <v>1884</v>
      </c>
      <c r="D939" s="512" t="s">
        <v>2036</v>
      </c>
      <c r="E939" s="513" t="s">
        <v>374</v>
      </c>
      <c r="F939" s="514">
        <v>97015.0</v>
      </c>
      <c r="G939" s="514">
        <v>8.0</v>
      </c>
      <c r="H939" s="514">
        <v>0.01</v>
      </c>
      <c r="I939" s="514">
        <v>0.0</v>
      </c>
      <c r="J939" s="514">
        <v>0.0</v>
      </c>
      <c r="K939" s="514">
        <v>80.0</v>
      </c>
      <c r="L939" s="514">
        <v>3364635.0</v>
      </c>
      <c r="M939" s="514">
        <v>8.0E-4</v>
      </c>
      <c r="N939" s="6">
        <v>10.0</v>
      </c>
    </row>
    <row r="940">
      <c r="A940" s="512" t="s">
        <v>2038</v>
      </c>
      <c r="B940" s="512" t="s">
        <v>163</v>
      </c>
      <c r="C940" s="512" t="s">
        <v>1885</v>
      </c>
      <c r="D940" s="512" t="s">
        <v>2036</v>
      </c>
      <c r="E940" s="513" t="s">
        <v>380</v>
      </c>
      <c r="F940" s="514">
        <v>109544.0</v>
      </c>
      <c r="G940" s="514">
        <v>85462.0</v>
      </c>
      <c r="H940" s="514">
        <v>78.02</v>
      </c>
      <c r="I940" s="514">
        <v>43.05</v>
      </c>
      <c r="J940" s="514">
        <v>52.47</v>
      </c>
      <c r="K940" s="514">
        <v>1852400.0</v>
      </c>
      <c r="L940" s="514">
        <v>4302610.0</v>
      </c>
      <c r="M940" s="514">
        <v>16.9101</v>
      </c>
      <c r="N940" s="6">
        <v>21.6751</v>
      </c>
    </row>
    <row r="941">
      <c r="A941" s="512" t="s">
        <v>2038</v>
      </c>
      <c r="B941" s="512" t="s">
        <v>163</v>
      </c>
      <c r="C941" s="512" t="s">
        <v>1885</v>
      </c>
      <c r="D941" s="512" t="s">
        <v>2036</v>
      </c>
      <c r="E941" s="513" t="s">
        <v>373</v>
      </c>
      <c r="F941" s="514">
        <v>109544.0</v>
      </c>
      <c r="G941" s="514">
        <v>14794.0</v>
      </c>
      <c r="H941" s="514">
        <v>13.51</v>
      </c>
      <c r="I941" s="514">
        <v>21.11</v>
      </c>
      <c r="J941" s="514">
        <v>8.02</v>
      </c>
      <c r="K941" s="514">
        <v>908340.0</v>
      </c>
      <c r="L941" s="514">
        <v>4302610.0</v>
      </c>
      <c r="M941" s="514">
        <v>8.292</v>
      </c>
      <c r="N941" s="6">
        <v>61.3992</v>
      </c>
    </row>
    <row r="942">
      <c r="A942" s="512" t="s">
        <v>2038</v>
      </c>
      <c r="B942" s="512" t="s">
        <v>163</v>
      </c>
      <c r="C942" s="512" t="s">
        <v>1885</v>
      </c>
      <c r="D942" s="512" t="s">
        <v>2036</v>
      </c>
      <c r="E942" s="513" t="s">
        <v>375</v>
      </c>
      <c r="F942" s="514">
        <v>109544.0</v>
      </c>
      <c r="G942" s="514">
        <v>57611.0</v>
      </c>
      <c r="H942" s="514">
        <v>52.59</v>
      </c>
      <c r="I942" s="514">
        <v>18.67</v>
      </c>
      <c r="J942" s="514">
        <v>22.01</v>
      </c>
      <c r="K942" s="514">
        <v>803250.0</v>
      </c>
      <c r="L942" s="514">
        <v>4302610.0</v>
      </c>
      <c r="M942" s="514">
        <v>7.3327</v>
      </c>
      <c r="N942" s="6">
        <v>13.9426</v>
      </c>
    </row>
    <row r="943">
      <c r="A943" s="512" t="s">
        <v>2038</v>
      </c>
      <c r="B943" s="512" t="s">
        <v>163</v>
      </c>
      <c r="C943" s="512" t="s">
        <v>1885</v>
      </c>
      <c r="D943" s="512" t="s">
        <v>2036</v>
      </c>
      <c r="E943" s="513" t="s">
        <v>189</v>
      </c>
      <c r="F943" s="514">
        <v>109544.0</v>
      </c>
      <c r="G943" s="514">
        <v>30739.0</v>
      </c>
      <c r="H943" s="514">
        <v>28.06</v>
      </c>
      <c r="I943" s="514">
        <v>7.33</v>
      </c>
      <c r="J943" s="514">
        <v>9.2</v>
      </c>
      <c r="K943" s="514">
        <v>315400.0</v>
      </c>
      <c r="L943" s="514">
        <v>4302610.0</v>
      </c>
      <c r="M943" s="514">
        <v>2.8792</v>
      </c>
      <c r="N943" s="6">
        <v>10.2606</v>
      </c>
    </row>
    <row r="944">
      <c r="A944" s="512" t="s">
        <v>2038</v>
      </c>
      <c r="B944" s="512" t="s">
        <v>163</v>
      </c>
      <c r="C944" s="512" t="s">
        <v>1885</v>
      </c>
      <c r="D944" s="512" t="s">
        <v>2036</v>
      </c>
      <c r="E944" s="513" t="s">
        <v>134</v>
      </c>
      <c r="F944" s="514">
        <v>109544.0</v>
      </c>
      <c r="G944" s="514">
        <v>9117.0</v>
      </c>
      <c r="H944" s="514">
        <v>8.32</v>
      </c>
      <c r="I944" s="514">
        <v>3.58</v>
      </c>
      <c r="J944" s="514">
        <v>2.97</v>
      </c>
      <c r="K944" s="514">
        <v>154050.0</v>
      </c>
      <c r="L944" s="514">
        <v>4302610.0</v>
      </c>
      <c r="M944" s="514">
        <v>1.4063</v>
      </c>
      <c r="N944" s="6">
        <v>16.897</v>
      </c>
    </row>
    <row r="945">
      <c r="A945" s="512" t="s">
        <v>2038</v>
      </c>
      <c r="B945" s="512" t="s">
        <v>163</v>
      </c>
      <c r="C945" s="512" t="s">
        <v>1885</v>
      </c>
      <c r="D945" s="512" t="s">
        <v>2036</v>
      </c>
      <c r="E945" s="513" t="s">
        <v>35</v>
      </c>
      <c r="F945" s="514">
        <v>109544.0</v>
      </c>
      <c r="G945" s="514">
        <v>8365.0</v>
      </c>
      <c r="H945" s="514">
        <v>7.64</v>
      </c>
      <c r="I945" s="514">
        <v>3.27</v>
      </c>
      <c r="J945" s="514">
        <v>2.59</v>
      </c>
      <c r="K945" s="514">
        <v>140775.0</v>
      </c>
      <c r="L945" s="514">
        <v>4302610.0</v>
      </c>
      <c r="M945" s="514">
        <v>1.2851</v>
      </c>
      <c r="N945" s="6">
        <v>16.829</v>
      </c>
    </row>
    <row r="946">
      <c r="A946" s="512" t="s">
        <v>2038</v>
      </c>
      <c r="B946" s="512" t="s">
        <v>163</v>
      </c>
      <c r="C946" s="512" t="s">
        <v>1885</v>
      </c>
      <c r="D946" s="512" t="s">
        <v>2036</v>
      </c>
      <c r="E946" s="513" t="s">
        <v>44</v>
      </c>
      <c r="F946" s="514">
        <v>109544.0</v>
      </c>
      <c r="G946" s="514">
        <v>9216.0</v>
      </c>
      <c r="H946" s="514">
        <v>8.41</v>
      </c>
      <c r="I946" s="514">
        <v>2.59</v>
      </c>
      <c r="J946" s="514">
        <v>2.38</v>
      </c>
      <c r="K946" s="514">
        <v>111470.0</v>
      </c>
      <c r="L946" s="514">
        <v>4302610.0</v>
      </c>
      <c r="M946" s="514">
        <v>1.0176</v>
      </c>
      <c r="N946" s="6">
        <v>12.0953</v>
      </c>
    </row>
    <row r="947">
      <c r="A947" s="512" t="s">
        <v>2038</v>
      </c>
      <c r="B947" s="512" t="s">
        <v>163</v>
      </c>
      <c r="C947" s="512" t="s">
        <v>1885</v>
      </c>
      <c r="D947" s="512" t="s">
        <v>2036</v>
      </c>
      <c r="E947" s="513" t="s">
        <v>377</v>
      </c>
      <c r="F947" s="514">
        <v>109544.0</v>
      </c>
      <c r="G947" s="514">
        <v>551.0</v>
      </c>
      <c r="H947" s="514">
        <v>0.5</v>
      </c>
      <c r="I947" s="514">
        <v>0.39</v>
      </c>
      <c r="J947" s="514">
        <v>0.35</v>
      </c>
      <c r="K947" s="514">
        <v>16760.0</v>
      </c>
      <c r="L947" s="514">
        <v>4302610.0</v>
      </c>
      <c r="M947" s="514">
        <v>0.153</v>
      </c>
      <c r="N947" s="6">
        <v>30.4174</v>
      </c>
    </row>
    <row r="948">
      <c r="A948" s="512" t="s">
        <v>2038</v>
      </c>
      <c r="B948" s="512" t="s">
        <v>163</v>
      </c>
      <c r="C948" s="512" t="s">
        <v>1885</v>
      </c>
      <c r="D948" s="512" t="s">
        <v>2036</v>
      </c>
      <c r="E948" s="513" t="s">
        <v>382</v>
      </c>
      <c r="F948" s="514">
        <v>109544.0</v>
      </c>
      <c r="G948" s="514">
        <v>6.0</v>
      </c>
      <c r="H948" s="514">
        <v>0.01</v>
      </c>
      <c r="I948" s="514">
        <v>0.0</v>
      </c>
      <c r="J948" s="514">
        <v>0.0</v>
      </c>
      <c r="K948" s="514">
        <v>60.0</v>
      </c>
      <c r="L948" s="514">
        <v>4302610.0</v>
      </c>
      <c r="M948" s="514">
        <v>5.0E-4</v>
      </c>
      <c r="N948" s="6">
        <v>10.0</v>
      </c>
    </row>
    <row r="949">
      <c r="A949" s="512" t="s">
        <v>2038</v>
      </c>
      <c r="B949" s="512" t="s">
        <v>163</v>
      </c>
      <c r="C949" s="512" t="s">
        <v>1885</v>
      </c>
      <c r="D949" s="512" t="s">
        <v>2036</v>
      </c>
      <c r="E949" s="513" t="s">
        <v>46</v>
      </c>
      <c r="F949" s="514">
        <v>109544.0</v>
      </c>
      <c r="G949" s="514">
        <v>1.0</v>
      </c>
      <c r="H949" s="514">
        <v>0.0</v>
      </c>
      <c r="I949" s="514">
        <v>0.0</v>
      </c>
      <c r="J949" s="514">
        <v>0.0</v>
      </c>
      <c r="K949" s="514">
        <v>15.0</v>
      </c>
      <c r="L949" s="514">
        <v>4302610.0</v>
      </c>
      <c r="M949" s="514">
        <v>1.0E-4</v>
      </c>
      <c r="N949" s="6">
        <v>15.0</v>
      </c>
    </row>
    <row r="950">
      <c r="A950" s="512" t="s">
        <v>2038</v>
      </c>
      <c r="B950" s="512" t="s">
        <v>163</v>
      </c>
      <c r="C950" s="512" t="s">
        <v>1885</v>
      </c>
      <c r="D950" s="512" t="s">
        <v>2036</v>
      </c>
      <c r="E950" s="513" t="s">
        <v>379</v>
      </c>
      <c r="F950" s="514">
        <v>109544.0</v>
      </c>
      <c r="G950" s="514">
        <v>4.0</v>
      </c>
      <c r="H950" s="514">
        <v>0.0</v>
      </c>
      <c r="I950" s="514">
        <v>0.0</v>
      </c>
      <c r="J950" s="514">
        <v>0.0</v>
      </c>
      <c r="K950" s="514">
        <v>60.0</v>
      </c>
      <c r="L950" s="514">
        <v>4302610.0</v>
      </c>
      <c r="M950" s="514">
        <v>5.0E-4</v>
      </c>
      <c r="N950" s="6">
        <v>15.0</v>
      </c>
    </row>
    <row r="951">
      <c r="A951" s="512" t="s">
        <v>2038</v>
      </c>
      <c r="B951" s="512" t="s">
        <v>163</v>
      </c>
      <c r="C951" s="512" t="s">
        <v>1885</v>
      </c>
      <c r="D951" s="512" t="s">
        <v>2036</v>
      </c>
      <c r="E951" s="513" t="s">
        <v>40</v>
      </c>
      <c r="F951" s="514">
        <v>109544.0</v>
      </c>
      <c r="G951" s="514">
        <v>2.0</v>
      </c>
      <c r="H951" s="514">
        <v>0.0</v>
      </c>
      <c r="I951" s="514">
        <v>0.0</v>
      </c>
      <c r="J951" s="514">
        <v>0.0</v>
      </c>
      <c r="K951" s="514">
        <v>30.0</v>
      </c>
      <c r="L951" s="514">
        <v>4302610.0</v>
      </c>
      <c r="M951" s="514">
        <v>3.0E-4</v>
      </c>
      <c r="N951" s="6">
        <v>15.0</v>
      </c>
    </row>
    <row r="952">
      <c r="A952" s="512" t="s">
        <v>2038</v>
      </c>
      <c r="B952" s="512" t="s">
        <v>163</v>
      </c>
      <c r="C952" s="512" t="s">
        <v>75</v>
      </c>
      <c r="D952" s="512" t="s">
        <v>2036</v>
      </c>
      <c r="E952" s="513" t="s">
        <v>379</v>
      </c>
      <c r="F952" s="514">
        <v>149449.0</v>
      </c>
      <c r="G952" s="514">
        <v>137788.0</v>
      </c>
      <c r="H952" s="514">
        <v>92.2</v>
      </c>
      <c r="I952" s="514">
        <v>25.25</v>
      </c>
      <c r="J952" s="514">
        <v>25.43</v>
      </c>
      <c r="K952" s="514">
        <v>2.465299E7</v>
      </c>
      <c r="L952" s="514">
        <v>9.7654553E7</v>
      </c>
      <c r="M952" s="514">
        <v>164.9592</v>
      </c>
      <c r="N952" s="6">
        <v>178.9197</v>
      </c>
    </row>
    <row r="953">
      <c r="A953" s="512" t="s">
        <v>2038</v>
      </c>
      <c r="B953" s="512" t="s">
        <v>163</v>
      </c>
      <c r="C953" s="512" t="s">
        <v>75</v>
      </c>
      <c r="D953" s="512" t="s">
        <v>2036</v>
      </c>
      <c r="E953" s="513" t="s">
        <v>49</v>
      </c>
      <c r="F953" s="514">
        <v>149449.0</v>
      </c>
      <c r="G953" s="514">
        <v>93636.0</v>
      </c>
      <c r="H953" s="514">
        <v>62.65</v>
      </c>
      <c r="I953" s="514">
        <v>20.23</v>
      </c>
      <c r="J953" s="514">
        <v>18.27</v>
      </c>
      <c r="K953" s="514">
        <v>1.975954E7</v>
      </c>
      <c r="L953" s="514">
        <v>9.7654553E7</v>
      </c>
      <c r="M953" s="514">
        <v>132.2159</v>
      </c>
      <c r="N953" s="6">
        <v>211.025</v>
      </c>
    </row>
    <row r="954">
      <c r="A954" s="512" t="s">
        <v>2038</v>
      </c>
      <c r="B954" s="512" t="s">
        <v>163</v>
      </c>
      <c r="C954" s="512" t="s">
        <v>75</v>
      </c>
      <c r="D954" s="512" t="s">
        <v>2036</v>
      </c>
      <c r="E954" s="513" t="s">
        <v>373</v>
      </c>
      <c r="F954" s="514">
        <v>149449.0</v>
      </c>
      <c r="G954" s="514">
        <v>113352.0</v>
      </c>
      <c r="H954" s="514">
        <v>75.85</v>
      </c>
      <c r="I954" s="514">
        <v>15.05</v>
      </c>
      <c r="J954" s="514">
        <v>13.36</v>
      </c>
      <c r="K954" s="514">
        <v>1.469468E7</v>
      </c>
      <c r="L954" s="514">
        <v>9.7654553E7</v>
      </c>
      <c r="M954" s="514">
        <v>98.3257</v>
      </c>
      <c r="N954" s="6">
        <v>129.6376</v>
      </c>
    </row>
    <row r="955">
      <c r="A955" s="512" t="s">
        <v>2038</v>
      </c>
      <c r="B955" s="512" t="s">
        <v>163</v>
      </c>
      <c r="C955" s="512" t="s">
        <v>75</v>
      </c>
      <c r="D955" s="512" t="s">
        <v>2036</v>
      </c>
      <c r="E955" s="513" t="s">
        <v>44</v>
      </c>
      <c r="F955" s="514">
        <v>149449.0</v>
      </c>
      <c r="G955" s="514">
        <v>84277.0</v>
      </c>
      <c r="H955" s="514">
        <v>56.39</v>
      </c>
      <c r="I955" s="514">
        <v>10.33</v>
      </c>
      <c r="J955" s="514">
        <v>10.94</v>
      </c>
      <c r="K955" s="514">
        <v>1.008324E7</v>
      </c>
      <c r="L955" s="514">
        <v>9.7654553E7</v>
      </c>
      <c r="M955" s="514">
        <v>67.4694</v>
      </c>
      <c r="N955" s="6">
        <v>119.644</v>
      </c>
    </row>
    <row r="956">
      <c r="A956" s="512" t="s">
        <v>2038</v>
      </c>
      <c r="B956" s="512" t="s">
        <v>163</v>
      </c>
      <c r="C956" s="512" t="s">
        <v>75</v>
      </c>
      <c r="D956" s="512" t="s">
        <v>2036</v>
      </c>
      <c r="E956" s="513" t="s">
        <v>380</v>
      </c>
      <c r="F956" s="514">
        <v>149449.0</v>
      </c>
      <c r="G956" s="514">
        <v>91297.0</v>
      </c>
      <c r="H956" s="514">
        <v>61.09</v>
      </c>
      <c r="I956" s="514">
        <v>9.88</v>
      </c>
      <c r="J956" s="514">
        <v>12.88</v>
      </c>
      <c r="K956" s="514">
        <v>9644635.0</v>
      </c>
      <c r="L956" s="514">
        <v>9.7654553E7</v>
      </c>
      <c r="M956" s="514">
        <v>64.5346</v>
      </c>
      <c r="N956" s="6">
        <v>105.6402</v>
      </c>
    </row>
    <row r="957">
      <c r="A957" s="512" t="s">
        <v>2038</v>
      </c>
      <c r="B957" s="512" t="s">
        <v>163</v>
      </c>
      <c r="C957" s="512" t="s">
        <v>75</v>
      </c>
      <c r="D957" s="512" t="s">
        <v>2036</v>
      </c>
      <c r="E957" s="513" t="s">
        <v>374</v>
      </c>
      <c r="F957" s="514">
        <v>149449.0</v>
      </c>
      <c r="G957" s="514">
        <v>62410.0</v>
      </c>
      <c r="H957" s="514">
        <v>41.76</v>
      </c>
      <c r="I957" s="514">
        <v>5.72</v>
      </c>
      <c r="J957" s="514">
        <v>5.52</v>
      </c>
      <c r="K957" s="514">
        <v>5581390.0</v>
      </c>
      <c r="L957" s="514">
        <v>9.7654553E7</v>
      </c>
      <c r="M957" s="514">
        <v>37.3465</v>
      </c>
      <c r="N957" s="6">
        <v>89.431</v>
      </c>
    </row>
    <row r="958">
      <c r="A958" s="512" t="s">
        <v>2038</v>
      </c>
      <c r="B958" s="512" t="s">
        <v>163</v>
      </c>
      <c r="C958" s="512" t="s">
        <v>75</v>
      </c>
      <c r="D958" s="512" t="s">
        <v>2036</v>
      </c>
      <c r="E958" s="513" t="s">
        <v>372</v>
      </c>
      <c r="F958" s="514">
        <v>149449.0</v>
      </c>
      <c r="G958" s="514">
        <v>64244.0</v>
      </c>
      <c r="H958" s="514">
        <v>42.99</v>
      </c>
      <c r="I958" s="514">
        <v>4.0</v>
      </c>
      <c r="J958" s="514">
        <v>4.54</v>
      </c>
      <c r="K958" s="514">
        <v>3910590.0</v>
      </c>
      <c r="L958" s="514">
        <v>9.7654553E7</v>
      </c>
      <c r="M958" s="514">
        <v>26.1667</v>
      </c>
      <c r="N958" s="6">
        <v>60.8709</v>
      </c>
    </row>
    <row r="959">
      <c r="A959" s="512" t="s">
        <v>2038</v>
      </c>
      <c r="B959" s="512" t="s">
        <v>163</v>
      </c>
      <c r="C959" s="512" t="s">
        <v>75</v>
      </c>
      <c r="D959" s="512" t="s">
        <v>2036</v>
      </c>
      <c r="E959" s="513" t="s">
        <v>32</v>
      </c>
      <c r="F959" s="514">
        <v>149449.0</v>
      </c>
      <c r="G959" s="514">
        <v>48633.0</v>
      </c>
      <c r="H959" s="514">
        <v>32.54</v>
      </c>
      <c r="I959" s="514">
        <v>2.36</v>
      </c>
      <c r="J959" s="514">
        <v>2.32</v>
      </c>
      <c r="K959" s="514">
        <v>2307850.0</v>
      </c>
      <c r="L959" s="514">
        <v>9.7654553E7</v>
      </c>
      <c r="M959" s="514">
        <v>15.4424</v>
      </c>
      <c r="N959" s="6">
        <v>47.4544</v>
      </c>
    </row>
    <row r="960">
      <c r="A960" s="512" t="s">
        <v>2038</v>
      </c>
      <c r="B960" s="512" t="s">
        <v>163</v>
      </c>
      <c r="C960" s="512" t="s">
        <v>75</v>
      </c>
      <c r="D960" s="512" t="s">
        <v>2036</v>
      </c>
      <c r="E960" s="513" t="s">
        <v>375</v>
      </c>
      <c r="F960" s="514">
        <v>149449.0</v>
      </c>
      <c r="G960" s="514">
        <v>38935.0</v>
      </c>
      <c r="H960" s="514">
        <v>26.05</v>
      </c>
      <c r="I960" s="514">
        <v>1.98</v>
      </c>
      <c r="J960" s="514">
        <v>1.55</v>
      </c>
      <c r="K960" s="514">
        <v>1929015.0</v>
      </c>
      <c r="L960" s="514">
        <v>9.7654553E7</v>
      </c>
      <c r="M960" s="514">
        <v>12.9075</v>
      </c>
      <c r="N960" s="6">
        <v>49.5445</v>
      </c>
    </row>
    <row r="961">
      <c r="A961" s="512" t="s">
        <v>2038</v>
      </c>
      <c r="B961" s="512" t="s">
        <v>163</v>
      </c>
      <c r="C961" s="512" t="s">
        <v>75</v>
      </c>
      <c r="D961" s="512" t="s">
        <v>2036</v>
      </c>
      <c r="E961" s="513" t="s">
        <v>43</v>
      </c>
      <c r="F961" s="514">
        <v>149449.0</v>
      </c>
      <c r="G961" s="514">
        <v>35857.0</v>
      </c>
      <c r="H961" s="514">
        <v>23.99</v>
      </c>
      <c r="I961" s="514">
        <v>1.35</v>
      </c>
      <c r="J961" s="514">
        <v>1.57</v>
      </c>
      <c r="K961" s="514">
        <v>1315755.0</v>
      </c>
      <c r="L961" s="514">
        <v>9.7654553E7</v>
      </c>
      <c r="M961" s="514">
        <v>8.804</v>
      </c>
      <c r="N961" s="6">
        <v>36.6945</v>
      </c>
    </row>
    <row r="962">
      <c r="A962" s="512" t="s">
        <v>2038</v>
      </c>
      <c r="B962" s="512" t="s">
        <v>163</v>
      </c>
      <c r="C962" s="512" t="s">
        <v>75</v>
      </c>
      <c r="D962" s="512" t="s">
        <v>2036</v>
      </c>
      <c r="E962" s="513" t="s">
        <v>367</v>
      </c>
      <c r="F962" s="514">
        <v>149449.0</v>
      </c>
      <c r="G962" s="514">
        <v>29529.0</v>
      </c>
      <c r="H962" s="514">
        <v>19.76</v>
      </c>
      <c r="I962" s="514">
        <v>1.25</v>
      </c>
      <c r="J962" s="514">
        <v>0.87</v>
      </c>
      <c r="K962" s="514">
        <v>1220835.0</v>
      </c>
      <c r="L962" s="514">
        <v>9.7654553E7</v>
      </c>
      <c r="M962" s="514">
        <v>8.1689</v>
      </c>
      <c r="N962" s="6">
        <v>41.3436</v>
      </c>
    </row>
    <row r="963">
      <c r="A963" s="512" t="s">
        <v>2038</v>
      </c>
      <c r="B963" s="512" t="s">
        <v>163</v>
      </c>
      <c r="C963" s="512" t="s">
        <v>75</v>
      </c>
      <c r="D963" s="512" t="s">
        <v>2036</v>
      </c>
      <c r="E963" s="513" t="s">
        <v>35</v>
      </c>
      <c r="F963" s="514">
        <v>149449.0</v>
      </c>
      <c r="G963" s="514">
        <v>22605.0</v>
      </c>
      <c r="H963" s="514">
        <v>15.13</v>
      </c>
      <c r="I963" s="514">
        <v>1.06</v>
      </c>
      <c r="J963" s="514">
        <v>0.93</v>
      </c>
      <c r="K963" s="514">
        <v>1031760.0</v>
      </c>
      <c r="L963" s="514">
        <v>9.7654553E7</v>
      </c>
      <c r="M963" s="514">
        <v>6.9038</v>
      </c>
      <c r="N963" s="6">
        <v>45.643</v>
      </c>
    </row>
    <row r="964">
      <c r="A964" s="512" t="s">
        <v>2038</v>
      </c>
      <c r="B964" s="512" t="s">
        <v>163</v>
      </c>
      <c r="C964" s="512" t="s">
        <v>75</v>
      </c>
      <c r="D964" s="512" t="s">
        <v>2036</v>
      </c>
      <c r="E964" s="513" t="s">
        <v>189</v>
      </c>
      <c r="F964" s="514">
        <v>149449.0</v>
      </c>
      <c r="G964" s="514">
        <v>20253.0</v>
      </c>
      <c r="H964" s="514">
        <v>13.55</v>
      </c>
      <c r="I964" s="514">
        <v>0.7</v>
      </c>
      <c r="J964" s="514">
        <v>0.58</v>
      </c>
      <c r="K964" s="514">
        <v>685065.0</v>
      </c>
      <c r="L964" s="514">
        <v>9.7654553E7</v>
      </c>
      <c r="M964" s="514">
        <v>4.5839</v>
      </c>
      <c r="N964" s="6">
        <v>33.8254</v>
      </c>
    </row>
    <row r="965">
      <c r="A965" s="512" t="s">
        <v>2038</v>
      </c>
      <c r="B965" s="512" t="s">
        <v>163</v>
      </c>
      <c r="C965" s="512" t="s">
        <v>75</v>
      </c>
      <c r="D965" s="512" t="s">
        <v>2036</v>
      </c>
      <c r="E965" s="513" t="s">
        <v>377</v>
      </c>
      <c r="F965" s="514">
        <v>149449.0</v>
      </c>
      <c r="G965" s="514">
        <v>18105.0</v>
      </c>
      <c r="H965" s="514">
        <v>12.11</v>
      </c>
      <c r="I965" s="514">
        <v>0.63</v>
      </c>
      <c r="J965" s="514">
        <v>0.9</v>
      </c>
      <c r="K965" s="514">
        <v>616063.0</v>
      </c>
      <c r="L965" s="514">
        <v>9.7654553E7</v>
      </c>
      <c r="M965" s="514">
        <v>4.1222</v>
      </c>
      <c r="N965" s="6">
        <v>34.0272</v>
      </c>
    </row>
    <row r="966">
      <c r="A966" s="512" t="s">
        <v>2038</v>
      </c>
      <c r="B966" s="512" t="s">
        <v>163</v>
      </c>
      <c r="C966" s="512" t="s">
        <v>75</v>
      </c>
      <c r="D966" s="512" t="s">
        <v>2036</v>
      </c>
      <c r="E966" s="513" t="s">
        <v>50</v>
      </c>
      <c r="F966" s="514">
        <v>149449.0</v>
      </c>
      <c r="G966" s="514">
        <v>2456.0</v>
      </c>
      <c r="H966" s="514">
        <v>1.64</v>
      </c>
      <c r="I966" s="514">
        <v>0.13</v>
      </c>
      <c r="J966" s="514">
        <v>0.19</v>
      </c>
      <c r="K966" s="514">
        <v>128040.0</v>
      </c>
      <c r="L966" s="514">
        <v>9.7654553E7</v>
      </c>
      <c r="M966" s="514">
        <v>0.8567</v>
      </c>
      <c r="N966" s="6">
        <v>52.1336</v>
      </c>
    </row>
    <row r="967">
      <c r="A967" s="512" t="s">
        <v>2038</v>
      </c>
      <c r="B967" s="512" t="s">
        <v>163</v>
      </c>
      <c r="C967" s="512" t="s">
        <v>75</v>
      </c>
      <c r="D967" s="512" t="s">
        <v>2036</v>
      </c>
      <c r="E967" s="513" t="s">
        <v>134</v>
      </c>
      <c r="F967" s="514">
        <v>149449.0</v>
      </c>
      <c r="G967" s="514">
        <v>4319.0</v>
      </c>
      <c r="H967" s="514">
        <v>2.89</v>
      </c>
      <c r="I967" s="514">
        <v>0.1</v>
      </c>
      <c r="J967" s="514">
        <v>0.14</v>
      </c>
      <c r="K967" s="514">
        <v>92920.0</v>
      </c>
      <c r="L967" s="514">
        <v>9.7654553E7</v>
      </c>
      <c r="M967" s="514">
        <v>0.6218</v>
      </c>
      <c r="N967" s="6">
        <v>21.5142</v>
      </c>
    </row>
    <row r="968">
      <c r="A968" s="512" t="s">
        <v>2038</v>
      </c>
      <c r="B968" s="512" t="s">
        <v>163</v>
      </c>
      <c r="C968" s="512" t="s">
        <v>75</v>
      </c>
      <c r="D968" s="512" t="s">
        <v>2036</v>
      </c>
      <c r="E968" s="513" t="s">
        <v>382</v>
      </c>
      <c r="F968" s="514">
        <v>149449.0</v>
      </c>
      <c r="G968" s="514">
        <v>3.0</v>
      </c>
      <c r="H968" s="514">
        <v>0.0</v>
      </c>
      <c r="I968" s="514">
        <v>0.0</v>
      </c>
      <c r="J968" s="514">
        <v>0.0</v>
      </c>
      <c r="K968" s="514">
        <v>75.0</v>
      </c>
      <c r="L968" s="514">
        <v>9.7654553E7</v>
      </c>
      <c r="M968" s="514">
        <v>5.0E-4</v>
      </c>
      <c r="N968" s="6">
        <v>25.0</v>
      </c>
    </row>
    <row r="969">
      <c r="A969" s="512" t="s">
        <v>2038</v>
      </c>
      <c r="B969" s="512" t="s">
        <v>163</v>
      </c>
      <c r="C969" s="512" t="s">
        <v>75</v>
      </c>
      <c r="D969" s="512" t="s">
        <v>2036</v>
      </c>
      <c r="E969" s="513" t="s">
        <v>42</v>
      </c>
      <c r="F969" s="514">
        <v>149449.0</v>
      </c>
      <c r="G969" s="514">
        <v>1.0</v>
      </c>
      <c r="H969" s="514">
        <v>0.0</v>
      </c>
      <c r="I969" s="514">
        <v>0.0</v>
      </c>
      <c r="J969" s="514">
        <v>0.0</v>
      </c>
      <c r="K969" s="514">
        <v>60.0</v>
      </c>
      <c r="L969" s="514">
        <v>9.7654553E7</v>
      </c>
      <c r="M969" s="514">
        <v>4.0E-4</v>
      </c>
      <c r="N969" s="6">
        <v>60.0</v>
      </c>
    </row>
    <row r="970">
      <c r="A970" s="512" t="s">
        <v>2038</v>
      </c>
      <c r="B970" s="512" t="s">
        <v>163</v>
      </c>
      <c r="C970" s="512" t="s">
        <v>75</v>
      </c>
      <c r="D970" s="512" t="s">
        <v>2036</v>
      </c>
      <c r="E970" s="513" t="s">
        <v>383</v>
      </c>
      <c r="F970" s="514">
        <v>149449.0</v>
      </c>
      <c r="G970" s="514">
        <v>1.0</v>
      </c>
      <c r="H970" s="514">
        <v>0.0</v>
      </c>
      <c r="I970" s="514">
        <v>0.0</v>
      </c>
      <c r="J970" s="514">
        <v>0.0</v>
      </c>
      <c r="K970" s="514">
        <v>50.0</v>
      </c>
      <c r="L970" s="514">
        <v>9.7654553E7</v>
      </c>
      <c r="M970" s="514">
        <v>3.0E-4</v>
      </c>
      <c r="N970" s="6">
        <v>50.0</v>
      </c>
    </row>
    <row r="971">
      <c r="A971" s="512" t="s">
        <v>2038</v>
      </c>
      <c r="B971" s="512" t="s">
        <v>1867</v>
      </c>
      <c r="C971" s="512" t="s">
        <v>71</v>
      </c>
      <c r="D971" s="512" t="s">
        <v>574</v>
      </c>
      <c r="E971" s="513" t="s">
        <v>379</v>
      </c>
      <c r="F971" s="514">
        <v>77003.0</v>
      </c>
      <c r="G971" s="514">
        <v>53557.0</v>
      </c>
      <c r="H971" s="514">
        <v>69.55</v>
      </c>
      <c r="I971" s="514">
        <v>28.86</v>
      </c>
      <c r="J971" s="514">
        <v>28.58</v>
      </c>
      <c r="K971" s="514">
        <v>135390.0</v>
      </c>
      <c r="L971" s="514">
        <v>469133.0</v>
      </c>
      <c r="M971" s="514">
        <v>1.7582</v>
      </c>
      <c r="N971" s="6">
        <v>2.528</v>
      </c>
    </row>
    <row r="972">
      <c r="A972" s="512" t="s">
        <v>2038</v>
      </c>
      <c r="B972" s="512" t="s">
        <v>1867</v>
      </c>
      <c r="C972" s="512" t="s">
        <v>71</v>
      </c>
      <c r="D972" s="512" t="s">
        <v>574</v>
      </c>
      <c r="E972" s="513" t="s">
        <v>377</v>
      </c>
      <c r="F972" s="514">
        <v>77003.0</v>
      </c>
      <c r="G972" s="514">
        <v>58294.0</v>
      </c>
      <c r="H972" s="514">
        <v>75.7</v>
      </c>
      <c r="I972" s="514">
        <v>24.77</v>
      </c>
      <c r="J972" s="514">
        <v>33.24</v>
      </c>
      <c r="K972" s="514">
        <v>116209.0</v>
      </c>
      <c r="L972" s="514">
        <v>469133.0</v>
      </c>
      <c r="M972" s="514">
        <v>1.5091</v>
      </c>
      <c r="N972" s="6">
        <v>1.9935</v>
      </c>
    </row>
    <row r="973">
      <c r="A973" s="512" t="s">
        <v>2038</v>
      </c>
      <c r="B973" s="512" t="s">
        <v>1867</v>
      </c>
      <c r="C973" s="512" t="s">
        <v>71</v>
      </c>
      <c r="D973" s="512" t="s">
        <v>574</v>
      </c>
      <c r="E973" s="513" t="s">
        <v>380</v>
      </c>
      <c r="F973" s="514">
        <v>77003.0</v>
      </c>
      <c r="G973" s="514">
        <v>32103.0</v>
      </c>
      <c r="H973" s="514">
        <v>41.69</v>
      </c>
      <c r="I973" s="514">
        <v>18.95</v>
      </c>
      <c r="J973" s="514">
        <v>12.38</v>
      </c>
      <c r="K973" s="514">
        <v>88882.0</v>
      </c>
      <c r="L973" s="514">
        <v>469133.0</v>
      </c>
      <c r="M973" s="514">
        <v>1.1543</v>
      </c>
      <c r="N973" s="6">
        <v>2.7687</v>
      </c>
    </row>
    <row r="974">
      <c r="A974" s="512" t="s">
        <v>2038</v>
      </c>
      <c r="B974" s="512" t="s">
        <v>1867</v>
      </c>
      <c r="C974" s="512" t="s">
        <v>71</v>
      </c>
      <c r="D974" s="512" t="s">
        <v>574</v>
      </c>
      <c r="E974" s="513" t="s">
        <v>49</v>
      </c>
      <c r="F974" s="514">
        <v>77003.0</v>
      </c>
      <c r="G974" s="514">
        <v>24165.0</v>
      </c>
      <c r="H974" s="514">
        <v>31.38</v>
      </c>
      <c r="I974" s="514">
        <v>8.3</v>
      </c>
      <c r="J974" s="514">
        <v>7.87</v>
      </c>
      <c r="K974" s="514">
        <v>38942.0</v>
      </c>
      <c r="L974" s="514">
        <v>469133.0</v>
      </c>
      <c r="M974" s="514">
        <v>0.5057</v>
      </c>
      <c r="N974" s="6">
        <v>1.6115</v>
      </c>
    </row>
    <row r="975">
      <c r="A975" s="512" t="s">
        <v>2038</v>
      </c>
      <c r="B975" s="512" t="s">
        <v>1867</v>
      </c>
      <c r="C975" s="512" t="s">
        <v>71</v>
      </c>
      <c r="D975" s="512" t="s">
        <v>574</v>
      </c>
      <c r="E975" s="513" t="s">
        <v>42</v>
      </c>
      <c r="F975" s="514">
        <v>77003.0</v>
      </c>
      <c r="G975" s="514">
        <v>20133.0</v>
      </c>
      <c r="H975" s="514">
        <v>26.15</v>
      </c>
      <c r="I975" s="514">
        <v>6.71</v>
      </c>
      <c r="J975" s="514">
        <v>7.49</v>
      </c>
      <c r="K975" s="514">
        <v>31480.0</v>
      </c>
      <c r="L975" s="514">
        <v>469133.0</v>
      </c>
      <c r="M975" s="514">
        <v>0.4088</v>
      </c>
      <c r="N975" s="6">
        <v>1.5636</v>
      </c>
    </row>
    <row r="976">
      <c r="A976" s="512" t="s">
        <v>2038</v>
      </c>
      <c r="B976" s="512" t="s">
        <v>1867</v>
      </c>
      <c r="C976" s="512" t="s">
        <v>71</v>
      </c>
      <c r="D976" s="512" t="s">
        <v>574</v>
      </c>
      <c r="E976" s="513" t="s">
        <v>44</v>
      </c>
      <c r="F976" s="514">
        <v>77003.0</v>
      </c>
      <c r="G976" s="514">
        <v>19336.0</v>
      </c>
      <c r="H976" s="514">
        <v>25.11</v>
      </c>
      <c r="I976" s="514">
        <v>5.87</v>
      </c>
      <c r="J976" s="514">
        <v>4.18</v>
      </c>
      <c r="K976" s="514">
        <v>27516.0</v>
      </c>
      <c r="L976" s="514">
        <v>469133.0</v>
      </c>
      <c r="M976" s="514">
        <v>0.3573</v>
      </c>
      <c r="N976" s="6">
        <v>1.423</v>
      </c>
    </row>
    <row r="977">
      <c r="A977" s="512" t="s">
        <v>2038</v>
      </c>
      <c r="B977" s="512" t="s">
        <v>1867</v>
      </c>
      <c r="C977" s="512" t="s">
        <v>71</v>
      </c>
      <c r="D977" s="512" t="s">
        <v>574</v>
      </c>
      <c r="E977" s="513" t="s">
        <v>50</v>
      </c>
      <c r="F977" s="514">
        <v>77003.0</v>
      </c>
      <c r="G977" s="514">
        <v>11344.0</v>
      </c>
      <c r="H977" s="514">
        <v>14.73</v>
      </c>
      <c r="I977" s="514">
        <v>3.06</v>
      </c>
      <c r="J977" s="514">
        <v>2.44</v>
      </c>
      <c r="K977" s="514">
        <v>14354.0</v>
      </c>
      <c r="L977" s="514">
        <v>469133.0</v>
      </c>
      <c r="M977" s="514">
        <v>0.1864</v>
      </c>
      <c r="N977" s="6">
        <v>1.2653</v>
      </c>
    </row>
    <row r="978">
      <c r="A978" s="512" t="s">
        <v>2038</v>
      </c>
      <c r="B978" s="512" t="s">
        <v>1867</v>
      </c>
      <c r="C978" s="512" t="s">
        <v>71</v>
      </c>
      <c r="D978" s="512" t="s">
        <v>574</v>
      </c>
      <c r="E978" s="513" t="s">
        <v>372</v>
      </c>
      <c r="F978" s="514">
        <v>77003.0</v>
      </c>
      <c r="G978" s="514">
        <v>10074.0</v>
      </c>
      <c r="H978" s="514">
        <v>13.08</v>
      </c>
      <c r="I978" s="514">
        <v>2.2</v>
      </c>
      <c r="J978" s="514">
        <v>2.36</v>
      </c>
      <c r="K978" s="514">
        <v>10310.0</v>
      </c>
      <c r="L978" s="514">
        <v>469133.0</v>
      </c>
      <c r="M978" s="514">
        <v>0.1339</v>
      </c>
      <c r="N978" s="6">
        <v>1.0234</v>
      </c>
    </row>
    <row r="979">
      <c r="A979" s="512" t="s">
        <v>2038</v>
      </c>
      <c r="B979" s="512" t="s">
        <v>1867</v>
      </c>
      <c r="C979" s="512" t="s">
        <v>71</v>
      </c>
      <c r="D979" s="512" t="s">
        <v>574</v>
      </c>
      <c r="E979" s="513" t="s">
        <v>134</v>
      </c>
      <c r="F979" s="514">
        <v>77003.0</v>
      </c>
      <c r="G979" s="514">
        <v>3922.0</v>
      </c>
      <c r="H979" s="514">
        <v>5.09</v>
      </c>
      <c r="I979" s="514">
        <v>0.98</v>
      </c>
      <c r="J979" s="514">
        <v>1.18</v>
      </c>
      <c r="K979" s="514">
        <v>4619.0</v>
      </c>
      <c r="L979" s="514">
        <v>469133.0</v>
      </c>
      <c r="M979" s="514">
        <v>0.06</v>
      </c>
      <c r="N979" s="6">
        <v>1.1777</v>
      </c>
    </row>
    <row r="980">
      <c r="A980" s="512" t="s">
        <v>2038</v>
      </c>
      <c r="B980" s="512" t="s">
        <v>1867</v>
      </c>
      <c r="C980" s="512" t="s">
        <v>71</v>
      </c>
      <c r="D980" s="512" t="s">
        <v>574</v>
      </c>
      <c r="E980" s="513" t="s">
        <v>43</v>
      </c>
      <c r="F980" s="514">
        <v>77003.0</v>
      </c>
      <c r="G980" s="514">
        <v>1293.0</v>
      </c>
      <c r="H980" s="514">
        <v>1.68</v>
      </c>
      <c r="I980" s="514">
        <v>0.28</v>
      </c>
      <c r="J980" s="514">
        <v>0.27</v>
      </c>
      <c r="K980" s="514">
        <v>1337.0</v>
      </c>
      <c r="L980" s="514">
        <v>469133.0</v>
      </c>
      <c r="M980" s="514">
        <v>0.0174</v>
      </c>
      <c r="N980" s="6">
        <v>1.034</v>
      </c>
    </row>
    <row r="981">
      <c r="A981" s="512" t="s">
        <v>2038</v>
      </c>
      <c r="B981" s="512" t="s">
        <v>1867</v>
      </c>
      <c r="C981" s="512" t="s">
        <v>71</v>
      </c>
      <c r="D981" s="512" t="s">
        <v>574</v>
      </c>
      <c r="E981" s="513" t="s">
        <v>35</v>
      </c>
      <c r="F981" s="514">
        <v>77003.0</v>
      </c>
      <c r="G981" s="514">
        <v>27.0</v>
      </c>
      <c r="H981" s="514">
        <v>0.04</v>
      </c>
      <c r="I981" s="514">
        <v>0.01</v>
      </c>
      <c r="J981" s="514">
        <v>0.01</v>
      </c>
      <c r="K981" s="514">
        <v>28.0</v>
      </c>
      <c r="L981" s="514">
        <v>469133.0</v>
      </c>
      <c r="M981" s="514">
        <v>4.0E-4</v>
      </c>
      <c r="N981" s="6">
        <v>1.037</v>
      </c>
    </row>
    <row r="982">
      <c r="A982" s="512" t="s">
        <v>2038</v>
      </c>
      <c r="B982" s="512" t="s">
        <v>1867</v>
      </c>
      <c r="C982" s="512" t="s">
        <v>71</v>
      </c>
      <c r="D982" s="512" t="s">
        <v>574</v>
      </c>
      <c r="E982" s="513" t="s">
        <v>375</v>
      </c>
      <c r="F982" s="514">
        <v>77003.0</v>
      </c>
      <c r="G982" s="514">
        <v>54.0</v>
      </c>
      <c r="H982" s="514">
        <v>0.07</v>
      </c>
      <c r="I982" s="514">
        <v>0.01</v>
      </c>
      <c r="J982" s="514">
        <v>0.01</v>
      </c>
      <c r="K982" s="514">
        <v>54.0</v>
      </c>
      <c r="L982" s="514">
        <v>469133.0</v>
      </c>
      <c r="M982" s="514">
        <v>7.0E-4</v>
      </c>
      <c r="N982" s="6">
        <v>1.0</v>
      </c>
    </row>
    <row r="983">
      <c r="A983" s="512" t="s">
        <v>2038</v>
      </c>
      <c r="B983" s="512" t="s">
        <v>1867</v>
      </c>
      <c r="C983" s="512" t="s">
        <v>71</v>
      </c>
      <c r="D983" s="512" t="s">
        <v>574</v>
      </c>
      <c r="E983" s="513" t="s">
        <v>189</v>
      </c>
      <c r="F983" s="514">
        <v>77003.0</v>
      </c>
      <c r="G983" s="514">
        <v>3.0</v>
      </c>
      <c r="H983" s="514">
        <v>0.0</v>
      </c>
      <c r="I983" s="514">
        <v>0.0</v>
      </c>
      <c r="J983" s="514">
        <v>0.0</v>
      </c>
      <c r="K983" s="514">
        <v>3.0</v>
      </c>
      <c r="L983" s="514">
        <v>469133.0</v>
      </c>
      <c r="M983" s="514">
        <v>0.0</v>
      </c>
      <c r="N983" s="6">
        <v>1.0</v>
      </c>
    </row>
    <row r="984">
      <c r="A984" s="512" t="s">
        <v>2038</v>
      </c>
      <c r="B984" s="512" t="s">
        <v>1867</v>
      </c>
      <c r="C984" s="512" t="s">
        <v>71</v>
      </c>
      <c r="D984" s="512" t="s">
        <v>574</v>
      </c>
      <c r="E984" s="513" t="s">
        <v>32</v>
      </c>
      <c r="F984" s="514">
        <v>77003.0</v>
      </c>
      <c r="G984" s="514">
        <v>4.0</v>
      </c>
      <c r="H984" s="514">
        <v>0.01</v>
      </c>
      <c r="I984" s="514">
        <v>0.0</v>
      </c>
      <c r="J984" s="514">
        <v>0.0</v>
      </c>
      <c r="K984" s="514">
        <v>6.0</v>
      </c>
      <c r="L984" s="514">
        <v>469133.0</v>
      </c>
      <c r="M984" s="514">
        <v>1.0E-4</v>
      </c>
      <c r="N984" s="6">
        <v>1.5</v>
      </c>
    </row>
    <row r="985">
      <c r="A985" s="512" t="s">
        <v>2038</v>
      </c>
      <c r="B985" s="512" t="s">
        <v>1867</v>
      </c>
      <c r="C985" s="512" t="s">
        <v>71</v>
      </c>
      <c r="D985" s="512" t="s">
        <v>574</v>
      </c>
      <c r="E985" s="513" t="s">
        <v>312</v>
      </c>
      <c r="F985" s="514">
        <v>77003.0</v>
      </c>
      <c r="G985" s="514">
        <v>2.0</v>
      </c>
      <c r="H985" s="514">
        <v>0.0</v>
      </c>
      <c r="I985" s="514">
        <v>0.0</v>
      </c>
      <c r="J985" s="514">
        <v>0.0</v>
      </c>
      <c r="K985" s="514">
        <v>3.0</v>
      </c>
      <c r="L985" s="514">
        <v>469133.0</v>
      </c>
      <c r="M985" s="514">
        <v>0.0</v>
      </c>
      <c r="N985" s="6">
        <v>1.5</v>
      </c>
    </row>
    <row r="986">
      <c r="A986" s="512" t="s">
        <v>2038</v>
      </c>
      <c r="B986" s="512" t="s">
        <v>1867</v>
      </c>
      <c r="C986" s="512" t="s">
        <v>70</v>
      </c>
      <c r="D986" s="512" t="s">
        <v>574</v>
      </c>
      <c r="E986" s="513" t="s">
        <v>379</v>
      </c>
      <c r="F986" s="514">
        <v>83786.0</v>
      </c>
      <c r="G986" s="514">
        <v>66184.0</v>
      </c>
      <c r="H986" s="514">
        <v>78.99</v>
      </c>
      <c r="I986" s="514">
        <v>29.09</v>
      </c>
      <c r="J986" s="514">
        <v>27.47</v>
      </c>
      <c r="K986" s="514">
        <v>236877.0</v>
      </c>
      <c r="L986" s="514">
        <v>814418.0</v>
      </c>
      <c r="M986" s="514">
        <v>2.8272</v>
      </c>
      <c r="N986" s="6">
        <v>3.5791</v>
      </c>
    </row>
    <row r="987">
      <c r="A987" s="512" t="s">
        <v>2038</v>
      </c>
      <c r="B987" s="512" t="s">
        <v>1867</v>
      </c>
      <c r="C987" s="512" t="s">
        <v>70</v>
      </c>
      <c r="D987" s="512" t="s">
        <v>574</v>
      </c>
      <c r="E987" s="513" t="s">
        <v>380</v>
      </c>
      <c r="F987" s="514">
        <v>83786.0</v>
      </c>
      <c r="G987" s="514">
        <v>60121.0</v>
      </c>
      <c r="H987" s="514">
        <v>71.76</v>
      </c>
      <c r="I987" s="514">
        <v>22.61</v>
      </c>
      <c r="J987" s="514">
        <v>23.0</v>
      </c>
      <c r="K987" s="514">
        <v>184116.0</v>
      </c>
      <c r="L987" s="514">
        <v>814418.0</v>
      </c>
      <c r="M987" s="514">
        <v>2.1975</v>
      </c>
      <c r="N987" s="6">
        <v>3.0624</v>
      </c>
    </row>
    <row r="988">
      <c r="A988" s="512" t="s">
        <v>2038</v>
      </c>
      <c r="B988" s="512" t="s">
        <v>1867</v>
      </c>
      <c r="C988" s="512" t="s">
        <v>70</v>
      </c>
      <c r="D988" s="512" t="s">
        <v>574</v>
      </c>
      <c r="E988" s="513" t="s">
        <v>377</v>
      </c>
      <c r="F988" s="514">
        <v>83786.0</v>
      </c>
      <c r="G988" s="514">
        <v>58425.0</v>
      </c>
      <c r="H988" s="514">
        <v>69.73</v>
      </c>
      <c r="I988" s="514">
        <v>14.31</v>
      </c>
      <c r="J988" s="514">
        <v>17.03</v>
      </c>
      <c r="K988" s="514">
        <v>116527.0</v>
      </c>
      <c r="L988" s="514">
        <v>814418.0</v>
      </c>
      <c r="M988" s="514">
        <v>1.3908</v>
      </c>
      <c r="N988" s="6">
        <v>1.9945</v>
      </c>
    </row>
    <row r="989">
      <c r="A989" s="512" t="s">
        <v>2038</v>
      </c>
      <c r="B989" s="512" t="s">
        <v>1867</v>
      </c>
      <c r="C989" s="512" t="s">
        <v>70</v>
      </c>
      <c r="D989" s="512" t="s">
        <v>574</v>
      </c>
      <c r="E989" s="513" t="s">
        <v>44</v>
      </c>
      <c r="F989" s="514">
        <v>83786.0</v>
      </c>
      <c r="G989" s="514">
        <v>34708.0</v>
      </c>
      <c r="H989" s="514">
        <v>41.42</v>
      </c>
      <c r="I989" s="514">
        <v>7.08</v>
      </c>
      <c r="J989" s="514">
        <v>5.95</v>
      </c>
      <c r="K989" s="514">
        <v>57631.0</v>
      </c>
      <c r="L989" s="514">
        <v>814418.0</v>
      </c>
      <c r="M989" s="514">
        <v>0.6878</v>
      </c>
      <c r="N989" s="6">
        <v>1.6605</v>
      </c>
    </row>
    <row r="990">
      <c r="A990" s="512" t="s">
        <v>2038</v>
      </c>
      <c r="B990" s="512" t="s">
        <v>1867</v>
      </c>
      <c r="C990" s="512" t="s">
        <v>70</v>
      </c>
      <c r="D990" s="512" t="s">
        <v>574</v>
      </c>
      <c r="E990" s="513" t="s">
        <v>375</v>
      </c>
      <c r="F990" s="514">
        <v>83786.0</v>
      </c>
      <c r="G990" s="514">
        <v>38568.0</v>
      </c>
      <c r="H990" s="514">
        <v>46.03</v>
      </c>
      <c r="I990" s="514">
        <v>6.48</v>
      </c>
      <c r="J990" s="514">
        <v>7.01</v>
      </c>
      <c r="K990" s="514">
        <v>52758.0</v>
      </c>
      <c r="L990" s="514">
        <v>814418.0</v>
      </c>
      <c r="M990" s="514">
        <v>0.6297</v>
      </c>
      <c r="N990" s="6">
        <v>1.3679</v>
      </c>
    </row>
    <row r="991">
      <c r="A991" s="512" t="s">
        <v>2038</v>
      </c>
      <c r="B991" s="512" t="s">
        <v>1867</v>
      </c>
      <c r="C991" s="512" t="s">
        <v>70</v>
      </c>
      <c r="D991" s="512" t="s">
        <v>574</v>
      </c>
      <c r="E991" s="513" t="s">
        <v>374</v>
      </c>
      <c r="F991" s="514">
        <v>83786.0</v>
      </c>
      <c r="G991" s="514">
        <v>20427.0</v>
      </c>
      <c r="H991" s="514">
        <v>24.38</v>
      </c>
      <c r="I991" s="514">
        <v>5.77</v>
      </c>
      <c r="J991" s="514">
        <v>5.44</v>
      </c>
      <c r="K991" s="514">
        <v>47015.0</v>
      </c>
      <c r="L991" s="514">
        <v>814418.0</v>
      </c>
      <c r="M991" s="514">
        <v>0.5611</v>
      </c>
      <c r="N991" s="6">
        <v>2.3016</v>
      </c>
    </row>
    <row r="992">
      <c r="A992" s="512" t="s">
        <v>2038</v>
      </c>
      <c r="B992" s="512" t="s">
        <v>1867</v>
      </c>
      <c r="C992" s="512" t="s">
        <v>70</v>
      </c>
      <c r="D992" s="512" t="s">
        <v>574</v>
      </c>
      <c r="E992" s="513" t="s">
        <v>49</v>
      </c>
      <c r="F992" s="514">
        <v>83786.0</v>
      </c>
      <c r="G992" s="514">
        <v>24165.0</v>
      </c>
      <c r="H992" s="514">
        <v>28.84</v>
      </c>
      <c r="I992" s="514">
        <v>4.78</v>
      </c>
      <c r="J992" s="514">
        <v>4.27</v>
      </c>
      <c r="K992" s="514">
        <v>38942.0</v>
      </c>
      <c r="L992" s="514">
        <v>814418.0</v>
      </c>
      <c r="M992" s="514">
        <v>0.4648</v>
      </c>
      <c r="N992" s="6">
        <v>1.6115</v>
      </c>
    </row>
    <row r="993">
      <c r="A993" s="512" t="s">
        <v>2038</v>
      </c>
      <c r="B993" s="512" t="s">
        <v>1867</v>
      </c>
      <c r="C993" s="512" t="s">
        <v>70</v>
      </c>
      <c r="D993" s="512" t="s">
        <v>574</v>
      </c>
      <c r="E993" s="513" t="s">
        <v>189</v>
      </c>
      <c r="F993" s="514">
        <v>83786.0</v>
      </c>
      <c r="G993" s="514">
        <v>20718.0</v>
      </c>
      <c r="H993" s="514">
        <v>24.73</v>
      </c>
      <c r="I993" s="514">
        <v>2.59</v>
      </c>
      <c r="J993" s="514">
        <v>2.92</v>
      </c>
      <c r="K993" s="514">
        <v>21102.0</v>
      </c>
      <c r="L993" s="514">
        <v>814418.0</v>
      </c>
      <c r="M993" s="514">
        <v>0.2519</v>
      </c>
      <c r="N993" s="6">
        <v>1.0185</v>
      </c>
    </row>
    <row r="994">
      <c r="A994" s="512" t="s">
        <v>2038</v>
      </c>
      <c r="B994" s="512" t="s">
        <v>1867</v>
      </c>
      <c r="C994" s="512" t="s">
        <v>70</v>
      </c>
      <c r="D994" s="512" t="s">
        <v>574</v>
      </c>
      <c r="E994" s="513" t="s">
        <v>35</v>
      </c>
      <c r="F994" s="514">
        <v>83786.0</v>
      </c>
      <c r="G994" s="514">
        <v>17723.0</v>
      </c>
      <c r="H994" s="514">
        <v>21.15</v>
      </c>
      <c r="I994" s="514">
        <v>2.4</v>
      </c>
      <c r="J994" s="514">
        <v>2.42</v>
      </c>
      <c r="K994" s="514">
        <v>19522.0</v>
      </c>
      <c r="L994" s="514">
        <v>814418.0</v>
      </c>
      <c r="M994" s="514">
        <v>0.233</v>
      </c>
      <c r="N994" s="6">
        <v>1.1015</v>
      </c>
    </row>
    <row r="995">
      <c r="A995" s="512" t="s">
        <v>2038</v>
      </c>
      <c r="B995" s="512" t="s">
        <v>1867</v>
      </c>
      <c r="C995" s="512" t="s">
        <v>70</v>
      </c>
      <c r="D995" s="512" t="s">
        <v>574</v>
      </c>
      <c r="E995" s="513" t="s">
        <v>372</v>
      </c>
      <c r="F995" s="514">
        <v>83786.0</v>
      </c>
      <c r="G995" s="514">
        <v>12068.0</v>
      </c>
      <c r="H995" s="514">
        <v>14.4</v>
      </c>
      <c r="I995" s="514">
        <v>1.67</v>
      </c>
      <c r="J995" s="514">
        <v>1.56</v>
      </c>
      <c r="K995" s="514">
        <v>13591.0</v>
      </c>
      <c r="L995" s="514">
        <v>814418.0</v>
      </c>
      <c r="M995" s="514">
        <v>0.1622</v>
      </c>
      <c r="N995" s="6">
        <v>1.1262</v>
      </c>
    </row>
    <row r="996">
      <c r="A996" s="512" t="s">
        <v>2038</v>
      </c>
      <c r="B996" s="512" t="s">
        <v>1867</v>
      </c>
      <c r="C996" s="512" t="s">
        <v>70</v>
      </c>
      <c r="D996" s="512" t="s">
        <v>574</v>
      </c>
      <c r="E996" s="513" t="s">
        <v>42</v>
      </c>
      <c r="F996" s="514">
        <v>83786.0</v>
      </c>
      <c r="G996" s="514">
        <v>9493.0</v>
      </c>
      <c r="H996" s="514">
        <v>11.33</v>
      </c>
      <c r="I996" s="514">
        <v>1.46</v>
      </c>
      <c r="J996" s="514">
        <v>1.52</v>
      </c>
      <c r="K996" s="514">
        <v>11884.0</v>
      </c>
      <c r="L996" s="514">
        <v>814418.0</v>
      </c>
      <c r="M996" s="514">
        <v>0.1418</v>
      </c>
      <c r="N996" s="6">
        <v>1.2519</v>
      </c>
    </row>
    <row r="997">
      <c r="A997" s="512" t="s">
        <v>2038</v>
      </c>
      <c r="B997" s="512" t="s">
        <v>1867</v>
      </c>
      <c r="C997" s="512" t="s">
        <v>70</v>
      </c>
      <c r="D997" s="512" t="s">
        <v>574</v>
      </c>
      <c r="E997" s="513" t="s">
        <v>50</v>
      </c>
      <c r="F997" s="514">
        <v>83786.0</v>
      </c>
      <c r="G997" s="514">
        <v>6740.0</v>
      </c>
      <c r="H997" s="514">
        <v>8.04</v>
      </c>
      <c r="I997" s="514">
        <v>0.98</v>
      </c>
      <c r="J997" s="514">
        <v>0.68</v>
      </c>
      <c r="K997" s="514">
        <v>8008.0</v>
      </c>
      <c r="L997" s="514">
        <v>814418.0</v>
      </c>
      <c r="M997" s="514">
        <v>0.0956</v>
      </c>
      <c r="N997" s="6">
        <v>1.1881</v>
      </c>
    </row>
    <row r="998">
      <c r="A998" s="512" t="s">
        <v>2038</v>
      </c>
      <c r="B998" s="512" t="s">
        <v>1867</v>
      </c>
      <c r="C998" s="512" t="s">
        <v>70</v>
      </c>
      <c r="D998" s="512" t="s">
        <v>574</v>
      </c>
      <c r="E998" s="513" t="s">
        <v>134</v>
      </c>
      <c r="F998" s="514">
        <v>83786.0</v>
      </c>
      <c r="G998" s="514">
        <v>4084.0</v>
      </c>
      <c r="H998" s="514">
        <v>4.87</v>
      </c>
      <c r="I998" s="514">
        <v>0.62</v>
      </c>
      <c r="J998" s="514">
        <v>0.55</v>
      </c>
      <c r="K998" s="514">
        <v>5059.0</v>
      </c>
      <c r="L998" s="514">
        <v>814418.0</v>
      </c>
      <c r="M998" s="514">
        <v>0.0604</v>
      </c>
      <c r="N998" s="6">
        <v>1.2387</v>
      </c>
    </row>
    <row r="999">
      <c r="A999" s="512" t="s">
        <v>2038</v>
      </c>
      <c r="B999" s="512" t="s">
        <v>1867</v>
      </c>
      <c r="C999" s="512" t="s">
        <v>70</v>
      </c>
      <c r="D999" s="512" t="s">
        <v>574</v>
      </c>
      <c r="E999" s="513" t="s">
        <v>43</v>
      </c>
      <c r="F999" s="514">
        <v>83786.0</v>
      </c>
      <c r="G999" s="514">
        <v>1330.0</v>
      </c>
      <c r="H999" s="514">
        <v>1.59</v>
      </c>
      <c r="I999" s="514">
        <v>0.17</v>
      </c>
      <c r="J999" s="514">
        <v>0.17</v>
      </c>
      <c r="K999" s="514">
        <v>1372.0</v>
      </c>
      <c r="L999" s="514">
        <v>814418.0</v>
      </c>
      <c r="M999" s="514">
        <v>0.0164</v>
      </c>
      <c r="N999" s="6">
        <v>1.0316</v>
      </c>
    </row>
    <row r="1000">
      <c r="A1000" s="512" t="s">
        <v>2038</v>
      </c>
      <c r="B1000" s="512" t="s">
        <v>1867</v>
      </c>
      <c r="C1000" s="512" t="s">
        <v>70</v>
      </c>
      <c r="D1000" s="512" t="s">
        <v>574</v>
      </c>
      <c r="E1000" s="513" t="s">
        <v>32</v>
      </c>
      <c r="F1000" s="514">
        <v>83786.0</v>
      </c>
      <c r="G1000" s="514">
        <v>11.0</v>
      </c>
      <c r="H1000" s="514">
        <v>0.01</v>
      </c>
      <c r="I1000" s="514">
        <v>0.0</v>
      </c>
      <c r="J1000" s="514">
        <v>0.0</v>
      </c>
      <c r="K1000" s="514">
        <v>11.0</v>
      </c>
      <c r="L1000" s="514">
        <v>814418.0</v>
      </c>
      <c r="M1000" s="514">
        <v>1.0E-4</v>
      </c>
      <c r="N1000" s="6">
        <v>1.0</v>
      </c>
    </row>
    <row r="1001">
      <c r="A1001" s="512" t="s">
        <v>2038</v>
      </c>
      <c r="B1001" s="512" t="s">
        <v>1867</v>
      </c>
      <c r="C1001" s="512" t="s">
        <v>70</v>
      </c>
      <c r="D1001" s="512" t="s">
        <v>574</v>
      </c>
      <c r="E1001" s="513" t="s">
        <v>311</v>
      </c>
      <c r="F1001" s="514">
        <v>83786.0</v>
      </c>
      <c r="G1001" s="514">
        <v>2.0</v>
      </c>
      <c r="H1001" s="514">
        <v>0.0</v>
      </c>
      <c r="I1001" s="514">
        <v>0.0</v>
      </c>
      <c r="J1001" s="514">
        <v>0.0</v>
      </c>
      <c r="K1001" s="514">
        <v>3.0</v>
      </c>
      <c r="L1001" s="514">
        <v>814418.0</v>
      </c>
      <c r="M1001" s="514">
        <v>0.0</v>
      </c>
      <c r="N1001" s="6">
        <v>1.5</v>
      </c>
    </row>
    <row r="1002">
      <c r="A1002" s="512" t="s">
        <v>2038</v>
      </c>
      <c r="B1002" s="512" t="s">
        <v>1867</v>
      </c>
      <c r="C1002" s="512" t="s">
        <v>74</v>
      </c>
      <c r="D1002" s="512" t="s">
        <v>574</v>
      </c>
      <c r="E1002" s="513" t="s">
        <v>379</v>
      </c>
      <c r="F1002" s="514">
        <v>67276.0</v>
      </c>
      <c r="G1002" s="514">
        <v>50636.0</v>
      </c>
      <c r="H1002" s="514">
        <v>75.27</v>
      </c>
      <c r="I1002" s="514">
        <v>31.09</v>
      </c>
      <c r="J1002" s="514">
        <v>35.57</v>
      </c>
      <c r="K1002" s="514">
        <v>101448.0</v>
      </c>
      <c r="L1002" s="514">
        <v>326252.0</v>
      </c>
      <c r="M1002" s="514">
        <v>1.5079</v>
      </c>
      <c r="N1002" s="6">
        <v>2.0035</v>
      </c>
    </row>
    <row r="1003">
      <c r="A1003" s="512" t="s">
        <v>2038</v>
      </c>
      <c r="B1003" s="512" t="s">
        <v>1867</v>
      </c>
      <c r="C1003" s="512" t="s">
        <v>74</v>
      </c>
      <c r="D1003" s="512" t="s">
        <v>574</v>
      </c>
      <c r="E1003" s="513" t="s">
        <v>42</v>
      </c>
      <c r="F1003" s="514">
        <v>67276.0</v>
      </c>
      <c r="G1003" s="514">
        <v>36878.0</v>
      </c>
      <c r="H1003" s="514">
        <v>54.82</v>
      </c>
      <c r="I1003" s="514">
        <v>21.79</v>
      </c>
      <c r="J1003" s="514">
        <v>23.34</v>
      </c>
      <c r="K1003" s="514">
        <v>71096.0</v>
      </c>
      <c r="L1003" s="514">
        <v>326252.0</v>
      </c>
      <c r="M1003" s="514">
        <v>1.0568</v>
      </c>
      <c r="N1003" s="6">
        <v>1.9279</v>
      </c>
    </row>
    <row r="1004">
      <c r="A1004" s="512" t="s">
        <v>2038</v>
      </c>
      <c r="B1004" s="512" t="s">
        <v>1867</v>
      </c>
      <c r="C1004" s="512" t="s">
        <v>74</v>
      </c>
      <c r="D1004" s="512" t="s">
        <v>574</v>
      </c>
      <c r="E1004" s="513" t="s">
        <v>380</v>
      </c>
      <c r="F1004" s="514">
        <v>67276.0</v>
      </c>
      <c r="G1004" s="514">
        <v>14035.0</v>
      </c>
      <c r="H1004" s="514">
        <v>20.86</v>
      </c>
      <c r="I1004" s="514">
        <v>9.59</v>
      </c>
      <c r="J1004" s="514">
        <v>6.61</v>
      </c>
      <c r="K1004" s="514">
        <v>31276.0</v>
      </c>
      <c r="L1004" s="514">
        <v>326252.0</v>
      </c>
      <c r="M1004" s="514">
        <v>0.4649</v>
      </c>
      <c r="N1004" s="6">
        <v>2.2284</v>
      </c>
    </row>
    <row r="1005">
      <c r="A1005" s="512" t="s">
        <v>2038</v>
      </c>
      <c r="B1005" s="512" t="s">
        <v>1867</v>
      </c>
      <c r="C1005" s="512" t="s">
        <v>74</v>
      </c>
      <c r="D1005" s="512" t="s">
        <v>574</v>
      </c>
      <c r="E1005" s="513" t="s">
        <v>367</v>
      </c>
      <c r="F1005" s="514">
        <v>67276.0</v>
      </c>
      <c r="G1005" s="514">
        <v>14034.0</v>
      </c>
      <c r="H1005" s="514">
        <v>20.86</v>
      </c>
      <c r="I1005" s="514">
        <v>8.18</v>
      </c>
      <c r="J1005" s="514">
        <v>5.94</v>
      </c>
      <c r="K1005" s="514">
        <v>26675.0</v>
      </c>
      <c r="L1005" s="514">
        <v>326252.0</v>
      </c>
      <c r="M1005" s="514">
        <v>0.3965</v>
      </c>
      <c r="N1005" s="6">
        <v>1.9007</v>
      </c>
    </row>
    <row r="1006">
      <c r="A1006" s="512" t="s">
        <v>2038</v>
      </c>
      <c r="B1006" s="512" t="s">
        <v>1867</v>
      </c>
      <c r="C1006" s="512" t="s">
        <v>74</v>
      </c>
      <c r="D1006" s="512" t="s">
        <v>574</v>
      </c>
      <c r="E1006" s="513" t="s">
        <v>50</v>
      </c>
      <c r="F1006" s="514">
        <v>67276.0</v>
      </c>
      <c r="G1006" s="514">
        <v>16016.0</v>
      </c>
      <c r="H1006" s="514">
        <v>23.81</v>
      </c>
      <c r="I1006" s="514">
        <v>6.74</v>
      </c>
      <c r="J1006" s="514">
        <v>6.92</v>
      </c>
      <c r="K1006" s="514">
        <v>21986.0</v>
      </c>
      <c r="L1006" s="514">
        <v>326252.0</v>
      </c>
      <c r="M1006" s="514">
        <v>0.3268</v>
      </c>
      <c r="N1006" s="6">
        <v>1.3728</v>
      </c>
    </row>
    <row r="1007">
      <c r="A1007" s="512" t="s">
        <v>2038</v>
      </c>
      <c r="B1007" s="512" t="s">
        <v>1867</v>
      </c>
      <c r="C1007" s="512" t="s">
        <v>74</v>
      </c>
      <c r="D1007" s="512" t="s">
        <v>574</v>
      </c>
      <c r="E1007" s="513" t="s">
        <v>134</v>
      </c>
      <c r="F1007" s="514">
        <v>67276.0</v>
      </c>
      <c r="G1007" s="514">
        <v>13336.0</v>
      </c>
      <c r="H1007" s="514">
        <v>19.82</v>
      </c>
      <c r="I1007" s="514">
        <v>5.43</v>
      </c>
      <c r="J1007" s="514">
        <v>6.48</v>
      </c>
      <c r="K1007" s="514">
        <v>17701.0</v>
      </c>
      <c r="L1007" s="514">
        <v>326252.0</v>
      </c>
      <c r="M1007" s="514">
        <v>0.2631</v>
      </c>
      <c r="N1007" s="6">
        <v>1.3273</v>
      </c>
    </row>
    <row r="1008">
      <c r="A1008" s="512" t="s">
        <v>2038</v>
      </c>
      <c r="B1008" s="512" t="s">
        <v>1867</v>
      </c>
      <c r="C1008" s="512" t="s">
        <v>74</v>
      </c>
      <c r="D1008" s="512" t="s">
        <v>574</v>
      </c>
      <c r="E1008" s="513" t="s">
        <v>377</v>
      </c>
      <c r="F1008" s="514">
        <v>67276.0</v>
      </c>
      <c r="G1008" s="514">
        <v>10996.0</v>
      </c>
      <c r="H1008" s="514">
        <v>16.34</v>
      </c>
      <c r="I1008" s="514">
        <v>4.73</v>
      </c>
      <c r="J1008" s="514">
        <v>3.44</v>
      </c>
      <c r="K1008" s="514">
        <v>15428.0</v>
      </c>
      <c r="L1008" s="514">
        <v>326252.0</v>
      </c>
      <c r="M1008" s="514">
        <v>0.2293</v>
      </c>
      <c r="N1008" s="6">
        <v>1.4031</v>
      </c>
    </row>
    <row r="1009">
      <c r="A1009" s="512" t="s">
        <v>2038</v>
      </c>
      <c r="B1009" s="512" t="s">
        <v>1867</v>
      </c>
      <c r="C1009" s="512" t="s">
        <v>74</v>
      </c>
      <c r="D1009" s="512" t="s">
        <v>574</v>
      </c>
      <c r="E1009" s="513" t="s">
        <v>372</v>
      </c>
      <c r="F1009" s="514">
        <v>67276.0</v>
      </c>
      <c r="G1009" s="514">
        <v>13417.0</v>
      </c>
      <c r="H1009" s="514">
        <v>19.94</v>
      </c>
      <c r="I1009" s="514">
        <v>4.32</v>
      </c>
      <c r="J1009" s="514">
        <v>5.07</v>
      </c>
      <c r="K1009" s="514">
        <v>14089.0</v>
      </c>
      <c r="L1009" s="514">
        <v>326252.0</v>
      </c>
      <c r="M1009" s="514">
        <v>0.2094</v>
      </c>
      <c r="N1009" s="6">
        <v>1.0501</v>
      </c>
    </row>
    <row r="1010">
      <c r="A1010" s="512" t="s">
        <v>2038</v>
      </c>
      <c r="B1010" s="512" t="s">
        <v>1867</v>
      </c>
      <c r="C1010" s="512" t="s">
        <v>74</v>
      </c>
      <c r="D1010" s="512" t="s">
        <v>574</v>
      </c>
      <c r="E1010" s="513" t="s">
        <v>40</v>
      </c>
      <c r="F1010" s="514">
        <v>67276.0</v>
      </c>
      <c r="G1010" s="514">
        <v>5187.0</v>
      </c>
      <c r="H1010" s="514">
        <v>7.71</v>
      </c>
      <c r="I1010" s="514">
        <v>3.45</v>
      </c>
      <c r="J1010" s="514">
        <v>2.57</v>
      </c>
      <c r="K1010" s="514">
        <v>11261.0</v>
      </c>
      <c r="L1010" s="514">
        <v>326252.0</v>
      </c>
      <c r="M1010" s="514">
        <v>0.1674</v>
      </c>
      <c r="N1010" s="6">
        <v>2.171</v>
      </c>
    </row>
    <row r="1011">
      <c r="A1011" s="512" t="s">
        <v>2038</v>
      </c>
      <c r="B1011" s="512" t="s">
        <v>1867</v>
      </c>
      <c r="C1011" s="512" t="s">
        <v>74</v>
      </c>
      <c r="D1011" s="512" t="s">
        <v>574</v>
      </c>
      <c r="E1011" s="513" t="s">
        <v>373</v>
      </c>
      <c r="F1011" s="514">
        <v>67276.0</v>
      </c>
      <c r="G1011" s="514">
        <v>9170.0</v>
      </c>
      <c r="H1011" s="514">
        <v>13.63</v>
      </c>
      <c r="I1011" s="514">
        <v>2.9</v>
      </c>
      <c r="J1011" s="514">
        <v>2.27</v>
      </c>
      <c r="K1011" s="514">
        <v>9470.0</v>
      </c>
      <c r="L1011" s="514">
        <v>326252.0</v>
      </c>
      <c r="M1011" s="514">
        <v>0.1408</v>
      </c>
      <c r="N1011" s="6">
        <v>1.0327</v>
      </c>
    </row>
    <row r="1012">
      <c r="A1012" s="512" t="s">
        <v>2038</v>
      </c>
      <c r="B1012" s="512" t="s">
        <v>1867</v>
      </c>
      <c r="C1012" s="512" t="s">
        <v>74</v>
      </c>
      <c r="D1012" s="512" t="s">
        <v>574</v>
      </c>
      <c r="E1012" s="513" t="s">
        <v>312</v>
      </c>
      <c r="F1012" s="514">
        <v>67276.0</v>
      </c>
      <c r="G1012" s="514">
        <v>1311.0</v>
      </c>
      <c r="H1012" s="514">
        <v>1.95</v>
      </c>
      <c r="I1012" s="514">
        <v>0.43</v>
      </c>
      <c r="J1012" s="514">
        <v>0.41</v>
      </c>
      <c r="K1012" s="514">
        <v>1395.0</v>
      </c>
      <c r="L1012" s="514">
        <v>326252.0</v>
      </c>
      <c r="M1012" s="514">
        <v>0.0207</v>
      </c>
      <c r="N1012" s="6">
        <v>1.0641</v>
      </c>
    </row>
    <row r="1013">
      <c r="A1013" s="512" t="s">
        <v>2038</v>
      </c>
      <c r="B1013" s="512" t="s">
        <v>1867</v>
      </c>
      <c r="C1013" s="512" t="s">
        <v>74</v>
      </c>
      <c r="D1013" s="512" t="s">
        <v>574</v>
      </c>
      <c r="E1013" s="513" t="s">
        <v>310</v>
      </c>
      <c r="F1013" s="514">
        <v>67276.0</v>
      </c>
      <c r="G1013" s="514">
        <v>1271.0</v>
      </c>
      <c r="H1013" s="514">
        <v>1.89</v>
      </c>
      <c r="I1013" s="514">
        <v>0.41</v>
      </c>
      <c r="J1013" s="514">
        <v>0.46</v>
      </c>
      <c r="K1013" s="514">
        <v>1335.0</v>
      </c>
      <c r="L1013" s="514">
        <v>326252.0</v>
      </c>
      <c r="M1013" s="514">
        <v>0.0198</v>
      </c>
      <c r="N1013" s="6">
        <v>1.0504</v>
      </c>
    </row>
    <row r="1014">
      <c r="A1014" s="512" t="s">
        <v>2038</v>
      </c>
      <c r="B1014" s="512" t="s">
        <v>1867</v>
      </c>
      <c r="C1014" s="512" t="s">
        <v>74</v>
      </c>
      <c r="D1014" s="512" t="s">
        <v>574</v>
      </c>
      <c r="E1014" s="513" t="s">
        <v>44</v>
      </c>
      <c r="F1014" s="514">
        <v>67276.0</v>
      </c>
      <c r="G1014" s="514">
        <v>1078.0</v>
      </c>
      <c r="H1014" s="514">
        <v>1.6</v>
      </c>
      <c r="I1014" s="514">
        <v>0.4</v>
      </c>
      <c r="J1014" s="514">
        <v>0.25</v>
      </c>
      <c r="K1014" s="514">
        <v>1296.0</v>
      </c>
      <c r="L1014" s="514">
        <v>326252.0</v>
      </c>
      <c r="M1014" s="514">
        <v>0.0193</v>
      </c>
      <c r="N1014" s="6">
        <v>1.2022</v>
      </c>
    </row>
    <row r="1015">
      <c r="A1015" s="512" t="s">
        <v>2038</v>
      </c>
      <c r="B1015" s="512" t="s">
        <v>1867</v>
      </c>
      <c r="C1015" s="512" t="s">
        <v>74</v>
      </c>
      <c r="D1015" s="512" t="s">
        <v>574</v>
      </c>
      <c r="E1015" s="513" t="s">
        <v>32</v>
      </c>
      <c r="F1015" s="514">
        <v>67276.0</v>
      </c>
      <c r="G1015" s="514">
        <v>1226.0</v>
      </c>
      <c r="H1015" s="514">
        <v>1.82</v>
      </c>
      <c r="I1015" s="514">
        <v>0.39</v>
      </c>
      <c r="J1015" s="514">
        <v>0.47</v>
      </c>
      <c r="K1015" s="514">
        <v>1263.0</v>
      </c>
      <c r="L1015" s="514">
        <v>326252.0</v>
      </c>
      <c r="M1015" s="514">
        <v>0.0188</v>
      </c>
      <c r="N1015" s="6">
        <v>1.0302</v>
      </c>
    </row>
    <row r="1016">
      <c r="A1016" s="512" t="s">
        <v>2038</v>
      </c>
      <c r="B1016" s="512" t="s">
        <v>1867</v>
      </c>
      <c r="C1016" s="512" t="s">
        <v>74</v>
      </c>
      <c r="D1016" s="512" t="s">
        <v>574</v>
      </c>
      <c r="E1016" s="513" t="s">
        <v>311</v>
      </c>
      <c r="F1016" s="514">
        <v>67276.0</v>
      </c>
      <c r="G1016" s="514">
        <v>294.0</v>
      </c>
      <c r="H1016" s="514">
        <v>0.44</v>
      </c>
      <c r="I1016" s="514">
        <v>0.09</v>
      </c>
      <c r="J1016" s="514">
        <v>0.14</v>
      </c>
      <c r="K1016" s="514">
        <v>302.0</v>
      </c>
      <c r="L1016" s="514">
        <v>326252.0</v>
      </c>
      <c r="M1016" s="514">
        <v>0.0045</v>
      </c>
      <c r="N1016" s="6">
        <v>1.0272</v>
      </c>
    </row>
    <row r="1017">
      <c r="A1017" s="512" t="s">
        <v>2038</v>
      </c>
      <c r="B1017" s="512" t="s">
        <v>1867</v>
      </c>
      <c r="C1017" s="512" t="s">
        <v>74</v>
      </c>
      <c r="D1017" s="512" t="s">
        <v>574</v>
      </c>
      <c r="E1017" s="513" t="s">
        <v>374</v>
      </c>
      <c r="F1017" s="514">
        <v>67276.0</v>
      </c>
      <c r="G1017" s="514">
        <v>109.0</v>
      </c>
      <c r="H1017" s="514">
        <v>0.16</v>
      </c>
      <c r="I1017" s="514">
        <v>0.04</v>
      </c>
      <c r="J1017" s="514">
        <v>0.02</v>
      </c>
      <c r="K1017" s="514">
        <v>135.0</v>
      </c>
      <c r="L1017" s="514">
        <v>326252.0</v>
      </c>
      <c r="M1017" s="514">
        <v>0.002</v>
      </c>
      <c r="N1017" s="6">
        <v>1.2385</v>
      </c>
    </row>
    <row r="1018">
      <c r="A1018" s="512" t="s">
        <v>2038</v>
      </c>
      <c r="B1018" s="512" t="s">
        <v>1867</v>
      </c>
      <c r="C1018" s="512" t="s">
        <v>74</v>
      </c>
      <c r="D1018" s="512" t="s">
        <v>574</v>
      </c>
      <c r="E1018" s="513" t="s">
        <v>375</v>
      </c>
      <c r="F1018" s="514">
        <v>67276.0</v>
      </c>
      <c r="G1018" s="514">
        <v>54.0</v>
      </c>
      <c r="H1018" s="514">
        <v>0.08</v>
      </c>
      <c r="I1018" s="514">
        <v>0.02</v>
      </c>
      <c r="J1018" s="514">
        <v>0.01</v>
      </c>
      <c r="K1018" s="514">
        <v>54.0</v>
      </c>
      <c r="L1018" s="514">
        <v>326252.0</v>
      </c>
      <c r="M1018" s="514">
        <v>8.0E-4</v>
      </c>
      <c r="N1018" s="6">
        <v>1.0</v>
      </c>
    </row>
    <row r="1019">
      <c r="A1019" s="512" t="s">
        <v>2038</v>
      </c>
      <c r="B1019" s="512" t="s">
        <v>1867</v>
      </c>
      <c r="C1019" s="512" t="s">
        <v>74</v>
      </c>
      <c r="D1019" s="512" t="s">
        <v>574</v>
      </c>
      <c r="E1019" s="513" t="s">
        <v>43</v>
      </c>
      <c r="F1019" s="514">
        <v>67276.0</v>
      </c>
      <c r="G1019" s="514">
        <v>38.0</v>
      </c>
      <c r="H1019" s="514">
        <v>0.06</v>
      </c>
      <c r="I1019" s="514">
        <v>0.01</v>
      </c>
      <c r="J1019" s="514">
        <v>0.01</v>
      </c>
      <c r="K1019" s="514">
        <v>39.0</v>
      </c>
      <c r="L1019" s="514">
        <v>326252.0</v>
      </c>
      <c r="M1019" s="514">
        <v>6.0E-4</v>
      </c>
      <c r="N1019" s="6">
        <v>1.0263</v>
      </c>
    </row>
    <row r="1020">
      <c r="A1020" s="512" t="s">
        <v>2038</v>
      </c>
      <c r="B1020" s="512" t="s">
        <v>1867</v>
      </c>
      <c r="C1020" s="512" t="s">
        <v>74</v>
      </c>
      <c r="D1020" s="512" t="s">
        <v>574</v>
      </c>
      <c r="E1020" s="513" t="s">
        <v>189</v>
      </c>
      <c r="F1020" s="514">
        <v>67276.0</v>
      </c>
      <c r="G1020" s="514">
        <v>3.0</v>
      </c>
      <c r="H1020" s="514">
        <v>0.0</v>
      </c>
      <c r="I1020" s="514">
        <v>0.0</v>
      </c>
      <c r="J1020" s="514">
        <v>0.0</v>
      </c>
      <c r="K1020" s="514">
        <v>3.0</v>
      </c>
      <c r="L1020" s="514">
        <v>326252.0</v>
      </c>
      <c r="M1020" s="514">
        <v>0.0</v>
      </c>
      <c r="N1020" s="6">
        <v>1.0</v>
      </c>
    </row>
    <row r="1021">
      <c r="A1021" s="512" t="s">
        <v>2038</v>
      </c>
      <c r="B1021" s="512" t="s">
        <v>1867</v>
      </c>
      <c r="C1021" s="512" t="s">
        <v>1882</v>
      </c>
      <c r="D1021" s="512" t="s">
        <v>1882</v>
      </c>
      <c r="E1021" s="513" t="s">
        <v>379</v>
      </c>
      <c r="F1021" s="514">
        <v>87811.0</v>
      </c>
      <c r="G1021" s="514">
        <v>82261.0</v>
      </c>
      <c r="H1021" s="514">
        <v>93.68</v>
      </c>
      <c r="I1021" s="514">
        <v>17.93</v>
      </c>
      <c r="J1021" s="514">
        <v>21.44</v>
      </c>
      <c r="K1021" s="514">
        <v>9704370.0</v>
      </c>
      <c r="L1021" s="514">
        <v>5.4113814E7</v>
      </c>
      <c r="M1021" s="514">
        <v>110.5143</v>
      </c>
      <c r="N1021" s="6">
        <v>117.9705</v>
      </c>
    </row>
    <row r="1022">
      <c r="A1022" s="512" t="s">
        <v>2038</v>
      </c>
      <c r="B1022" s="512" t="s">
        <v>1867</v>
      </c>
      <c r="C1022" s="512" t="s">
        <v>1882</v>
      </c>
      <c r="D1022" s="512" t="s">
        <v>1882</v>
      </c>
      <c r="E1022" s="513" t="s">
        <v>373</v>
      </c>
      <c r="F1022" s="514">
        <v>87811.0</v>
      </c>
      <c r="G1022" s="514">
        <v>74564.0</v>
      </c>
      <c r="H1022" s="514">
        <v>84.91</v>
      </c>
      <c r="I1022" s="514">
        <v>17.28</v>
      </c>
      <c r="J1022" s="514">
        <v>17.91</v>
      </c>
      <c r="K1022" s="514">
        <v>9348325.0</v>
      </c>
      <c r="L1022" s="514">
        <v>5.4113814E7</v>
      </c>
      <c r="M1022" s="514">
        <v>106.4596</v>
      </c>
      <c r="N1022" s="6">
        <v>125.3732</v>
      </c>
    </row>
    <row r="1023">
      <c r="A1023" s="512" t="s">
        <v>2038</v>
      </c>
      <c r="B1023" s="512" t="s">
        <v>1867</v>
      </c>
      <c r="C1023" s="512" t="s">
        <v>1882</v>
      </c>
      <c r="D1023" s="512" t="s">
        <v>1882</v>
      </c>
      <c r="E1023" s="513" t="s">
        <v>380</v>
      </c>
      <c r="F1023" s="514">
        <v>87811.0</v>
      </c>
      <c r="G1023" s="514">
        <v>64321.0</v>
      </c>
      <c r="H1023" s="514">
        <v>73.25</v>
      </c>
      <c r="I1023" s="514">
        <v>10.33</v>
      </c>
      <c r="J1023" s="514">
        <v>10.81</v>
      </c>
      <c r="K1023" s="514">
        <v>5588155.0</v>
      </c>
      <c r="L1023" s="514">
        <v>5.4113814E7</v>
      </c>
      <c r="M1023" s="514">
        <v>63.6384</v>
      </c>
      <c r="N1023" s="6">
        <v>86.8792</v>
      </c>
    </row>
    <row r="1024">
      <c r="A1024" s="512" t="s">
        <v>2038</v>
      </c>
      <c r="B1024" s="512" t="s">
        <v>1867</v>
      </c>
      <c r="C1024" s="512" t="s">
        <v>1882</v>
      </c>
      <c r="D1024" s="512" t="s">
        <v>1882</v>
      </c>
      <c r="E1024" s="513" t="s">
        <v>42</v>
      </c>
      <c r="F1024" s="514">
        <v>87811.0</v>
      </c>
      <c r="G1024" s="514">
        <v>38140.0</v>
      </c>
      <c r="H1024" s="514">
        <v>43.43</v>
      </c>
      <c r="I1024" s="514">
        <v>9.24</v>
      </c>
      <c r="J1024" s="514">
        <v>8.86</v>
      </c>
      <c r="K1024" s="514">
        <v>5002725.0</v>
      </c>
      <c r="L1024" s="514">
        <v>5.4113814E7</v>
      </c>
      <c r="M1024" s="514">
        <v>56.9715</v>
      </c>
      <c r="N1024" s="6">
        <v>131.1674</v>
      </c>
    </row>
    <row r="1025">
      <c r="A1025" s="512" t="s">
        <v>2038</v>
      </c>
      <c r="B1025" s="512" t="s">
        <v>1867</v>
      </c>
      <c r="C1025" s="512" t="s">
        <v>1882</v>
      </c>
      <c r="D1025" s="512" t="s">
        <v>1882</v>
      </c>
      <c r="E1025" s="513" t="s">
        <v>40</v>
      </c>
      <c r="F1025" s="514">
        <v>87811.0</v>
      </c>
      <c r="G1025" s="514">
        <v>26214.0</v>
      </c>
      <c r="H1025" s="514">
        <v>29.85</v>
      </c>
      <c r="I1025" s="514">
        <v>7.27</v>
      </c>
      <c r="J1025" s="514">
        <v>5.26</v>
      </c>
      <c r="K1025" s="514">
        <v>3936220.0</v>
      </c>
      <c r="L1025" s="514">
        <v>5.4113814E7</v>
      </c>
      <c r="M1025" s="514">
        <v>44.826</v>
      </c>
      <c r="N1025" s="6">
        <v>150.1572</v>
      </c>
    </row>
    <row r="1026">
      <c r="A1026" s="512" t="s">
        <v>2038</v>
      </c>
      <c r="B1026" s="512" t="s">
        <v>1867</v>
      </c>
      <c r="C1026" s="512" t="s">
        <v>1882</v>
      </c>
      <c r="D1026" s="512" t="s">
        <v>1882</v>
      </c>
      <c r="E1026" s="513" t="s">
        <v>50</v>
      </c>
      <c r="F1026" s="514">
        <v>87811.0</v>
      </c>
      <c r="G1026" s="514">
        <v>35518.0</v>
      </c>
      <c r="H1026" s="514">
        <v>40.45</v>
      </c>
      <c r="I1026" s="514">
        <v>7.06</v>
      </c>
      <c r="J1026" s="514">
        <v>6.18</v>
      </c>
      <c r="K1026" s="514">
        <v>3821625.0</v>
      </c>
      <c r="L1026" s="514">
        <v>5.4113814E7</v>
      </c>
      <c r="M1026" s="514">
        <v>43.521</v>
      </c>
      <c r="N1026" s="6">
        <v>107.5969</v>
      </c>
    </row>
    <row r="1027">
      <c r="A1027" s="512" t="s">
        <v>2038</v>
      </c>
      <c r="B1027" s="512" t="s">
        <v>1867</v>
      </c>
      <c r="C1027" s="512" t="s">
        <v>1882</v>
      </c>
      <c r="D1027" s="512" t="s">
        <v>1882</v>
      </c>
      <c r="E1027" s="513" t="s">
        <v>374</v>
      </c>
      <c r="F1027" s="514">
        <v>87811.0</v>
      </c>
      <c r="G1027" s="514">
        <v>37655.0</v>
      </c>
      <c r="H1027" s="514">
        <v>42.88</v>
      </c>
      <c r="I1027" s="514">
        <v>6.72</v>
      </c>
      <c r="J1027" s="514">
        <v>8.19</v>
      </c>
      <c r="K1027" s="514">
        <v>3635075.0</v>
      </c>
      <c r="L1027" s="514">
        <v>5.4113814E7</v>
      </c>
      <c r="M1027" s="514">
        <v>41.3966</v>
      </c>
      <c r="N1027" s="6">
        <v>96.5363</v>
      </c>
    </row>
    <row r="1028">
      <c r="A1028" s="512" t="s">
        <v>2038</v>
      </c>
      <c r="B1028" s="512" t="s">
        <v>1867</v>
      </c>
      <c r="C1028" s="512" t="s">
        <v>1882</v>
      </c>
      <c r="D1028" s="512" t="s">
        <v>1882</v>
      </c>
      <c r="E1028" s="513" t="s">
        <v>372</v>
      </c>
      <c r="F1028" s="514">
        <v>87811.0</v>
      </c>
      <c r="G1028" s="514">
        <v>48413.0</v>
      </c>
      <c r="H1028" s="514">
        <v>55.13</v>
      </c>
      <c r="I1028" s="514">
        <v>5.83</v>
      </c>
      <c r="J1028" s="514">
        <v>6.85</v>
      </c>
      <c r="K1028" s="514">
        <v>3152380.0</v>
      </c>
      <c r="L1028" s="514">
        <v>5.4113814E7</v>
      </c>
      <c r="M1028" s="514">
        <v>35.8996</v>
      </c>
      <c r="N1028" s="6">
        <v>65.1143</v>
      </c>
    </row>
    <row r="1029">
      <c r="A1029" s="512" t="s">
        <v>2038</v>
      </c>
      <c r="B1029" s="512" t="s">
        <v>1867</v>
      </c>
      <c r="C1029" s="512" t="s">
        <v>1882</v>
      </c>
      <c r="D1029" s="512" t="s">
        <v>1882</v>
      </c>
      <c r="E1029" s="513" t="s">
        <v>367</v>
      </c>
      <c r="F1029" s="514">
        <v>87811.0</v>
      </c>
      <c r="G1029" s="514">
        <v>31407.0</v>
      </c>
      <c r="H1029" s="514">
        <v>35.77</v>
      </c>
      <c r="I1029" s="514">
        <v>4.68</v>
      </c>
      <c r="J1029" s="514">
        <v>3.56</v>
      </c>
      <c r="K1029" s="514">
        <v>2533530.0</v>
      </c>
      <c r="L1029" s="514">
        <v>5.4113814E7</v>
      </c>
      <c r="M1029" s="514">
        <v>28.8521</v>
      </c>
      <c r="N1029" s="6">
        <v>80.6677</v>
      </c>
    </row>
    <row r="1030">
      <c r="A1030" s="512" t="s">
        <v>2038</v>
      </c>
      <c r="B1030" s="512" t="s">
        <v>1867</v>
      </c>
      <c r="C1030" s="512" t="s">
        <v>1882</v>
      </c>
      <c r="D1030" s="512" t="s">
        <v>1882</v>
      </c>
      <c r="E1030" s="513" t="s">
        <v>377</v>
      </c>
      <c r="F1030" s="514">
        <v>87811.0</v>
      </c>
      <c r="G1030" s="514">
        <v>31328.0</v>
      </c>
      <c r="H1030" s="514">
        <v>35.68</v>
      </c>
      <c r="I1030" s="514">
        <v>4.66</v>
      </c>
      <c r="J1030" s="514">
        <v>3.18</v>
      </c>
      <c r="K1030" s="514">
        <v>2520384.0</v>
      </c>
      <c r="L1030" s="514">
        <v>5.4113814E7</v>
      </c>
      <c r="M1030" s="514">
        <v>28.7024</v>
      </c>
      <c r="N1030" s="6">
        <v>80.4515</v>
      </c>
    </row>
    <row r="1031">
      <c r="A1031" s="512" t="s">
        <v>2038</v>
      </c>
      <c r="B1031" s="512" t="s">
        <v>1867</v>
      </c>
      <c r="C1031" s="512" t="s">
        <v>1882</v>
      </c>
      <c r="D1031" s="512" t="s">
        <v>1882</v>
      </c>
      <c r="E1031" s="513" t="s">
        <v>134</v>
      </c>
      <c r="F1031" s="514">
        <v>87811.0</v>
      </c>
      <c r="G1031" s="514">
        <v>17202.0</v>
      </c>
      <c r="H1031" s="514">
        <v>19.59</v>
      </c>
      <c r="I1031" s="514">
        <v>1.91</v>
      </c>
      <c r="J1031" s="514">
        <v>1.88</v>
      </c>
      <c r="K1031" s="514">
        <v>1031070.0</v>
      </c>
      <c r="L1031" s="514">
        <v>5.4113814E7</v>
      </c>
      <c r="M1031" s="514">
        <v>11.7419</v>
      </c>
      <c r="N1031" s="6">
        <v>59.939</v>
      </c>
    </row>
    <row r="1032">
      <c r="A1032" s="512" t="s">
        <v>2038</v>
      </c>
      <c r="B1032" s="512" t="s">
        <v>1867</v>
      </c>
      <c r="C1032" s="512" t="s">
        <v>1882</v>
      </c>
      <c r="D1032" s="512" t="s">
        <v>1882</v>
      </c>
      <c r="E1032" s="513" t="s">
        <v>44</v>
      </c>
      <c r="F1032" s="514">
        <v>87811.0</v>
      </c>
      <c r="G1032" s="514">
        <v>35360.0</v>
      </c>
      <c r="H1032" s="514">
        <v>40.27</v>
      </c>
      <c r="I1032" s="514">
        <v>1.34</v>
      </c>
      <c r="J1032" s="514">
        <v>1.2</v>
      </c>
      <c r="K1032" s="514">
        <v>725215.0</v>
      </c>
      <c r="L1032" s="514">
        <v>5.4113814E7</v>
      </c>
      <c r="M1032" s="514">
        <v>8.2588</v>
      </c>
      <c r="N1032" s="6">
        <v>20.5095</v>
      </c>
    </row>
    <row r="1033">
      <c r="A1033" s="512" t="s">
        <v>2038</v>
      </c>
      <c r="B1033" s="512" t="s">
        <v>1867</v>
      </c>
      <c r="C1033" s="512" t="s">
        <v>1882</v>
      </c>
      <c r="D1033" s="512" t="s">
        <v>1882</v>
      </c>
      <c r="E1033" s="513" t="s">
        <v>310</v>
      </c>
      <c r="F1033" s="514">
        <v>87811.0</v>
      </c>
      <c r="G1033" s="514">
        <v>6335.0</v>
      </c>
      <c r="H1033" s="514">
        <v>7.21</v>
      </c>
      <c r="I1033" s="514">
        <v>1.24</v>
      </c>
      <c r="J1033" s="514">
        <v>1.03</v>
      </c>
      <c r="K1033" s="514">
        <v>670025.0</v>
      </c>
      <c r="L1033" s="514">
        <v>5.4113814E7</v>
      </c>
      <c r="M1033" s="514">
        <v>7.6303</v>
      </c>
      <c r="N1033" s="6">
        <v>105.7656</v>
      </c>
    </row>
    <row r="1034">
      <c r="A1034" s="512" t="s">
        <v>2038</v>
      </c>
      <c r="B1034" s="512" t="s">
        <v>1867</v>
      </c>
      <c r="C1034" s="512" t="s">
        <v>1882</v>
      </c>
      <c r="D1034" s="512" t="s">
        <v>1882</v>
      </c>
      <c r="E1034" s="513" t="s">
        <v>32</v>
      </c>
      <c r="F1034" s="514">
        <v>87811.0</v>
      </c>
      <c r="G1034" s="514">
        <v>6469.0</v>
      </c>
      <c r="H1034" s="514">
        <v>7.37</v>
      </c>
      <c r="I1034" s="514">
        <v>1.22</v>
      </c>
      <c r="J1034" s="514">
        <v>1.09</v>
      </c>
      <c r="K1034" s="514">
        <v>662765.0</v>
      </c>
      <c r="L1034" s="514">
        <v>5.4113814E7</v>
      </c>
      <c r="M1034" s="514">
        <v>7.5476</v>
      </c>
      <c r="N1034" s="6">
        <v>102.4525</v>
      </c>
    </row>
    <row r="1035">
      <c r="A1035" s="512" t="s">
        <v>2038</v>
      </c>
      <c r="B1035" s="512" t="s">
        <v>1867</v>
      </c>
      <c r="C1035" s="512" t="s">
        <v>1882</v>
      </c>
      <c r="D1035" s="512" t="s">
        <v>1882</v>
      </c>
      <c r="E1035" s="513" t="s">
        <v>312</v>
      </c>
      <c r="F1035" s="514">
        <v>87811.0</v>
      </c>
      <c r="G1035" s="514">
        <v>5726.0</v>
      </c>
      <c r="H1035" s="514">
        <v>6.52</v>
      </c>
      <c r="I1035" s="514">
        <v>1.19</v>
      </c>
      <c r="J1035" s="514">
        <v>0.94</v>
      </c>
      <c r="K1035" s="514">
        <v>644050.0</v>
      </c>
      <c r="L1035" s="514">
        <v>5.4113814E7</v>
      </c>
      <c r="M1035" s="514">
        <v>7.3345</v>
      </c>
      <c r="N1035" s="6">
        <v>112.4782</v>
      </c>
    </row>
    <row r="1036">
      <c r="A1036" s="512" t="s">
        <v>2038</v>
      </c>
      <c r="B1036" s="512" t="s">
        <v>1867</v>
      </c>
      <c r="C1036" s="512" t="s">
        <v>1882</v>
      </c>
      <c r="D1036" s="512" t="s">
        <v>1882</v>
      </c>
      <c r="E1036" s="513" t="s">
        <v>375</v>
      </c>
      <c r="F1036" s="514">
        <v>87811.0</v>
      </c>
      <c r="G1036" s="514">
        <v>14443.0</v>
      </c>
      <c r="H1036" s="514">
        <v>16.45</v>
      </c>
      <c r="I1036" s="514">
        <v>0.87</v>
      </c>
      <c r="J1036" s="514">
        <v>0.6</v>
      </c>
      <c r="K1036" s="514">
        <v>471775.0</v>
      </c>
      <c r="L1036" s="514">
        <v>5.4113814E7</v>
      </c>
      <c r="M1036" s="514">
        <v>5.3726</v>
      </c>
      <c r="N1036" s="6">
        <v>32.6646</v>
      </c>
    </row>
    <row r="1037">
      <c r="A1037" s="512" t="s">
        <v>2038</v>
      </c>
      <c r="B1037" s="512" t="s">
        <v>1867</v>
      </c>
      <c r="C1037" s="512" t="s">
        <v>1882</v>
      </c>
      <c r="D1037" s="512" t="s">
        <v>1882</v>
      </c>
      <c r="E1037" s="513" t="s">
        <v>35</v>
      </c>
      <c r="F1037" s="514">
        <v>87811.0</v>
      </c>
      <c r="G1037" s="514">
        <v>8020.0</v>
      </c>
      <c r="H1037" s="514">
        <v>9.13</v>
      </c>
      <c r="I1037" s="514">
        <v>0.42</v>
      </c>
      <c r="J1037" s="514">
        <v>0.35</v>
      </c>
      <c r="K1037" s="514">
        <v>229850.0</v>
      </c>
      <c r="L1037" s="514">
        <v>5.4113814E7</v>
      </c>
      <c r="M1037" s="514">
        <v>2.6176</v>
      </c>
      <c r="N1037" s="6">
        <v>28.6596</v>
      </c>
    </row>
    <row r="1038">
      <c r="A1038" s="512" t="s">
        <v>2038</v>
      </c>
      <c r="B1038" s="512" t="s">
        <v>1867</v>
      </c>
      <c r="C1038" s="512" t="s">
        <v>1882</v>
      </c>
      <c r="D1038" s="512" t="s">
        <v>1882</v>
      </c>
      <c r="E1038" s="513" t="s">
        <v>189</v>
      </c>
      <c r="F1038" s="514">
        <v>87811.0</v>
      </c>
      <c r="G1038" s="514">
        <v>7226.0</v>
      </c>
      <c r="H1038" s="514">
        <v>8.23</v>
      </c>
      <c r="I1038" s="514">
        <v>0.35</v>
      </c>
      <c r="J1038" s="514">
        <v>0.25</v>
      </c>
      <c r="K1038" s="514">
        <v>186950.0</v>
      </c>
      <c r="L1038" s="514">
        <v>5.4113814E7</v>
      </c>
      <c r="M1038" s="514">
        <v>2.129</v>
      </c>
      <c r="N1038" s="6">
        <v>25.8719</v>
      </c>
    </row>
    <row r="1039">
      <c r="A1039" s="512" t="s">
        <v>2038</v>
      </c>
      <c r="B1039" s="512" t="s">
        <v>1867</v>
      </c>
      <c r="C1039" s="512" t="s">
        <v>1882</v>
      </c>
      <c r="D1039" s="512" t="s">
        <v>1882</v>
      </c>
      <c r="E1039" s="513" t="s">
        <v>311</v>
      </c>
      <c r="F1039" s="514">
        <v>87811.0</v>
      </c>
      <c r="G1039" s="514">
        <v>1548.0</v>
      </c>
      <c r="H1039" s="514">
        <v>1.76</v>
      </c>
      <c r="I1039" s="514">
        <v>0.28</v>
      </c>
      <c r="J1039" s="514">
        <v>0.29</v>
      </c>
      <c r="K1039" s="514">
        <v>151050.0</v>
      </c>
      <c r="L1039" s="514">
        <v>5.4113814E7</v>
      </c>
      <c r="M1039" s="514">
        <v>1.7202</v>
      </c>
      <c r="N1039" s="6">
        <v>97.5775</v>
      </c>
    </row>
    <row r="1040">
      <c r="A1040" s="512" t="s">
        <v>2038</v>
      </c>
      <c r="B1040" s="512" t="s">
        <v>1867</v>
      </c>
      <c r="C1040" s="512" t="s">
        <v>1882</v>
      </c>
      <c r="D1040" s="512" t="s">
        <v>1882</v>
      </c>
      <c r="E1040" s="513" t="s">
        <v>43</v>
      </c>
      <c r="F1040" s="514">
        <v>87811.0</v>
      </c>
      <c r="G1040" s="514">
        <v>679.0</v>
      </c>
      <c r="H1040" s="514">
        <v>0.77</v>
      </c>
      <c r="I1040" s="514">
        <v>0.18</v>
      </c>
      <c r="J1040" s="514">
        <v>0.12</v>
      </c>
      <c r="K1040" s="514">
        <v>98275.0</v>
      </c>
      <c r="L1040" s="514">
        <v>5.4113814E7</v>
      </c>
      <c r="M1040" s="514">
        <v>1.1192</v>
      </c>
      <c r="N1040" s="6">
        <v>144.7349</v>
      </c>
    </row>
    <row r="1041">
      <c r="A1041" s="512" t="s">
        <v>2038</v>
      </c>
      <c r="B1041" s="512" t="s">
        <v>1867</v>
      </c>
      <c r="C1041" s="512" t="s">
        <v>69</v>
      </c>
      <c r="D1041" s="512" t="s">
        <v>574</v>
      </c>
      <c r="E1041" s="513" t="s">
        <v>379</v>
      </c>
      <c r="F1041" s="514">
        <v>83471.0</v>
      </c>
      <c r="G1041" s="514">
        <v>63972.0</v>
      </c>
      <c r="H1041" s="514">
        <v>76.64</v>
      </c>
      <c r="I1041" s="514">
        <v>30.56</v>
      </c>
      <c r="J1041" s="514">
        <v>28.82</v>
      </c>
      <c r="K1041" s="514">
        <v>238380.0</v>
      </c>
      <c r="L1041" s="514">
        <v>779947.0</v>
      </c>
      <c r="M1041" s="514">
        <v>2.8558</v>
      </c>
      <c r="N1041" s="6">
        <v>3.7263</v>
      </c>
    </row>
    <row r="1042">
      <c r="A1042" s="512" t="s">
        <v>2038</v>
      </c>
      <c r="B1042" s="512" t="s">
        <v>1867</v>
      </c>
      <c r="C1042" s="512" t="s">
        <v>69</v>
      </c>
      <c r="D1042" s="512" t="s">
        <v>574</v>
      </c>
      <c r="E1042" s="513" t="s">
        <v>380</v>
      </c>
      <c r="F1042" s="514">
        <v>83471.0</v>
      </c>
      <c r="G1042" s="514">
        <v>55678.0</v>
      </c>
      <c r="H1042" s="514">
        <v>66.7</v>
      </c>
      <c r="I1042" s="514">
        <v>21.79</v>
      </c>
      <c r="J1042" s="514">
        <v>20.56</v>
      </c>
      <c r="K1042" s="514">
        <v>169944.0</v>
      </c>
      <c r="L1042" s="514">
        <v>779947.0</v>
      </c>
      <c r="M1042" s="514">
        <v>2.036</v>
      </c>
      <c r="N1042" s="6">
        <v>3.0523</v>
      </c>
    </row>
    <row r="1043">
      <c r="A1043" s="512" t="s">
        <v>2038</v>
      </c>
      <c r="B1043" s="512" t="s">
        <v>1867</v>
      </c>
      <c r="C1043" s="512" t="s">
        <v>69</v>
      </c>
      <c r="D1043" s="512" t="s">
        <v>574</v>
      </c>
      <c r="E1043" s="513" t="s">
        <v>377</v>
      </c>
      <c r="F1043" s="514">
        <v>83471.0</v>
      </c>
      <c r="G1043" s="514">
        <v>58176.0</v>
      </c>
      <c r="H1043" s="514">
        <v>69.7</v>
      </c>
      <c r="I1043" s="514">
        <v>13.76</v>
      </c>
      <c r="J1043" s="514">
        <v>17.67</v>
      </c>
      <c r="K1043" s="514">
        <v>107326.0</v>
      </c>
      <c r="L1043" s="514">
        <v>779947.0</v>
      </c>
      <c r="M1043" s="514">
        <v>1.2858</v>
      </c>
      <c r="N1043" s="6">
        <v>1.8449</v>
      </c>
    </row>
    <row r="1044">
      <c r="A1044" s="512" t="s">
        <v>2038</v>
      </c>
      <c r="B1044" s="512" t="s">
        <v>1867</v>
      </c>
      <c r="C1044" s="512" t="s">
        <v>69</v>
      </c>
      <c r="D1044" s="512" t="s">
        <v>574</v>
      </c>
      <c r="E1044" s="513" t="s">
        <v>374</v>
      </c>
      <c r="F1044" s="514">
        <v>83471.0</v>
      </c>
      <c r="G1044" s="514">
        <v>31166.0</v>
      </c>
      <c r="H1044" s="514">
        <v>37.34</v>
      </c>
      <c r="I1044" s="514">
        <v>12.21</v>
      </c>
      <c r="J1044" s="514">
        <v>11.36</v>
      </c>
      <c r="K1044" s="514">
        <v>95210.0</v>
      </c>
      <c r="L1044" s="514">
        <v>779947.0</v>
      </c>
      <c r="M1044" s="514">
        <v>1.1406</v>
      </c>
      <c r="N1044" s="6">
        <v>3.0549</v>
      </c>
    </row>
    <row r="1045">
      <c r="A1045" s="512" t="s">
        <v>2038</v>
      </c>
      <c r="B1045" s="512" t="s">
        <v>1867</v>
      </c>
      <c r="C1045" s="512" t="s">
        <v>69</v>
      </c>
      <c r="D1045" s="512" t="s">
        <v>574</v>
      </c>
      <c r="E1045" s="513" t="s">
        <v>44</v>
      </c>
      <c r="F1045" s="514">
        <v>83471.0</v>
      </c>
      <c r="G1045" s="514">
        <v>51104.0</v>
      </c>
      <c r="H1045" s="514">
        <v>61.22</v>
      </c>
      <c r="I1045" s="514">
        <v>11.34</v>
      </c>
      <c r="J1045" s="514">
        <v>12.68</v>
      </c>
      <c r="K1045" s="514">
        <v>88464.0</v>
      </c>
      <c r="L1045" s="514">
        <v>779947.0</v>
      </c>
      <c r="M1045" s="514">
        <v>1.0598</v>
      </c>
      <c r="N1045" s="6">
        <v>1.7311</v>
      </c>
    </row>
    <row r="1046">
      <c r="A1046" s="512" t="s">
        <v>2038</v>
      </c>
      <c r="B1046" s="512" t="s">
        <v>1867</v>
      </c>
      <c r="C1046" s="512" t="s">
        <v>69</v>
      </c>
      <c r="D1046" s="512" t="s">
        <v>574</v>
      </c>
      <c r="E1046" s="513" t="s">
        <v>49</v>
      </c>
      <c r="F1046" s="514">
        <v>83471.0</v>
      </c>
      <c r="G1046" s="514">
        <v>24165.0</v>
      </c>
      <c r="H1046" s="514">
        <v>28.95</v>
      </c>
      <c r="I1046" s="514">
        <v>4.99</v>
      </c>
      <c r="J1046" s="514">
        <v>4.52</v>
      </c>
      <c r="K1046" s="514">
        <v>38942.0</v>
      </c>
      <c r="L1046" s="514">
        <v>779947.0</v>
      </c>
      <c r="M1046" s="514">
        <v>0.4665</v>
      </c>
      <c r="N1046" s="6">
        <v>1.6115</v>
      </c>
    </row>
    <row r="1047">
      <c r="A1047" s="512" t="s">
        <v>2038</v>
      </c>
      <c r="B1047" s="512" t="s">
        <v>1867</v>
      </c>
      <c r="C1047" s="512" t="s">
        <v>69</v>
      </c>
      <c r="D1047" s="512" t="s">
        <v>574</v>
      </c>
      <c r="E1047" s="513" t="s">
        <v>372</v>
      </c>
      <c r="F1047" s="514">
        <v>83471.0</v>
      </c>
      <c r="G1047" s="514">
        <v>10241.0</v>
      </c>
      <c r="H1047" s="514">
        <v>12.27</v>
      </c>
      <c r="I1047" s="514">
        <v>1.4</v>
      </c>
      <c r="J1047" s="514">
        <v>1.38</v>
      </c>
      <c r="K1047" s="514">
        <v>10924.0</v>
      </c>
      <c r="L1047" s="514">
        <v>779947.0</v>
      </c>
      <c r="M1047" s="514">
        <v>0.1309</v>
      </c>
      <c r="N1047" s="6">
        <v>1.0667</v>
      </c>
    </row>
    <row r="1048">
      <c r="A1048" s="512" t="s">
        <v>2038</v>
      </c>
      <c r="B1048" s="512" t="s">
        <v>1867</v>
      </c>
      <c r="C1048" s="512" t="s">
        <v>69</v>
      </c>
      <c r="D1048" s="512" t="s">
        <v>574</v>
      </c>
      <c r="E1048" s="513" t="s">
        <v>375</v>
      </c>
      <c r="F1048" s="514">
        <v>83471.0</v>
      </c>
      <c r="G1048" s="514">
        <v>6587.0</v>
      </c>
      <c r="H1048" s="514">
        <v>7.89</v>
      </c>
      <c r="I1048" s="514">
        <v>1.02</v>
      </c>
      <c r="J1048" s="514">
        <v>0.68</v>
      </c>
      <c r="K1048" s="514">
        <v>7931.0</v>
      </c>
      <c r="L1048" s="514">
        <v>779947.0</v>
      </c>
      <c r="M1048" s="514">
        <v>0.095</v>
      </c>
      <c r="N1048" s="6">
        <v>1.204</v>
      </c>
    </row>
    <row r="1049">
      <c r="A1049" s="512" t="s">
        <v>2038</v>
      </c>
      <c r="B1049" s="512" t="s">
        <v>1867</v>
      </c>
      <c r="C1049" s="512" t="s">
        <v>69</v>
      </c>
      <c r="D1049" s="512" t="s">
        <v>574</v>
      </c>
      <c r="E1049" s="513" t="s">
        <v>134</v>
      </c>
      <c r="F1049" s="514">
        <v>83471.0</v>
      </c>
      <c r="G1049" s="514">
        <v>5373.0</v>
      </c>
      <c r="H1049" s="514">
        <v>6.44</v>
      </c>
      <c r="I1049" s="514">
        <v>0.9</v>
      </c>
      <c r="J1049" s="514">
        <v>0.6</v>
      </c>
      <c r="K1049" s="514">
        <v>7053.0</v>
      </c>
      <c r="L1049" s="514">
        <v>779947.0</v>
      </c>
      <c r="M1049" s="514">
        <v>0.0845</v>
      </c>
      <c r="N1049" s="6">
        <v>1.3127</v>
      </c>
    </row>
    <row r="1050">
      <c r="A1050" s="512" t="s">
        <v>2038</v>
      </c>
      <c r="B1050" s="512" t="s">
        <v>1867</v>
      </c>
      <c r="C1050" s="512" t="s">
        <v>69</v>
      </c>
      <c r="D1050" s="512" t="s">
        <v>574</v>
      </c>
      <c r="E1050" s="513" t="s">
        <v>42</v>
      </c>
      <c r="F1050" s="514">
        <v>83471.0</v>
      </c>
      <c r="G1050" s="514">
        <v>5512.0</v>
      </c>
      <c r="H1050" s="514">
        <v>6.6</v>
      </c>
      <c r="I1050" s="514">
        <v>0.83</v>
      </c>
      <c r="J1050" s="514">
        <v>0.81</v>
      </c>
      <c r="K1050" s="514">
        <v>6443.0</v>
      </c>
      <c r="L1050" s="514">
        <v>779947.0</v>
      </c>
      <c r="M1050" s="514">
        <v>0.0772</v>
      </c>
      <c r="N1050" s="6">
        <v>1.1689</v>
      </c>
    </row>
    <row r="1051">
      <c r="A1051" s="512" t="s">
        <v>2038</v>
      </c>
      <c r="B1051" s="512" t="s">
        <v>1867</v>
      </c>
      <c r="C1051" s="512" t="s">
        <v>69</v>
      </c>
      <c r="D1051" s="512" t="s">
        <v>574</v>
      </c>
      <c r="E1051" s="513" t="s">
        <v>50</v>
      </c>
      <c r="F1051" s="514">
        <v>83471.0</v>
      </c>
      <c r="G1051" s="514">
        <v>3261.0</v>
      </c>
      <c r="H1051" s="514">
        <v>3.91</v>
      </c>
      <c r="I1051" s="514">
        <v>0.46</v>
      </c>
      <c r="J1051" s="514">
        <v>0.32</v>
      </c>
      <c r="K1051" s="514">
        <v>3624.0</v>
      </c>
      <c r="L1051" s="514">
        <v>779947.0</v>
      </c>
      <c r="M1051" s="514">
        <v>0.0434</v>
      </c>
      <c r="N1051" s="6">
        <v>1.1113</v>
      </c>
    </row>
    <row r="1052">
      <c r="A1052" s="512" t="s">
        <v>2038</v>
      </c>
      <c r="B1052" s="512" t="s">
        <v>1867</v>
      </c>
      <c r="C1052" s="512" t="s">
        <v>69</v>
      </c>
      <c r="D1052" s="512" t="s">
        <v>574</v>
      </c>
      <c r="E1052" s="513" t="s">
        <v>35</v>
      </c>
      <c r="F1052" s="514">
        <v>83471.0</v>
      </c>
      <c r="G1052" s="514">
        <v>2133.0</v>
      </c>
      <c r="H1052" s="514">
        <v>2.56</v>
      </c>
      <c r="I1052" s="514">
        <v>0.3</v>
      </c>
      <c r="J1052" s="514">
        <v>0.22</v>
      </c>
      <c r="K1052" s="514">
        <v>2315.0</v>
      </c>
      <c r="L1052" s="514">
        <v>779947.0</v>
      </c>
      <c r="M1052" s="514">
        <v>0.0277</v>
      </c>
      <c r="N1052" s="6">
        <v>1.0853</v>
      </c>
    </row>
    <row r="1053">
      <c r="A1053" s="512" t="s">
        <v>2038</v>
      </c>
      <c r="B1053" s="512" t="s">
        <v>1867</v>
      </c>
      <c r="C1053" s="512" t="s">
        <v>69</v>
      </c>
      <c r="D1053" s="512" t="s">
        <v>574</v>
      </c>
      <c r="E1053" s="513" t="s">
        <v>189</v>
      </c>
      <c r="F1053" s="514">
        <v>83471.0</v>
      </c>
      <c r="G1053" s="514">
        <v>1801.0</v>
      </c>
      <c r="H1053" s="514">
        <v>2.16</v>
      </c>
      <c r="I1053" s="514">
        <v>0.24</v>
      </c>
      <c r="J1053" s="514">
        <v>0.17</v>
      </c>
      <c r="K1053" s="514">
        <v>1846.0</v>
      </c>
      <c r="L1053" s="514">
        <v>779947.0</v>
      </c>
      <c r="M1053" s="514">
        <v>0.0221</v>
      </c>
      <c r="N1053" s="6">
        <v>1.025</v>
      </c>
    </row>
    <row r="1054">
      <c r="A1054" s="512" t="s">
        <v>2038</v>
      </c>
      <c r="B1054" s="512" t="s">
        <v>1867</v>
      </c>
      <c r="C1054" s="512" t="s">
        <v>69</v>
      </c>
      <c r="D1054" s="512" t="s">
        <v>574</v>
      </c>
      <c r="E1054" s="513" t="s">
        <v>43</v>
      </c>
      <c r="F1054" s="514">
        <v>83471.0</v>
      </c>
      <c r="G1054" s="514">
        <v>1482.0</v>
      </c>
      <c r="H1054" s="514">
        <v>1.78</v>
      </c>
      <c r="I1054" s="514">
        <v>0.19</v>
      </c>
      <c r="J1054" s="514">
        <v>0.2</v>
      </c>
      <c r="K1054" s="514">
        <v>1520.0</v>
      </c>
      <c r="L1054" s="514">
        <v>779947.0</v>
      </c>
      <c r="M1054" s="514">
        <v>0.0182</v>
      </c>
      <c r="N1054" s="6">
        <v>1.0256</v>
      </c>
    </row>
    <row r="1055">
      <c r="A1055" s="512" t="s">
        <v>2038</v>
      </c>
      <c r="B1055" s="512" t="s">
        <v>1867</v>
      </c>
      <c r="C1055" s="512" t="s">
        <v>69</v>
      </c>
      <c r="D1055" s="512" t="s">
        <v>574</v>
      </c>
      <c r="E1055" s="513" t="s">
        <v>312</v>
      </c>
      <c r="F1055" s="514">
        <v>83471.0</v>
      </c>
      <c r="G1055" s="514">
        <v>3.0</v>
      </c>
      <c r="H1055" s="514">
        <v>0.0</v>
      </c>
      <c r="I1055" s="514">
        <v>0.0</v>
      </c>
      <c r="J1055" s="514">
        <v>0.0</v>
      </c>
      <c r="K1055" s="514">
        <v>3.0</v>
      </c>
      <c r="L1055" s="514">
        <v>779947.0</v>
      </c>
      <c r="M1055" s="514">
        <v>0.0</v>
      </c>
      <c r="N1055" s="6">
        <v>1.0</v>
      </c>
    </row>
    <row r="1056">
      <c r="A1056" s="512" t="s">
        <v>2038</v>
      </c>
      <c r="B1056" s="512" t="s">
        <v>1867</v>
      </c>
      <c r="C1056" s="512" t="s">
        <v>69</v>
      </c>
      <c r="D1056" s="512" t="s">
        <v>574</v>
      </c>
      <c r="E1056" s="513" t="s">
        <v>32</v>
      </c>
      <c r="F1056" s="514">
        <v>83471.0</v>
      </c>
      <c r="G1056" s="514">
        <v>15.0</v>
      </c>
      <c r="H1056" s="514">
        <v>0.02</v>
      </c>
      <c r="I1056" s="514">
        <v>0.0</v>
      </c>
      <c r="J1056" s="514">
        <v>0.01</v>
      </c>
      <c r="K1056" s="514">
        <v>18.0</v>
      </c>
      <c r="L1056" s="514">
        <v>779947.0</v>
      </c>
      <c r="M1056" s="514">
        <v>2.0E-4</v>
      </c>
      <c r="N1056" s="6">
        <v>1.2</v>
      </c>
    </row>
    <row r="1057">
      <c r="A1057" s="512" t="s">
        <v>2038</v>
      </c>
      <c r="B1057" s="512" t="s">
        <v>1867</v>
      </c>
      <c r="C1057" s="512" t="s">
        <v>69</v>
      </c>
      <c r="D1057" s="512" t="s">
        <v>574</v>
      </c>
      <c r="E1057" s="513" t="s">
        <v>311</v>
      </c>
      <c r="F1057" s="514">
        <v>83471.0</v>
      </c>
      <c r="G1057" s="514">
        <v>1.0</v>
      </c>
      <c r="H1057" s="514">
        <v>0.0</v>
      </c>
      <c r="I1057" s="514">
        <v>0.0</v>
      </c>
      <c r="J1057" s="514">
        <v>0.0</v>
      </c>
      <c r="K1057" s="514">
        <v>1.0</v>
      </c>
      <c r="L1057" s="514">
        <v>779947.0</v>
      </c>
      <c r="M1057" s="514">
        <v>0.0</v>
      </c>
      <c r="N1057" s="6">
        <v>1.0</v>
      </c>
    </row>
    <row r="1058">
      <c r="A1058" s="512" t="s">
        <v>2038</v>
      </c>
      <c r="B1058" s="512" t="s">
        <v>1867</v>
      </c>
      <c r="C1058" s="512" t="s">
        <v>69</v>
      </c>
      <c r="D1058" s="512" t="s">
        <v>574</v>
      </c>
      <c r="E1058" s="513" t="s">
        <v>310</v>
      </c>
      <c r="F1058" s="514">
        <v>83471.0</v>
      </c>
      <c r="G1058" s="514">
        <v>2.0</v>
      </c>
      <c r="H1058" s="514">
        <v>0.0</v>
      </c>
      <c r="I1058" s="514">
        <v>0.0</v>
      </c>
      <c r="J1058" s="514">
        <v>0.0</v>
      </c>
      <c r="K1058" s="514">
        <v>3.0</v>
      </c>
      <c r="L1058" s="514">
        <v>779947.0</v>
      </c>
      <c r="M1058" s="514">
        <v>0.0</v>
      </c>
      <c r="N1058" s="6">
        <v>1.5</v>
      </c>
    </row>
    <row r="1059">
      <c r="A1059" s="512" t="s">
        <v>2038</v>
      </c>
      <c r="B1059" s="512" t="s">
        <v>1867</v>
      </c>
      <c r="C1059" s="512" t="s">
        <v>68</v>
      </c>
      <c r="D1059" s="512" t="s">
        <v>574</v>
      </c>
      <c r="E1059" s="513" t="s">
        <v>377</v>
      </c>
      <c r="F1059" s="514">
        <v>69924.0</v>
      </c>
      <c r="G1059" s="514">
        <v>55531.0</v>
      </c>
      <c r="H1059" s="514">
        <v>79.42</v>
      </c>
      <c r="I1059" s="514">
        <v>50.92</v>
      </c>
      <c r="J1059" s="514">
        <v>49.82</v>
      </c>
      <c r="K1059" s="514">
        <v>6840883.0</v>
      </c>
      <c r="L1059" s="514">
        <v>1.3435647E7</v>
      </c>
      <c r="M1059" s="514">
        <v>97.8331</v>
      </c>
      <c r="N1059" s="6">
        <v>123.1903</v>
      </c>
    </row>
    <row r="1060">
      <c r="A1060" s="512" t="s">
        <v>2038</v>
      </c>
      <c r="B1060" s="512" t="s">
        <v>1867</v>
      </c>
      <c r="C1060" s="512" t="s">
        <v>68</v>
      </c>
      <c r="D1060" s="512" t="s">
        <v>574</v>
      </c>
      <c r="E1060" s="513" t="s">
        <v>50</v>
      </c>
      <c r="F1060" s="514">
        <v>69924.0</v>
      </c>
      <c r="G1060" s="514">
        <v>41185.0</v>
      </c>
      <c r="H1060" s="514">
        <v>58.9</v>
      </c>
      <c r="I1060" s="514">
        <v>32.64</v>
      </c>
      <c r="J1060" s="514">
        <v>31.91</v>
      </c>
      <c r="K1060" s="514">
        <v>4385120.0</v>
      </c>
      <c r="L1060" s="514">
        <v>1.3435647E7</v>
      </c>
      <c r="M1060" s="514">
        <v>62.7127</v>
      </c>
      <c r="N1060" s="6">
        <v>106.4737</v>
      </c>
    </row>
    <row r="1061">
      <c r="A1061" s="512" t="s">
        <v>2038</v>
      </c>
      <c r="B1061" s="512" t="s">
        <v>1867</v>
      </c>
      <c r="C1061" s="512" t="s">
        <v>68</v>
      </c>
      <c r="D1061" s="512" t="s">
        <v>574</v>
      </c>
      <c r="E1061" s="513" t="s">
        <v>43</v>
      </c>
      <c r="F1061" s="514">
        <v>69924.0</v>
      </c>
      <c r="G1061" s="514">
        <v>12044.0</v>
      </c>
      <c r="H1061" s="514">
        <v>17.22</v>
      </c>
      <c r="I1061" s="514">
        <v>8.89</v>
      </c>
      <c r="J1061" s="514">
        <v>6.67</v>
      </c>
      <c r="K1061" s="514">
        <v>1194670.0</v>
      </c>
      <c r="L1061" s="514">
        <v>1.3435647E7</v>
      </c>
      <c r="M1061" s="514">
        <v>17.0853</v>
      </c>
      <c r="N1061" s="6">
        <v>99.1921</v>
      </c>
    </row>
    <row r="1062">
      <c r="A1062" s="512" t="s">
        <v>2038</v>
      </c>
      <c r="B1062" s="512" t="s">
        <v>1867</v>
      </c>
      <c r="C1062" s="512" t="s">
        <v>68</v>
      </c>
      <c r="D1062" s="512" t="s">
        <v>574</v>
      </c>
      <c r="E1062" s="513" t="s">
        <v>49</v>
      </c>
      <c r="F1062" s="514">
        <v>69924.0</v>
      </c>
      <c r="G1062" s="514">
        <v>23579.0</v>
      </c>
      <c r="H1062" s="514">
        <v>33.72</v>
      </c>
      <c r="I1062" s="514">
        <v>5.62</v>
      </c>
      <c r="J1062" s="514">
        <v>8.27</v>
      </c>
      <c r="K1062" s="514">
        <v>754640.0</v>
      </c>
      <c r="L1062" s="514">
        <v>1.3435647E7</v>
      </c>
      <c r="M1062" s="514">
        <v>10.7923</v>
      </c>
      <c r="N1062" s="6">
        <v>32.0047</v>
      </c>
    </row>
    <row r="1063">
      <c r="A1063" s="512" t="s">
        <v>2038</v>
      </c>
      <c r="B1063" s="512" t="s">
        <v>1867</v>
      </c>
      <c r="C1063" s="512" t="s">
        <v>68</v>
      </c>
      <c r="D1063" s="512" t="s">
        <v>574</v>
      </c>
      <c r="E1063" s="513" t="s">
        <v>380</v>
      </c>
      <c r="F1063" s="514">
        <v>69924.0</v>
      </c>
      <c r="G1063" s="514">
        <v>3465.0</v>
      </c>
      <c r="H1063" s="514">
        <v>4.96</v>
      </c>
      <c r="I1063" s="514">
        <v>1.28</v>
      </c>
      <c r="J1063" s="514">
        <v>2.65</v>
      </c>
      <c r="K1063" s="514">
        <v>171914.0</v>
      </c>
      <c r="L1063" s="514">
        <v>1.3435647E7</v>
      </c>
      <c r="M1063" s="514">
        <v>2.4586</v>
      </c>
      <c r="N1063" s="6">
        <v>49.6144</v>
      </c>
    </row>
    <row r="1064">
      <c r="A1064" s="512" t="s">
        <v>2038</v>
      </c>
      <c r="B1064" s="512" t="s">
        <v>1867</v>
      </c>
      <c r="C1064" s="512" t="s">
        <v>68</v>
      </c>
      <c r="D1064" s="512" t="s">
        <v>574</v>
      </c>
      <c r="E1064" s="513" t="s">
        <v>134</v>
      </c>
      <c r="F1064" s="514">
        <v>69924.0</v>
      </c>
      <c r="G1064" s="514">
        <v>3033.0</v>
      </c>
      <c r="H1064" s="514">
        <v>4.34</v>
      </c>
      <c r="I1064" s="514">
        <v>0.66</v>
      </c>
      <c r="J1064" s="514">
        <v>0.67</v>
      </c>
      <c r="K1064" s="514">
        <v>88290.0</v>
      </c>
      <c r="L1064" s="514">
        <v>1.3435647E7</v>
      </c>
      <c r="M1064" s="514">
        <v>1.2627</v>
      </c>
      <c r="N1064" s="6">
        <v>29.1098</v>
      </c>
    </row>
    <row r="1065">
      <c r="A1065" s="512" t="s">
        <v>2038</v>
      </c>
      <c r="B1065" s="512" t="s">
        <v>1867</v>
      </c>
      <c r="C1065" s="512" t="s">
        <v>68</v>
      </c>
      <c r="D1065" s="512" t="s">
        <v>574</v>
      </c>
      <c r="E1065" s="513" t="s">
        <v>32</v>
      </c>
      <c r="F1065" s="514">
        <v>69924.0</v>
      </c>
      <c r="G1065" s="514">
        <v>10.0</v>
      </c>
      <c r="H1065" s="514">
        <v>0.01</v>
      </c>
      <c r="I1065" s="514">
        <v>0.0</v>
      </c>
      <c r="J1065" s="514">
        <v>0.01</v>
      </c>
      <c r="K1065" s="514">
        <v>110.0</v>
      </c>
      <c r="L1065" s="514">
        <v>1.3435647E7</v>
      </c>
      <c r="M1065" s="514">
        <v>0.0016</v>
      </c>
      <c r="N1065" s="6">
        <v>11.0</v>
      </c>
    </row>
    <row r="1066">
      <c r="A1066" s="512" t="s">
        <v>2038</v>
      </c>
      <c r="B1066" s="512" t="s">
        <v>1867</v>
      </c>
      <c r="C1066" s="512" t="s">
        <v>68</v>
      </c>
      <c r="D1066" s="512" t="s">
        <v>574</v>
      </c>
      <c r="E1066" s="513" t="s">
        <v>42</v>
      </c>
      <c r="F1066" s="514">
        <v>69924.0</v>
      </c>
      <c r="G1066" s="514">
        <v>1.0</v>
      </c>
      <c r="H1066" s="514">
        <v>0.0</v>
      </c>
      <c r="I1066" s="514">
        <v>0.0</v>
      </c>
      <c r="J1066" s="514">
        <v>0.0</v>
      </c>
      <c r="K1066" s="514">
        <v>20.0</v>
      </c>
      <c r="L1066" s="514">
        <v>1.3435647E7</v>
      </c>
      <c r="M1066" s="514">
        <v>3.0E-4</v>
      </c>
      <c r="N1066" s="6">
        <v>20.0</v>
      </c>
    </row>
    <row r="1067">
      <c r="A1067" s="512" t="s">
        <v>2038</v>
      </c>
      <c r="B1067" s="512" t="s">
        <v>1867</v>
      </c>
      <c r="C1067" s="512" t="s">
        <v>2035</v>
      </c>
      <c r="D1067" s="512" t="s">
        <v>2036</v>
      </c>
      <c r="E1067" s="513" t="s">
        <v>134</v>
      </c>
      <c r="F1067" s="514">
        <v>4656.0</v>
      </c>
      <c r="G1067" s="514">
        <v>4598.0</v>
      </c>
      <c r="H1067" s="514">
        <v>98.75</v>
      </c>
      <c r="I1067" s="514">
        <v>98.2</v>
      </c>
      <c r="J1067" s="514">
        <v>98.74</v>
      </c>
      <c r="K1067" s="514">
        <v>57205.0</v>
      </c>
      <c r="L1067" s="514">
        <v>58255.0</v>
      </c>
      <c r="M1067" s="514">
        <v>12.2863</v>
      </c>
      <c r="N1067" s="6">
        <v>12.4413</v>
      </c>
    </row>
    <row r="1068">
      <c r="A1068" s="512" t="s">
        <v>2038</v>
      </c>
      <c r="B1068" s="512" t="s">
        <v>1867</v>
      </c>
      <c r="C1068" s="512" t="s">
        <v>2035</v>
      </c>
      <c r="D1068" s="512" t="s">
        <v>2036</v>
      </c>
      <c r="E1068" s="513" t="s">
        <v>373</v>
      </c>
      <c r="F1068" s="514">
        <v>4656.0</v>
      </c>
      <c r="G1068" s="514">
        <v>58.0</v>
      </c>
      <c r="H1068" s="514">
        <v>1.25</v>
      </c>
      <c r="I1068" s="514">
        <v>1.78</v>
      </c>
      <c r="J1068" s="514">
        <v>1.24</v>
      </c>
      <c r="K1068" s="514">
        <v>1035.0</v>
      </c>
      <c r="L1068" s="514">
        <v>58255.0</v>
      </c>
      <c r="M1068" s="514">
        <v>0.2223</v>
      </c>
      <c r="N1068" s="6">
        <v>17.8448</v>
      </c>
    </row>
    <row r="1069">
      <c r="A1069" s="512" t="s">
        <v>2038</v>
      </c>
      <c r="B1069" s="512" t="s">
        <v>1867</v>
      </c>
      <c r="C1069" s="512" t="s">
        <v>2035</v>
      </c>
      <c r="D1069" s="512" t="s">
        <v>2036</v>
      </c>
      <c r="E1069" s="513" t="s">
        <v>54</v>
      </c>
      <c r="F1069" s="514">
        <v>4656.0</v>
      </c>
      <c r="G1069" s="514">
        <v>1.0</v>
      </c>
      <c r="H1069" s="514">
        <v>0.02</v>
      </c>
      <c r="I1069" s="514">
        <v>0.03</v>
      </c>
      <c r="J1069" s="514">
        <v>0.02</v>
      </c>
      <c r="K1069" s="514">
        <v>15.0</v>
      </c>
      <c r="L1069" s="514">
        <v>58255.0</v>
      </c>
      <c r="M1069" s="514">
        <v>0.0032</v>
      </c>
      <c r="N1069" s="6">
        <v>15.0</v>
      </c>
    </row>
    <row r="1070">
      <c r="A1070" s="512" t="s">
        <v>2038</v>
      </c>
      <c r="B1070" s="512" t="s">
        <v>1867</v>
      </c>
      <c r="C1070" s="512" t="s">
        <v>73</v>
      </c>
      <c r="D1070" s="512" t="s">
        <v>574</v>
      </c>
      <c r="E1070" s="513" t="s">
        <v>379</v>
      </c>
      <c r="F1070" s="514">
        <v>74896.0</v>
      </c>
      <c r="G1070" s="514">
        <v>56167.0</v>
      </c>
      <c r="H1070" s="514">
        <v>74.99</v>
      </c>
      <c r="I1070" s="514">
        <v>23.21</v>
      </c>
      <c r="J1070" s="514">
        <v>27.42</v>
      </c>
      <c r="K1070" s="514">
        <v>134604.0</v>
      </c>
      <c r="L1070" s="514">
        <v>580060.0</v>
      </c>
      <c r="M1070" s="514">
        <v>1.7972</v>
      </c>
      <c r="N1070" s="6">
        <v>2.3965</v>
      </c>
    </row>
    <row r="1071">
      <c r="A1071" s="512" t="s">
        <v>2038</v>
      </c>
      <c r="B1071" s="512" t="s">
        <v>1867</v>
      </c>
      <c r="C1071" s="512" t="s">
        <v>73</v>
      </c>
      <c r="D1071" s="512" t="s">
        <v>574</v>
      </c>
      <c r="E1071" s="513" t="s">
        <v>380</v>
      </c>
      <c r="F1071" s="514">
        <v>74896.0</v>
      </c>
      <c r="G1071" s="514">
        <v>36569.0</v>
      </c>
      <c r="H1071" s="514">
        <v>48.83</v>
      </c>
      <c r="I1071" s="514">
        <v>14.08</v>
      </c>
      <c r="J1071" s="514">
        <v>12.51</v>
      </c>
      <c r="K1071" s="514">
        <v>81664.0</v>
      </c>
      <c r="L1071" s="514">
        <v>580060.0</v>
      </c>
      <c r="M1071" s="514">
        <v>1.0904</v>
      </c>
      <c r="N1071" s="6">
        <v>2.2331</v>
      </c>
    </row>
    <row r="1072">
      <c r="A1072" s="512" t="s">
        <v>2038</v>
      </c>
      <c r="B1072" s="512" t="s">
        <v>1867</v>
      </c>
      <c r="C1072" s="512" t="s">
        <v>73</v>
      </c>
      <c r="D1072" s="512" t="s">
        <v>574</v>
      </c>
      <c r="E1072" s="513" t="s">
        <v>373</v>
      </c>
      <c r="F1072" s="514">
        <v>74896.0</v>
      </c>
      <c r="G1072" s="514">
        <v>33926.0</v>
      </c>
      <c r="H1072" s="514">
        <v>45.3</v>
      </c>
      <c r="I1072" s="514">
        <v>10.21</v>
      </c>
      <c r="J1072" s="514">
        <v>8.88</v>
      </c>
      <c r="K1072" s="514">
        <v>59206.0</v>
      </c>
      <c r="L1072" s="514">
        <v>580060.0</v>
      </c>
      <c r="M1072" s="514">
        <v>0.7905</v>
      </c>
      <c r="N1072" s="6">
        <v>1.7452</v>
      </c>
    </row>
    <row r="1073">
      <c r="A1073" s="512" t="s">
        <v>2038</v>
      </c>
      <c r="B1073" s="512" t="s">
        <v>1867</v>
      </c>
      <c r="C1073" s="512" t="s">
        <v>73</v>
      </c>
      <c r="D1073" s="512" t="s">
        <v>574</v>
      </c>
      <c r="E1073" s="513" t="s">
        <v>367</v>
      </c>
      <c r="F1073" s="514">
        <v>74896.0</v>
      </c>
      <c r="G1073" s="514">
        <v>20632.0</v>
      </c>
      <c r="H1073" s="514">
        <v>27.55</v>
      </c>
      <c r="I1073" s="514">
        <v>9.71</v>
      </c>
      <c r="J1073" s="514">
        <v>6.9</v>
      </c>
      <c r="K1073" s="514">
        <v>56300.0</v>
      </c>
      <c r="L1073" s="514">
        <v>580060.0</v>
      </c>
      <c r="M1073" s="514">
        <v>0.7517</v>
      </c>
      <c r="N1073" s="6">
        <v>2.7288</v>
      </c>
    </row>
    <row r="1074">
      <c r="A1074" s="512" t="s">
        <v>2038</v>
      </c>
      <c r="B1074" s="512" t="s">
        <v>1867</v>
      </c>
      <c r="C1074" s="512" t="s">
        <v>73</v>
      </c>
      <c r="D1074" s="512" t="s">
        <v>574</v>
      </c>
      <c r="E1074" s="513" t="s">
        <v>42</v>
      </c>
      <c r="F1074" s="514">
        <v>74896.0</v>
      </c>
      <c r="G1074" s="514">
        <v>28475.0</v>
      </c>
      <c r="H1074" s="514">
        <v>38.02</v>
      </c>
      <c r="I1074" s="514">
        <v>8.22</v>
      </c>
      <c r="J1074" s="514">
        <v>8.98</v>
      </c>
      <c r="K1074" s="514">
        <v>47698.0</v>
      </c>
      <c r="L1074" s="514">
        <v>580060.0</v>
      </c>
      <c r="M1074" s="514">
        <v>0.6369</v>
      </c>
      <c r="N1074" s="6">
        <v>1.6751</v>
      </c>
    </row>
    <row r="1075">
      <c r="A1075" s="512" t="s">
        <v>2038</v>
      </c>
      <c r="B1075" s="512" t="s">
        <v>1867</v>
      </c>
      <c r="C1075" s="512" t="s">
        <v>73</v>
      </c>
      <c r="D1075" s="512" t="s">
        <v>574</v>
      </c>
      <c r="E1075" s="513" t="s">
        <v>377</v>
      </c>
      <c r="F1075" s="514">
        <v>74896.0</v>
      </c>
      <c r="G1075" s="514">
        <v>20433.0</v>
      </c>
      <c r="H1075" s="514">
        <v>27.28</v>
      </c>
      <c r="I1075" s="514">
        <v>6.33</v>
      </c>
      <c r="J1075" s="514">
        <v>5.52</v>
      </c>
      <c r="K1075" s="514">
        <v>36721.0</v>
      </c>
      <c r="L1075" s="514">
        <v>580060.0</v>
      </c>
      <c r="M1075" s="514">
        <v>0.4903</v>
      </c>
      <c r="N1075" s="6">
        <v>1.7971</v>
      </c>
    </row>
    <row r="1076">
      <c r="A1076" s="512" t="s">
        <v>2038</v>
      </c>
      <c r="B1076" s="512" t="s">
        <v>1867</v>
      </c>
      <c r="C1076" s="512" t="s">
        <v>73</v>
      </c>
      <c r="D1076" s="512" t="s">
        <v>574</v>
      </c>
      <c r="E1076" s="513" t="s">
        <v>372</v>
      </c>
      <c r="F1076" s="514">
        <v>74896.0</v>
      </c>
      <c r="G1076" s="514">
        <v>28144.0</v>
      </c>
      <c r="H1076" s="514">
        <v>37.58</v>
      </c>
      <c r="I1076" s="514">
        <v>6.02</v>
      </c>
      <c r="J1076" s="514">
        <v>7.53</v>
      </c>
      <c r="K1076" s="514">
        <v>34945.0</v>
      </c>
      <c r="L1076" s="514">
        <v>580060.0</v>
      </c>
      <c r="M1076" s="514">
        <v>0.4666</v>
      </c>
      <c r="N1076" s="6">
        <v>1.2417</v>
      </c>
    </row>
    <row r="1077">
      <c r="A1077" s="512" t="s">
        <v>2038</v>
      </c>
      <c r="B1077" s="512" t="s">
        <v>1867</v>
      </c>
      <c r="C1077" s="512" t="s">
        <v>73</v>
      </c>
      <c r="D1077" s="512" t="s">
        <v>574</v>
      </c>
      <c r="E1077" s="513" t="s">
        <v>44</v>
      </c>
      <c r="F1077" s="514">
        <v>74896.0</v>
      </c>
      <c r="G1077" s="514">
        <v>19336.0</v>
      </c>
      <c r="H1077" s="514">
        <v>25.82</v>
      </c>
      <c r="I1077" s="514">
        <v>4.74</v>
      </c>
      <c r="J1077" s="514">
        <v>3.33</v>
      </c>
      <c r="K1077" s="514">
        <v>27516.0</v>
      </c>
      <c r="L1077" s="514">
        <v>580060.0</v>
      </c>
      <c r="M1077" s="514">
        <v>0.3674</v>
      </c>
      <c r="N1077" s="6">
        <v>1.423</v>
      </c>
    </row>
    <row r="1078">
      <c r="A1078" s="512" t="s">
        <v>2038</v>
      </c>
      <c r="B1078" s="512" t="s">
        <v>1867</v>
      </c>
      <c r="C1078" s="512" t="s">
        <v>73</v>
      </c>
      <c r="D1078" s="512" t="s">
        <v>574</v>
      </c>
      <c r="E1078" s="513" t="s">
        <v>50</v>
      </c>
      <c r="F1078" s="514">
        <v>74896.0</v>
      </c>
      <c r="G1078" s="514">
        <v>17239.0</v>
      </c>
      <c r="H1078" s="514">
        <v>23.02</v>
      </c>
      <c r="I1078" s="514">
        <v>3.9</v>
      </c>
      <c r="J1078" s="514">
        <v>4.1</v>
      </c>
      <c r="K1078" s="514">
        <v>22639.0</v>
      </c>
      <c r="L1078" s="514">
        <v>580060.0</v>
      </c>
      <c r="M1078" s="514">
        <v>0.3023</v>
      </c>
      <c r="N1078" s="6">
        <v>1.3132</v>
      </c>
    </row>
    <row r="1079">
      <c r="A1079" s="512" t="s">
        <v>2038</v>
      </c>
      <c r="B1079" s="512" t="s">
        <v>1867</v>
      </c>
      <c r="C1079" s="512" t="s">
        <v>73</v>
      </c>
      <c r="D1079" s="512" t="s">
        <v>574</v>
      </c>
      <c r="E1079" s="513" t="s">
        <v>40</v>
      </c>
      <c r="F1079" s="514">
        <v>74896.0</v>
      </c>
      <c r="G1079" s="514">
        <v>6862.0</v>
      </c>
      <c r="H1079" s="514">
        <v>9.16</v>
      </c>
      <c r="I1079" s="514">
        <v>3.85</v>
      </c>
      <c r="J1079" s="514">
        <v>2.86</v>
      </c>
      <c r="K1079" s="514">
        <v>22338.0</v>
      </c>
      <c r="L1079" s="514">
        <v>580060.0</v>
      </c>
      <c r="M1079" s="514">
        <v>0.2983</v>
      </c>
      <c r="N1079" s="6">
        <v>3.2553</v>
      </c>
    </row>
    <row r="1080">
      <c r="A1080" s="512" t="s">
        <v>2038</v>
      </c>
      <c r="B1080" s="512" t="s">
        <v>1867</v>
      </c>
      <c r="C1080" s="512" t="s">
        <v>73</v>
      </c>
      <c r="D1080" s="512" t="s">
        <v>574</v>
      </c>
      <c r="E1080" s="513" t="s">
        <v>134</v>
      </c>
      <c r="F1080" s="514">
        <v>74896.0</v>
      </c>
      <c r="G1080" s="514">
        <v>9962.0</v>
      </c>
      <c r="H1080" s="514">
        <v>13.3</v>
      </c>
      <c r="I1080" s="514">
        <v>2.51</v>
      </c>
      <c r="J1080" s="514">
        <v>3.4</v>
      </c>
      <c r="K1080" s="514">
        <v>14552.0</v>
      </c>
      <c r="L1080" s="514">
        <v>580060.0</v>
      </c>
      <c r="M1080" s="514">
        <v>0.1943</v>
      </c>
      <c r="N1080" s="6">
        <v>1.4608</v>
      </c>
    </row>
    <row r="1081">
      <c r="A1081" s="512" t="s">
        <v>2038</v>
      </c>
      <c r="B1081" s="512" t="s">
        <v>1867</v>
      </c>
      <c r="C1081" s="512" t="s">
        <v>73</v>
      </c>
      <c r="D1081" s="512" t="s">
        <v>574</v>
      </c>
      <c r="E1081" s="513" t="s">
        <v>310</v>
      </c>
      <c r="F1081" s="514">
        <v>74896.0</v>
      </c>
      <c r="G1081" s="514">
        <v>11563.0</v>
      </c>
      <c r="H1081" s="514">
        <v>15.44</v>
      </c>
      <c r="I1081" s="514">
        <v>2.31</v>
      </c>
      <c r="J1081" s="514">
        <v>2.61</v>
      </c>
      <c r="K1081" s="514">
        <v>13384.0</v>
      </c>
      <c r="L1081" s="514">
        <v>580060.0</v>
      </c>
      <c r="M1081" s="514">
        <v>0.1787</v>
      </c>
      <c r="N1081" s="6">
        <v>1.1575</v>
      </c>
    </row>
    <row r="1082">
      <c r="A1082" s="512" t="s">
        <v>2038</v>
      </c>
      <c r="B1082" s="512" t="s">
        <v>1867</v>
      </c>
      <c r="C1082" s="512" t="s">
        <v>73</v>
      </c>
      <c r="D1082" s="512" t="s">
        <v>574</v>
      </c>
      <c r="E1082" s="513" t="s">
        <v>32</v>
      </c>
      <c r="F1082" s="514">
        <v>74896.0</v>
      </c>
      <c r="G1082" s="514">
        <v>11384.0</v>
      </c>
      <c r="H1082" s="514">
        <v>15.2</v>
      </c>
      <c r="I1082" s="514">
        <v>2.25</v>
      </c>
      <c r="J1082" s="514">
        <v>2.72</v>
      </c>
      <c r="K1082" s="514">
        <v>13036.0</v>
      </c>
      <c r="L1082" s="514">
        <v>580060.0</v>
      </c>
      <c r="M1082" s="514">
        <v>0.1741</v>
      </c>
      <c r="N1082" s="6">
        <v>1.1451</v>
      </c>
    </row>
    <row r="1083">
      <c r="A1083" s="512" t="s">
        <v>2038</v>
      </c>
      <c r="B1083" s="512" t="s">
        <v>1867</v>
      </c>
      <c r="C1083" s="512" t="s">
        <v>73</v>
      </c>
      <c r="D1083" s="512" t="s">
        <v>574</v>
      </c>
      <c r="E1083" s="513" t="s">
        <v>312</v>
      </c>
      <c r="F1083" s="514">
        <v>74896.0</v>
      </c>
      <c r="G1083" s="514">
        <v>9996.0</v>
      </c>
      <c r="H1083" s="514">
        <v>13.35</v>
      </c>
      <c r="I1083" s="514">
        <v>2.02</v>
      </c>
      <c r="J1083" s="514">
        <v>2.37</v>
      </c>
      <c r="K1083" s="514">
        <v>11711.0</v>
      </c>
      <c r="L1083" s="514">
        <v>580060.0</v>
      </c>
      <c r="M1083" s="514">
        <v>0.1564</v>
      </c>
      <c r="N1083" s="6">
        <v>1.1716</v>
      </c>
    </row>
    <row r="1084">
      <c r="A1084" s="512" t="s">
        <v>2038</v>
      </c>
      <c r="B1084" s="512" t="s">
        <v>1867</v>
      </c>
      <c r="C1084" s="512" t="s">
        <v>73</v>
      </c>
      <c r="D1084" s="512" t="s">
        <v>574</v>
      </c>
      <c r="E1084" s="513" t="s">
        <v>311</v>
      </c>
      <c r="F1084" s="514">
        <v>74896.0</v>
      </c>
      <c r="G1084" s="514">
        <v>2937.0</v>
      </c>
      <c r="H1084" s="514">
        <v>3.92</v>
      </c>
      <c r="I1084" s="514">
        <v>0.52</v>
      </c>
      <c r="J1084" s="514">
        <v>0.73</v>
      </c>
      <c r="K1084" s="514">
        <v>2994.0</v>
      </c>
      <c r="L1084" s="514">
        <v>580060.0</v>
      </c>
      <c r="M1084" s="514">
        <v>0.04</v>
      </c>
      <c r="N1084" s="6">
        <v>1.0194</v>
      </c>
    </row>
    <row r="1085">
      <c r="A1085" s="512" t="s">
        <v>2038</v>
      </c>
      <c r="B1085" s="512" t="s">
        <v>1867</v>
      </c>
      <c r="C1085" s="512" t="s">
        <v>73</v>
      </c>
      <c r="D1085" s="512" t="s">
        <v>574</v>
      </c>
      <c r="E1085" s="513" t="s">
        <v>43</v>
      </c>
      <c r="F1085" s="514">
        <v>74896.0</v>
      </c>
      <c r="G1085" s="514">
        <v>653.0</v>
      </c>
      <c r="H1085" s="514">
        <v>0.87</v>
      </c>
      <c r="I1085" s="514">
        <v>0.12</v>
      </c>
      <c r="J1085" s="514">
        <v>0.13</v>
      </c>
      <c r="K1085" s="514">
        <v>682.0</v>
      </c>
      <c r="L1085" s="514">
        <v>580060.0</v>
      </c>
      <c r="M1085" s="514">
        <v>0.0091</v>
      </c>
      <c r="N1085" s="6">
        <v>1.0444</v>
      </c>
    </row>
    <row r="1086">
      <c r="A1086" s="512" t="s">
        <v>2038</v>
      </c>
      <c r="B1086" s="512" t="s">
        <v>1867</v>
      </c>
      <c r="C1086" s="512" t="s">
        <v>73</v>
      </c>
      <c r="D1086" s="512" t="s">
        <v>574</v>
      </c>
      <c r="E1086" s="513" t="s">
        <v>35</v>
      </c>
      <c r="F1086" s="514">
        <v>74896.0</v>
      </c>
      <c r="G1086" s="514">
        <v>58.0</v>
      </c>
      <c r="H1086" s="514">
        <v>0.08</v>
      </c>
      <c r="I1086" s="514">
        <v>0.01</v>
      </c>
      <c r="J1086" s="514">
        <v>0.01</v>
      </c>
      <c r="K1086" s="514">
        <v>62.0</v>
      </c>
      <c r="L1086" s="514">
        <v>580060.0</v>
      </c>
      <c r="M1086" s="514">
        <v>8.0E-4</v>
      </c>
      <c r="N1086" s="6">
        <v>1.069</v>
      </c>
    </row>
    <row r="1087">
      <c r="A1087" s="512" t="s">
        <v>2038</v>
      </c>
      <c r="B1087" s="512" t="s">
        <v>1867</v>
      </c>
      <c r="C1087" s="512" t="s">
        <v>73</v>
      </c>
      <c r="D1087" s="512" t="s">
        <v>574</v>
      </c>
      <c r="E1087" s="513" t="s">
        <v>189</v>
      </c>
      <c r="F1087" s="514">
        <v>74896.0</v>
      </c>
      <c r="G1087" s="514">
        <v>4.0</v>
      </c>
      <c r="H1087" s="514">
        <v>0.01</v>
      </c>
      <c r="I1087" s="514">
        <v>0.0</v>
      </c>
      <c r="J1087" s="514">
        <v>0.0</v>
      </c>
      <c r="K1087" s="514">
        <v>4.0</v>
      </c>
      <c r="L1087" s="514">
        <v>580060.0</v>
      </c>
      <c r="M1087" s="514">
        <v>1.0E-4</v>
      </c>
      <c r="N1087" s="6">
        <v>1.0</v>
      </c>
    </row>
    <row r="1088">
      <c r="A1088" s="512" t="s">
        <v>2038</v>
      </c>
      <c r="B1088" s="512" t="s">
        <v>1867</v>
      </c>
      <c r="C1088" s="512" t="s">
        <v>73</v>
      </c>
      <c r="D1088" s="512" t="s">
        <v>574</v>
      </c>
      <c r="E1088" s="513" t="s">
        <v>374</v>
      </c>
      <c r="F1088" s="514">
        <v>74896.0</v>
      </c>
      <c r="G1088" s="514">
        <v>2.0</v>
      </c>
      <c r="H1088" s="514">
        <v>0.0</v>
      </c>
      <c r="I1088" s="514">
        <v>0.0</v>
      </c>
      <c r="J1088" s="514">
        <v>0.0</v>
      </c>
      <c r="K1088" s="514">
        <v>4.0</v>
      </c>
      <c r="L1088" s="514">
        <v>580060.0</v>
      </c>
      <c r="M1088" s="514">
        <v>1.0E-4</v>
      </c>
      <c r="N1088" s="6">
        <v>2.0</v>
      </c>
    </row>
    <row r="1089">
      <c r="A1089" s="512" t="s">
        <v>2038</v>
      </c>
      <c r="B1089" s="512" t="s">
        <v>1867</v>
      </c>
      <c r="C1089" s="512" t="s">
        <v>72</v>
      </c>
      <c r="D1089" s="512" t="s">
        <v>574</v>
      </c>
      <c r="E1089" s="513" t="s">
        <v>379</v>
      </c>
      <c r="F1089" s="514">
        <v>75766.0</v>
      </c>
      <c r="G1089" s="514">
        <v>48496.0</v>
      </c>
      <c r="H1089" s="514">
        <v>64.01</v>
      </c>
      <c r="I1089" s="514">
        <v>15.74</v>
      </c>
      <c r="J1089" s="514">
        <v>18.57</v>
      </c>
      <c r="K1089" s="514">
        <v>100372.0</v>
      </c>
      <c r="L1089" s="514">
        <v>637537.0</v>
      </c>
      <c r="M1089" s="514">
        <v>1.3248</v>
      </c>
      <c r="N1089" s="6">
        <v>2.0697</v>
      </c>
    </row>
    <row r="1090">
      <c r="A1090" s="512" t="s">
        <v>2038</v>
      </c>
      <c r="B1090" s="512" t="s">
        <v>1867</v>
      </c>
      <c r="C1090" s="512" t="s">
        <v>72</v>
      </c>
      <c r="D1090" s="512" t="s">
        <v>574</v>
      </c>
      <c r="E1090" s="513" t="s">
        <v>373</v>
      </c>
      <c r="F1090" s="514">
        <v>75766.0</v>
      </c>
      <c r="G1090" s="514">
        <v>41834.0</v>
      </c>
      <c r="H1090" s="514">
        <v>55.21</v>
      </c>
      <c r="I1090" s="514">
        <v>13.99</v>
      </c>
      <c r="J1090" s="514">
        <v>13.12</v>
      </c>
      <c r="K1090" s="514">
        <v>89167.0</v>
      </c>
      <c r="L1090" s="514">
        <v>637537.0</v>
      </c>
      <c r="M1090" s="514">
        <v>1.1769</v>
      </c>
      <c r="N1090" s="6">
        <v>2.1314</v>
      </c>
    </row>
    <row r="1091">
      <c r="A1091" s="512" t="s">
        <v>2038</v>
      </c>
      <c r="B1091" s="512" t="s">
        <v>1867</v>
      </c>
      <c r="C1091" s="512" t="s">
        <v>72</v>
      </c>
      <c r="D1091" s="512" t="s">
        <v>574</v>
      </c>
      <c r="E1091" s="513" t="s">
        <v>367</v>
      </c>
      <c r="F1091" s="514">
        <v>75766.0</v>
      </c>
      <c r="G1091" s="514">
        <v>20660.0</v>
      </c>
      <c r="H1091" s="514">
        <v>27.27</v>
      </c>
      <c r="I1091" s="514">
        <v>8.89</v>
      </c>
      <c r="J1091" s="514">
        <v>6.34</v>
      </c>
      <c r="K1091" s="514">
        <v>56667.0</v>
      </c>
      <c r="L1091" s="514">
        <v>637537.0</v>
      </c>
      <c r="M1091" s="514">
        <v>0.7479</v>
      </c>
      <c r="N1091" s="6">
        <v>2.7428</v>
      </c>
    </row>
    <row r="1092">
      <c r="A1092" s="512" t="s">
        <v>2038</v>
      </c>
      <c r="B1092" s="512" t="s">
        <v>1867</v>
      </c>
      <c r="C1092" s="512" t="s">
        <v>72</v>
      </c>
      <c r="D1092" s="512" t="s">
        <v>574</v>
      </c>
      <c r="E1092" s="513" t="s">
        <v>380</v>
      </c>
      <c r="F1092" s="514">
        <v>75766.0</v>
      </c>
      <c r="G1092" s="514">
        <v>23251.0</v>
      </c>
      <c r="H1092" s="514">
        <v>30.69</v>
      </c>
      <c r="I1092" s="514">
        <v>8.6</v>
      </c>
      <c r="J1092" s="514">
        <v>5.96</v>
      </c>
      <c r="K1092" s="514">
        <v>54848.0</v>
      </c>
      <c r="L1092" s="514">
        <v>637537.0</v>
      </c>
      <c r="M1092" s="514">
        <v>0.7239</v>
      </c>
      <c r="N1092" s="6">
        <v>2.359</v>
      </c>
    </row>
    <row r="1093">
      <c r="A1093" s="512" t="s">
        <v>2038</v>
      </c>
      <c r="B1093" s="512" t="s">
        <v>1867</v>
      </c>
      <c r="C1093" s="512" t="s">
        <v>72</v>
      </c>
      <c r="D1093" s="512" t="s">
        <v>574</v>
      </c>
      <c r="E1093" s="513" t="s">
        <v>377</v>
      </c>
      <c r="F1093" s="514">
        <v>75766.0</v>
      </c>
      <c r="G1093" s="514">
        <v>27386.0</v>
      </c>
      <c r="H1093" s="514">
        <v>36.15</v>
      </c>
      <c r="I1093" s="514">
        <v>8.34</v>
      </c>
      <c r="J1093" s="514">
        <v>7.34</v>
      </c>
      <c r="K1093" s="514">
        <v>53195.0</v>
      </c>
      <c r="L1093" s="514">
        <v>637537.0</v>
      </c>
      <c r="M1093" s="514">
        <v>0.7021</v>
      </c>
      <c r="N1093" s="6">
        <v>1.9424</v>
      </c>
    </row>
    <row r="1094">
      <c r="A1094" s="512" t="s">
        <v>2038</v>
      </c>
      <c r="B1094" s="512" t="s">
        <v>1867</v>
      </c>
      <c r="C1094" s="512" t="s">
        <v>72</v>
      </c>
      <c r="D1094" s="512" t="s">
        <v>574</v>
      </c>
      <c r="E1094" s="513" t="s">
        <v>40</v>
      </c>
      <c r="F1094" s="514">
        <v>75766.0</v>
      </c>
      <c r="G1094" s="514">
        <v>21761.0</v>
      </c>
      <c r="H1094" s="514">
        <v>28.72</v>
      </c>
      <c r="I1094" s="514">
        <v>7.67</v>
      </c>
      <c r="J1094" s="514">
        <v>7.25</v>
      </c>
      <c r="K1094" s="514">
        <v>48871.0</v>
      </c>
      <c r="L1094" s="514">
        <v>637537.0</v>
      </c>
      <c r="M1094" s="514">
        <v>0.645</v>
      </c>
      <c r="N1094" s="6">
        <v>2.2458</v>
      </c>
    </row>
    <row r="1095">
      <c r="A1095" s="512" t="s">
        <v>2038</v>
      </c>
      <c r="B1095" s="512" t="s">
        <v>1867</v>
      </c>
      <c r="C1095" s="512" t="s">
        <v>72</v>
      </c>
      <c r="D1095" s="512" t="s">
        <v>574</v>
      </c>
      <c r="E1095" s="513" t="s">
        <v>374</v>
      </c>
      <c r="F1095" s="514">
        <v>75766.0</v>
      </c>
      <c r="G1095" s="514">
        <v>20524.0</v>
      </c>
      <c r="H1095" s="514">
        <v>27.09</v>
      </c>
      <c r="I1095" s="514">
        <v>7.4</v>
      </c>
      <c r="J1095" s="514">
        <v>9.16</v>
      </c>
      <c r="K1095" s="514">
        <v>47150.0</v>
      </c>
      <c r="L1095" s="514">
        <v>637537.0</v>
      </c>
      <c r="M1095" s="514">
        <v>0.6223</v>
      </c>
      <c r="N1095" s="6">
        <v>2.2973</v>
      </c>
    </row>
    <row r="1096">
      <c r="A1096" s="512" t="s">
        <v>2038</v>
      </c>
      <c r="B1096" s="512" t="s">
        <v>1867</v>
      </c>
      <c r="C1096" s="512" t="s">
        <v>72</v>
      </c>
      <c r="D1096" s="512" t="s">
        <v>574</v>
      </c>
      <c r="E1096" s="513" t="s">
        <v>49</v>
      </c>
      <c r="F1096" s="514">
        <v>75766.0</v>
      </c>
      <c r="G1096" s="514">
        <v>24165.0</v>
      </c>
      <c r="H1096" s="514">
        <v>31.89</v>
      </c>
      <c r="I1096" s="514">
        <v>6.11</v>
      </c>
      <c r="J1096" s="514">
        <v>6.6</v>
      </c>
      <c r="K1096" s="514">
        <v>38942.0</v>
      </c>
      <c r="L1096" s="514">
        <v>637537.0</v>
      </c>
      <c r="M1096" s="514">
        <v>0.514</v>
      </c>
      <c r="N1096" s="6">
        <v>1.6115</v>
      </c>
    </row>
    <row r="1097">
      <c r="A1097" s="512" t="s">
        <v>2038</v>
      </c>
      <c r="B1097" s="512" t="s">
        <v>1867</v>
      </c>
      <c r="C1097" s="512" t="s">
        <v>72</v>
      </c>
      <c r="D1097" s="512" t="s">
        <v>574</v>
      </c>
      <c r="E1097" s="513" t="s">
        <v>42</v>
      </c>
      <c r="F1097" s="514">
        <v>75766.0</v>
      </c>
      <c r="G1097" s="514">
        <v>23225.0</v>
      </c>
      <c r="H1097" s="514">
        <v>30.65</v>
      </c>
      <c r="I1097" s="514">
        <v>5.39</v>
      </c>
      <c r="J1097" s="514">
        <v>6.24</v>
      </c>
      <c r="K1097" s="514">
        <v>34341.0</v>
      </c>
      <c r="L1097" s="514">
        <v>637537.0</v>
      </c>
      <c r="M1097" s="514">
        <v>0.4533</v>
      </c>
      <c r="N1097" s="6">
        <v>1.4786</v>
      </c>
    </row>
    <row r="1098">
      <c r="A1098" s="512" t="s">
        <v>2038</v>
      </c>
      <c r="B1098" s="512" t="s">
        <v>1867</v>
      </c>
      <c r="C1098" s="512" t="s">
        <v>72</v>
      </c>
      <c r="D1098" s="512" t="s">
        <v>574</v>
      </c>
      <c r="E1098" s="513" t="s">
        <v>372</v>
      </c>
      <c r="F1098" s="514">
        <v>75766.0</v>
      </c>
      <c r="G1098" s="514">
        <v>20911.0</v>
      </c>
      <c r="H1098" s="514">
        <v>27.6</v>
      </c>
      <c r="I1098" s="514">
        <v>3.75</v>
      </c>
      <c r="J1098" s="514">
        <v>4.66</v>
      </c>
      <c r="K1098" s="514">
        <v>23930.0</v>
      </c>
      <c r="L1098" s="514">
        <v>637537.0</v>
      </c>
      <c r="M1098" s="514">
        <v>0.3158</v>
      </c>
      <c r="N1098" s="6">
        <v>1.1444</v>
      </c>
    </row>
    <row r="1099">
      <c r="A1099" s="512" t="s">
        <v>2038</v>
      </c>
      <c r="B1099" s="512" t="s">
        <v>1867</v>
      </c>
      <c r="C1099" s="512" t="s">
        <v>72</v>
      </c>
      <c r="D1099" s="512" t="s">
        <v>574</v>
      </c>
      <c r="E1099" s="513" t="s">
        <v>310</v>
      </c>
      <c r="F1099" s="514">
        <v>75766.0</v>
      </c>
      <c r="G1099" s="514">
        <v>16687.0</v>
      </c>
      <c r="H1099" s="514">
        <v>22.02</v>
      </c>
      <c r="I1099" s="514">
        <v>3.19</v>
      </c>
      <c r="J1099" s="514">
        <v>3.46</v>
      </c>
      <c r="K1099" s="514">
        <v>20344.0</v>
      </c>
      <c r="L1099" s="514">
        <v>637537.0</v>
      </c>
      <c r="M1099" s="514">
        <v>0.2685</v>
      </c>
      <c r="N1099" s="6">
        <v>1.2192</v>
      </c>
    </row>
    <row r="1100">
      <c r="A1100" s="512" t="s">
        <v>2038</v>
      </c>
      <c r="B1100" s="512" t="s">
        <v>1867</v>
      </c>
      <c r="C1100" s="512" t="s">
        <v>72</v>
      </c>
      <c r="D1100" s="512" t="s">
        <v>574</v>
      </c>
      <c r="E1100" s="513" t="s">
        <v>50</v>
      </c>
      <c r="F1100" s="514">
        <v>75766.0</v>
      </c>
      <c r="G1100" s="514">
        <v>15151.0</v>
      </c>
      <c r="H1100" s="514">
        <v>20.0</v>
      </c>
      <c r="I1100" s="514">
        <v>3.08</v>
      </c>
      <c r="J1100" s="514">
        <v>3.0</v>
      </c>
      <c r="K1100" s="514">
        <v>19643.0</v>
      </c>
      <c r="L1100" s="514">
        <v>637537.0</v>
      </c>
      <c r="M1100" s="514">
        <v>0.2593</v>
      </c>
      <c r="N1100" s="6">
        <v>1.2965</v>
      </c>
    </row>
    <row r="1101">
      <c r="A1101" s="512" t="s">
        <v>2038</v>
      </c>
      <c r="B1101" s="512" t="s">
        <v>1867</v>
      </c>
      <c r="C1101" s="512" t="s">
        <v>72</v>
      </c>
      <c r="D1101" s="512" t="s">
        <v>574</v>
      </c>
      <c r="E1101" s="513" t="s">
        <v>32</v>
      </c>
      <c r="F1101" s="514">
        <v>75766.0</v>
      </c>
      <c r="G1101" s="514">
        <v>14870.0</v>
      </c>
      <c r="H1101" s="514">
        <v>19.63</v>
      </c>
      <c r="I1101" s="514">
        <v>2.77</v>
      </c>
      <c r="J1101" s="514">
        <v>2.9</v>
      </c>
      <c r="K1101" s="514">
        <v>17670.0</v>
      </c>
      <c r="L1101" s="514">
        <v>637537.0</v>
      </c>
      <c r="M1101" s="514">
        <v>0.2332</v>
      </c>
      <c r="N1101" s="6">
        <v>1.1883</v>
      </c>
    </row>
    <row r="1102">
      <c r="A1102" s="512" t="s">
        <v>2038</v>
      </c>
      <c r="B1102" s="512" t="s">
        <v>1867</v>
      </c>
      <c r="C1102" s="512" t="s">
        <v>72</v>
      </c>
      <c r="D1102" s="512" t="s">
        <v>574</v>
      </c>
      <c r="E1102" s="513" t="s">
        <v>312</v>
      </c>
      <c r="F1102" s="514">
        <v>75766.0</v>
      </c>
      <c r="G1102" s="514">
        <v>14143.0</v>
      </c>
      <c r="H1102" s="514">
        <v>18.67</v>
      </c>
      <c r="I1102" s="514">
        <v>2.64</v>
      </c>
      <c r="J1102" s="514">
        <v>3.15</v>
      </c>
      <c r="K1102" s="514">
        <v>16848.0</v>
      </c>
      <c r="L1102" s="514">
        <v>637537.0</v>
      </c>
      <c r="M1102" s="514">
        <v>0.2224</v>
      </c>
      <c r="N1102" s="6">
        <v>1.1913</v>
      </c>
    </row>
    <row r="1103">
      <c r="A1103" s="512" t="s">
        <v>2038</v>
      </c>
      <c r="B1103" s="512" t="s">
        <v>1867</v>
      </c>
      <c r="C1103" s="512" t="s">
        <v>72</v>
      </c>
      <c r="D1103" s="512" t="s">
        <v>574</v>
      </c>
      <c r="E1103" s="513" t="s">
        <v>44</v>
      </c>
      <c r="F1103" s="514">
        <v>75766.0</v>
      </c>
      <c r="G1103" s="514">
        <v>5464.0</v>
      </c>
      <c r="H1103" s="514">
        <v>7.21</v>
      </c>
      <c r="I1103" s="514">
        <v>1.01</v>
      </c>
      <c r="J1103" s="514">
        <v>0.71</v>
      </c>
      <c r="K1103" s="514">
        <v>6471.0</v>
      </c>
      <c r="L1103" s="514">
        <v>637537.0</v>
      </c>
      <c r="M1103" s="514">
        <v>0.0854</v>
      </c>
      <c r="N1103" s="6">
        <v>1.1843</v>
      </c>
    </row>
    <row r="1104">
      <c r="A1104" s="512" t="s">
        <v>2038</v>
      </c>
      <c r="B1104" s="512" t="s">
        <v>1867</v>
      </c>
      <c r="C1104" s="512" t="s">
        <v>72</v>
      </c>
      <c r="D1104" s="512" t="s">
        <v>574</v>
      </c>
      <c r="E1104" s="513" t="s">
        <v>311</v>
      </c>
      <c r="F1104" s="514">
        <v>75766.0</v>
      </c>
      <c r="G1104" s="514">
        <v>4657.0</v>
      </c>
      <c r="H1104" s="514">
        <v>6.15</v>
      </c>
      <c r="I1104" s="514">
        <v>0.74</v>
      </c>
      <c r="J1104" s="514">
        <v>0.93</v>
      </c>
      <c r="K1104" s="514">
        <v>4748.0</v>
      </c>
      <c r="L1104" s="514">
        <v>637537.0</v>
      </c>
      <c r="M1104" s="514">
        <v>0.0627</v>
      </c>
      <c r="N1104" s="6">
        <v>1.0195</v>
      </c>
    </row>
    <row r="1105">
      <c r="A1105" s="512" t="s">
        <v>2038</v>
      </c>
      <c r="B1105" s="512" t="s">
        <v>1867</v>
      </c>
      <c r="C1105" s="512" t="s">
        <v>72</v>
      </c>
      <c r="D1105" s="512" t="s">
        <v>574</v>
      </c>
      <c r="E1105" s="513" t="s">
        <v>43</v>
      </c>
      <c r="F1105" s="514">
        <v>75766.0</v>
      </c>
      <c r="G1105" s="514">
        <v>2163.0</v>
      </c>
      <c r="H1105" s="514">
        <v>2.85</v>
      </c>
      <c r="I1105" s="514">
        <v>0.36</v>
      </c>
      <c r="J1105" s="514">
        <v>0.4</v>
      </c>
      <c r="K1105" s="514">
        <v>2300.0</v>
      </c>
      <c r="L1105" s="514">
        <v>637537.0</v>
      </c>
      <c r="M1105" s="514">
        <v>0.0304</v>
      </c>
      <c r="N1105" s="6">
        <v>1.0633</v>
      </c>
    </row>
    <row r="1106">
      <c r="A1106" s="512" t="s">
        <v>2038</v>
      </c>
      <c r="B1106" s="512" t="s">
        <v>1867</v>
      </c>
      <c r="C1106" s="512" t="s">
        <v>72</v>
      </c>
      <c r="D1106" s="512" t="s">
        <v>574</v>
      </c>
      <c r="E1106" s="513" t="s">
        <v>134</v>
      </c>
      <c r="F1106" s="514">
        <v>75766.0</v>
      </c>
      <c r="G1106" s="514">
        <v>1364.0</v>
      </c>
      <c r="H1106" s="514">
        <v>1.8</v>
      </c>
      <c r="I1106" s="514">
        <v>0.3</v>
      </c>
      <c r="J1106" s="514">
        <v>0.18</v>
      </c>
      <c r="K1106" s="514">
        <v>1926.0</v>
      </c>
      <c r="L1106" s="514">
        <v>637537.0</v>
      </c>
      <c r="M1106" s="514">
        <v>0.0254</v>
      </c>
      <c r="N1106" s="6">
        <v>1.412</v>
      </c>
    </row>
    <row r="1107">
      <c r="A1107" s="512" t="s">
        <v>2038</v>
      </c>
      <c r="B1107" s="512" t="s">
        <v>1867</v>
      </c>
      <c r="C1107" s="512" t="s">
        <v>72</v>
      </c>
      <c r="D1107" s="512" t="s">
        <v>574</v>
      </c>
      <c r="E1107" s="513" t="s">
        <v>375</v>
      </c>
      <c r="F1107" s="514">
        <v>75766.0</v>
      </c>
      <c r="G1107" s="514">
        <v>88.0</v>
      </c>
      <c r="H1107" s="514">
        <v>0.12</v>
      </c>
      <c r="I1107" s="514">
        <v>0.01</v>
      </c>
      <c r="J1107" s="514">
        <v>0.01</v>
      </c>
      <c r="K1107" s="514">
        <v>91.0</v>
      </c>
      <c r="L1107" s="514">
        <v>637537.0</v>
      </c>
      <c r="M1107" s="514">
        <v>0.0012</v>
      </c>
      <c r="N1107" s="6">
        <v>1.0341</v>
      </c>
    </row>
    <row r="1108">
      <c r="A1108" s="512" t="s">
        <v>2038</v>
      </c>
      <c r="B1108" s="512" t="s">
        <v>1867</v>
      </c>
      <c r="C1108" s="512" t="s">
        <v>72</v>
      </c>
      <c r="D1108" s="512" t="s">
        <v>574</v>
      </c>
      <c r="E1108" s="513" t="s">
        <v>189</v>
      </c>
      <c r="F1108" s="514">
        <v>75766.0</v>
      </c>
      <c r="G1108" s="514">
        <v>12.0</v>
      </c>
      <c r="H1108" s="514">
        <v>0.02</v>
      </c>
      <c r="I1108" s="514">
        <v>0.0</v>
      </c>
      <c r="J1108" s="514">
        <v>0.0</v>
      </c>
      <c r="K1108" s="514">
        <v>13.0</v>
      </c>
      <c r="L1108" s="514">
        <v>637537.0</v>
      </c>
      <c r="M1108" s="514">
        <v>2.0E-4</v>
      </c>
      <c r="N1108" s="6">
        <v>1.0833</v>
      </c>
    </row>
    <row r="1109">
      <c r="A1109" s="512" t="s">
        <v>2038</v>
      </c>
      <c r="B1109" s="512" t="s">
        <v>1867</v>
      </c>
      <c r="C1109" s="512" t="s">
        <v>1883</v>
      </c>
      <c r="D1109" s="512" t="s">
        <v>2036</v>
      </c>
      <c r="E1109" s="513" t="s">
        <v>373</v>
      </c>
      <c r="F1109" s="514">
        <v>27157.0</v>
      </c>
      <c r="G1109" s="514">
        <v>10227.0</v>
      </c>
      <c r="H1109" s="514">
        <v>37.66</v>
      </c>
      <c r="I1109" s="514">
        <v>36.94</v>
      </c>
      <c r="J1109" s="514">
        <v>28.87</v>
      </c>
      <c r="K1109" s="514">
        <v>313605.0</v>
      </c>
      <c r="L1109" s="514">
        <v>849015.0</v>
      </c>
      <c r="M1109" s="514">
        <v>11.5479</v>
      </c>
      <c r="N1109" s="6">
        <v>30.6644</v>
      </c>
    </row>
    <row r="1110">
      <c r="A1110" s="512" t="s">
        <v>2038</v>
      </c>
      <c r="B1110" s="512" t="s">
        <v>1867</v>
      </c>
      <c r="C1110" s="512" t="s">
        <v>1883</v>
      </c>
      <c r="D1110" s="512" t="s">
        <v>2036</v>
      </c>
      <c r="E1110" s="513" t="s">
        <v>380</v>
      </c>
      <c r="F1110" s="514">
        <v>27157.0</v>
      </c>
      <c r="G1110" s="514">
        <v>13507.0</v>
      </c>
      <c r="H1110" s="514">
        <v>49.74</v>
      </c>
      <c r="I1110" s="514">
        <v>31.81</v>
      </c>
      <c r="J1110" s="514">
        <v>36.22</v>
      </c>
      <c r="K1110" s="514">
        <v>270060.0</v>
      </c>
      <c r="L1110" s="514">
        <v>849015.0</v>
      </c>
      <c r="M1110" s="514">
        <v>9.9444</v>
      </c>
      <c r="N1110" s="6">
        <v>19.9941</v>
      </c>
    </row>
    <row r="1111">
      <c r="A1111" s="512" t="s">
        <v>2038</v>
      </c>
      <c r="B1111" s="512" t="s">
        <v>1867</v>
      </c>
      <c r="C1111" s="512" t="s">
        <v>1883</v>
      </c>
      <c r="D1111" s="512" t="s">
        <v>2036</v>
      </c>
      <c r="E1111" s="513" t="s">
        <v>134</v>
      </c>
      <c r="F1111" s="514">
        <v>27157.0</v>
      </c>
      <c r="G1111" s="514">
        <v>6077.0</v>
      </c>
      <c r="H1111" s="514">
        <v>22.38</v>
      </c>
      <c r="I1111" s="514">
        <v>16.43</v>
      </c>
      <c r="J1111" s="514">
        <v>15.34</v>
      </c>
      <c r="K1111" s="514">
        <v>139535.0</v>
      </c>
      <c r="L1111" s="514">
        <v>849015.0</v>
      </c>
      <c r="M1111" s="514">
        <v>5.1381</v>
      </c>
      <c r="N1111" s="6">
        <v>22.9612</v>
      </c>
    </row>
    <row r="1112">
      <c r="A1112" s="512" t="s">
        <v>2038</v>
      </c>
      <c r="B1112" s="512" t="s">
        <v>1867</v>
      </c>
      <c r="C1112" s="512" t="s">
        <v>1883</v>
      </c>
      <c r="D1112" s="512" t="s">
        <v>2036</v>
      </c>
      <c r="E1112" s="513" t="s">
        <v>375</v>
      </c>
      <c r="F1112" s="514">
        <v>27157.0</v>
      </c>
      <c r="G1112" s="514">
        <v>6590.0</v>
      </c>
      <c r="H1112" s="514">
        <v>24.27</v>
      </c>
      <c r="I1112" s="514">
        <v>9.22</v>
      </c>
      <c r="J1112" s="514">
        <v>12.12</v>
      </c>
      <c r="K1112" s="514">
        <v>78265.0</v>
      </c>
      <c r="L1112" s="514">
        <v>849015.0</v>
      </c>
      <c r="M1112" s="514">
        <v>2.8819</v>
      </c>
      <c r="N1112" s="6">
        <v>11.8763</v>
      </c>
    </row>
    <row r="1113">
      <c r="A1113" s="512" t="s">
        <v>2038</v>
      </c>
      <c r="B1113" s="512" t="s">
        <v>1867</v>
      </c>
      <c r="C1113" s="512" t="s">
        <v>1883</v>
      </c>
      <c r="D1113" s="512" t="s">
        <v>2036</v>
      </c>
      <c r="E1113" s="513" t="s">
        <v>189</v>
      </c>
      <c r="F1113" s="514">
        <v>27157.0</v>
      </c>
      <c r="G1113" s="514">
        <v>3723.0</v>
      </c>
      <c r="H1113" s="514">
        <v>13.71</v>
      </c>
      <c r="I1113" s="514">
        <v>4.45</v>
      </c>
      <c r="J1113" s="514">
        <v>6.34</v>
      </c>
      <c r="K1113" s="514">
        <v>37790.0</v>
      </c>
      <c r="L1113" s="514">
        <v>849015.0</v>
      </c>
      <c r="M1113" s="514">
        <v>1.3915</v>
      </c>
      <c r="N1113" s="6">
        <v>10.1504</v>
      </c>
    </row>
    <row r="1114">
      <c r="A1114" s="512" t="s">
        <v>2038</v>
      </c>
      <c r="B1114" s="512" t="s">
        <v>1867</v>
      </c>
      <c r="C1114" s="512" t="s">
        <v>1883</v>
      </c>
      <c r="D1114" s="512" t="s">
        <v>2036</v>
      </c>
      <c r="E1114" s="513" t="s">
        <v>377</v>
      </c>
      <c r="F1114" s="514">
        <v>27157.0</v>
      </c>
      <c r="G1114" s="514">
        <v>260.0</v>
      </c>
      <c r="H1114" s="514">
        <v>0.96</v>
      </c>
      <c r="I1114" s="514">
        <v>0.96</v>
      </c>
      <c r="J1114" s="514">
        <v>0.94</v>
      </c>
      <c r="K1114" s="514">
        <v>8170.0</v>
      </c>
      <c r="L1114" s="514">
        <v>849015.0</v>
      </c>
      <c r="M1114" s="514">
        <v>0.3008</v>
      </c>
      <c r="N1114" s="6">
        <v>31.4231</v>
      </c>
    </row>
    <row r="1115">
      <c r="A1115" s="512" t="s">
        <v>2038</v>
      </c>
      <c r="B1115" s="512" t="s">
        <v>1867</v>
      </c>
      <c r="C1115" s="512" t="s">
        <v>1883</v>
      </c>
      <c r="D1115" s="512" t="s">
        <v>2036</v>
      </c>
      <c r="E1115" s="513" t="s">
        <v>35</v>
      </c>
      <c r="F1115" s="514">
        <v>27157.0</v>
      </c>
      <c r="G1115" s="514">
        <v>104.0</v>
      </c>
      <c r="H1115" s="514">
        <v>0.38</v>
      </c>
      <c r="I1115" s="514">
        <v>0.19</v>
      </c>
      <c r="J1115" s="514">
        <v>0.17</v>
      </c>
      <c r="K1115" s="514">
        <v>1590.0</v>
      </c>
      <c r="L1115" s="514">
        <v>849015.0</v>
      </c>
      <c r="M1115" s="514">
        <v>0.0585</v>
      </c>
      <c r="N1115" s="6">
        <v>15.2885</v>
      </c>
    </row>
    <row r="1116">
      <c r="A1116" s="512" t="s">
        <v>2038</v>
      </c>
      <c r="B1116" s="512" t="s">
        <v>1867</v>
      </c>
      <c r="C1116" s="512" t="s">
        <v>1884</v>
      </c>
      <c r="D1116" s="512" t="s">
        <v>2036</v>
      </c>
      <c r="E1116" s="513" t="s">
        <v>380</v>
      </c>
      <c r="F1116" s="514">
        <v>60899.0</v>
      </c>
      <c r="G1116" s="514">
        <v>45068.0</v>
      </c>
      <c r="H1116" s="514">
        <v>74.0</v>
      </c>
      <c r="I1116" s="514">
        <v>48.16</v>
      </c>
      <c r="J1116" s="514">
        <v>53.15</v>
      </c>
      <c r="K1116" s="514">
        <v>1215000.0</v>
      </c>
      <c r="L1116" s="514">
        <v>2522740.0</v>
      </c>
      <c r="M1116" s="514">
        <v>19.9511</v>
      </c>
      <c r="N1116" s="6">
        <v>26.9593</v>
      </c>
    </row>
    <row r="1117">
      <c r="A1117" s="512" t="s">
        <v>2038</v>
      </c>
      <c r="B1117" s="512" t="s">
        <v>1867</v>
      </c>
      <c r="C1117" s="512" t="s">
        <v>1884</v>
      </c>
      <c r="D1117" s="512" t="s">
        <v>2036</v>
      </c>
      <c r="E1117" s="513" t="s">
        <v>373</v>
      </c>
      <c r="F1117" s="514">
        <v>60899.0</v>
      </c>
      <c r="G1117" s="514">
        <v>9809.0</v>
      </c>
      <c r="H1117" s="514">
        <v>16.11</v>
      </c>
      <c r="I1117" s="514">
        <v>23.85</v>
      </c>
      <c r="J1117" s="514">
        <v>10.45</v>
      </c>
      <c r="K1117" s="514">
        <v>601605.0</v>
      </c>
      <c r="L1117" s="514">
        <v>2522740.0</v>
      </c>
      <c r="M1117" s="514">
        <v>9.8787</v>
      </c>
      <c r="N1117" s="6">
        <v>61.3319</v>
      </c>
    </row>
    <row r="1118">
      <c r="A1118" s="512" t="s">
        <v>2038</v>
      </c>
      <c r="B1118" s="512" t="s">
        <v>1867</v>
      </c>
      <c r="C1118" s="512" t="s">
        <v>1884</v>
      </c>
      <c r="D1118" s="512" t="s">
        <v>2036</v>
      </c>
      <c r="E1118" s="513" t="s">
        <v>375</v>
      </c>
      <c r="F1118" s="514">
        <v>60899.0</v>
      </c>
      <c r="G1118" s="514">
        <v>29578.0</v>
      </c>
      <c r="H1118" s="514">
        <v>48.57</v>
      </c>
      <c r="I1118" s="514">
        <v>15.54</v>
      </c>
      <c r="J1118" s="514">
        <v>19.97</v>
      </c>
      <c r="K1118" s="514">
        <v>392145.0</v>
      </c>
      <c r="L1118" s="514">
        <v>2522740.0</v>
      </c>
      <c r="M1118" s="514">
        <v>6.4393</v>
      </c>
      <c r="N1118" s="6">
        <v>13.258</v>
      </c>
    </row>
    <row r="1119">
      <c r="A1119" s="512" t="s">
        <v>2038</v>
      </c>
      <c r="B1119" s="512" t="s">
        <v>1867</v>
      </c>
      <c r="C1119" s="512" t="s">
        <v>1884</v>
      </c>
      <c r="D1119" s="512" t="s">
        <v>2036</v>
      </c>
      <c r="E1119" s="513" t="s">
        <v>189</v>
      </c>
      <c r="F1119" s="514">
        <v>60899.0</v>
      </c>
      <c r="G1119" s="514">
        <v>15061.0</v>
      </c>
      <c r="H1119" s="514">
        <v>24.73</v>
      </c>
      <c r="I1119" s="514">
        <v>6.03</v>
      </c>
      <c r="J1119" s="514">
        <v>8.56</v>
      </c>
      <c r="K1119" s="514">
        <v>152015.0</v>
      </c>
      <c r="L1119" s="514">
        <v>2522740.0</v>
      </c>
      <c r="M1119" s="514">
        <v>2.4962</v>
      </c>
      <c r="N1119" s="6">
        <v>10.0933</v>
      </c>
    </row>
    <row r="1120">
      <c r="A1120" s="512" t="s">
        <v>2038</v>
      </c>
      <c r="B1120" s="512" t="s">
        <v>1867</v>
      </c>
      <c r="C1120" s="512" t="s">
        <v>1884</v>
      </c>
      <c r="D1120" s="512" t="s">
        <v>2036</v>
      </c>
      <c r="E1120" s="513" t="s">
        <v>134</v>
      </c>
      <c r="F1120" s="514">
        <v>60899.0</v>
      </c>
      <c r="G1120" s="514">
        <v>9455.0</v>
      </c>
      <c r="H1120" s="514">
        <v>15.53</v>
      </c>
      <c r="I1120" s="514">
        <v>5.1</v>
      </c>
      <c r="J1120" s="514">
        <v>6.59</v>
      </c>
      <c r="K1120" s="514">
        <v>128555.0</v>
      </c>
      <c r="L1120" s="514">
        <v>2522740.0</v>
      </c>
      <c r="M1120" s="514">
        <v>2.111</v>
      </c>
      <c r="N1120" s="6">
        <v>13.5965</v>
      </c>
    </row>
    <row r="1121">
      <c r="A1121" s="512" t="s">
        <v>2038</v>
      </c>
      <c r="B1121" s="512" t="s">
        <v>1867</v>
      </c>
      <c r="C1121" s="512" t="s">
        <v>1884</v>
      </c>
      <c r="D1121" s="512" t="s">
        <v>2036</v>
      </c>
      <c r="E1121" s="513" t="s">
        <v>44</v>
      </c>
      <c r="F1121" s="514">
        <v>60899.0</v>
      </c>
      <c r="G1121" s="514">
        <v>1078.0</v>
      </c>
      <c r="H1121" s="514">
        <v>1.77</v>
      </c>
      <c r="I1121" s="514">
        <v>0.51</v>
      </c>
      <c r="J1121" s="514">
        <v>0.55</v>
      </c>
      <c r="K1121" s="514">
        <v>12920.0</v>
      </c>
      <c r="L1121" s="514">
        <v>2522740.0</v>
      </c>
      <c r="M1121" s="514">
        <v>0.2122</v>
      </c>
      <c r="N1121" s="6">
        <v>11.9852</v>
      </c>
    </row>
    <row r="1122">
      <c r="A1122" s="512" t="s">
        <v>2038</v>
      </c>
      <c r="B1122" s="512" t="s">
        <v>1867</v>
      </c>
      <c r="C1122" s="512" t="s">
        <v>1884</v>
      </c>
      <c r="D1122" s="512" t="s">
        <v>2036</v>
      </c>
      <c r="E1122" s="513" t="s">
        <v>35</v>
      </c>
      <c r="F1122" s="514">
        <v>60899.0</v>
      </c>
      <c r="G1122" s="514">
        <v>781.0</v>
      </c>
      <c r="H1122" s="514">
        <v>1.28</v>
      </c>
      <c r="I1122" s="514">
        <v>0.49</v>
      </c>
      <c r="J1122" s="514">
        <v>0.41</v>
      </c>
      <c r="K1122" s="514">
        <v>12345.0</v>
      </c>
      <c r="L1122" s="514">
        <v>2522740.0</v>
      </c>
      <c r="M1122" s="514">
        <v>0.2027</v>
      </c>
      <c r="N1122" s="6">
        <v>15.8067</v>
      </c>
    </row>
    <row r="1123">
      <c r="A1123" s="512" t="s">
        <v>2038</v>
      </c>
      <c r="B1123" s="512" t="s">
        <v>1867</v>
      </c>
      <c r="C1123" s="512" t="s">
        <v>1884</v>
      </c>
      <c r="D1123" s="512" t="s">
        <v>2036</v>
      </c>
      <c r="E1123" s="513" t="s">
        <v>377</v>
      </c>
      <c r="F1123" s="514">
        <v>60899.0</v>
      </c>
      <c r="G1123" s="514">
        <v>260.0</v>
      </c>
      <c r="H1123" s="514">
        <v>0.43</v>
      </c>
      <c r="I1123" s="514">
        <v>0.32</v>
      </c>
      <c r="J1123" s="514">
        <v>0.31</v>
      </c>
      <c r="K1123" s="514">
        <v>8155.0</v>
      </c>
      <c r="L1123" s="514">
        <v>2522740.0</v>
      </c>
      <c r="M1123" s="514">
        <v>0.1339</v>
      </c>
      <c r="N1123" s="6">
        <v>31.3654</v>
      </c>
    </row>
    <row r="1124">
      <c r="A1124" s="512" t="s">
        <v>2038</v>
      </c>
      <c r="B1124" s="512" t="s">
        <v>1867</v>
      </c>
      <c r="C1124" s="512" t="s">
        <v>1885</v>
      </c>
      <c r="D1124" s="512" t="s">
        <v>2036</v>
      </c>
      <c r="E1124" s="513" t="s">
        <v>380</v>
      </c>
      <c r="F1124" s="514">
        <v>67679.0</v>
      </c>
      <c r="G1124" s="514">
        <v>56217.0</v>
      </c>
      <c r="H1124" s="514">
        <v>83.06</v>
      </c>
      <c r="I1124" s="514">
        <v>49.88</v>
      </c>
      <c r="J1124" s="514">
        <v>57.32</v>
      </c>
      <c r="K1124" s="514">
        <v>1456435.0</v>
      </c>
      <c r="L1124" s="514">
        <v>2919795.0</v>
      </c>
      <c r="M1124" s="514">
        <v>21.5197</v>
      </c>
      <c r="N1124" s="6">
        <v>25.9074</v>
      </c>
    </row>
    <row r="1125">
      <c r="A1125" s="512" t="s">
        <v>2038</v>
      </c>
      <c r="B1125" s="512" t="s">
        <v>1867</v>
      </c>
      <c r="C1125" s="512" t="s">
        <v>1885</v>
      </c>
      <c r="D1125" s="512" t="s">
        <v>2036</v>
      </c>
      <c r="E1125" s="513" t="s">
        <v>373</v>
      </c>
      <c r="F1125" s="514">
        <v>67679.0</v>
      </c>
      <c r="G1125" s="514">
        <v>9067.0</v>
      </c>
      <c r="H1125" s="514">
        <v>13.4</v>
      </c>
      <c r="I1125" s="514">
        <v>19.03</v>
      </c>
      <c r="J1125" s="514">
        <v>7.53</v>
      </c>
      <c r="K1125" s="514">
        <v>555705.0</v>
      </c>
      <c r="L1125" s="514">
        <v>2919795.0</v>
      </c>
      <c r="M1125" s="514">
        <v>8.2109</v>
      </c>
      <c r="N1125" s="6">
        <v>61.2887</v>
      </c>
    </row>
    <row r="1126">
      <c r="A1126" s="512" t="s">
        <v>2038</v>
      </c>
      <c r="B1126" s="512" t="s">
        <v>1867</v>
      </c>
      <c r="C1126" s="512" t="s">
        <v>1885</v>
      </c>
      <c r="D1126" s="512" t="s">
        <v>2036</v>
      </c>
      <c r="E1126" s="513" t="s">
        <v>375</v>
      </c>
      <c r="F1126" s="514">
        <v>67679.0</v>
      </c>
      <c r="G1126" s="514">
        <v>35117.0</v>
      </c>
      <c r="H1126" s="514">
        <v>51.89</v>
      </c>
      <c r="I1126" s="514">
        <v>16.4</v>
      </c>
      <c r="J1126" s="514">
        <v>19.68</v>
      </c>
      <c r="K1126" s="514">
        <v>478920.0</v>
      </c>
      <c r="L1126" s="514">
        <v>2919795.0</v>
      </c>
      <c r="M1126" s="514">
        <v>7.0763</v>
      </c>
      <c r="N1126" s="6">
        <v>13.6378</v>
      </c>
    </row>
    <row r="1127">
      <c r="A1127" s="512" t="s">
        <v>2038</v>
      </c>
      <c r="B1127" s="512" t="s">
        <v>1867</v>
      </c>
      <c r="C1127" s="512" t="s">
        <v>1885</v>
      </c>
      <c r="D1127" s="512" t="s">
        <v>2036</v>
      </c>
      <c r="E1127" s="513" t="s">
        <v>189</v>
      </c>
      <c r="F1127" s="514">
        <v>67679.0</v>
      </c>
      <c r="G1127" s="514">
        <v>18407.0</v>
      </c>
      <c r="H1127" s="514">
        <v>27.2</v>
      </c>
      <c r="I1127" s="514">
        <v>6.44</v>
      </c>
      <c r="J1127" s="514">
        <v>8.31</v>
      </c>
      <c r="K1127" s="514">
        <v>188030.0</v>
      </c>
      <c r="L1127" s="514">
        <v>2919795.0</v>
      </c>
      <c r="M1127" s="514">
        <v>2.7783</v>
      </c>
      <c r="N1127" s="6">
        <v>10.2151</v>
      </c>
    </row>
    <row r="1128">
      <c r="A1128" s="512" t="s">
        <v>2038</v>
      </c>
      <c r="B1128" s="512" t="s">
        <v>1867</v>
      </c>
      <c r="C1128" s="512" t="s">
        <v>1885</v>
      </c>
      <c r="D1128" s="512" t="s">
        <v>2036</v>
      </c>
      <c r="E1128" s="513" t="s">
        <v>134</v>
      </c>
      <c r="F1128" s="514">
        <v>67679.0</v>
      </c>
      <c r="G1128" s="514">
        <v>5841.0</v>
      </c>
      <c r="H1128" s="514">
        <v>8.63</v>
      </c>
      <c r="I1128" s="514">
        <v>3.2</v>
      </c>
      <c r="J1128" s="514">
        <v>2.95</v>
      </c>
      <c r="K1128" s="514">
        <v>93565.0</v>
      </c>
      <c r="L1128" s="514">
        <v>2919795.0</v>
      </c>
      <c r="M1128" s="514">
        <v>1.3825</v>
      </c>
      <c r="N1128" s="6">
        <v>16.0187</v>
      </c>
    </row>
    <row r="1129">
      <c r="A1129" s="512" t="s">
        <v>2038</v>
      </c>
      <c r="B1129" s="512" t="s">
        <v>1867</v>
      </c>
      <c r="C1129" s="512" t="s">
        <v>1885</v>
      </c>
      <c r="D1129" s="512" t="s">
        <v>2036</v>
      </c>
      <c r="E1129" s="513" t="s">
        <v>35</v>
      </c>
      <c r="F1129" s="514">
        <v>67679.0</v>
      </c>
      <c r="G1129" s="514">
        <v>4502.0</v>
      </c>
      <c r="H1129" s="514">
        <v>6.65</v>
      </c>
      <c r="I1129" s="514">
        <v>2.54</v>
      </c>
      <c r="J1129" s="514">
        <v>2.01</v>
      </c>
      <c r="K1129" s="514">
        <v>74040.0</v>
      </c>
      <c r="L1129" s="514">
        <v>2919795.0</v>
      </c>
      <c r="M1129" s="514">
        <v>1.094</v>
      </c>
      <c r="N1129" s="6">
        <v>16.446</v>
      </c>
    </row>
    <row r="1130">
      <c r="A1130" s="512" t="s">
        <v>2038</v>
      </c>
      <c r="B1130" s="512" t="s">
        <v>1867</v>
      </c>
      <c r="C1130" s="512" t="s">
        <v>1885</v>
      </c>
      <c r="D1130" s="512" t="s">
        <v>2036</v>
      </c>
      <c r="E1130" s="513" t="s">
        <v>44</v>
      </c>
      <c r="F1130" s="514">
        <v>67679.0</v>
      </c>
      <c r="G1130" s="514">
        <v>5464.0</v>
      </c>
      <c r="H1130" s="514">
        <v>8.07</v>
      </c>
      <c r="I1130" s="514">
        <v>2.21</v>
      </c>
      <c r="J1130" s="514">
        <v>1.9</v>
      </c>
      <c r="K1130" s="514">
        <v>64480.0</v>
      </c>
      <c r="L1130" s="514">
        <v>2919795.0</v>
      </c>
      <c r="M1130" s="514">
        <v>0.9527</v>
      </c>
      <c r="N1130" s="6">
        <v>11.8009</v>
      </c>
    </row>
    <row r="1131">
      <c r="A1131" s="512" t="s">
        <v>2038</v>
      </c>
      <c r="B1131" s="512" t="s">
        <v>1867</v>
      </c>
      <c r="C1131" s="512" t="s">
        <v>1885</v>
      </c>
      <c r="D1131" s="512" t="s">
        <v>2036</v>
      </c>
      <c r="E1131" s="513" t="s">
        <v>377</v>
      </c>
      <c r="F1131" s="514">
        <v>67679.0</v>
      </c>
      <c r="G1131" s="514">
        <v>282.0</v>
      </c>
      <c r="H1131" s="514">
        <v>0.42</v>
      </c>
      <c r="I1131" s="514">
        <v>0.29</v>
      </c>
      <c r="J1131" s="514">
        <v>0.29</v>
      </c>
      <c r="K1131" s="514">
        <v>8535.0</v>
      </c>
      <c r="L1131" s="514">
        <v>2919795.0</v>
      </c>
      <c r="M1131" s="514">
        <v>0.1261</v>
      </c>
      <c r="N1131" s="6">
        <v>30.266</v>
      </c>
    </row>
    <row r="1132">
      <c r="A1132" s="512" t="s">
        <v>2038</v>
      </c>
      <c r="B1132" s="512" t="s">
        <v>1867</v>
      </c>
      <c r="C1132" s="512" t="s">
        <v>1885</v>
      </c>
      <c r="D1132" s="512" t="s">
        <v>2036</v>
      </c>
      <c r="E1132" s="513" t="s">
        <v>382</v>
      </c>
      <c r="F1132" s="514">
        <v>67679.0</v>
      </c>
      <c r="G1132" s="514">
        <v>1.0</v>
      </c>
      <c r="H1132" s="514">
        <v>0.0</v>
      </c>
      <c r="I1132" s="514">
        <v>0.0</v>
      </c>
      <c r="J1132" s="514">
        <v>0.0</v>
      </c>
      <c r="K1132" s="514">
        <v>10.0</v>
      </c>
      <c r="L1132" s="514">
        <v>2919795.0</v>
      </c>
      <c r="M1132" s="514">
        <v>1.0E-4</v>
      </c>
      <c r="N1132" s="6">
        <v>10.0</v>
      </c>
    </row>
    <row r="1133">
      <c r="A1133" s="512" t="s">
        <v>2038</v>
      </c>
      <c r="B1133" s="512" t="s">
        <v>1867</v>
      </c>
      <c r="C1133" s="512" t="s">
        <v>1885</v>
      </c>
      <c r="D1133" s="512" t="s">
        <v>2036</v>
      </c>
      <c r="E1133" s="513" t="s">
        <v>379</v>
      </c>
      <c r="F1133" s="514">
        <v>67679.0</v>
      </c>
      <c r="G1133" s="514">
        <v>3.0</v>
      </c>
      <c r="H1133" s="514">
        <v>0.0</v>
      </c>
      <c r="I1133" s="514">
        <v>0.0</v>
      </c>
      <c r="J1133" s="514">
        <v>0.0</v>
      </c>
      <c r="K1133" s="514">
        <v>45.0</v>
      </c>
      <c r="L1133" s="514">
        <v>2919795.0</v>
      </c>
      <c r="M1133" s="514">
        <v>7.0E-4</v>
      </c>
      <c r="N1133" s="6">
        <v>15.0</v>
      </c>
    </row>
    <row r="1134">
      <c r="A1134" s="512" t="s">
        <v>2038</v>
      </c>
      <c r="B1134" s="512" t="s">
        <v>1867</v>
      </c>
      <c r="C1134" s="512" t="s">
        <v>1885</v>
      </c>
      <c r="D1134" s="512" t="s">
        <v>2036</v>
      </c>
      <c r="E1134" s="513" t="s">
        <v>54</v>
      </c>
      <c r="F1134" s="514">
        <v>67679.0</v>
      </c>
      <c r="G1134" s="514">
        <v>1.0</v>
      </c>
      <c r="H1134" s="514">
        <v>0.0</v>
      </c>
      <c r="I1134" s="514">
        <v>0.0</v>
      </c>
      <c r="J1134" s="514">
        <v>0.0</v>
      </c>
      <c r="K1134" s="514">
        <v>15.0</v>
      </c>
      <c r="L1134" s="514">
        <v>2919795.0</v>
      </c>
      <c r="M1134" s="514">
        <v>2.0E-4</v>
      </c>
      <c r="N1134" s="6">
        <v>15.0</v>
      </c>
    </row>
    <row r="1135">
      <c r="A1135" s="512" t="s">
        <v>2038</v>
      </c>
      <c r="B1135" s="512" t="s">
        <v>1867</v>
      </c>
      <c r="C1135" s="512" t="s">
        <v>1885</v>
      </c>
      <c r="D1135" s="512" t="s">
        <v>2036</v>
      </c>
      <c r="E1135" s="513" t="s">
        <v>46</v>
      </c>
      <c r="F1135" s="514">
        <v>67679.0</v>
      </c>
      <c r="G1135" s="514">
        <v>1.0</v>
      </c>
      <c r="H1135" s="514">
        <v>0.0</v>
      </c>
      <c r="I1135" s="514">
        <v>0.0</v>
      </c>
      <c r="J1135" s="514">
        <v>0.0</v>
      </c>
      <c r="K1135" s="514">
        <v>15.0</v>
      </c>
      <c r="L1135" s="514">
        <v>2919795.0</v>
      </c>
      <c r="M1135" s="514">
        <v>2.0E-4</v>
      </c>
      <c r="N1135" s="6">
        <v>15.0</v>
      </c>
    </row>
    <row r="1136">
      <c r="A1136" s="512" t="s">
        <v>2038</v>
      </c>
      <c r="B1136" s="512" t="s">
        <v>1867</v>
      </c>
      <c r="C1136" s="512" t="s">
        <v>75</v>
      </c>
      <c r="D1136" s="512" t="s">
        <v>2036</v>
      </c>
      <c r="E1136" s="513" t="s">
        <v>379</v>
      </c>
      <c r="F1136" s="514">
        <v>87465.0</v>
      </c>
      <c r="G1136" s="514">
        <v>80997.0</v>
      </c>
      <c r="H1136" s="514">
        <v>92.61</v>
      </c>
      <c r="I1136" s="514">
        <v>22.24</v>
      </c>
      <c r="J1136" s="514">
        <v>22.82</v>
      </c>
      <c r="K1136" s="514">
        <v>1.4024035E7</v>
      </c>
      <c r="L1136" s="514">
        <v>6.3060863E7</v>
      </c>
      <c r="M1136" s="514">
        <v>160.3388</v>
      </c>
      <c r="N1136" s="6">
        <v>173.1426</v>
      </c>
    </row>
    <row r="1137">
      <c r="A1137" s="512" t="s">
        <v>2038</v>
      </c>
      <c r="B1137" s="512" t="s">
        <v>1867</v>
      </c>
      <c r="C1137" s="512" t="s">
        <v>75</v>
      </c>
      <c r="D1137" s="512" t="s">
        <v>2036</v>
      </c>
      <c r="E1137" s="513" t="s">
        <v>49</v>
      </c>
      <c r="F1137" s="514">
        <v>87465.0</v>
      </c>
      <c r="G1137" s="514">
        <v>58352.0</v>
      </c>
      <c r="H1137" s="514">
        <v>66.71</v>
      </c>
      <c r="I1137" s="514">
        <v>18.74</v>
      </c>
      <c r="J1137" s="514">
        <v>18.41</v>
      </c>
      <c r="K1137" s="514">
        <v>1.181678E7</v>
      </c>
      <c r="L1137" s="514">
        <v>6.3060863E7</v>
      </c>
      <c r="M1137" s="514">
        <v>135.103</v>
      </c>
      <c r="N1137" s="6">
        <v>202.5086</v>
      </c>
    </row>
    <row r="1138">
      <c r="A1138" s="512" t="s">
        <v>2038</v>
      </c>
      <c r="B1138" s="512" t="s">
        <v>1867</v>
      </c>
      <c r="C1138" s="512" t="s">
        <v>75</v>
      </c>
      <c r="D1138" s="512" t="s">
        <v>2036</v>
      </c>
      <c r="E1138" s="513" t="s">
        <v>380</v>
      </c>
      <c r="F1138" s="514">
        <v>87465.0</v>
      </c>
      <c r="G1138" s="514">
        <v>60462.0</v>
      </c>
      <c r="H1138" s="514">
        <v>69.13</v>
      </c>
      <c r="I1138" s="514">
        <v>16.43</v>
      </c>
      <c r="J1138" s="514">
        <v>16.47</v>
      </c>
      <c r="K1138" s="514">
        <v>1.03616E7</v>
      </c>
      <c r="L1138" s="514">
        <v>6.3060863E7</v>
      </c>
      <c r="M1138" s="514">
        <v>118.4657</v>
      </c>
      <c r="N1138" s="6">
        <v>171.3738</v>
      </c>
    </row>
    <row r="1139">
      <c r="A1139" s="512" t="s">
        <v>2038</v>
      </c>
      <c r="B1139" s="512" t="s">
        <v>1867</v>
      </c>
      <c r="C1139" s="512" t="s">
        <v>75</v>
      </c>
      <c r="D1139" s="512" t="s">
        <v>2036</v>
      </c>
      <c r="E1139" s="513" t="s">
        <v>373</v>
      </c>
      <c r="F1139" s="514">
        <v>87465.0</v>
      </c>
      <c r="G1139" s="514">
        <v>67091.0</v>
      </c>
      <c r="H1139" s="514">
        <v>76.71</v>
      </c>
      <c r="I1139" s="514">
        <v>13.82</v>
      </c>
      <c r="J1139" s="514">
        <v>12.76</v>
      </c>
      <c r="K1139" s="514">
        <v>8714880.0</v>
      </c>
      <c r="L1139" s="514">
        <v>6.3060863E7</v>
      </c>
      <c r="M1139" s="514">
        <v>99.6385</v>
      </c>
      <c r="N1139" s="6">
        <v>129.8964</v>
      </c>
    </row>
    <row r="1140">
      <c r="A1140" s="512" t="s">
        <v>2038</v>
      </c>
      <c r="B1140" s="512" t="s">
        <v>1867</v>
      </c>
      <c r="C1140" s="512" t="s">
        <v>75</v>
      </c>
      <c r="D1140" s="512" t="s">
        <v>2036</v>
      </c>
      <c r="E1140" s="513" t="s">
        <v>44</v>
      </c>
      <c r="F1140" s="514">
        <v>87465.0</v>
      </c>
      <c r="G1140" s="514">
        <v>52545.0</v>
      </c>
      <c r="H1140" s="514">
        <v>60.08</v>
      </c>
      <c r="I1140" s="514">
        <v>9.73</v>
      </c>
      <c r="J1140" s="514">
        <v>10.78</v>
      </c>
      <c r="K1140" s="514">
        <v>6133320.0</v>
      </c>
      <c r="L1140" s="514">
        <v>6.3060863E7</v>
      </c>
      <c r="M1140" s="514">
        <v>70.1231</v>
      </c>
      <c r="N1140" s="6">
        <v>116.7251</v>
      </c>
    </row>
    <row r="1141">
      <c r="A1141" s="512" t="s">
        <v>2038</v>
      </c>
      <c r="B1141" s="512" t="s">
        <v>1867</v>
      </c>
      <c r="C1141" s="512" t="s">
        <v>75</v>
      </c>
      <c r="D1141" s="512" t="s">
        <v>2036</v>
      </c>
      <c r="E1141" s="513" t="s">
        <v>374</v>
      </c>
      <c r="F1141" s="514">
        <v>87465.0</v>
      </c>
      <c r="G1141" s="514">
        <v>38539.0</v>
      </c>
      <c r="H1141" s="514">
        <v>44.06</v>
      </c>
      <c r="I1141" s="514">
        <v>4.99</v>
      </c>
      <c r="J1141" s="514">
        <v>5.43</v>
      </c>
      <c r="K1141" s="514">
        <v>3146440.0</v>
      </c>
      <c r="L1141" s="514">
        <v>6.3060863E7</v>
      </c>
      <c r="M1141" s="514">
        <v>35.9737</v>
      </c>
      <c r="N1141" s="6">
        <v>81.643</v>
      </c>
    </row>
    <row r="1142">
      <c r="A1142" s="512" t="s">
        <v>2038</v>
      </c>
      <c r="B1142" s="512" t="s">
        <v>1867</v>
      </c>
      <c r="C1142" s="512" t="s">
        <v>75</v>
      </c>
      <c r="D1142" s="512" t="s">
        <v>2036</v>
      </c>
      <c r="E1142" s="513" t="s">
        <v>372</v>
      </c>
      <c r="F1142" s="514">
        <v>87465.0</v>
      </c>
      <c r="G1142" s="514">
        <v>33424.0</v>
      </c>
      <c r="H1142" s="514">
        <v>38.21</v>
      </c>
      <c r="I1142" s="514">
        <v>3.13</v>
      </c>
      <c r="J1142" s="514">
        <v>3.28</v>
      </c>
      <c r="K1142" s="514">
        <v>1976610.0</v>
      </c>
      <c r="L1142" s="514">
        <v>6.3060863E7</v>
      </c>
      <c r="M1142" s="514">
        <v>22.5989</v>
      </c>
      <c r="N1142" s="6">
        <v>59.1374</v>
      </c>
    </row>
    <row r="1143">
      <c r="A1143" s="512" t="s">
        <v>2038</v>
      </c>
      <c r="B1143" s="512" t="s">
        <v>1867</v>
      </c>
      <c r="C1143" s="512" t="s">
        <v>75</v>
      </c>
      <c r="D1143" s="512" t="s">
        <v>2036</v>
      </c>
      <c r="E1143" s="513" t="s">
        <v>377</v>
      </c>
      <c r="F1143" s="514">
        <v>87465.0</v>
      </c>
      <c r="G1143" s="514">
        <v>15484.0</v>
      </c>
      <c r="H1143" s="514">
        <v>17.7</v>
      </c>
      <c r="I1143" s="514">
        <v>2.51</v>
      </c>
      <c r="J1143" s="514">
        <v>1.65</v>
      </c>
      <c r="K1143" s="514">
        <v>1583953.0</v>
      </c>
      <c r="L1143" s="514">
        <v>6.3060863E7</v>
      </c>
      <c r="M1143" s="514">
        <v>18.1096</v>
      </c>
      <c r="N1143" s="6">
        <v>102.2961</v>
      </c>
    </row>
    <row r="1144">
      <c r="A1144" s="512" t="s">
        <v>2038</v>
      </c>
      <c r="B1144" s="512" t="s">
        <v>1867</v>
      </c>
      <c r="C1144" s="512" t="s">
        <v>75</v>
      </c>
      <c r="D1144" s="512" t="s">
        <v>2036</v>
      </c>
      <c r="E1144" s="513" t="s">
        <v>32</v>
      </c>
      <c r="F1144" s="514">
        <v>87465.0</v>
      </c>
      <c r="G1144" s="514">
        <v>30034.0</v>
      </c>
      <c r="H1144" s="514">
        <v>34.34</v>
      </c>
      <c r="I1144" s="514">
        <v>2.22</v>
      </c>
      <c r="J1144" s="514">
        <v>2.39</v>
      </c>
      <c r="K1144" s="514">
        <v>1399890.0</v>
      </c>
      <c r="L1144" s="514">
        <v>6.3060863E7</v>
      </c>
      <c r="M1144" s="514">
        <v>16.0051</v>
      </c>
      <c r="N1144" s="6">
        <v>46.6102</v>
      </c>
    </row>
    <row r="1145">
      <c r="A1145" s="512" t="s">
        <v>2038</v>
      </c>
      <c r="B1145" s="512" t="s">
        <v>1867</v>
      </c>
      <c r="C1145" s="512" t="s">
        <v>75</v>
      </c>
      <c r="D1145" s="512" t="s">
        <v>2036</v>
      </c>
      <c r="E1145" s="513" t="s">
        <v>375</v>
      </c>
      <c r="F1145" s="514">
        <v>87465.0</v>
      </c>
      <c r="G1145" s="514">
        <v>22875.0</v>
      </c>
      <c r="H1145" s="514">
        <v>26.15</v>
      </c>
      <c r="I1145" s="514">
        <v>1.72</v>
      </c>
      <c r="J1145" s="514">
        <v>1.44</v>
      </c>
      <c r="K1145" s="514">
        <v>1083810.0</v>
      </c>
      <c r="L1145" s="514">
        <v>6.3060863E7</v>
      </c>
      <c r="M1145" s="514">
        <v>12.3914</v>
      </c>
      <c r="N1145" s="6">
        <v>47.3797</v>
      </c>
    </row>
    <row r="1146">
      <c r="A1146" s="512" t="s">
        <v>2038</v>
      </c>
      <c r="B1146" s="512" t="s">
        <v>1867</v>
      </c>
      <c r="C1146" s="512" t="s">
        <v>75</v>
      </c>
      <c r="D1146" s="512" t="s">
        <v>2036</v>
      </c>
      <c r="E1146" s="513" t="s">
        <v>43</v>
      </c>
      <c r="F1146" s="514">
        <v>87465.0</v>
      </c>
      <c r="G1146" s="514">
        <v>24994.0</v>
      </c>
      <c r="H1146" s="514">
        <v>28.58</v>
      </c>
      <c r="I1146" s="514">
        <v>1.44</v>
      </c>
      <c r="J1146" s="514">
        <v>1.85</v>
      </c>
      <c r="K1146" s="514">
        <v>906925.0</v>
      </c>
      <c r="L1146" s="514">
        <v>6.3060863E7</v>
      </c>
      <c r="M1146" s="514">
        <v>10.369</v>
      </c>
      <c r="N1146" s="6">
        <v>36.2857</v>
      </c>
    </row>
    <row r="1147">
      <c r="A1147" s="512" t="s">
        <v>2038</v>
      </c>
      <c r="B1147" s="512" t="s">
        <v>1867</v>
      </c>
      <c r="C1147" s="512" t="s">
        <v>75</v>
      </c>
      <c r="D1147" s="512" t="s">
        <v>2036</v>
      </c>
      <c r="E1147" s="513" t="s">
        <v>367</v>
      </c>
      <c r="F1147" s="514">
        <v>87465.0</v>
      </c>
      <c r="G1147" s="514">
        <v>22814.0</v>
      </c>
      <c r="H1147" s="514">
        <v>26.08</v>
      </c>
      <c r="I1147" s="514">
        <v>1.33</v>
      </c>
      <c r="J1147" s="514">
        <v>1.05</v>
      </c>
      <c r="K1147" s="514">
        <v>840080.0</v>
      </c>
      <c r="L1147" s="514">
        <v>6.3060863E7</v>
      </c>
      <c r="M1147" s="514">
        <v>9.6048</v>
      </c>
      <c r="N1147" s="6">
        <v>36.823</v>
      </c>
    </row>
    <row r="1148">
      <c r="A1148" s="512" t="s">
        <v>2038</v>
      </c>
      <c r="B1148" s="512" t="s">
        <v>1867</v>
      </c>
      <c r="C1148" s="512" t="s">
        <v>75</v>
      </c>
      <c r="D1148" s="512" t="s">
        <v>2036</v>
      </c>
      <c r="E1148" s="513" t="s">
        <v>35</v>
      </c>
      <c r="F1148" s="514">
        <v>87465.0</v>
      </c>
      <c r="G1148" s="514">
        <v>13874.0</v>
      </c>
      <c r="H1148" s="514">
        <v>15.86</v>
      </c>
      <c r="I1148" s="514">
        <v>0.96</v>
      </c>
      <c r="J1148" s="514">
        <v>0.91</v>
      </c>
      <c r="K1148" s="514">
        <v>602250.0</v>
      </c>
      <c r="L1148" s="514">
        <v>6.3060863E7</v>
      </c>
      <c r="M1148" s="514">
        <v>6.8856</v>
      </c>
      <c r="N1148" s="6">
        <v>43.4085</v>
      </c>
    </row>
    <row r="1149">
      <c r="A1149" s="512" t="s">
        <v>2038</v>
      </c>
      <c r="B1149" s="512" t="s">
        <v>1867</v>
      </c>
      <c r="C1149" s="512" t="s">
        <v>75</v>
      </c>
      <c r="D1149" s="512" t="s">
        <v>2036</v>
      </c>
      <c r="E1149" s="513" t="s">
        <v>189</v>
      </c>
      <c r="F1149" s="514">
        <v>87465.0</v>
      </c>
      <c r="G1149" s="514">
        <v>11468.0</v>
      </c>
      <c r="H1149" s="514">
        <v>13.11</v>
      </c>
      <c r="I1149" s="514">
        <v>0.61</v>
      </c>
      <c r="J1149" s="514">
        <v>0.53</v>
      </c>
      <c r="K1149" s="514">
        <v>382950.0</v>
      </c>
      <c r="L1149" s="514">
        <v>6.3060863E7</v>
      </c>
      <c r="M1149" s="514">
        <v>4.3783</v>
      </c>
      <c r="N1149" s="6">
        <v>33.3929</v>
      </c>
    </row>
    <row r="1150">
      <c r="A1150" s="512" t="s">
        <v>2038</v>
      </c>
      <c r="B1150" s="512" t="s">
        <v>1867</v>
      </c>
      <c r="C1150" s="512" t="s">
        <v>75</v>
      </c>
      <c r="D1150" s="512" t="s">
        <v>2036</v>
      </c>
      <c r="E1150" s="513" t="s">
        <v>50</v>
      </c>
      <c r="F1150" s="514">
        <v>87465.0</v>
      </c>
      <c r="G1150" s="514">
        <v>998.0</v>
      </c>
      <c r="H1150" s="514">
        <v>1.14</v>
      </c>
      <c r="I1150" s="514">
        <v>0.08</v>
      </c>
      <c r="J1150" s="514">
        <v>0.14</v>
      </c>
      <c r="K1150" s="514">
        <v>51250.0</v>
      </c>
      <c r="L1150" s="514">
        <v>6.3060863E7</v>
      </c>
      <c r="M1150" s="514">
        <v>0.5859</v>
      </c>
      <c r="N1150" s="6">
        <v>51.3527</v>
      </c>
    </row>
    <row r="1151">
      <c r="A1151" s="512" t="s">
        <v>2038</v>
      </c>
      <c r="B1151" s="512" t="s">
        <v>1867</v>
      </c>
      <c r="C1151" s="512" t="s">
        <v>75</v>
      </c>
      <c r="D1151" s="512" t="s">
        <v>2036</v>
      </c>
      <c r="E1151" s="513" t="s">
        <v>134</v>
      </c>
      <c r="F1151" s="514">
        <v>87465.0</v>
      </c>
      <c r="G1151" s="514">
        <v>1714.0</v>
      </c>
      <c r="H1151" s="514">
        <v>1.96</v>
      </c>
      <c r="I1151" s="514">
        <v>0.06</v>
      </c>
      <c r="J1151" s="514">
        <v>0.09</v>
      </c>
      <c r="K1151" s="514">
        <v>36070.0</v>
      </c>
      <c r="L1151" s="514">
        <v>6.3060863E7</v>
      </c>
      <c r="M1151" s="514">
        <v>0.4124</v>
      </c>
      <c r="N1151" s="6">
        <v>21.0443</v>
      </c>
    </row>
    <row r="1152">
      <c r="A1152" s="512" t="s">
        <v>2038</v>
      </c>
      <c r="B1152" s="512" t="s">
        <v>1867</v>
      </c>
      <c r="C1152" s="512" t="s">
        <v>75</v>
      </c>
      <c r="D1152" s="512" t="s">
        <v>2036</v>
      </c>
      <c r="E1152" s="513" t="s">
        <v>42</v>
      </c>
      <c r="F1152" s="514">
        <v>87465.0</v>
      </c>
      <c r="G1152" s="514">
        <v>1.0</v>
      </c>
      <c r="H1152" s="514">
        <v>0.0</v>
      </c>
      <c r="I1152" s="514">
        <v>0.0</v>
      </c>
      <c r="J1152" s="514">
        <v>0.0</v>
      </c>
      <c r="K1152" s="514">
        <v>20.0</v>
      </c>
      <c r="L1152" s="514">
        <v>6.3060863E7</v>
      </c>
      <c r="M1152" s="514">
        <v>2.0E-4</v>
      </c>
      <c r="N1152" s="6">
        <v>20.0</v>
      </c>
    </row>
    <row r="1153">
      <c r="A1153" s="512" t="s">
        <v>2039</v>
      </c>
      <c r="B1153" s="512" t="s">
        <v>163</v>
      </c>
      <c r="C1153" s="512" t="s">
        <v>71</v>
      </c>
      <c r="D1153" s="512" t="s">
        <v>574</v>
      </c>
      <c r="E1153" s="513" t="s">
        <v>379</v>
      </c>
      <c r="F1153" s="514">
        <v>90044.0</v>
      </c>
      <c r="G1153" s="514">
        <v>72265.0</v>
      </c>
      <c r="H1153" s="514">
        <v>80.26</v>
      </c>
      <c r="I1153" s="514">
        <v>41.01</v>
      </c>
      <c r="J1153" s="514">
        <v>38.02</v>
      </c>
      <c r="K1153" s="514">
        <v>271023.0</v>
      </c>
      <c r="L1153" s="514">
        <v>660839.0</v>
      </c>
      <c r="M1153" s="514">
        <v>3.0099</v>
      </c>
      <c r="N1153" s="6">
        <v>3.7504</v>
      </c>
    </row>
    <row r="1154">
      <c r="A1154" s="512" t="s">
        <v>2039</v>
      </c>
      <c r="B1154" s="512" t="s">
        <v>163</v>
      </c>
      <c r="C1154" s="512" t="s">
        <v>71</v>
      </c>
      <c r="D1154" s="512" t="s">
        <v>574</v>
      </c>
      <c r="E1154" s="513" t="s">
        <v>377</v>
      </c>
      <c r="F1154" s="514">
        <v>90044.0</v>
      </c>
      <c r="G1154" s="514">
        <v>59774.0</v>
      </c>
      <c r="H1154" s="514">
        <v>66.38</v>
      </c>
      <c r="I1154" s="514">
        <v>15.44</v>
      </c>
      <c r="J1154" s="514">
        <v>22.08</v>
      </c>
      <c r="K1154" s="514">
        <v>102005.0</v>
      </c>
      <c r="L1154" s="514">
        <v>660839.0</v>
      </c>
      <c r="M1154" s="514">
        <v>1.1328</v>
      </c>
      <c r="N1154" s="6">
        <v>1.7065</v>
      </c>
    </row>
    <row r="1155">
      <c r="A1155" s="512" t="s">
        <v>2039</v>
      </c>
      <c r="B1155" s="512" t="s">
        <v>163</v>
      </c>
      <c r="C1155" s="512" t="s">
        <v>71</v>
      </c>
      <c r="D1155" s="512" t="s">
        <v>574</v>
      </c>
      <c r="E1155" s="513" t="s">
        <v>49</v>
      </c>
      <c r="F1155" s="514">
        <v>90044.0</v>
      </c>
      <c r="G1155" s="514">
        <v>34784.0</v>
      </c>
      <c r="H1155" s="514">
        <v>38.63</v>
      </c>
      <c r="I1155" s="514">
        <v>10.29</v>
      </c>
      <c r="J1155" s="514">
        <v>9.04</v>
      </c>
      <c r="K1155" s="514">
        <v>68018.0</v>
      </c>
      <c r="L1155" s="514">
        <v>660839.0</v>
      </c>
      <c r="M1155" s="514">
        <v>0.7554</v>
      </c>
      <c r="N1155" s="6">
        <v>1.9554</v>
      </c>
    </row>
    <row r="1156">
      <c r="A1156" s="512" t="s">
        <v>2039</v>
      </c>
      <c r="B1156" s="512" t="s">
        <v>163</v>
      </c>
      <c r="C1156" s="512" t="s">
        <v>71</v>
      </c>
      <c r="D1156" s="512" t="s">
        <v>574</v>
      </c>
      <c r="E1156" s="513" t="s">
        <v>380</v>
      </c>
      <c r="F1156" s="514">
        <v>90044.0</v>
      </c>
      <c r="G1156" s="514">
        <v>34902.0</v>
      </c>
      <c r="H1156" s="514">
        <v>38.76</v>
      </c>
      <c r="I1156" s="514">
        <v>9.22</v>
      </c>
      <c r="J1156" s="514">
        <v>7.83</v>
      </c>
      <c r="K1156" s="514">
        <v>60958.0</v>
      </c>
      <c r="L1156" s="514">
        <v>660839.0</v>
      </c>
      <c r="M1156" s="514">
        <v>0.677</v>
      </c>
      <c r="N1156" s="6">
        <v>1.7465</v>
      </c>
    </row>
    <row r="1157">
      <c r="A1157" s="512" t="s">
        <v>2039</v>
      </c>
      <c r="B1157" s="512" t="s">
        <v>163</v>
      </c>
      <c r="C1157" s="512" t="s">
        <v>71</v>
      </c>
      <c r="D1157" s="512" t="s">
        <v>574</v>
      </c>
      <c r="E1157" s="513" t="s">
        <v>44</v>
      </c>
      <c r="F1157" s="514">
        <v>90044.0</v>
      </c>
      <c r="G1157" s="514">
        <v>35957.0</v>
      </c>
      <c r="H1157" s="514">
        <v>39.93</v>
      </c>
      <c r="I1157" s="514">
        <v>8.84</v>
      </c>
      <c r="J1157" s="514">
        <v>7.27</v>
      </c>
      <c r="K1157" s="514">
        <v>58394.0</v>
      </c>
      <c r="L1157" s="514">
        <v>660839.0</v>
      </c>
      <c r="M1157" s="514">
        <v>0.6485</v>
      </c>
      <c r="N1157" s="6">
        <v>1.624</v>
      </c>
    </row>
    <row r="1158">
      <c r="A1158" s="512" t="s">
        <v>2039</v>
      </c>
      <c r="B1158" s="512" t="s">
        <v>163</v>
      </c>
      <c r="C1158" s="512" t="s">
        <v>71</v>
      </c>
      <c r="D1158" s="512" t="s">
        <v>574</v>
      </c>
      <c r="E1158" s="513" t="s">
        <v>42</v>
      </c>
      <c r="F1158" s="514">
        <v>90044.0</v>
      </c>
      <c r="G1158" s="514">
        <v>21076.0</v>
      </c>
      <c r="H1158" s="514">
        <v>23.41</v>
      </c>
      <c r="I1158" s="514">
        <v>5.06</v>
      </c>
      <c r="J1158" s="514">
        <v>5.29</v>
      </c>
      <c r="K1158" s="514">
        <v>33460.0</v>
      </c>
      <c r="L1158" s="514">
        <v>660839.0</v>
      </c>
      <c r="M1158" s="514">
        <v>0.3716</v>
      </c>
      <c r="N1158" s="6">
        <v>1.5876</v>
      </c>
    </row>
    <row r="1159">
      <c r="A1159" s="512" t="s">
        <v>2039</v>
      </c>
      <c r="B1159" s="512" t="s">
        <v>163</v>
      </c>
      <c r="C1159" s="512" t="s">
        <v>71</v>
      </c>
      <c r="D1159" s="512" t="s">
        <v>574</v>
      </c>
      <c r="E1159" s="513" t="s">
        <v>372</v>
      </c>
      <c r="F1159" s="514">
        <v>90044.0</v>
      </c>
      <c r="G1159" s="514">
        <v>26515.0</v>
      </c>
      <c r="H1159" s="514">
        <v>29.45</v>
      </c>
      <c r="I1159" s="514">
        <v>4.48</v>
      </c>
      <c r="J1159" s="514">
        <v>5.74</v>
      </c>
      <c r="K1159" s="514">
        <v>29633.0</v>
      </c>
      <c r="L1159" s="514">
        <v>660839.0</v>
      </c>
      <c r="M1159" s="514">
        <v>0.3291</v>
      </c>
      <c r="N1159" s="6">
        <v>1.1176</v>
      </c>
    </row>
    <row r="1160">
      <c r="A1160" s="512" t="s">
        <v>2039</v>
      </c>
      <c r="B1160" s="512" t="s">
        <v>163</v>
      </c>
      <c r="C1160" s="512" t="s">
        <v>71</v>
      </c>
      <c r="D1160" s="512" t="s">
        <v>574</v>
      </c>
      <c r="E1160" s="513" t="s">
        <v>50</v>
      </c>
      <c r="F1160" s="514">
        <v>90044.0</v>
      </c>
      <c r="G1160" s="514">
        <v>15810.0</v>
      </c>
      <c r="H1160" s="514">
        <v>17.56</v>
      </c>
      <c r="I1160" s="514">
        <v>3.25</v>
      </c>
      <c r="J1160" s="514">
        <v>2.59</v>
      </c>
      <c r="K1160" s="514">
        <v>21483.0</v>
      </c>
      <c r="L1160" s="514">
        <v>660839.0</v>
      </c>
      <c r="M1160" s="514">
        <v>0.2386</v>
      </c>
      <c r="N1160" s="6">
        <v>1.3588</v>
      </c>
    </row>
    <row r="1161">
      <c r="A1161" s="512" t="s">
        <v>2039</v>
      </c>
      <c r="B1161" s="512" t="s">
        <v>163</v>
      </c>
      <c r="C1161" s="512" t="s">
        <v>71</v>
      </c>
      <c r="D1161" s="512" t="s">
        <v>574</v>
      </c>
      <c r="E1161" s="513" t="s">
        <v>134</v>
      </c>
      <c r="F1161" s="514">
        <v>90044.0</v>
      </c>
      <c r="G1161" s="514">
        <v>8893.0</v>
      </c>
      <c r="H1161" s="514">
        <v>9.88</v>
      </c>
      <c r="I1161" s="514">
        <v>1.93</v>
      </c>
      <c r="J1161" s="514">
        <v>1.68</v>
      </c>
      <c r="K1161" s="514">
        <v>12740.0</v>
      </c>
      <c r="L1161" s="514">
        <v>660839.0</v>
      </c>
      <c r="M1161" s="514">
        <v>0.1415</v>
      </c>
      <c r="N1161" s="6">
        <v>1.4326</v>
      </c>
    </row>
    <row r="1162">
      <c r="A1162" s="512" t="s">
        <v>2039</v>
      </c>
      <c r="B1162" s="512" t="s">
        <v>163</v>
      </c>
      <c r="C1162" s="512" t="s">
        <v>71</v>
      </c>
      <c r="D1162" s="512" t="s">
        <v>574</v>
      </c>
      <c r="E1162" s="513" t="s">
        <v>43</v>
      </c>
      <c r="F1162" s="514">
        <v>90044.0</v>
      </c>
      <c r="G1162" s="514">
        <v>2386.0</v>
      </c>
      <c r="H1162" s="514">
        <v>2.65</v>
      </c>
      <c r="I1162" s="514">
        <v>0.38</v>
      </c>
      <c r="J1162" s="514">
        <v>0.39</v>
      </c>
      <c r="K1162" s="514">
        <v>2496.0</v>
      </c>
      <c r="L1162" s="514">
        <v>660839.0</v>
      </c>
      <c r="M1162" s="514">
        <v>0.0277</v>
      </c>
      <c r="N1162" s="6">
        <v>1.0461</v>
      </c>
    </row>
    <row r="1163">
      <c r="A1163" s="512" t="s">
        <v>2039</v>
      </c>
      <c r="B1163" s="512" t="s">
        <v>163</v>
      </c>
      <c r="C1163" s="512" t="s">
        <v>71</v>
      </c>
      <c r="D1163" s="512" t="s">
        <v>574</v>
      </c>
      <c r="E1163" s="513" t="s">
        <v>375</v>
      </c>
      <c r="F1163" s="514">
        <v>90044.0</v>
      </c>
      <c r="G1163" s="514">
        <v>326.0</v>
      </c>
      <c r="H1163" s="514">
        <v>0.36</v>
      </c>
      <c r="I1163" s="514">
        <v>0.05</v>
      </c>
      <c r="J1163" s="514">
        <v>0.04</v>
      </c>
      <c r="K1163" s="514">
        <v>339.0</v>
      </c>
      <c r="L1163" s="514">
        <v>660839.0</v>
      </c>
      <c r="M1163" s="514">
        <v>0.0038</v>
      </c>
      <c r="N1163" s="6">
        <v>1.0399</v>
      </c>
    </row>
    <row r="1164">
      <c r="A1164" s="512" t="s">
        <v>2039</v>
      </c>
      <c r="B1164" s="512" t="s">
        <v>163</v>
      </c>
      <c r="C1164" s="512" t="s">
        <v>71</v>
      </c>
      <c r="D1164" s="512" t="s">
        <v>574</v>
      </c>
      <c r="E1164" s="513" t="s">
        <v>35</v>
      </c>
      <c r="F1164" s="514">
        <v>90044.0</v>
      </c>
      <c r="G1164" s="514">
        <v>207.0</v>
      </c>
      <c r="H1164" s="514">
        <v>0.23</v>
      </c>
      <c r="I1164" s="514">
        <v>0.03</v>
      </c>
      <c r="J1164" s="514">
        <v>0.02</v>
      </c>
      <c r="K1164" s="514">
        <v>222.0</v>
      </c>
      <c r="L1164" s="514">
        <v>660839.0</v>
      </c>
      <c r="M1164" s="514">
        <v>0.0025</v>
      </c>
      <c r="N1164" s="6">
        <v>1.0725</v>
      </c>
    </row>
    <row r="1165">
      <c r="A1165" s="512" t="s">
        <v>2039</v>
      </c>
      <c r="B1165" s="512" t="s">
        <v>163</v>
      </c>
      <c r="C1165" s="512" t="s">
        <v>71</v>
      </c>
      <c r="D1165" s="512" t="s">
        <v>574</v>
      </c>
      <c r="E1165" s="513" t="s">
        <v>374</v>
      </c>
      <c r="F1165" s="514">
        <v>90044.0</v>
      </c>
      <c r="G1165" s="514">
        <v>3.0</v>
      </c>
      <c r="H1165" s="514">
        <v>0.0</v>
      </c>
      <c r="I1165" s="514">
        <v>0.0</v>
      </c>
      <c r="J1165" s="514">
        <v>0.0</v>
      </c>
      <c r="K1165" s="514">
        <v>7.0</v>
      </c>
      <c r="L1165" s="514">
        <v>660839.0</v>
      </c>
      <c r="M1165" s="514">
        <v>1.0E-4</v>
      </c>
      <c r="N1165" s="6">
        <v>2.3333</v>
      </c>
    </row>
    <row r="1166">
      <c r="A1166" s="512" t="s">
        <v>2039</v>
      </c>
      <c r="B1166" s="512" t="s">
        <v>163</v>
      </c>
      <c r="C1166" s="512" t="s">
        <v>71</v>
      </c>
      <c r="D1166" s="512" t="s">
        <v>574</v>
      </c>
      <c r="E1166" s="513" t="s">
        <v>32</v>
      </c>
      <c r="F1166" s="514">
        <v>90044.0</v>
      </c>
      <c r="G1166" s="514">
        <v>13.0</v>
      </c>
      <c r="H1166" s="514">
        <v>0.01</v>
      </c>
      <c r="I1166" s="514">
        <v>0.0</v>
      </c>
      <c r="J1166" s="514">
        <v>0.01</v>
      </c>
      <c r="K1166" s="514">
        <v>17.0</v>
      </c>
      <c r="L1166" s="514">
        <v>660839.0</v>
      </c>
      <c r="M1166" s="514">
        <v>2.0E-4</v>
      </c>
      <c r="N1166" s="6">
        <v>1.3077</v>
      </c>
    </row>
    <row r="1167">
      <c r="A1167" s="512" t="s">
        <v>2039</v>
      </c>
      <c r="B1167" s="512" t="s">
        <v>163</v>
      </c>
      <c r="C1167" s="512" t="s">
        <v>71</v>
      </c>
      <c r="D1167" s="512" t="s">
        <v>574</v>
      </c>
      <c r="E1167" s="513" t="s">
        <v>189</v>
      </c>
      <c r="F1167" s="514">
        <v>90044.0</v>
      </c>
      <c r="G1167" s="514">
        <v>28.0</v>
      </c>
      <c r="H1167" s="514">
        <v>0.03</v>
      </c>
      <c r="I1167" s="514">
        <v>0.0</v>
      </c>
      <c r="J1167" s="514">
        <v>0.0</v>
      </c>
      <c r="K1167" s="514">
        <v>28.0</v>
      </c>
      <c r="L1167" s="514">
        <v>660839.0</v>
      </c>
      <c r="M1167" s="514">
        <v>3.0E-4</v>
      </c>
      <c r="N1167" s="6">
        <v>1.0</v>
      </c>
    </row>
    <row r="1168">
      <c r="A1168" s="512" t="s">
        <v>2039</v>
      </c>
      <c r="B1168" s="512" t="s">
        <v>163</v>
      </c>
      <c r="C1168" s="512" t="s">
        <v>71</v>
      </c>
      <c r="D1168" s="512" t="s">
        <v>574</v>
      </c>
      <c r="E1168" s="513" t="s">
        <v>382</v>
      </c>
      <c r="F1168" s="514">
        <v>90044.0</v>
      </c>
      <c r="G1168" s="514">
        <v>5.0</v>
      </c>
      <c r="H1168" s="514">
        <v>0.01</v>
      </c>
      <c r="I1168" s="514">
        <v>0.0</v>
      </c>
      <c r="J1168" s="514">
        <v>0.0</v>
      </c>
      <c r="K1168" s="514">
        <v>16.0</v>
      </c>
      <c r="L1168" s="514">
        <v>660839.0</v>
      </c>
      <c r="M1168" s="514">
        <v>2.0E-4</v>
      </c>
      <c r="N1168" s="6">
        <v>3.2</v>
      </c>
    </row>
    <row r="1169">
      <c r="A1169" s="512" t="s">
        <v>2039</v>
      </c>
      <c r="B1169" s="512" t="s">
        <v>163</v>
      </c>
      <c r="C1169" s="512" t="s">
        <v>70</v>
      </c>
      <c r="D1169" s="512" t="s">
        <v>574</v>
      </c>
      <c r="E1169" s="513" t="s">
        <v>379</v>
      </c>
      <c r="F1169" s="514">
        <v>95688.0</v>
      </c>
      <c r="G1169" s="514">
        <v>85293.0</v>
      </c>
      <c r="H1169" s="514">
        <v>89.14</v>
      </c>
      <c r="I1169" s="514">
        <v>41.72</v>
      </c>
      <c r="J1169" s="514">
        <v>39.03</v>
      </c>
      <c r="K1169" s="514">
        <v>479513.0</v>
      </c>
      <c r="L1169" s="514">
        <v>1149259.0</v>
      </c>
      <c r="M1169" s="514">
        <v>5.0112</v>
      </c>
      <c r="N1169" s="6">
        <v>5.622</v>
      </c>
    </row>
    <row r="1170">
      <c r="A1170" s="512" t="s">
        <v>2039</v>
      </c>
      <c r="B1170" s="512" t="s">
        <v>163</v>
      </c>
      <c r="C1170" s="512" t="s">
        <v>70</v>
      </c>
      <c r="D1170" s="512" t="s">
        <v>574</v>
      </c>
      <c r="E1170" s="513" t="s">
        <v>380</v>
      </c>
      <c r="F1170" s="514">
        <v>95688.0</v>
      </c>
      <c r="G1170" s="514">
        <v>61289.0</v>
      </c>
      <c r="H1170" s="514">
        <v>64.05</v>
      </c>
      <c r="I1170" s="514">
        <v>16.84</v>
      </c>
      <c r="J1170" s="514">
        <v>18.38</v>
      </c>
      <c r="K1170" s="514">
        <v>193588.0</v>
      </c>
      <c r="L1170" s="514">
        <v>1149259.0</v>
      </c>
      <c r="M1170" s="514">
        <v>2.0231</v>
      </c>
      <c r="N1170" s="6">
        <v>3.1586</v>
      </c>
    </row>
    <row r="1171">
      <c r="A1171" s="512" t="s">
        <v>2039</v>
      </c>
      <c r="B1171" s="512" t="s">
        <v>163</v>
      </c>
      <c r="C1171" s="512" t="s">
        <v>70</v>
      </c>
      <c r="D1171" s="512" t="s">
        <v>574</v>
      </c>
      <c r="E1171" s="513" t="s">
        <v>377</v>
      </c>
      <c r="F1171" s="514">
        <v>95688.0</v>
      </c>
      <c r="G1171" s="514">
        <v>60060.0</v>
      </c>
      <c r="H1171" s="514">
        <v>62.77</v>
      </c>
      <c r="I1171" s="514">
        <v>8.98</v>
      </c>
      <c r="J1171" s="514">
        <v>11.05</v>
      </c>
      <c r="K1171" s="514">
        <v>103184.0</v>
      </c>
      <c r="L1171" s="514">
        <v>1149259.0</v>
      </c>
      <c r="M1171" s="514">
        <v>1.0783</v>
      </c>
      <c r="N1171" s="6">
        <v>1.718</v>
      </c>
    </row>
    <row r="1172">
      <c r="A1172" s="512" t="s">
        <v>2039</v>
      </c>
      <c r="B1172" s="512" t="s">
        <v>163</v>
      </c>
      <c r="C1172" s="512" t="s">
        <v>70</v>
      </c>
      <c r="D1172" s="512" t="s">
        <v>574</v>
      </c>
      <c r="E1172" s="513" t="s">
        <v>44</v>
      </c>
      <c r="F1172" s="514">
        <v>95688.0</v>
      </c>
      <c r="G1172" s="514">
        <v>45078.0</v>
      </c>
      <c r="H1172" s="514">
        <v>47.11</v>
      </c>
      <c r="I1172" s="514">
        <v>6.48</v>
      </c>
      <c r="J1172" s="514">
        <v>6.09</v>
      </c>
      <c r="K1172" s="514">
        <v>74427.0</v>
      </c>
      <c r="L1172" s="514">
        <v>1149259.0</v>
      </c>
      <c r="M1172" s="514">
        <v>0.7778</v>
      </c>
      <c r="N1172" s="6">
        <v>1.6511</v>
      </c>
    </row>
    <row r="1173">
      <c r="A1173" s="512" t="s">
        <v>2039</v>
      </c>
      <c r="B1173" s="512" t="s">
        <v>163</v>
      </c>
      <c r="C1173" s="512" t="s">
        <v>70</v>
      </c>
      <c r="D1173" s="512" t="s">
        <v>574</v>
      </c>
      <c r="E1173" s="513" t="s">
        <v>49</v>
      </c>
      <c r="F1173" s="514">
        <v>95688.0</v>
      </c>
      <c r="G1173" s="514">
        <v>34784.0</v>
      </c>
      <c r="H1173" s="514">
        <v>36.35</v>
      </c>
      <c r="I1173" s="514">
        <v>5.92</v>
      </c>
      <c r="J1173" s="514">
        <v>4.94</v>
      </c>
      <c r="K1173" s="514">
        <v>68018.0</v>
      </c>
      <c r="L1173" s="514">
        <v>1149259.0</v>
      </c>
      <c r="M1173" s="514">
        <v>0.7108</v>
      </c>
      <c r="N1173" s="6">
        <v>1.9554</v>
      </c>
    </row>
    <row r="1174">
      <c r="A1174" s="512" t="s">
        <v>2039</v>
      </c>
      <c r="B1174" s="512" t="s">
        <v>163</v>
      </c>
      <c r="C1174" s="512" t="s">
        <v>70</v>
      </c>
      <c r="D1174" s="512" t="s">
        <v>574</v>
      </c>
      <c r="E1174" s="513" t="s">
        <v>374</v>
      </c>
      <c r="F1174" s="514">
        <v>95688.0</v>
      </c>
      <c r="G1174" s="514">
        <v>26393.0</v>
      </c>
      <c r="H1174" s="514">
        <v>27.58</v>
      </c>
      <c r="I1174" s="514">
        <v>5.49</v>
      </c>
      <c r="J1174" s="514">
        <v>5.59</v>
      </c>
      <c r="K1174" s="514">
        <v>63065.0</v>
      </c>
      <c r="L1174" s="514">
        <v>1149259.0</v>
      </c>
      <c r="M1174" s="514">
        <v>0.6591</v>
      </c>
      <c r="N1174" s="6">
        <v>2.3895</v>
      </c>
    </row>
    <row r="1175">
      <c r="A1175" s="512" t="s">
        <v>2039</v>
      </c>
      <c r="B1175" s="512" t="s">
        <v>163</v>
      </c>
      <c r="C1175" s="512" t="s">
        <v>70</v>
      </c>
      <c r="D1175" s="512" t="s">
        <v>574</v>
      </c>
      <c r="E1175" s="513" t="s">
        <v>375</v>
      </c>
      <c r="F1175" s="514">
        <v>95688.0</v>
      </c>
      <c r="G1175" s="514">
        <v>41196.0</v>
      </c>
      <c r="H1175" s="514">
        <v>43.05</v>
      </c>
      <c r="I1175" s="514">
        <v>4.82</v>
      </c>
      <c r="J1175" s="514">
        <v>5.48</v>
      </c>
      <c r="K1175" s="514">
        <v>55409.0</v>
      </c>
      <c r="L1175" s="514">
        <v>1149259.0</v>
      </c>
      <c r="M1175" s="514">
        <v>0.5791</v>
      </c>
      <c r="N1175" s="6">
        <v>1.345</v>
      </c>
    </row>
    <row r="1176">
      <c r="A1176" s="512" t="s">
        <v>2039</v>
      </c>
      <c r="B1176" s="512" t="s">
        <v>163</v>
      </c>
      <c r="C1176" s="512" t="s">
        <v>70</v>
      </c>
      <c r="D1176" s="512" t="s">
        <v>574</v>
      </c>
      <c r="E1176" s="513" t="s">
        <v>372</v>
      </c>
      <c r="F1176" s="514">
        <v>95688.0</v>
      </c>
      <c r="G1176" s="514">
        <v>23838.0</v>
      </c>
      <c r="H1176" s="514">
        <v>24.91</v>
      </c>
      <c r="I1176" s="514">
        <v>2.75</v>
      </c>
      <c r="J1176" s="514">
        <v>2.48</v>
      </c>
      <c r="K1176" s="514">
        <v>31612.0</v>
      </c>
      <c r="L1176" s="514">
        <v>1149259.0</v>
      </c>
      <c r="M1176" s="514">
        <v>0.3304</v>
      </c>
      <c r="N1176" s="6">
        <v>1.3261</v>
      </c>
    </row>
    <row r="1177">
      <c r="A1177" s="512" t="s">
        <v>2039</v>
      </c>
      <c r="B1177" s="512" t="s">
        <v>163</v>
      </c>
      <c r="C1177" s="512" t="s">
        <v>70</v>
      </c>
      <c r="D1177" s="512" t="s">
        <v>574</v>
      </c>
      <c r="E1177" s="513" t="s">
        <v>35</v>
      </c>
      <c r="F1177" s="514">
        <v>95688.0</v>
      </c>
      <c r="G1177" s="514">
        <v>19831.0</v>
      </c>
      <c r="H1177" s="514">
        <v>20.72</v>
      </c>
      <c r="I1177" s="514">
        <v>1.86</v>
      </c>
      <c r="J1177" s="514">
        <v>1.98</v>
      </c>
      <c r="K1177" s="514">
        <v>21320.0</v>
      </c>
      <c r="L1177" s="514">
        <v>1149259.0</v>
      </c>
      <c r="M1177" s="514">
        <v>0.2228</v>
      </c>
      <c r="N1177" s="6">
        <v>1.0751</v>
      </c>
    </row>
    <row r="1178">
      <c r="A1178" s="512" t="s">
        <v>2039</v>
      </c>
      <c r="B1178" s="512" t="s">
        <v>163</v>
      </c>
      <c r="C1178" s="512" t="s">
        <v>70</v>
      </c>
      <c r="D1178" s="512" t="s">
        <v>574</v>
      </c>
      <c r="E1178" s="513" t="s">
        <v>189</v>
      </c>
      <c r="F1178" s="514">
        <v>95688.0</v>
      </c>
      <c r="G1178" s="514">
        <v>20834.0</v>
      </c>
      <c r="H1178" s="514">
        <v>21.77</v>
      </c>
      <c r="I1178" s="514">
        <v>1.85</v>
      </c>
      <c r="J1178" s="514">
        <v>2.16</v>
      </c>
      <c r="K1178" s="514">
        <v>21291.0</v>
      </c>
      <c r="L1178" s="514">
        <v>1149259.0</v>
      </c>
      <c r="M1178" s="514">
        <v>0.2225</v>
      </c>
      <c r="N1178" s="6">
        <v>1.0219</v>
      </c>
    </row>
    <row r="1179">
      <c r="A1179" s="512" t="s">
        <v>2039</v>
      </c>
      <c r="B1179" s="512" t="s">
        <v>163</v>
      </c>
      <c r="C1179" s="512" t="s">
        <v>70</v>
      </c>
      <c r="D1179" s="512" t="s">
        <v>574</v>
      </c>
      <c r="E1179" s="513" t="s">
        <v>134</v>
      </c>
      <c r="F1179" s="514">
        <v>95688.0</v>
      </c>
      <c r="G1179" s="514">
        <v>9605.0</v>
      </c>
      <c r="H1179" s="514">
        <v>10.04</v>
      </c>
      <c r="I1179" s="514">
        <v>1.19</v>
      </c>
      <c r="J1179" s="514">
        <v>0.95</v>
      </c>
      <c r="K1179" s="514">
        <v>13715.0</v>
      </c>
      <c r="L1179" s="514">
        <v>1149259.0</v>
      </c>
      <c r="M1179" s="514">
        <v>0.1433</v>
      </c>
      <c r="N1179" s="6">
        <v>1.4279</v>
      </c>
    </row>
    <row r="1180">
      <c r="A1180" s="512" t="s">
        <v>2039</v>
      </c>
      <c r="B1180" s="512" t="s">
        <v>163</v>
      </c>
      <c r="C1180" s="512" t="s">
        <v>70</v>
      </c>
      <c r="D1180" s="512" t="s">
        <v>574</v>
      </c>
      <c r="E1180" s="513" t="s">
        <v>50</v>
      </c>
      <c r="F1180" s="514">
        <v>95688.0</v>
      </c>
      <c r="G1180" s="514">
        <v>9074.0</v>
      </c>
      <c r="H1180" s="514">
        <v>9.48</v>
      </c>
      <c r="I1180" s="514">
        <v>0.97</v>
      </c>
      <c r="J1180" s="514">
        <v>0.73</v>
      </c>
      <c r="K1180" s="514">
        <v>11179.0</v>
      </c>
      <c r="L1180" s="514">
        <v>1149259.0</v>
      </c>
      <c r="M1180" s="514">
        <v>0.1168</v>
      </c>
      <c r="N1180" s="6">
        <v>1.232</v>
      </c>
    </row>
    <row r="1181">
      <c r="A1181" s="512" t="s">
        <v>2039</v>
      </c>
      <c r="B1181" s="512" t="s">
        <v>163</v>
      </c>
      <c r="C1181" s="512" t="s">
        <v>70</v>
      </c>
      <c r="D1181" s="512" t="s">
        <v>574</v>
      </c>
      <c r="E1181" s="513" t="s">
        <v>42</v>
      </c>
      <c r="F1181" s="514">
        <v>95688.0</v>
      </c>
      <c r="G1181" s="514">
        <v>8541.0</v>
      </c>
      <c r="H1181" s="514">
        <v>8.93</v>
      </c>
      <c r="I1181" s="514">
        <v>0.93</v>
      </c>
      <c r="J1181" s="514">
        <v>0.9</v>
      </c>
      <c r="K1181" s="514">
        <v>10640.0</v>
      </c>
      <c r="L1181" s="514">
        <v>1149259.0</v>
      </c>
      <c r="M1181" s="514">
        <v>0.1112</v>
      </c>
      <c r="N1181" s="6">
        <v>1.2458</v>
      </c>
    </row>
    <row r="1182">
      <c r="A1182" s="512" t="s">
        <v>2039</v>
      </c>
      <c r="B1182" s="512" t="s">
        <v>163</v>
      </c>
      <c r="C1182" s="512" t="s">
        <v>70</v>
      </c>
      <c r="D1182" s="512" t="s">
        <v>574</v>
      </c>
      <c r="E1182" s="513" t="s">
        <v>43</v>
      </c>
      <c r="F1182" s="514">
        <v>95688.0</v>
      </c>
      <c r="G1182" s="514">
        <v>2157.0</v>
      </c>
      <c r="H1182" s="514">
        <v>2.25</v>
      </c>
      <c r="I1182" s="514">
        <v>0.2</v>
      </c>
      <c r="J1182" s="514">
        <v>0.24</v>
      </c>
      <c r="K1182" s="514">
        <v>2256.0</v>
      </c>
      <c r="L1182" s="514">
        <v>1149259.0</v>
      </c>
      <c r="M1182" s="514">
        <v>0.0236</v>
      </c>
      <c r="N1182" s="6">
        <v>1.0459</v>
      </c>
    </row>
    <row r="1183">
      <c r="A1183" s="512" t="s">
        <v>2039</v>
      </c>
      <c r="B1183" s="512" t="s">
        <v>163</v>
      </c>
      <c r="C1183" s="512" t="s">
        <v>70</v>
      </c>
      <c r="D1183" s="512" t="s">
        <v>574</v>
      </c>
      <c r="E1183" s="513" t="s">
        <v>311</v>
      </c>
      <c r="F1183" s="514">
        <v>95688.0</v>
      </c>
      <c r="G1183" s="514">
        <v>5.0</v>
      </c>
      <c r="H1183" s="514">
        <v>0.01</v>
      </c>
      <c r="I1183" s="514">
        <v>0.0</v>
      </c>
      <c r="J1183" s="514">
        <v>0.0</v>
      </c>
      <c r="K1183" s="514">
        <v>6.0</v>
      </c>
      <c r="L1183" s="514">
        <v>1149259.0</v>
      </c>
      <c r="M1183" s="514">
        <v>1.0E-4</v>
      </c>
      <c r="N1183" s="6">
        <v>1.2</v>
      </c>
    </row>
    <row r="1184">
      <c r="A1184" s="512" t="s">
        <v>2039</v>
      </c>
      <c r="B1184" s="512" t="s">
        <v>163</v>
      </c>
      <c r="C1184" s="512" t="s">
        <v>70</v>
      </c>
      <c r="D1184" s="512" t="s">
        <v>574</v>
      </c>
      <c r="E1184" s="513" t="s">
        <v>382</v>
      </c>
      <c r="F1184" s="514">
        <v>95688.0</v>
      </c>
      <c r="G1184" s="514">
        <v>5.0</v>
      </c>
      <c r="H1184" s="514">
        <v>0.01</v>
      </c>
      <c r="I1184" s="514">
        <v>0.0</v>
      </c>
      <c r="J1184" s="514">
        <v>0.0</v>
      </c>
      <c r="K1184" s="514">
        <v>16.0</v>
      </c>
      <c r="L1184" s="514">
        <v>1149259.0</v>
      </c>
      <c r="M1184" s="514">
        <v>2.0E-4</v>
      </c>
      <c r="N1184" s="6">
        <v>3.2</v>
      </c>
    </row>
    <row r="1185">
      <c r="A1185" s="512" t="s">
        <v>2039</v>
      </c>
      <c r="B1185" s="512" t="s">
        <v>163</v>
      </c>
      <c r="C1185" s="512" t="s">
        <v>70</v>
      </c>
      <c r="D1185" s="512" t="s">
        <v>574</v>
      </c>
      <c r="E1185" s="513" t="s">
        <v>32</v>
      </c>
      <c r="F1185" s="514">
        <v>95688.0</v>
      </c>
      <c r="G1185" s="514">
        <v>19.0</v>
      </c>
      <c r="H1185" s="514">
        <v>0.02</v>
      </c>
      <c r="I1185" s="514">
        <v>0.0</v>
      </c>
      <c r="J1185" s="514">
        <v>0.01</v>
      </c>
      <c r="K1185" s="514">
        <v>20.0</v>
      </c>
      <c r="L1185" s="514">
        <v>1149259.0</v>
      </c>
      <c r="M1185" s="514">
        <v>2.0E-4</v>
      </c>
      <c r="N1185" s="6">
        <v>1.0526</v>
      </c>
    </row>
    <row r="1186">
      <c r="A1186" s="512" t="s">
        <v>2039</v>
      </c>
      <c r="B1186" s="512" t="s">
        <v>163</v>
      </c>
      <c r="C1186" s="512" t="s">
        <v>74</v>
      </c>
      <c r="D1186" s="512" t="s">
        <v>574</v>
      </c>
      <c r="E1186" s="513" t="s">
        <v>379</v>
      </c>
      <c r="F1186" s="514">
        <v>83263.0</v>
      </c>
      <c r="G1186" s="514">
        <v>70947.0</v>
      </c>
      <c r="H1186" s="514">
        <v>85.21</v>
      </c>
      <c r="I1186" s="514">
        <v>42.92</v>
      </c>
      <c r="J1186" s="514">
        <v>47.42</v>
      </c>
      <c r="K1186" s="514">
        <v>205670.0</v>
      </c>
      <c r="L1186" s="514">
        <v>479228.0</v>
      </c>
      <c r="M1186" s="514">
        <v>2.4701</v>
      </c>
      <c r="N1186" s="6">
        <v>2.8989</v>
      </c>
    </row>
    <row r="1187">
      <c r="A1187" s="512" t="s">
        <v>2039</v>
      </c>
      <c r="B1187" s="512" t="s">
        <v>163</v>
      </c>
      <c r="C1187" s="512" t="s">
        <v>74</v>
      </c>
      <c r="D1187" s="512" t="s">
        <v>574</v>
      </c>
      <c r="E1187" s="513" t="s">
        <v>42</v>
      </c>
      <c r="F1187" s="514">
        <v>83263.0</v>
      </c>
      <c r="G1187" s="514">
        <v>33978.0</v>
      </c>
      <c r="H1187" s="514">
        <v>40.81</v>
      </c>
      <c r="I1187" s="514">
        <v>15.51</v>
      </c>
      <c r="J1187" s="514">
        <v>14.47</v>
      </c>
      <c r="K1187" s="514">
        <v>74315.0</v>
      </c>
      <c r="L1187" s="514">
        <v>479228.0</v>
      </c>
      <c r="M1187" s="514">
        <v>0.8925</v>
      </c>
      <c r="N1187" s="6">
        <v>2.1872</v>
      </c>
    </row>
    <row r="1188">
      <c r="A1188" s="512" t="s">
        <v>2039</v>
      </c>
      <c r="B1188" s="512" t="s">
        <v>163</v>
      </c>
      <c r="C1188" s="512" t="s">
        <v>74</v>
      </c>
      <c r="D1188" s="512" t="s">
        <v>574</v>
      </c>
      <c r="E1188" s="513" t="s">
        <v>372</v>
      </c>
      <c r="F1188" s="514">
        <v>83263.0</v>
      </c>
      <c r="G1188" s="514">
        <v>29559.0</v>
      </c>
      <c r="H1188" s="514">
        <v>35.5</v>
      </c>
      <c r="I1188" s="514">
        <v>7.54</v>
      </c>
      <c r="J1188" s="514">
        <v>8.94</v>
      </c>
      <c r="K1188" s="514">
        <v>36129.0</v>
      </c>
      <c r="L1188" s="514">
        <v>479228.0</v>
      </c>
      <c r="M1188" s="514">
        <v>0.4339</v>
      </c>
      <c r="N1188" s="6">
        <v>1.2223</v>
      </c>
    </row>
    <row r="1189">
      <c r="A1189" s="512" t="s">
        <v>2039</v>
      </c>
      <c r="B1189" s="512" t="s">
        <v>163</v>
      </c>
      <c r="C1189" s="512" t="s">
        <v>74</v>
      </c>
      <c r="D1189" s="512" t="s">
        <v>574</v>
      </c>
      <c r="E1189" s="513" t="s">
        <v>134</v>
      </c>
      <c r="F1189" s="514">
        <v>83263.0</v>
      </c>
      <c r="G1189" s="514">
        <v>21012.0</v>
      </c>
      <c r="H1189" s="514">
        <v>25.24</v>
      </c>
      <c r="I1189" s="514">
        <v>6.98</v>
      </c>
      <c r="J1189" s="514">
        <v>7.34</v>
      </c>
      <c r="K1189" s="514">
        <v>33447.0</v>
      </c>
      <c r="L1189" s="514">
        <v>479228.0</v>
      </c>
      <c r="M1189" s="514">
        <v>0.4017</v>
      </c>
      <c r="N1189" s="6">
        <v>1.5918</v>
      </c>
    </row>
    <row r="1190">
      <c r="A1190" s="512" t="s">
        <v>2039</v>
      </c>
      <c r="B1190" s="512" t="s">
        <v>163</v>
      </c>
      <c r="C1190" s="512" t="s">
        <v>74</v>
      </c>
      <c r="D1190" s="512" t="s">
        <v>574</v>
      </c>
      <c r="E1190" s="513" t="s">
        <v>50</v>
      </c>
      <c r="F1190" s="514">
        <v>83263.0</v>
      </c>
      <c r="G1190" s="514">
        <v>22012.0</v>
      </c>
      <c r="H1190" s="514">
        <v>26.44</v>
      </c>
      <c r="I1190" s="514">
        <v>6.62</v>
      </c>
      <c r="J1190" s="514">
        <v>6.49</v>
      </c>
      <c r="K1190" s="514">
        <v>31710.0</v>
      </c>
      <c r="L1190" s="514">
        <v>479228.0</v>
      </c>
      <c r="M1190" s="514">
        <v>0.3808</v>
      </c>
      <c r="N1190" s="6">
        <v>1.4406</v>
      </c>
    </row>
    <row r="1191">
      <c r="A1191" s="512" t="s">
        <v>2039</v>
      </c>
      <c r="B1191" s="512" t="s">
        <v>163</v>
      </c>
      <c r="C1191" s="512" t="s">
        <v>74</v>
      </c>
      <c r="D1191" s="512" t="s">
        <v>574</v>
      </c>
      <c r="E1191" s="513" t="s">
        <v>367</v>
      </c>
      <c r="F1191" s="514">
        <v>83263.0</v>
      </c>
      <c r="G1191" s="514">
        <v>11669.0</v>
      </c>
      <c r="H1191" s="514">
        <v>14.01</v>
      </c>
      <c r="I1191" s="514">
        <v>5.07</v>
      </c>
      <c r="J1191" s="514">
        <v>3.38</v>
      </c>
      <c r="K1191" s="514">
        <v>24317.0</v>
      </c>
      <c r="L1191" s="514">
        <v>479228.0</v>
      </c>
      <c r="M1191" s="514">
        <v>0.2921</v>
      </c>
      <c r="N1191" s="6">
        <v>2.0839</v>
      </c>
    </row>
    <row r="1192">
      <c r="A1192" s="512" t="s">
        <v>2039</v>
      </c>
      <c r="B1192" s="512" t="s">
        <v>163</v>
      </c>
      <c r="C1192" s="512" t="s">
        <v>74</v>
      </c>
      <c r="D1192" s="512" t="s">
        <v>574</v>
      </c>
      <c r="E1192" s="513" t="s">
        <v>377</v>
      </c>
      <c r="F1192" s="514">
        <v>83263.0</v>
      </c>
      <c r="G1192" s="514">
        <v>18308.0</v>
      </c>
      <c r="H1192" s="514">
        <v>21.99</v>
      </c>
      <c r="I1192" s="514">
        <v>4.88</v>
      </c>
      <c r="J1192" s="514">
        <v>4.0</v>
      </c>
      <c r="K1192" s="514">
        <v>23404.0</v>
      </c>
      <c r="L1192" s="514">
        <v>479228.0</v>
      </c>
      <c r="M1192" s="514">
        <v>0.2811</v>
      </c>
      <c r="N1192" s="6">
        <v>1.2783</v>
      </c>
    </row>
    <row r="1193">
      <c r="A1193" s="512" t="s">
        <v>2039</v>
      </c>
      <c r="B1193" s="512" t="s">
        <v>163</v>
      </c>
      <c r="C1193" s="512" t="s">
        <v>74</v>
      </c>
      <c r="D1193" s="512" t="s">
        <v>574</v>
      </c>
      <c r="E1193" s="513" t="s">
        <v>44</v>
      </c>
      <c r="F1193" s="514">
        <v>83263.0</v>
      </c>
      <c r="G1193" s="514">
        <v>11755.0</v>
      </c>
      <c r="H1193" s="514">
        <v>14.12</v>
      </c>
      <c r="I1193" s="514">
        <v>3.21</v>
      </c>
      <c r="J1193" s="514">
        <v>1.91</v>
      </c>
      <c r="K1193" s="514">
        <v>15380.0</v>
      </c>
      <c r="L1193" s="514">
        <v>479228.0</v>
      </c>
      <c r="M1193" s="514">
        <v>0.1847</v>
      </c>
      <c r="N1193" s="6">
        <v>1.3084</v>
      </c>
    </row>
    <row r="1194">
      <c r="A1194" s="512" t="s">
        <v>2039</v>
      </c>
      <c r="B1194" s="512" t="s">
        <v>163</v>
      </c>
      <c r="C1194" s="512" t="s">
        <v>74</v>
      </c>
      <c r="D1194" s="512" t="s">
        <v>574</v>
      </c>
      <c r="E1194" s="513" t="s">
        <v>373</v>
      </c>
      <c r="F1194" s="514">
        <v>83263.0</v>
      </c>
      <c r="G1194" s="514">
        <v>8724.0</v>
      </c>
      <c r="H1194" s="514">
        <v>10.48</v>
      </c>
      <c r="I1194" s="514">
        <v>1.89</v>
      </c>
      <c r="J1194" s="514">
        <v>1.28</v>
      </c>
      <c r="K1194" s="514">
        <v>9073.0</v>
      </c>
      <c r="L1194" s="514">
        <v>479228.0</v>
      </c>
      <c r="M1194" s="514">
        <v>0.109</v>
      </c>
      <c r="N1194" s="6">
        <v>1.04</v>
      </c>
    </row>
    <row r="1195">
      <c r="A1195" s="512" t="s">
        <v>2039</v>
      </c>
      <c r="B1195" s="512" t="s">
        <v>163</v>
      </c>
      <c r="C1195" s="512" t="s">
        <v>74</v>
      </c>
      <c r="D1195" s="512" t="s">
        <v>574</v>
      </c>
      <c r="E1195" s="513" t="s">
        <v>40</v>
      </c>
      <c r="F1195" s="514">
        <v>83263.0</v>
      </c>
      <c r="G1195" s="514">
        <v>4742.0</v>
      </c>
      <c r="H1195" s="514">
        <v>5.7</v>
      </c>
      <c r="I1195" s="514">
        <v>1.72</v>
      </c>
      <c r="J1195" s="514">
        <v>1.53</v>
      </c>
      <c r="K1195" s="514">
        <v>8226.0</v>
      </c>
      <c r="L1195" s="514">
        <v>479228.0</v>
      </c>
      <c r="M1195" s="514">
        <v>0.0988</v>
      </c>
      <c r="N1195" s="6">
        <v>1.7347</v>
      </c>
    </row>
    <row r="1196">
      <c r="A1196" s="512" t="s">
        <v>2039</v>
      </c>
      <c r="B1196" s="512" t="s">
        <v>163</v>
      </c>
      <c r="C1196" s="512" t="s">
        <v>74</v>
      </c>
      <c r="D1196" s="512" t="s">
        <v>574</v>
      </c>
      <c r="E1196" s="513" t="s">
        <v>310</v>
      </c>
      <c r="F1196" s="514">
        <v>83263.0</v>
      </c>
      <c r="G1196" s="514">
        <v>5160.0</v>
      </c>
      <c r="H1196" s="514">
        <v>6.2</v>
      </c>
      <c r="I1196" s="514">
        <v>1.18</v>
      </c>
      <c r="J1196" s="514">
        <v>1.06</v>
      </c>
      <c r="K1196" s="514">
        <v>5674.0</v>
      </c>
      <c r="L1196" s="514">
        <v>479228.0</v>
      </c>
      <c r="M1196" s="514">
        <v>0.0681</v>
      </c>
      <c r="N1196" s="6">
        <v>1.0996</v>
      </c>
    </row>
    <row r="1197">
      <c r="A1197" s="512" t="s">
        <v>2039</v>
      </c>
      <c r="B1197" s="512" t="s">
        <v>163</v>
      </c>
      <c r="C1197" s="512" t="s">
        <v>74</v>
      </c>
      <c r="D1197" s="512" t="s">
        <v>574</v>
      </c>
      <c r="E1197" s="513" t="s">
        <v>32</v>
      </c>
      <c r="F1197" s="514">
        <v>83263.0</v>
      </c>
      <c r="G1197" s="514">
        <v>4537.0</v>
      </c>
      <c r="H1197" s="514">
        <v>5.45</v>
      </c>
      <c r="I1197" s="514">
        <v>1.02</v>
      </c>
      <c r="J1197" s="514">
        <v>0.96</v>
      </c>
      <c r="K1197" s="514">
        <v>4909.0</v>
      </c>
      <c r="L1197" s="514">
        <v>479228.0</v>
      </c>
      <c r="M1197" s="514">
        <v>0.059</v>
      </c>
      <c r="N1197" s="6">
        <v>1.082</v>
      </c>
    </row>
    <row r="1198">
      <c r="A1198" s="512" t="s">
        <v>2039</v>
      </c>
      <c r="B1198" s="512" t="s">
        <v>163</v>
      </c>
      <c r="C1198" s="512" t="s">
        <v>74</v>
      </c>
      <c r="D1198" s="512" t="s">
        <v>574</v>
      </c>
      <c r="E1198" s="513" t="s">
        <v>312</v>
      </c>
      <c r="F1198" s="514">
        <v>83263.0</v>
      </c>
      <c r="G1198" s="514">
        <v>3843.0</v>
      </c>
      <c r="H1198" s="514">
        <v>4.62</v>
      </c>
      <c r="I1198" s="514">
        <v>0.9</v>
      </c>
      <c r="J1198" s="514">
        <v>0.74</v>
      </c>
      <c r="K1198" s="514">
        <v>4301.0</v>
      </c>
      <c r="L1198" s="514">
        <v>479228.0</v>
      </c>
      <c r="M1198" s="514">
        <v>0.0517</v>
      </c>
      <c r="N1198" s="6">
        <v>1.1192</v>
      </c>
    </row>
    <row r="1199">
      <c r="A1199" s="512" t="s">
        <v>2039</v>
      </c>
      <c r="B1199" s="512" t="s">
        <v>163</v>
      </c>
      <c r="C1199" s="512" t="s">
        <v>74</v>
      </c>
      <c r="D1199" s="512" t="s">
        <v>574</v>
      </c>
      <c r="E1199" s="513" t="s">
        <v>311</v>
      </c>
      <c r="F1199" s="514">
        <v>83263.0</v>
      </c>
      <c r="G1199" s="514">
        <v>1119.0</v>
      </c>
      <c r="H1199" s="514">
        <v>1.34</v>
      </c>
      <c r="I1199" s="514">
        <v>0.24</v>
      </c>
      <c r="J1199" s="514">
        <v>0.24</v>
      </c>
      <c r="K1199" s="514">
        <v>1135.0</v>
      </c>
      <c r="L1199" s="514">
        <v>479228.0</v>
      </c>
      <c r="M1199" s="514">
        <v>0.0136</v>
      </c>
      <c r="N1199" s="6">
        <v>1.0143</v>
      </c>
    </row>
    <row r="1200">
      <c r="A1200" s="512" t="s">
        <v>2039</v>
      </c>
      <c r="B1200" s="512" t="s">
        <v>163</v>
      </c>
      <c r="C1200" s="512" t="s">
        <v>74</v>
      </c>
      <c r="D1200" s="512" t="s">
        <v>574</v>
      </c>
      <c r="E1200" s="513" t="s">
        <v>374</v>
      </c>
      <c r="F1200" s="514">
        <v>83263.0</v>
      </c>
      <c r="G1200" s="514">
        <v>513.0</v>
      </c>
      <c r="H1200" s="514">
        <v>0.62</v>
      </c>
      <c r="I1200" s="514">
        <v>0.15</v>
      </c>
      <c r="J1200" s="514">
        <v>0.08</v>
      </c>
      <c r="K1200" s="514">
        <v>715.0</v>
      </c>
      <c r="L1200" s="514">
        <v>479228.0</v>
      </c>
      <c r="M1200" s="514">
        <v>0.0086</v>
      </c>
      <c r="N1200" s="6">
        <v>1.3938</v>
      </c>
    </row>
    <row r="1201">
      <c r="A1201" s="512" t="s">
        <v>2039</v>
      </c>
      <c r="B1201" s="512" t="s">
        <v>163</v>
      </c>
      <c r="C1201" s="512" t="s">
        <v>74</v>
      </c>
      <c r="D1201" s="512" t="s">
        <v>574</v>
      </c>
      <c r="E1201" s="513" t="s">
        <v>43</v>
      </c>
      <c r="F1201" s="514">
        <v>83263.0</v>
      </c>
      <c r="G1201" s="514">
        <v>427.0</v>
      </c>
      <c r="H1201" s="514">
        <v>0.51</v>
      </c>
      <c r="I1201" s="514">
        <v>0.09</v>
      </c>
      <c r="J1201" s="514">
        <v>0.11</v>
      </c>
      <c r="K1201" s="514">
        <v>440.0</v>
      </c>
      <c r="L1201" s="514">
        <v>479228.0</v>
      </c>
      <c r="M1201" s="514">
        <v>0.0053</v>
      </c>
      <c r="N1201" s="6">
        <v>1.0304</v>
      </c>
    </row>
    <row r="1202">
      <c r="A1202" s="512" t="s">
        <v>2039</v>
      </c>
      <c r="B1202" s="512" t="s">
        <v>163</v>
      </c>
      <c r="C1202" s="512" t="s">
        <v>74</v>
      </c>
      <c r="D1202" s="512" t="s">
        <v>574</v>
      </c>
      <c r="E1202" s="513" t="s">
        <v>375</v>
      </c>
      <c r="F1202" s="514">
        <v>83263.0</v>
      </c>
      <c r="G1202" s="514">
        <v>326.0</v>
      </c>
      <c r="H1202" s="514">
        <v>0.39</v>
      </c>
      <c r="I1202" s="514">
        <v>0.07</v>
      </c>
      <c r="J1202" s="514">
        <v>0.04</v>
      </c>
      <c r="K1202" s="514">
        <v>339.0</v>
      </c>
      <c r="L1202" s="514">
        <v>479228.0</v>
      </c>
      <c r="M1202" s="514">
        <v>0.0041</v>
      </c>
      <c r="N1202" s="6">
        <v>1.0399</v>
      </c>
    </row>
    <row r="1203">
      <c r="A1203" s="512" t="s">
        <v>2039</v>
      </c>
      <c r="B1203" s="512" t="s">
        <v>163</v>
      </c>
      <c r="C1203" s="512" t="s">
        <v>74</v>
      </c>
      <c r="D1203" s="512" t="s">
        <v>574</v>
      </c>
      <c r="E1203" s="513" t="s">
        <v>189</v>
      </c>
      <c r="F1203" s="514">
        <v>83263.0</v>
      </c>
      <c r="G1203" s="514">
        <v>28.0</v>
      </c>
      <c r="H1203" s="514">
        <v>0.03</v>
      </c>
      <c r="I1203" s="514">
        <v>0.01</v>
      </c>
      <c r="J1203" s="514">
        <v>0.0</v>
      </c>
      <c r="K1203" s="514">
        <v>28.0</v>
      </c>
      <c r="L1203" s="514">
        <v>479228.0</v>
      </c>
      <c r="M1203" s="514">
        <v>3.0E-4</v>
      </c>
      <c r="N1203" s="6">
        <v>1.0</v>
      </c>
    </row>
    <row r="1204">
      <c r="A1204" s="512" t="s">
        <v>2039</v>
      </c>
      <c r="B1204" s="512" t="s">
        <v>163</v>
      </c>
      <c r="C1204" s="512" t="s">
        <v>74</v>
      </c>
      <c r="D1204" s="512" t="s">
        <v>574</v>
      </c>
      <c r="E1204" s="513" t="s">
        <v>382</v>
      </c>
      <c r="F1204" s="514">
        <v>83263.0</v>
      </c>
      <c r="G1204" s="514">
        <v>5.0</v>
      </c>
      <c r="H1204" s="514">
        <v>0.01</v>
      </c>
      <c r="I1204" s="514">
        <v>0.0</v>
      </c>
      <c r="J1204" s="514">
        <v>0.0</v>
      </c>
      <c r="K1204" s="514">
        <v>16.0</v>
      </c>
      <c r="L1204" s="514">
        <v>479228.0</v>
      </c>
      <c r="M1204" s="514">
        <v>2.0E-4</v>
      </c>
      <c r="N1204" s="6">
        <v>3.2</v>
      </c>
    </row>
    <row r="1205">
      <c r="A1205" s="512" t="s">
        <v>2039</v>
      </c>
      <c r="B1205" s="512" t="s">
        <v>163</v>
      </c>
      <c r="C1205" s="512" t="s">
        <v>1882</v>
      </c>
      <c r="D1205" s="512" t="s">
        <v>1882</v>
      </c>
      <c r="E1205" s="513" t="s">
        <v>379</v>
      </c>
      <c r="F1205" s="514">
        <v>99321.0</v>
      </c>
      <c r="G1205" s="514">
        <v>97205.0</v>
      </c>
      <c r="H1205" s="514">
        <v>97.87</v>
      </c>
      <c r="I1205" s="514">
        <v>22.77</v>
      </c>
      <c r="J1205" s="514">
        <v>25.91</v>
      </c>
      <c r="K1205" s="514">
        <v>1.975855E7</v>
      </c>
      <c r="L1205" s="514">
        <v>8.6793506E7</v>
      </c>
      <c r="M1205" s="514">
        <v>198.9363</v>
      </c>
      <c r="N1205" s="6">
        <v>203.2668</v>
      </c>
    </row>
    <row r="1206">
      <c r="A1206" s="512" t="s">
        <v>2039</v>
      </c>
      <c r="B1206" s="512" t="s">
        <v>163</v>
      </c>
      <c r="C1206" s="512" t="s">
        <v>1882</v>
      </c>
      <c r="D1206" s="512" t="s">
        <v>1882</v>
      </c>
      <c r="E1206" s="513" t="s">
        <v>373</v>
      </c>
      <c r="F1206" s="514">
        <v>99321.0</v>
      </c>
      <c r="G1206" s="514">
        <v>81899.0</v>
      </c>
      <c r="H1206" s="514">
        <v>82.46</v>
      </c>
      <c r="I1206" s="514">
        <v>11.03</v>
      </c>
      <c r="J1206" s="514">
        <v>11.84</v>
      </c>
      <c r="K1206" s="514">
        <v>9577440.0</v>
      </c>
      <c r="L1206" s="514">
        <v>8.6793506E7</v>
      </c>
      <c r="M1206" s="514">
        <v>96.4292</v>
      </c>
      <c r="N1206" s="6">
        <v>116.9421</v>
      </c>
    </row>
    <row r="1207">
      <c r="A1207" s="512" t="s">
        <v>2039</v>
      </c>
      <c r="B1207" s="512" t="s">
        <v>163</v>
      </c>
      <c r="C1207" s="512" t="s">
        <v>1882</v>
      </c>
      <c r="D1207" s="512" t="s">
        <v>1882</v>
      </c>
      <c r="E1207" s="513" t="s">
        <v>374</v>
      </c>
      <c r="F1207" s="514">
        <v>99321.0</v>
      </c>
      <c r="G1207" s="514">
        <v>42251.0</v>
      </c>
      <c r="H1207" s="514">
        <v>42.54</v>
      </c>
      <c r="I1207" s="514">
        <v>9.94</v>
      </c>
      <c r="J1207" s="514">
        <v>9.68</v>
      </c>
      <c r="K1207" s="514">
        <v>8626465.0</v>
      </c>
      <c r="L1207" s="514">
        <v>8.6793506E7</v>
      </c>
      <c r="M1207" s="514">
        <v>86.8544</v>
      </c>
      <c r="N1207" s="6">
        <v>204.1719</v>
      </c>
    </row>
    <row r="1208">
      <c r="A1208" s="512" t="s">
        <v>2039</v>
      </c>
      <c r="B1208" s="512" t="s">
        <v>163</v>
      </c>
      <c r="C1208" s="512" t="s">
        <v>1882</v>
      </c>
      <c r="D1208" s="512" t="s">
        <v>1882</v>
      </c>
      <c r="E1208" s="513" t="s">
        <v>372</v>
      </c>
      <c r="F1208" s="514">
        <v>99321.0</v>
      </c>
      <c r="G1208" s="514">
        <v>74710.0</v>
      </c>
      <c r="H1208" s="514">
        <v>75.22</v>
      </c>
      <c r="I1208" s="514">
        <v>9.29</v>
      </c>
      <c r="J1208" s="514">
        <v>11.62</v>
      </c>
      <c r="K1208" s="514">
        <v>8066085.0</v>
      </c>
      <c r="L1208" s="514">
        <v>8.6793506E7</v>
      </c>
      <c r="M1208" s="514">
        <v>81.2123</v>
      </c>
      <c r="N1208" s="6">
        <v>107.9653</v>
      </c>
    </row>
    <row r="1209">
      <c r="A1209" s="512" t="s">
        <v>2039</v>
      </c>
      <c r="B1209" s="512" t="s">
        <v>163</v>
      </c>
      <c r="C1209" s="512" t="s">
        <v>1882</v>
      </c>
      <c r="D1209" s="512" t="s">
        <v>1882</v>
      </c>
      <c r="E1209" s="513" t="s">
        <v>50</v>
      </c>
      <c r="F1209" s="514">
        <v>99321.0</v>
      </c>
      <c r="G1209" s="514">
        <v>47195.0</v>
      </c>
      <c r="H1209" s="514">
        <v>47.52</v>
      </c>
      <c r="I1209" s="514">
        <v>6.68</v>
      </c>
      <c r="J1209" s="514">
        <v>6.06</v>
      </c>
      <c r="K1209" s="514">
        <v>5799050.0</v>
      </c>
      <c r="L1209" s="514">
        <v>8.6793506E7</v>
      </c>
      <c r="M1209" s="514">
        <v>58.3869</v>
      </c>
      <c r="N1209" s="6">
        <v>122.8742</v>
      </c>
    </row>
    <row r="1210">
      <c r="A1210" s="512" t="s">
        <v>2039</v>
      </c>
      <c r="B1210" s="512" t="s">
        <v>163</v>
      </c>
      <c r="C1210" s="512" t="s">
        <v>1882</v>
      </c>
      <c r="D1210" s="512" t="s">
        <v>1882</v>
      </c>
      <c r="E1210" s="513" t="s">
        <v>377</v>
      </c>
      <c r="F1210" s="514">
        <v>99321.0</v>
      </c>
      <c r="G1210" s="514">
        <v>38613.0</v>
      </c>
      <c r="H1210" s="514">
        <v>38.88</v>
      </c>
      <c r="I1210" s="514">
        <v>6.68</v>
      </c>
      <c r="J1210" s="514">
        <v>4.73</v>
      </c>
      <c r="K1210" s="514">
        <v>5795151.0</v>
      </c>
      <c r="L1210" s="514">
        <v>8.6793506E7</v>
      </c>
      <c r="M1210" s="514">
        <v>58.3477</v>
      </c>
      <c r="N1210" s="6">
        <v>150.0829</v>
      </c>
    </row>
    <row r="1211">
      <c r="A1211" s="512" t="s">
        <v>2039</v>
      </c>
      <c r="B1211" s="512" t="s">
        <v>163</v>
      </c>
      <c r="C1211" s="512" t="s">
        <v>1882</v>
      </c>
      <c r="D1211" s="512" t="s">
        <v>1882</v>
      </c>
      <c r="E1211" s="513" t="s">
        <v>42</v>
      </c>
      <c r="F1211" s="514">
        <v>99321.0</v>
      </c>
      <c r="G1211" s="514">
        <v>34689.0</v>
      </c>
      <c r="H1211" s="514">
        <v>34.93</v>
      </c>
      <c r="I1211" s="514">
        <v>6.04</v>
      </c>
      <c r="J1211" s="514">
        <v>5.59</v>
      </c>
      <c r="K1211" s="514">
        <v>5246355.0</v>
      </c>
      <c r="L1211" s="514">
        <v>8.6793506E7</v>
      </c>
      <c r="M1211" s="514">
        <v>52.8222</v>
      </c>
      <c r="N1211" s="6">
        <v>151.2397</v>
      </c>
    </row>
    <row r="1212">
      <c r="A1212" s="512" t="s">
        <v>2039</v>
      </c>
      <c r="B1212" s="512" t="s">
        <v>163</v>
      </c>
      <c r="C1212" s="512" t="s">
        <v>1882</v>
      </c>
      <c r="D1212" s="512" t="s">
        <v>1882</v>
      </c>
      <c r="E1212" s="513" t="s">
        <v>380</v>
      </c>
      <c r="F1212" s="514">
        <v>99321.0</v>
      </c>
      <c r="G1212" s="514">
        <v>67384.0</v>
      </c>
      <c r="H1212" s="514">
        <v>67.84</v>
      </c>
      <c r="I1212" s="514">
        <v>5.61</v>
      </c>
      <c r="J1212" s="514">
        <v>7.17</v>
      </c>
      <c r="K1212" s="514">
        <v>4869195.0</v>
      </c>
      <c r="L1212" s="514">
        <v>8.6793506E7</v>
      </c>
      <c r="M1212" s="514">
        <v>49.0248</v>
      </c>
      <c r="N1212" s="6">
        <v>72.2604</v>
      </c>
    </row>
    <row r="1213">
      <c r="A1213" s="512" t="s">
        <v>2039</v>
      </c>
      <c r="B1213" s="512" t="s">
        <v>163</v>
      </c>
      <c r="C1213" s="512" t="s">
        <v>1882</v>
      </c>
      <c r="D1213" s="512" t="s">
        <v>1882</v>
      </c>
      <c r="E1213" s="513" t="s">
        <v>40</v>
      </c>
      <c r="F1213" s="514">
        <v>99321.0</v>
      </c>
      <c r="G1213" s="514">
        <v>27672.0</v>
      </c>
      <c r="H1213" s="514">
        <v>27.86</v>
      </c>
      <c r="I1213" s="514">
        <v>3.88</v>
      </c>
      <c r="J1213" s="514">
        <v>3.21</v>
      </c>
      <c r="K1213" s="514">
        <v>3371130.0</v>
      </c>
      <c r="L1213" s="514">
        <v>8.6793506E7</v>
      </c>
      <c r="M1213" s="514">
        <v>33.9418</v>
      </c>
      <c r="N1213" s="6">
        <v>121.8246</v>
      </c>
    </row>
    <row r="1214">
      <c r="A1214" s="512" t="s">
        <v>2039</v>
      </c>
      <c r="B1214" s="512" t="s">
        <v>163</v>
      </c>
      <c r="C1214" s="512" t="s">
        <v>1882</v>
      </c>
      <c r="D1214" s="512" t="s">
        <v>1882</v>
      </c>
      <c r="E1214" s="513" t="s">
        <v>367</v>
      </c>
      <c r="F1214" s="514">
        <v>99321.0</v>
      </c>
      <c r="G1214" s="514">
        <v>27950.0</v>
      </c>
      <c r="H1214" s="514">
        <v>28.14</v>
      </c>
      <c r="I1214" s="514">
        <v>2.66</v>
      </c>
      <c r="J1214" s="514">
        <v>2.0</v>
      </c>
      <c r="K1214" s="514">
        <v>2306305.0</v>
      </c>
      <c r="L1214" s="514">
        <v>8.6793506E7</v>
      </c>
      <c r="M1214" s="514">
        <v>23.2207</v>
      </c>
      <c r="N1214" s="6">
        <v>82.5154</v>
      </c>
    </row>
    <row r="1215">
      <c r="A1215" s="512" t="s">
        <v>2039</v>
      </c>
      <c r="B1215" s="512" t="s">
        <v>163</v>
      </c>
      <c r="C1215" s="512" t="s">
        <v>1882</v>
      </c>
      <c r="D1215" s="512" t="s">
        <v>1882</v>
      </c>
      <c r="E1215" s="513" t="s">
        <v>310</v>
      </c>
      <c r="F1215" s="514">
        <v>99321.0</v>
      </c>
      <c r="G1215" s="514">
        <v>16760.0</v>
      </c>
      <c r="H1215" s="514">
        <v>16.87</v>
      </c>
      <c r="I1215" s="514">
        <v>2.62</v>
      </c>
      <c r="J1215" s="514">
        <v>1.93</v>
      </c>
      <c r="K1215" s="514">
        <v>2273475.0</v>
      </c>
      <c r="L1215" s="514">
        <v>8.6793506E7</v>
      </c>
      <c r="M1215" s="514">
        <v>22.8902</v>
      </c>
      <c r="N1215" s="6">
        <v>135.6489</v>
      </c>
    </row>
    <row r="1216">
      <c r="A1216" s="512" t="s">
        <v>2039</v>
      </c>
      <c r="B1216" s="512" t="s">
        <v>163</v>
      </c>
      <c r="C1216" s="512" t="s">
        <v>1882</v>
      </c>
      <c r="D1216" s="512" t="s">
        <v>1882</v>
      </c>
      <c r="E1216" s="513" t="s">
        <v>134</v>
      </c>
      <c r="F1216" s="514">
        <v>99321.0</v>
      </c>
      <c r="G1216" s="514">
        <v>23824.0</v>
      </c>
      <c r="H1216" s="514">
        <v>23.99</v>
      </c>
      <c r="I1216" s="514">
        <v>2.46</v>
      </c>
      <c r="J1216" s="514">
        <v>2.1</v>
      </c>
      <c r="K1216" s="514">
        <v>2136600.0</v>
      </c>
      <c r="L1216" s="514">
        <v>8.6793506E7</v>
      </c>
      <c r="M1216" s="514">
        <v>21.5121</v>
      </c>
      <c r="N1216" s="6">
        <v>89.6827</v>
      </c>
    </row>
    <row r="1217">
      <c r="A1217" s="512" t="s">
        <v>2039</v>
      </c>
      <c r="B1217" s="512" t="s">
        <v>163</v>
      </c>
      <c r="C1217" s="512" t="s">
        <v>1882</v>
      </c>
      <c r="D1217" s="512" t="s">
        <v>1882</v>
      </c>
      <c r="E1217" s="513" t="s">
        <v>32</v>
      </c>
      <c r="F1217" s="514">
        <v>99321.0</v>
      </c>
      <c r="G1217" s="514">
        <v>14825.0</v>
      </c>
      <c r="H1217" s="514">
        <v>14.93</v>
      </c>
      <c r="I1217" s="514">
        <v>2.27</v>
      </c>
      <c r="J1217" s="514">
        <v>1.73</v>
      </c>
      <c r="K1217" s="514">
        <v>1970815.0</v>
      </c>
      <c r="L1217" s="514">
        <v>8.6793506E7</v>
      </c>
      <c r="M1217" s="514">
        <v>19.8429</v>
      </c>
      <c r="N1217" s="6">
        <v>132.9386</v>
      </c>
    </row>
    <row r="1218">
      <c r="A1218" s="512" t="s">
        <v>2039</v>
      </c>
      <c r="B1218" s="512" t="s">
        <v>163</v>
      </c>
      <c r="C1218" s="512" t="s">
        <v>1882</v>
      </c>
      <c r="D1218" s="512" t="s">
        <v>1882</v>
      </c>
      <c r="E1218" s="513" t="s">
        <v>44</v>
      </c>
      <c r="F1218" s="514">
        <v>99321.0</v>
      </c>
      <c r="G1218" s="514">
        <v>47703.0</v>
      </c>
      <c r="H1218" s="514">
        <v>48.03</v>
      </c>
      <c r="I1218" s="514">
        <v>2.21</v>
      </c>
      <c r="J1218" s="514">
        <v>1.83</v>
      </c>
      <c r="K1218" s="514">
        <v>1919495.0</v>
      </c>
      <c r="L1218" s="514">
        <v>8.6793506E7</v>
      </c>
      <c r="M1218" s="514">
        <v>19.3262</v>
      </c>
      <c r="N1218" s="6">
        <v>40.2385</v>
      </c>
    </row>
    <row r="1219">
      <c r="A1219" s="512" t="s">
        <v>2039</v>
      </c>
      <c r="B1219" s="512" t="s">
        <v>163</v>
      </c>
      <c r="C1219" s="512" t="s">
        <v>1882</v>
      </c>
      <c r="D1219" s="512" t="s">
        <v>1882</v>
      </c>
      <c r="E1219" s="513" t="s">
        <v>312</v>
      </c>
      <c r="F1219" s="514">
        <v>99321.0</v>
      </c>
      <c r="G1219" s="514">
        <v>13123.0</v>
      </c>
      <c r="H1219" s="514">
        <v>13.21</v>
      </c>
      <c r="I1219" s="514">
        <v>2.03</v>
      </c>
      <c r="J1219" s="514">
        <v>1.49</v>
      </c>
      <c r="K1219" s="514">
        <v>1758100.0</v>
      </c>
      <c r="L1219" s="514">
        <v>8.6793506E7</v>
      </c>
      <c r="M1219" s="514">
        <v>17.7012</v>
      </c>
      <c r="N1219" s="6">
        <v>133.9709</v>
      </c>
    </row>
    <row r="1220">
      <c r="A1220" s="512" t="s">
        <v>2039</v>
      </c>
      <c r="B1220" s="512" t="s">
        <v>163</v>
      </c>
      <c r="C1220" s="512" t="s">
        <v>1882</v>
      </c>
      <c r="D1220" s="512" t="s">
        <v>1882</v>
      </c>
      <c r="E1220" s="513" t="s">
        <v>375</v>
      </c>
      <c r="F1220" s="514">
        <v>99321.0</v>
      </c>
      <c r="G1220" s="514">
        <v>28765.0</v>
      </c>
      <c r="H1220" s="514">
        <v>28.96</v>
      </c>
      <c r="I1220" s="514">
        <v>1.32</v>
      </c>
      <c r="J1220" s="514">
        <v>1.08</v>
      </c>
      <c r="K1220" s="514">
        <v>1148570.0</v>
      </c>
      <c r="L1220" s="514">
        <v>8.6793506E7</v>
      </c>
      <c r="M1220" s="514">
        <v>11.5642</v>
      </c>
      <c r="N1220" s="6">
        <v>39.9294</v>
      </c>
    </row>
    <row r="1221">
      <c r="A1221" s="512" t="s">
        <v>2039</v>
      </c>
      <c r="B1221" s="512" t="s">
        <v>163</v>
      </c>
      <c r="C1221" s="512" t="s">
        <v>1882</v>
      </c>
      <c r="D1221" s="512" t="s">
        <v>1882</v>
      </c>
      <c r="E1221" s="513" t="s">
        <v>43</v>
      </c>
      <c r="F1221" s="514">
        <v>99321.0</v>
      </c>
      <c r="G1221" s="514">
        <v>3964.0</v>
      </c>
      <c r="H1221" s="514">
        <v>3.99</v>
      </c>
      <c r="I1221" s="514">
        <v>0.77</v>
      </c>
      <c r="J1221" s="514">
        <v>0.6</v>
      </c>
      <c r="K1221" s="514">
        <v>668600.0</v>
      </c>
      <c r="L1221" s="514">
        <v>8.6793506E7</v>
      </c>
      <c r="M1221" s="514">
        <v>6.7317</v>
      </c>
      <c r="N1221" s="6">
        <v>168.668</v>
      </c>
    </row>
    <row r="1222">
      <c r="A1222" s="512" t="s">
        <v>2039</v>
      </c>
      <c r="B1222" s="512" t="s">
        <v>163</v>
      </c>
      <c r="C1222" s="512" t="s">
        <v>1882</v>
      </c>
      <c r="D1222" s="512" t="s">
        <v>1882</v>
      </c>
      <c r="E1222" s="513" t="s">
        <v>35</v>
      </c>
      <c r="F1222" s="514">
        <v>99321.0</v>
      </c>
      <c r="G1222" s="514">
        <v>17467.0</v>
      </c>
      <c r="H1222" s="514">
        <v>17.59</v>
      </c>
      <c r="I1222" s="514">
        <v>0.67</v>
      </c>
      <c r="J1222" s="514">
        <v>0.56</v>
      </c>
      <c r="K1222" s="514">
        <v>581475.0</v>
      </c>
      <c r="L1222" s="514">
        <v>8.6793506E7</v>
      </c>
      <c r="M1222" s="514">
        <v>5.8545</v>
      </c>
      <c r="N1222" s="6">
        <v>33.2899</v>
      </c>
    </row>
    <row r="1223">
      <c r="A1223" s="512" t="s">
        <v>2039</v>
      </c>
      <c r="B1223" s="512" t="s">
        <v>163</v>
      </c>
      <c r="C1223" s="512" t="s">
        <v>1882</v>
      </c>
      <c r="D1223" s="512" t="s">
        <v>1882</v>
      </c>
      <c r="E1223" s="513" t="s">
        <v>311</v>
      </c>
      <c r="F1223" s="514">
        <v>99321.0</v>
      </c>
      <c r="G1223" s="514">
        <v>4327.0</v>
      </c>
      <c r="H1223" s="514">
        <v>4.36</v>
      </c>
      <c r="I1223" s="514">
        <v>0.54</v>
      </c>
      <c r="J1223" s="514">
        <v>0.44</v>
      </c>
      <c r="K1223" s="514">
        <v>472675.0</v>
      </c>
      <c r="L1223" s="514">
        <v>8.6793506E7</v>
      </c>
      <c r="M1223" s="514">
        <v>4.7591</v>
      </c>
      <c r="N1223" s="6">
        <v>109.2385</v>
      </c>
    </row>
    <row r="1224">
      <c r="A1224" s="512" t="s">
        <v>2039</v>
      </c>
      <c r="B1224" s="512" t="s">
        <v>163</v>
      </c>
      <c r="C1224" s="512" t="s">
        <v>1882</v>
      </c>
      <c r="D1224" s="512" t="s">
        <v>1882</v>
      </c>
      <c r="E1224" s="513" t="s">
        <v>189</v>
      </c>
      <c r="F1224" s="514">
        <v>99321.0</v>
      </c>
      <c r="G1224" s="514">
        <v>15620.0</v>
      </c>
      <c r="H1224" s="514">
        <v>15.73</v>
      </c>
      <c r="I1224" s="514">
        <v>0.52</v>
      </c>
      <c r="J1224" s="514">
        <v>0.42</v>
      </c>
      <c r="K1224" s="514">
        <v>447975.0</v>
      </c>
      <c r="L1224" s="514">
        <v>8.6793506E7</v>
      </c>
      <c r="M1224" s="514">
        <v>4.5104</v>
      </c>
      <c r="N1224" s="6">
        <v>28.6796</v>
      </c>
    </row>
    <row r="1225">
      <c r="A1225" s="512" t="s">
        <v>2039</v>
      </c>
      <c r="B1225" s="512" t="s">
        <v>163</v>
      </c>
      <c r="C1225" s="512" t="s">
        <v>69</v>
      </c>
      <c r="D1225" s="512" t="s">
        <v>574</v>
      </c>
      <c r="E1225" s="513" t="s">
        <v>379</v>
      </c>
      <c r="F1225" s="514">
        <v>95509.0</v>
      </c>
      <c r="G1225" s="514">
        <v>82692.0</v>
      </c>
      <c r="H1225" s="514">
        <v>86.58</v>
      </c>
      <c r="I1225" s="514">
        <v>42.54</v>
      </c>
      <c r="J1225" s="514">
        <v>39.77</v>
      </c>
      <c r="K1225" s="514">
        <v>480161.0</v>
      </c>
      <c r="L1225" s="514">
        <v>1128738.0</v>
      </c>
      <c r="M1225" s="514">
        <v>5.0274</v>
      </c>
      <c r="N1225" s="6">
        <v>5.8066</v>
      </c>
    </row>
    <row r="1226">
      <c r="A1226" s="512" t="s">
        <v>2039</v>
      </c>
      <c r="B1226" s="512" t="s">
        <v>163</v>
      </c>
      <c r="C1226" s="512" t="s">
        <v>69</v>
      </c>
      <c r="D1226" s="512" t="s">
        <v>574</v>
      </c>
      <c r="E1226" s="513" t="s">
        <v>380</v>
      </c>
      <c r="F1226" s="514">
        <v>95509.0</v>
      </c>
      <c r="G1226" s="514">
        <v>53715.0</v>
      </c>
      <c r="H1226" s="514">
        <v>56.24</v>
      </c>
      <c r="I1226" s="514">
        <v>13.9</v>
      </c>
      <c r="J1226" s="514">
        <v>14.93</v>
      </c>
      <c r="K1226" s="514">
        <v>156908.0</v>
      </c>
      <c r="L1226" s="514">
        <v>1128738.0</v>
      </c>
      <c r="M1226" s="514">
        <v>1.6429</v>
      </c>
      <c r="N1226" s="6">
        <v>2.9211</v>
      </c>
    </row>
    <row r="1227">
      <c r="A1227" s="512" t="s">
        <v>2039</v>
      </c>
      <c r="B1227" s="512" t="s">
        <v>163</v>
      </c>
      <c r="C1227" s="512" t="s">
        <v>69</v>
      </c>
      <c r="D1227" s="512" t="s">
        <v>574</v>
      </c>
      <c r="E1227" s="513" t="s">
        <v>374</v>
      </c>
      <c r="F1227" s="514">
        <v>95509.0</v>
      </c>
      <c r="G1227" s="514">
        <v>36944.0</v>
      </c>
      <c r="H1227" s="514">
        <v>38.68</v>
      </c>
      <c r="I1227" s="514">
        <v>10.04</v>
      </c>
      <c r="J1227" s="514">
        <v>10.38</v>
      </c>
      <c r="K1227" s="514">
        <v>113270.0</v>
      </c>
      <c r="L1227" s="514">
        <v>1128738.0</v>
      </c>
      <c r="M1227" s="514">
        <v>1.186</v>
      </c>
      <c r="N1227" s="6">
        <v>3.066</v>
      </c>
    </row>
    <row r="1228">
      <c r="A1228" s="512" t="s">
        <v>2039</v>
      </c>
      <c r="B1228" s="512" t="s">
        <v>163</v>
      </c>
      <c r="C1228" s="512" t="s">
        <v>69</v>
      </c>
      <c r="D1228" s="512" t="s">
        <v>574</v>
      </c>
      <c r="E1228" s="513" t="s">
        <v>377</v>
      </c>
      <c r="F1228" s="514">
        <v>95509.0</v>
      </c>
      <c r="G1228" s="514">
        <v>60384.0</v>
      </c>
      <c r="H1228" s="514">
        <v>63.22</v>
      </c>
      <c r="I1228" s="514">
        <v>9.17</v>
      </c>
      <c r="J1228" s="514">
        <v>11.64</v>
      </c>
      <c r="K1228" s="514">
        <v>103544.0</v>
      </c>
      <c r="L1228" s="514">
        <v>1128738.0</v>
      </c>
      <c r="M1228" s="514">
        <v>1.0841</v>
      </c>
      <c r="N1228" s="6">
        <v>1.7148</v>
      </c>
    </row>
    <row r="1229">
      <c r="A1229" s="512" t="s">
        <v>2039</v>
      </c>
      <c r="B1229" s="512" t="s">
        <v>163</v>
      </c>
      <c r="C1229" s="512" t="s">
        <v>69</v>
      </c>
      <c r="D1229" s="512" t="s">
        <v>574</v>
      </c>
      <c r="E1229" s="513" t="s">
        <v>44</v>
      </c>
      <c r="F1229" s="514">
        <v>95509.0</v>
      </c>
      <c r="G1229" s="514">
        <v>55083.0</v>
      </c>
      <c r="H1229" s="514">
        <v>57.67</v>
      </c>
      <c r="I1229" s="514">
        <v>8.09</v>
      </c>
      <c r="J1229" s="514">
        <v>9.36</v>
      </c>
      <c r="K1229" s="514">
        <v>91302.0</v>
      </c>
      <c r="L1229" s="514">
        <v>1128738.0</v>
      </c>
      <c r="M1229" s="514">
        <v>0.956</v>
      </c>
      <c r="N1229" s="6">
        <v>1.6575</v>
      </c>
    </row>
    <row r="1230">
      <c r="A1230" s="512" t="s">
        <v>2039</v>
      </c>
      <c r="B1230" s="512" t="s">
        <v>163</v>
      </c>
      <c r="C1230" s="512" t="s">
        <v>69</v>
      </c>
      <c r="D1230" s="512" t="s">
        <v>574</v>
      </c>
      <c r="E1230" s="513" t="s">
        <v>49</v>
      </c>
      <c r="F1230" s="514">
        <v>95509.0</v>
      </c>
      <c r="G1230" s="514">
        <v>34784.0</v>
      </c>
      <c r="H1230" s="514">
        <v>36.42</v>
      </c>
      <c r="I1230" s="514">
        <v>6.03</v>
      </c>
      <c r="J1230" s="514">
        <v>5.12</v>
      </c>
      <c r="K1230" s="514">
        <v>68018.0</v>
      </c>
      <c r="L1230" s="514">
        <v>1128738.0</v>
      </c>
      <c r="M1230" s="514">
        <v>0.7122</v>
      </c>
      <c r="N1230" s="6">
        <v>1.9554</v>
      </c>
    </row>
    <row r="1231">
      <c r="A1231" s="512" t="s">
        <v>2039</v>
      </c>
      <c r="B1231" s="512" t="s">
        <v>163</v>
      </c>
      <c r="C1231" s="512" t="s">
        <v>69</v>
      </c>
      <c r="D1231" s="512" t="s">
        <v>574</v>
      </c>
      <c r="E1231" s="513" t="s">
        <v>372</v>
      </c>
      <c r="F1231" s="514">
        <v>95509.0</v>
      </c>
      <c r="G1231" s="514">
        <v>25305.0</v>
      </c>
      <c r="H1231" s="514">
        <v>26.49</v>
      </c>
      <c r="I1231" s="514">
        <v>2.71</v>
      </c>
      <c r="J1231" s="514">
        <v>2.99</v>
      </c>
      <c r="K1231" s="514">
        <v>30611.0</v>
      </c>
      <c r="L1231" s="514">
        <v>1128738.0</v>
      </c>
      <c r="M1231" s="514">
        <v>0.3205</v>
      </c>
      <c r="N1231" s="6">
        <v>1.2097</v>
      </c>
    </row>
    <row r="1232">
      <c r="A1232" s="512" t="s">
        <v>2039</v>
      </c>
      <c r="B1232" s="512" t="s">
        <v>163</v>
      </c>
      <c r="C1232" s="512" t="s">
        <v>69</v>
      </c>
      <c r="D1232" s="512" t="s">
        <v>574</v>
      </c>
      <c r="E1232" s="513" t="s">
        <v>375</v>
      </c>
      <c r="F1232" s="514">
        <v>95509.0</v>
      </c>
      <c r="G1232" s="514">
        <v>23039.0</v>
      </c>
      <c r="H1232" s="514">
        <v>24.12</v>
      </c>
      <c r="I1232" s="514">
        <v>2.68</v>
      </c>
      <c r="J1232" s="514">
        <v>2.02</v>
      </c>
      <c r="K1232" s="514">
        <v>30220.0</v>
      </c>
      <c r="L1232" s="514">
        <v>1128738.0</v>
      </c>
      <c r="M1232" s="514">
        <v>0.3164</v>
      </c>
      <c r="N1232" s="6">
        <v>1.3117</v>
      </c>
    </row>
    <row r="1233">
      <c r="A1233" s="512" t="s">
        <v>2039</v>
      </c>
      <c r="B1233" s="512" t="s">
        <v>163</v>
      </c>
      <c r="C1233" s="512" t="s">
        <v>69</v>
      </c>
      <c r="D1233" s="512" t="s">
        <v>574</v>
      </c>
      <c r="E1233" s="513" t="s">
        <v>134</v>
      </c>
      <c r="F1233" s="514">
        <v>95509.0</v>
      </c>
      <c r="G1233" s="514">
        <v>13054.0</v>
      </c>
      <c r="H1233" s="514">
        <v>13.67</v>
      </c>
      <c r="I1233" s="514">
        <v>1.81</v>
      </c>
      <c r="J1233" s="514">
        <v>1.31</v>
      </c>
      <c r="K1233" s="514">
        <v>20397.0</v>
      </c>
      <c r="L1233" s="514">
        <v>1128738.0</v>
      </c>
      <c r="M1233" s="514">
        <v>0.2136</v>
      </c>
      <c r="N1233" s="6">
        <v>1.5625</v>
      </c>
    </row>
    <row r="1234">
      <c r="A1234" s="512" t="s">
        <v>2039</v>
      </c>
      <c r="B1234" s="512" t="s">
        <v>163</v>
      </c>
      <c r="C1234" s="512" t="s">
        <v>69</v>
      </c>
      <c r="D1234" s="512" t="s">
        <v>574</v>
      </c>
      <c r="E1234" s="513" t="s">
        <v>35</v>
      </c>
      <c r="F1234" s="514">
        <v>95509.0</v>
      </c>
      <c r="G1234" s="514">
        <v>10412.0</v>
      </c>
      <c r="H1234" s="514">
        <v>10.9</v>
      </c>
      <c r="I1234" s="514">
        <v>1.03</v>
      </c>
      <c r="J1234" s="514">
        <v>0.77</v>
      </c>
      <c r="K1234" s="514">
        <v>11682.0</v>
      </c>
      <c r="L1234" s="514">
        <v>1128738.0</v>
      </c>
      <c r="M1234" s="514">
        <v>0.1223</v>
      </c>
      <c r="N1234" s="6">
        <v>1.122</v>
      </c>
    </row>
    <row r="1235">
      <c r="A1235" s="512" t="s">
        <v>2039</v>
      </c>
      <c r="B1235" s="512" t="s">
        <v>163</v>
      </c>
      <c r="C1235" s="512" t="s">
        <v>69</v>
      </c>
      <c r="D1235" s="512" t="s">
        <v>574</v>
      </c>
      <c r="E1235" s="513" t="s">
        <v>189</v>
      </c>
      <c r="F1235" s="514">
        <v>95509.0</v>
      </c>
      <c r="G1235" s="514">
        <v>10243.0</v>
      </c>
      <c r="H1235" s="514">
        <v>10.72</v>
      </c>
      <c r="I1235" s="514">
        <v>0.93</v>
      </c>
      <c r="J1235" s="514">
        <v>0.68</v>
      </c>
      <c r="K1235" s="514">
        <v>10467.0</v>
      </c>
      <c r="L1235" s="514">
        <v>1128738.0</v>
      </c>
      <c r="M1235" s="514">
        <v>0.1096</v>
      </c>
      <c r="N1235" s="6">
        <v>1.0219</v>
      </c>
    </row>
    <row r="1236">
      <c r="A1236" s="512" t="s">
        <v>2039</v>
      </c>
      <c r="B1236" s="512" t="s">
        <v>163</v>
      </c>
      <c r="C1236" s="512" t="s">
        <v>69</v>
      </c>
      <c r="D1236" s="512" t="s">
        <v>574</v>
      </c>
      <c r="E1236" s="513" t="s">
        <v>42</v>
      </c>
      <c r="F1236" s="514">
        <v>95509.0</v>
      </c>
      <c r="G1236" s="514">
        <v>4660.0</v>
      </c>
      <c r="H1236" s="514">
        <v>4.88</v>
      </c>
      <c r="I1236" s="514">
        <v>0.47</v>
      </c>
      <c r="J1236" s="514">
        <v>0.49</v>
      </c>
      <c r="K1236" s="514">
        <v>5358.0</v>
      </c>
      <c r="L1236" s="514">
        <v>1128738.0</v>
      </c>
      <c r="M1236" s="514">
        <v>0.0561</v>
      </c>
      <c r="N1236" s="6">
        <v>1.1498</v>
      </c>
    </row>
    <row r="1237">
      <c r="A1237" s="512" t="s">
        <v>2039</v>
      </c>
      <c r="B1237" s="512" t="s">
        <v>163</v>
      </c>
      <c r="C1237" s="512" t="s">
        <v>69</v>
      </c>
      <c r="D1237" s="512" t="s">
        <v>574</v>
      </c>
      <c r="E1237" s="513" t="s">
        <v>50</v>
      </c>
      <c r="F1237" s="514">
        <v>95509.0</v>
      </c>
      <c r="G1237" s="514">
        <v>4143.0</v>
      </c>
      <c r="H1237" s="514">
        <v>4.34</v>
      </c>
      <c r="I1237" s="514">
        <v>0.41</v>
      </c>
      <c r="J1237" s="514">
        <v>0.3</v>
      </c>
      <c r="K1237" s="514">
        <v>4658.0</v>
      </c>
      <c r="L1237" s="514">
        <v>1128738.0</v>
      </c>
      <c r="M1237" s="514">
        <v>0.0488</v>
      </c>
      <c r="N1237" s="6">
        <v>1.1243</v>
      </c>
    </row>
    <row r="1238">
      <c r="A1238" s="512" t="s">
        <v>2039</v>
      </c>
      <c r="B1238" s="512" t="s">
        <v>163</v>
      </c>
      <c r="C1238" s="512" t="s">
        <v>69</v>
      </c>
      <c r="D1238" s="512" t="s">
        <v>574</v>
      </c>
      <c r="E1238" s="513" t="s">
        <v>43</v>
      </c>
      <c r="F1238" s="514">
        <v>95509.0</v>
      </c>
      <c r="G1238" s="514">
        <v>2019.0</v>
      </c>
      <c r="H1238" s="514">
        <v>2.11</v>
      </c>
      <c r="I1238" s="514">
        <v>0.19</v>
      </c>
      <c r="J1238" s="514">
        <v>0.22</v>
      </c>
      <c r="K1238" s="514">
        <v>2094.0</v>
      </c>
      <c r="L1238" s="514">
        <v>1128738.0</v>
      </c>
      <c r="M1238" s="514">
        <v>0.0219</v>
      </c>
      <c r="N1238" s="6">
        <v>1.0371</v>
      </c>
    </row>
    <row r="1239">
      <c r="A1239" s="512" t="s">
        <v>2039</v>
      </c>
      <c r="B1239" s="512" t="s">
        <v>163</v>
      </c>
      <c r="C1239" s="512" t="s">
        <v>69</v>
      </c>
      <c r="D1239" s="512" t="s">
        <v>574</v>
      </c>
      <c r="E1239" s="513" t="s">
        <v>312</v>
      </c>
      <c r="F1239" s="514">
        <v>95509.0</v>
      </c>
      <c r="G1239" s="514">
        <v>1.0</v>
      </c>
      <c r="H1239" s="514">
        <v>0.0</v>
      </c>
      <c r="I1239" s="514">
        <v>0.0</v>
      </c>
      <c r="J1239" s="514">
        <v>0.0</v>
      </c>
      <c r="K1239" s="514">
        <v>1.0</v>
      </c>
      <c r="L1239" s="514">
        <v>1128738.0</v>
      </c>
      <c r="M1239" s="514">
        <v>0.0</v>
      </c>
      <c r="N1239" s="6">
        <v>1.0</v>
      </c>
    </row>
    <row r="1240">
      <c r="A1240" s="512" t="s">
        <v>2039</v>
      </c>
      <c r="B1240" s="512" t="s">
        <v>163</v>
      </c>
      <c r="C1240" s="512" t="s">
        <v>69</v>
      </c>
      <c r="D1240" s="512" t="s">
        <v>574</v>
      </c>
      <c r="E1240" s="513" t="s">
        <v>311</v>
      </c>
      <c r="F1240" s="514">
        <v>95509.0</v>
      </c>
      <c r="G1240" s="514">
        <v>4.0</v>
      </c>
      <c r="H1240" s="514">
        <v>0.0</v>
      </c>
      <c r="I1240" s="514">
        <v>0.0</v>
      </c>
      <c r="J1240" s="514">
        <v>0.0</v>
      </c>
      <c r="K1240" s="514">
        <v>4.0</v>
      </c>
      <c r="L1240" s="514">
        <v>1128738.0</v>
      </c>
      <c r="M1240" s="514">
        <v>0.0</v>
      </c>
      <c r="N1240" s="6">
        <v>1.0</v>
      </c>
    </row>
    <row r="1241">
      <c r="A1241" s="512" t="s">
        <v>2039</v>
      </c>
      <c r="B1241" s="512" t="s">
        <v>163</v>
      </c>
      <c r="C1241" s="512" t="s">
        <v>69</v>
      </c>
      <c r="D1241" s="512" t="s">
        <v>574</v>
      </c>
      <c r="E1241" s="513" t="s">
        <v>310</v>
      </c>
      <c r="F1241" s="514">
        <v>95509.0</v>
      </c>
      <c r="G1241" s="514">
        <v>4.0</v>
      </c>
      <c r="H1241" s="514">
        <v>0.0</v>
      </c>
      <c r="I1241" s="514">
        <v>0.0</v>
      </c>
      <c r="J1241" s="514">
        <v>0.0</v>
      </c>
      <c r="K1241" s="514">
        <v>7.0</v>
      </c>
      <c r="L1241" s="514">
        <v>1128738.0</v>
      </c>
      <c r="M1241" s="514">
        <v>1.0E-4</v>
      </c>
      <c r="N1241" s="6">
        <v>1.75</v>
      </c>
    </row>
    <row r="1242">
      <c r="A1242" s="512" t="s">
        <v>2039</v>
      </c>
      <c r="B1242" s="512" t="s">
        <v>163</v>
      </c>
      <c r="C1242" s="512" t="s">
        <v>69</v>
      </c>
      <c r="D1242" s="512" t="s">
        <v>574</v>
      </c>
      <c r="E1242" s="513" t="s">
        <v>32</v>
      </c>
      <c r="F1242" s="514">
        <v>95509.0</v>
      </c>
      <c r="G1242" s="514">
        <v>30.0</v>
      </c>
      <c r="H1242" s="514">
        <v>0.03</v>
      </c>
      <c r="I1242" s="514">
        <v>0.0</v>
      </c>
      <c r="J1242" s="514">
        <v>0.01</v>
      </c>
      <c r="K1242" s="514">
        <v>36.0</v>
      </c>
      <c r="L1242" s="514">
        <v>1128738.0</v>
      </c>
      <c r="M1242" s="514">
        <v>4.0E-4</v>
      </c>
      <c r="N1242" s="6">
        <v>1.2</v>
      </c>
    </row>
    <row r="1243">
      <c r="A1243" s="512" t="s">
        <v>2039</v>
      </c>
      <c r="B1243" s="512" t="s">
        <v>163</v>
      </c>
      <c r="C1243" s="512" t="s">
        <v>68</v>
      </c>
      <c r="D1243" s="512" t="s">
        <v>574</v>
      </c>
      <c r="E1243" s="513" t="s">
        <v>50</v>
      </c>
      <c r="F1243" s="514">
        <v>79555.0</v>
      </c>
      <c r="G1243" s="514">
        <v>53398.0</v>
      </c>
      <c r="H1243" s="514">
        <v>67.12</v>
      </c>
      <c r="I1243" s="514">
        <v>44.01</v>
      </c>
      <c r="J1243" s="514">
        <v>39.64</v>
      </c>
      <c r="K1243" s="514">
        <v>6679175.0</v>
      </c>
      <c r="L1243" s="514">
        <v>1.5177478E7</v>
      </c>
      <c r="M1243" s="514">
        <v>83.9567</v>
      </c>
      <c r="N1243" s="6">
        <v>125.0829</v>
      </c>
    </row>
    <row r="1244">
      <c r="A1244" s="512" t="s">
        <v>2039</v>
      </c>
      <c r="B1244" s="512" t="s">
        <v>163</v>
      </c>
      <c r="C1244" s="512" t="s">
        <v>68</v>
      </c>
      <c r="D1244" s="512" t="s">
        <v>574</v>
      </c>
      <c r="E1244" s="513" t="s">
        <v>377</v>
      </c>
      <c r="F1244" s="514">
        <v>79555.0</v>
      </c>
      <c r="G1244" s="514">
        <v>53985.0</v>
      </c>
      <c r="H1244" s="514">
        <v>67.86</v>
      </c>
      <c r="I1244" s="514">
        <v>22.54</v>
      </c>
      <c r="J1244" s="514">
        <v>31.91</v>
      </c>
      <c r="K1244" s="514">
        <v>3420877.0</v>
      </c>
      <c r="L1244" s="514">
        <v>1.5177478E7</v>
      </c>
      <c r="M1244" s="514">
        <v>43.0002</v>
      </c>
      <c r="N1244" s="6">
        <v>63.3672</v>
      </c>
    </row>
    <row r="1245">
      <c r="A1245" s="512" t="s">
        <v>2039</v>
      </c>
      <c r="B1245" s="512" t="s">
        <v>163</v>
      </c>
      <c r="C1245" s="512" t="s">
        <v>68</v>
      </c>
      <c r="D1245" s="512" t="s">
        <v>574</v>
      </c>
      <c r="E1245" s="513" t="s">
        <v>43</v>
      </c>
      <c r="F1245" s="514">
        <v>79555.0</v>
      </c>
      <c r="G1245" s="514">
        <v>20462.0</v>
      </c>
      <c r="H1245" s="514">
        <v>25.72</v>
      </c>
      <c r="I1245" s="514">
        <v>19.44</v>
      </c>
      <c r="J1245" s="514">
        <v>11.68</v>
      </c>
      <c r="K1245" s="514">
        <v>2950015.0</v>
      </c>
      <c r="L1245" s="514">
        <v>1.5177478E7</v>
      </c>
      <c r="M1245" s="514">
        <v>37.0815</v>
      </c>
      <c r="N1245" s="6">
        <v>144.1704</v>
      </c>
    </row>
    <row r="1246">
      <c r="A1246" s="512" t="s">
        <v>2039</v>
      </c>
      <c r="B1246" s="512" t="s">
        <v>163</v>
      </c>
      <c r="C1246" s="512" t="s">
        <v>68</v>
      </c>
      <c r="D1246" s="512" t="s">
        <v>574</v>
      </c>
      <c r="E1246" s="513" t="s">
        <v>49</v>
      </c>
      <c r="F1246" s="514">
        <v>79555.0</v>
      </c>
      <c r="G1246" s="514">
        <v>34212.0</v>
      </c>
      <c r="H1246" s="514">
        <v>43.0</v>
      </c>
      <c r="I1246" s="514">
        <v>8.76</v>
      </c>
      <c r="J1246" s="514">
        <v>11.09</v>
      </c>
      <c r="K1246" s="514">
        <v>1328960.0</v>
      </c>
      <c r="L1246" s="514">
        <v>1.5177478E7</v>
      </c>
      <c r="M1246" s="514">
        <v>16.7049</v>
      </c>
      <c r="N1246" s="6">
        <v>38.8448</v>
      </c>
    </row>
    <row r="1247">
      <c r="A1247" s="512" t="s">
        <v>2039</v>
      </c>
      <c r="B1247" s="512" t="s">
        <v>163</v>
      </c>
      <c r="C1247" s="512" t="s">
        <v>68</v>
      </c>
      <c r="D1247" s="512" t="s">
        <v>574</v>
      </c>
      <c r="E1247" s="513" t="s">
        <v>134</v>
      </c>
      <c r="F1247" s="514">
        <v>79555.0</v>
      </c>
      <c r="G1247" s="514">
        <v>10193.0</v>
      </c>
      <c r="H1247" s="514">
        <v>12.81</v>
      </c>
      <c r="I1247" s="514">
        <v>2.89</v>
      </c>
      <c r="J1247" s="514">
        <v>2.65</v>
      </c>
      <c r="K1247" s="514">
        <v>438290.0</v>
      </c>
      <c r="L1247" s="514">
        <v>1.5177478E7</v>
      </c>
      <c r="M1247" s="514">
        <v>5.5093</v>
      </c>
      <c r="N1247" s="6">
        <v>42.9991</v>
      </c>
    </row>
    <row r="1248">
      <c r="A1248" s="512" t="s">
        <v>2039</v>
      </c>
      <c r="B1248" s="512" t="s">
        <v>163</v>
      </c>
      <c r="C1248" s="512" t="s">
        <v>68</v>
      </c>
      <c r="D1248" s="512" t="s">
        <v>574</v>
      </c>
      <c r="E1248" s="513" t="s">
        <v>380</v>
      </c>
      <c r="F1248" s="514">
        <v>79555.0</v>
      </c>
      <c r="G1248" s="514">
        <v>4320.0</v>
      </c>
      <c r="H1248" s="514">
        <v>5.43</v>
      </c>
      <c r="I1248" s="514">
        <v>2.37</v>
      </c>
      <c r="J1248" s="514">
        <v>3.03</v>
      </c>
      <c r="K1248" s="514">
        <v>359816.0</v>
      </c>
      <c r="L1248" s="514">
        <v>1.5177478E7</v>
      </c>
      <c r="M1248" s="514">
        <v>4.5229</v>
      </c>
      <c r="N1248" s="6">
        <v>83.2907</v>
      </c>
    </row>
    <row r="1249">
      <c r="A1249" s="512" t="s">
        <v>2039</v>
      </c>
      <c r="B1249" s="512" t="s">
        <v>163</v>
      </c>
      <c r="C1249" s="512" t="s">
        <v>68</v>
      </c>
      <c r="D1249" s="512" t="s">
        <v>574</v>
      </c>
      <c r="E1249" s="513" t="s">
        <v>42</v>
      </c>
      <c r="F1249" s="514">
        <v>79555.0</v>
      </c>
      <c r="G1249" s="514">
        <v>3.0</v>
      </c>
      <c r="H1249" s="514">
        <v>0.0</v>
      </c>
      <c r="I1249" s="514">
        <v>0.0</v>
      </c>
      <c r="J1249" s="514">
        <v>0.0</v>
      </c>
      <c r="K1249" s="514">
        <v>160.0</v>
      </c>
      <c r="L1249" s="514">
        <v>1.5177478E7</v>
      </c>
      <c r="M1249" s="514">
        <v>0.002</v>
      </c>
      <c r="N1249" s="6">
        <v>53.3333</v>
      </c>
    </row>
    <row r="1250">
      <c r="A1250" s="512" t="s">
        <v>2039</v>
      </c>
      <c r="B1250" s="512" t="s">
        <v>163</v>
      </c>
      <c r="C1250" s="512" t="s">
        <v>68</v>
      </c>
      <c r="D1250" s="512" t="s">
        <v>574</v>
      </c>
      <c r="E1250" s="513" t="s">
        <v>32</v>
      </c>
      <c r="F1250" s="514">
        <v>79555.0</v>
      </c>
      <c r="G1250" s="514">
        <v>11.0</v>
      </c>
      <c r="H1250" s="514">
        <v>0.01</v>
      </c>
      <c r="I1250" s="514">
        <v>0.0</v>
      </c>
      <c r="J1250" s="514">
        <v>0.01</v>
      </c>
      <c r="K1250" s="514">
        <v>120.0</v>
      </c>
      <c r="L1250" s="514">
        <v>1.5177478E7</v>
      </c>
      <c r="M1250" s="514">
        <v>0.0015</v>
      </c>
      <c r="N1250" s="6">
        <v>10.9091</v>
      </c>
    </row>
    <row r="1251">
      <c r="A1251" s="512" t="s">
        <v>2039</v>
      </c>
      <c r="B1251" s="512" t="s">
        <v>163</v>
      </c>
      <c r="C1251" s="512" t="s">
        <v>68</v>
      </c>
      <c r="D1251" s="512" t="s">
        <v>574</v>
      </c>
      <c r="E1251" s="513" t="s">
        <v>40</v>
      </c>
      <c r="F1251" s="514">
        <v>79555.0</v>
      </c>
      <c r="G1251" s="514">
        <v>1.0</v>
      </c>
      <c r="H1251" s="514">
        <v>0.0</v>
      </c>
      <c r="I1251" s="514">
        <v>0.0</v>
      </c>
      <c r="J1251" s="514">
        <v>0.0</v>
      </c>
      <c r="K1251" s="514">
        <v>65.0</v>
      </c>
      <c r="L1251" s="514">
        <v>1.5177478E7</v>
      </c>
      <c r="M1251" s="514">
        <v>8.0E-4</v>
      </c>
      <c r="N1251" s="6">
        <v>65.0</v>
      </c>
    </row>
    <row r="1252">
      <c r="A1252" s="512" t="s">
        <v>2039</v>
      </c>
      <c r="B1252" s="512" t="s">
        <v>163</v>
      </c>
      <c r="C1252" s="512" t="s">
        <v>2035</v>
      </c>
      <c r="D1252" s="512" t="s">
        <v>2036</v>
      </c>
      <c r="E1252" s="513" t="s">
        <v>134</v>
      </c>
      <c r="F1252" s="514">
        <v>8989.0</v>
      </c>
      <c r="G1252" s="514">
        <v>8937.0</v>
      </c>
      <c r="H1252" s="514">
        <v>99.42</v>
      </c>
      <c r="I1252" s="514">
        <v>99.17</v>
      </c>
      <c r="J1252" s="514">
        <v>99.37</v>
      </c>
      <c r="K1252" s="514">
        <v>144770.0</v>
      </c>
      <c r="L1252" s="514">
        <v>145985.0</v>
      </c>
      <c r="M1252" s="514">
        <v>16.1052</v>
      </c>
      <c r="N1252" s="6">
        <v>16.1989</v>
      </c>
    </row>
    <row r="1253">
      <c r="A1253" s="512" t="s">
        <v>2039</v>
      </c>
      <c r="B1253" s="512" t="s">
        <v>163</v>
      </c>
      <c r="C1253" s="512" t="s">
        <v>2035</v>
      </c>
      <c r="D1253" s="512" t="s">
        <v>2036</v>
      </c>
      <c r="E1253" s="513" t="s">
        <v>373</v>
      </c>
      <c r="F1253" s="514">
        <v>8989.0</v>
      </c>
      <c r="G1253" s="514">
        <v>60.0</v>
      </c>
      <c r="H1253" s="514">
        <v>0.67</v>
      </c>
      <c r="I1253" s="514">
        <v>0.83</v>
      </c>
      <c r="J1253" s="514">
        <v>0.63</v>
      </c>
      <c r="K1253" s="514">
        <v>1215.0</v>
      </c>
      <c r="L1253" s="514">
        <v>145985.0</v>
      </c>
      <c r="M1253" s="514">
        <v>0.1352</v>
      </c>
      <c r="N1253" s="6">
        <v>20.25</v>
      </c>
    </row>
    <row r="1254">
      <c r="A1254" s="512" t="s">
        <v>2039</v>
      </c>
      <c r="B1254" s="512" t="s">
        <v>163</v>
      </c>
      <c r="C1254" s="512" t="s">
        <v>73</v>
      </c>
      <c r="D1254" s="512" t="s">
        <v>574</v>
      </c>
      <c r="E1254" s="513" t="s">
        <v>379</v>
      </c>
      <c r="F1254" s="514">
        <v>90919.0</v>
      </c>
      <c r="G1254" s="514">
        <v>74797.0</v>
      </c>
      <c r="H1254" s="514">
        <v>82.27</v>
      </c>
      <c r="I1254" s="514">
        <v>30.77</v>
      </c>
      <c r="J1254" s="514">
        <v>33.1</v>
      </c>
      <c r="K1254" s="514">
        <v>270114.0</v>
      </c>
      <c r="L1254" s="514">
        <v>877892.0</v>
      </c>
      <c r="M1254" s="514">
        <v>2.9709</v>
      </c>
      <c r="N1254" s="6">
        <v>3.6113</v>
      </c>
    </row>
    <row r="1255">
      <c r="A1255" s="512" t="s">
        <v>2039</v>
      </c>
      <c r="B1255" s="512" t="s">
        <v>163</v>
      </c>
      <c r="C1255" s="512" t="s">
        <v>73</v>
      </c>
      <c r="D1255" s="512" t="s">
        <v>574</v>
      </c>
      <c r="E1255" s="513" t="s">
        <v>372</v>
      </c>
      <c r="F1255" s="514">
        <v>90919.0</v>
      </c>
      <c r="G1255" s="514">
        <v>51558.0</v>
      </c>
      <c r="H1255" s="514">
        <v>56.71</v>
      </c>
      <c r="I1255" s="514">
        <v>10.12</v>
      </c>
      <c r="J1255" s="514">
        <v>13.13</v>
      </c>
      <c r="K1255" s="514">
        <v>88886.0</v>
      </c>
      <c r="L1255" s="514">
        <v>877892.0</v>
      </c>
      <c r="M1255" s="514">
        <v>0.9776</v>
      </c>
      <c r="N1255" s="6">
        <v>1.724</v>
      </c>
    </row>
    <row r="1256">
      <c r="A1256" s="512" t="s">
        <v>2039</v>
      </c>
      <c r="B1256" s="512" t="s">
        <v>163</v>
      </c>
      <c r="C1256" s="512" t="s">
        <v>73</v>
      </c>
      <c r="D1256" s="512" t="s">
        <v>574</v>
      </c>
      <c r="E1256" s="513" t="s">
        <v>380</v>
      </c>
      <c r="F1256" s="514">
        <v>90919.0</v>
      </c>
      <c r="G1256" s="514">
        <v>39924.0</v>
      </c>
      <c r="H1256" s="514">
        <v>43.91</v>
      </c>
      <c r="I1256" s="514">
        <v>7.65</v>
      </c>
      <c r="J1256" s="514">
        <v>7.91</v>
      </c>
      <c r="K1256" s="514">
        <v>67193.0</v>
      </c>
      <c r="L1256" s="514">
        <v>877892.0</v>
      </c>
      <c r="M1256" s="514">
        <v>0.739</v>
      </c>
      <c r="N1256" s="6">
        <v>1.683</v>
      </c>
    </row>
    <row r="1257">
      <c r="A1257" s="512" t="s">
        <v>2039</v>
      </c>
      <c r="B1257" s="512" t="s">
        <v>163</v>
      </c>
      <c r="C1257" s="512" t="s">
        <v>73</v>
      </c>
      <c r="D1257" s="512" t="s">
        <v>574</v>
      </c>
      <c r="E1257" s="513" t="s">
        <v>373</v>
      </c>
      <c r="F1257" s="514">
        <v>90919.0</v>
      </c>
      <c r="G1257" s="514">
        <v>35633.0</v>
      </c>
      <c r="H1257" s="514">
        <v>39.19</v>
      </c>
      <c r="I1257" s="514">
        <v>6.95</v>
      </c>
      <c r="J1257" s="514">
        <v>5.46</v>
      </c>
      <c r="K1257" s="514">
        <v>61021.0</v>
      </c>
      <c r="L1257" s="514">
        <v>877892.0</v>
      </c>
      <c r="M1257" s="514">
        <v>0.6712</v>
      </c>
      <c r="N1257" s="6">
        <v>1.7125</v>
      </c>
    </row>
    <row r="1258">
      <c r="A1258" s="512" t="s">
        <v>2039</v>
      </c>
      <c r="B1258" s="512" t="s">
        <v>163</v>
      </c>
      <c r="C1258" s="512" t="s">
        <v>73</v>
      </c>
      <c r="D1258" s="512" t="s">
        <v>574</v>
      </c>
      <c r="E1258" s="513" t="s">
        <v>44</v>
      </c>
      <c r="F1258" s="514">
        <v>90919.0</v>
      </c>
      <c r="G1258" s="514">
        <v>35957.0</v>
      </c>
      <c r="H1258" s="514">
        <v>39.55</v>
      </c>
      <c r="I1258" s="514">
        <v>6.65</v>
      </c>
      <c r="J1258" s="514">
        <v>5.44</v>
      </c>
      <c r="K1258" s="514">
        <v>58394.0</v>
      </c>
      <c r="L1258" s="514">
        <v>877892.0</v>
      </c>
      <c r="M1258" s="514">
        <v>0.6423</v>
      </c>
      <c r="N1258" s="6">
        <v>1.624</v>
      </c>
    </row>
    <row r="1259">
      <c r="A1259" s="512" t="s">
        <v>2039</v>
      </c>
      <c r="B1259" s="512" t="s">
        <v>163</v>
      </c>
      <c r="C1259" s="512" t="s">
        <v>73</v>
      </c>
      <c r="D1259" s="512" t="s">
        <v>574</v>
      </c>
      <c r="E1259" s="513" t="s">
        <v>377</v>
      </c>
      <c r="F1259" s="514">
        <v>90919.0</v>
      </c>
      <c r="G1259" s="514">
        <v>32696.0</v>
      </c>
      <c r="H1259" s="514">
        <v>35.96</v>
      </c>
      <c r="I1259" s="514">
        <v>6.32</v>
      </c>
      <c r="J1259" s="514">
        <v>6.04</v>
      </c>
      <c r="K1259" s="514">
        <v>55522.0</v>
      </c>
      <c r="L1259" s="514">
        <v>877892.0</v>
      </c>
      <c r="M1259" s="514">
        <v>0.6107</v>
      </c>
      <c r="N1259" s="6">
        <v>1.6981</v>
      </c>
    </row>
    <row r="1260">
      <c r="A1260" s="512" t="s">
        <v>2039</v>
      </c>
      <c r="B1260" s="512" t="s">
        <v>163</v>
      </c>
      <c r="C1260" s="512" t="s">
        <v>73</v>
      </c>
      <c r="D1260" s="512" t="s">
        <v>574</v>
      </c>
      <c r="E1260" s="513" t="s">
        <v>367</v>
      </c>
      <c r="F1260" s="514">
        <v>90919.0</v>
      </c>
      <c r="G1260" s="514">
        <v>17303.0</v>
      </c>
      <c r="H1260" s="514">
        <v>19.03</v>
      </c>
      <c r="I1260" s="514">
        <v>5.8</v>
      </c>
      <c r="J1260" s="514">
        <v>3.85</v>
      </c>
      <c r="K1260" s="514">
        <v>50955.0</v>
      </c>
      <c r="L1260" s="514">
        <v>877892.0</v>
      </c>
      <c r="M1260" s="514">
        <v>0.5604</v>
      </c>
      <c r="N1260" s="6">
        <v>2.9449</v>
      </c>
    </row>
    <row r="1261">
      <c r="A1261" s="512" t="s">
        <v>2039</v>
      </c>
      <c r="B1261" s="512" t="s">
        <v>163</v>
      </c>
      <c r="C1261" s="512" t="s">
        <v>73</v>
      </c>
      <c r="D1261" s="512" t="s">
        <v>574</v>
      </c>
      <c r="E1261" s="513" t="s">
        <v>42</v>
      </c>
      <c r="F1261" s="514">
        <v>90919.0</v>
      </c>
      <c r="G1261" s="514">
        <v>26701.0</v>
      </c>
      <c r="H1261" s="514">
        <v>29.37</v>
      </c>
      <c r="I1261" s="514">
        <v>5.21</v>
      </c>
      <c r="J1261" s="514">
        <v>5.22</v>
      </c>
      <c r="K1261" s="514">
        <v>45777.0</v>
      </c>
      <c r="L1261" s="514">
        <v>877892.0</v>
      </c>
      <c r="M1261" s="514">
        <v>0.5035</v>
      </c>
      <c r="N1261" s="6">
        <v>1.7144</v>
      </c>
    </row>
    <row r="1262">
      <c r="A1262" s="512" t="s">
        <v>2039</v>
      </c>
      <c r="B1262" s="512" t="s">
        <v>163</v>
      </c>
      <c r="C1262" s="512" t="s">
        <v>73</v>
      </c>
      <c r="D1262" s="512" t="s">
        <v>574</v>
      </c>
      <c r="E1262" s="513" t="s">
        <v>50</v>
      </c>
      <c r="F1262" s="514">
        <v>90919.0</v>
      </c>
      <c r="G1262" s="514">
        <v>25273.0</v>
      </c>
      <c r="H1262" s="514">
        <v>27.8</v>
      </c>
      <c r="I1262" s="514">
        <v>4.18</v>
      </c>
      <c r="J1262" s="514">
        <v>3.98</v>
      </c>
      <c r="K1262" s="514">
        <v>36668.0</v>
      </c>
      <c r="L1262" s="514">
        <v>877892.0</v>
      </c>
      <c r="M1262" s="514">
        <v>0.4033</v>
      </c>
      <c r="N1262" s="6">
        <v>1.4509</v>
      </c>
    </row>
    <row r="1263">
      <c r="A1263" s="512" t="s">
        <v>2039</v>
      </c>
      <c r="B1263" s="512" t="s">
        <v>163</v>
      </c>
      <c r="C1263" s="512" t="s">
        <v>73</v>
      </c>
      <c r="D1263" s="512" t="s">
        <v>574</v>
      </c>
      <c r="E1263" s="513" t="s">
        <v>134</v>
      </c>
      <c r="F1263" s="514">
        <v>90919.0</v>
      </c>
      <c r="G1263" s="514">
        <v>19401.0</v>
      </c>
      <c r="H1263" s="514">
        <v>21.34</v>
      </c>
      <c r="I1263" s="514">
        <v>4.02</v>
      </c>
      <c r="J1263" s="514">
        <v>4.54</v>
      </c>
      <c r="K1263" s="514">
        <v>35313.0</v>
      </c>
      <c r="L1263" s="514">
        <v>877892.0</v>
      </c>
      <c r="M1263" s="514">
        <v>0.3884</v>
      </c>
      <c r="N1263" s="6">
        <v>1.8202</v>
      </c>
    </row>
    <row r="1264">
      <c r="A1264" s="512" t="s">
        <v>2039</v>
      </c>
      <c r="B1264" s="512" t="s">
        <v>163</v>
      </c>
      <c r="C1264" s="512" t="s">
        <v>73</v>
      </c>
      <c r="D1264" s="512" t="s">
        <v>574</v>
      </c>
      <c r="E1264" s="513" t="s">
        <v>310</v>
      </c>
      <c r="F1264" s="514">
        <v>90919.0</v>
      </c>
      <c r="G1264" s="514">
        <v>21872.0</v>
      </c>
      <c r="H1264" s="514">
        <v>24.06</v>
      </c>
      <c r="I1264" s="514">
        <v>3.21</v>
      </c>
      <c r="J1264" s="514">
        <v>3.01</v>
      </c>
      <c r="K1264" s="514">
        <v>28210.0</v>
      </c>
      <c r="L1264" s="514">
        <v>877892.0</v>
      </c>
      <c r="M1264" s="514">
        <v>0.3103</v>
      </c>
      <c r="N1264" s="6">
        <v>1.2898</v>
      </c>
    </row>
    <row r="1265">
      <c r="A1265" s="512" t="s">
        <v>2039</v>
      </c>
      <c r="B1265" s="512" t="s">
        <v>163</v>
      </c>
      <c r="C1265" s="512" t="s">
        <v>73</v>
      </c>
      <c r="D1265" s="512" t="s">
        <v>574</v>
      </c>
      <c r="E1265" s="513" t="s">
        <v>312</v>
      </c>
      <c r="F1265" s="514">
        <v>90919.0</v>
      </c>
      <c r="G1265" s="514">
        <v>18512.0</v>
      </c>
      <c r="H1265" s="514">
        <v>20.36</v>
      </c>
      <c r="I1265" s="514">
        <v>2.72</v>
      </c>
      <c r="J1265" s="514">
        <v>2.53</v>
      </c>
      <c r="K1265" s="514">
        <v>23875.0</v>
      </c>
      <c r="L1265" s="514">
        <v>877892.0</v>
      </c>
      <c r="M1265" s="514">
        <v>0.2626</v>
      </c>
      <c r="N1265" s="6">
        <v>1.2897</v>
      </c>
    </row>
    <row r="1266">
      <c r="A1266" s="512" t="s">
        <v>2039</v>
      </c>
      <c r="B1266" s="512" t="s">
        <v>163</v>
      </c>
      <c r="C1266" s="512" t="s">
        <v>73</v>
      </c>
      <c r="D1266" s="512" t="s">
        <v>574</v>
      </c>
      <c r="E1266" s="513" t="s">
        <v>32</v>
      </c>
      <c r="F1266" s="514">
        <v>90919.0</v>
      </c>
      <c r="G1266" s="514">
        <v>18947.0</v>
      </c>
      <c r="H1266" s="514">
        <v>20.84</v>
      </c>
      <c r="I1266" s="514">
        <v>2.72</v>
      </c>
      <c r="J1266" s="514">
        <v>2.64</v>
      </c>
      <c r="K1266" s="514">
        <v>23838.0</v>
      </c>
      <c r="L1266" s="514">
        <v>877892.0</v>
      </c>
      <c r="M1266" s="514">
        <v>0.2622</v>
      </c>
      <c r="N1266" s="6">
        <v>1.2581</v>
      </c>
    </row>
    <row r="1267">
      <c r="A1267" s="512" t="s">
        <v>2039</v>
      </c>
      <c r="B1267" s="512" t="s">
        <v>163</v>
      </c>
      <c r="C1267" s="512" t="s">
        <v>73</v>
      </c>
      <c r="D1267" s="512" t="s">
        <v>574</v>
      </c>
      <c r="E1267" s="513" t="s">
        <v>40</v>
      </c>
      <c r="F1267" s="514">
        <v>90919.0</v>
      </c>
      <c r="G1267" s="514">
        <v>6788.0</v>
      </c>
      <c r="H1267" s="514">
        <v>7.47</v>
      </c>
      <c r="I1267" s="514">
        <v>2.33</v>
      </c>
      <c r="J1267" s="514">
        <v>1.74</v>
      </c>
      <c r="K1267" s="514">
        <v>20454.0</v>
      </c>
      <c r="L1267" s="514">
        <v>877892.0</v>
      </c>
      <c r="M1267" s="514">
        <v>0.225</v>
      </c>
      <c r="N1267" s="6">
        <v>3.0133</v>
      </c>
    </row>
    <row r="1268">
      <c r="A1268" s="512" t="s">
        <v>2039</v>
      </c>
      <c r="B1268" s="512" t="s">
        <v>163</v>
      </c>
      <c r="C1268" s="512" t="s">
        <v>73</v>
      </c>
      <c r="D1268" s="512" t="s">
        <v>574</v>
      </c>
      <c r="E1268" s="513" t="s">
        <v>311</v>
      </c>
      <c r="F1268" s="514">
        <v>90919.0</v>
      </c>
      <c r="G1268" s="514">
        <v>6256.0</v>
      </c>
      <c r="H1268" s="514">
        <v>6.88</v>
      </c>
      <c r="I1268" s="514">
        <v>0.73</v>
      </c>
      <c r="J1268" s="514">
        <v>0.77</v>
      </c>
      <c r="K1268" s="514">
        <v>6435.0</v>
      </c>
      <c r="L1268" s="514">
        <v>877892.0</v>
      </c>
      <c r="M1268" s="514">
        <v>0.0708</v>
      </c>
      <c r="N1268" s="6">
        <v>1.0286</v>
      </c>
    </row>
    <row r="1269">
      <c r="A1269" s="512" t="s">
        <v>2039</v>
      </c>
      <c r="B1269" s="512" t="s">
        <v>163</v>
      </c>
      <c r="C1269" s="512" t="s">
        <v>73</v>
      </c>
      <c r="D1269" s="512" t="s">
        <v>574</v>
      </c>
      <c r="E1269" s="513" t="s">
        <v>43</v>
      </c>
      <c r="F1269" s="514">
        <v>90919.0</v>
      </c>
      <c r="G1269" s="514">
        <v>3942.0</v>
      </c>
      <c r="H1269" s="514">
        <v>4.34</v>
      </c>
      <c r="I1269" s="514">
        <v>0.49</v>
      </c>
      <c r="J1269" s="514">
        <v>0.58</v>
      </c>
      <c r="K1269" s="514">
        <v>4282.0</v>
      </c>
      <c r="L1269" s="514">
        <v>877892.0</v>
      </c>
      <c r="M1269" s="514">
        <v>0.0471</v>
      </c>
      <c r="N1269" s="6">
        <v>1.0863</v>
      </c>
    </row>
    <row r="1270">
      <c r="A1270" s="512" t="s">
        <v>2039</v>
      </c>
      <c r="B1270" s="512" t="s">
        <v>163</v>
      </c>
      <c r="C1270" s="512" t="s">
        <v>73</v>
      </c>
      <c r="D1270" s="512" t="s">
        <v>574</v>
      </c>
      <c r="E1270" s="513" t="s">
        <v>35</v>
      </c>
      <c r="F1270" s="514">
        <v>90919.0</v>
      </c>
      <c r="G1270" s="514">
        <v>840.0</v>
      </c>
      <c r="H1270" s="514">
        <v>0.92</v>
      </c>
      <c r="I1270" s="514">
        <v>0.1</v>
      </c>
      <c r="J1270" s="514">
        <v>0.06</v>
      </c>
      <c r="K1270" s="514">
        <v>888.0</v>
      </c>
      <c r="L1270" s="514">
        <v>877892.0</v>
      </c>
      <c r="M1270" s="514">
        <v>0.0098</v>
      </c>
      <c r="N1270" s="6">
        <v>1.0571</v>
      </c>
    </row>
    <row r="1271">
      <c r="A1271" s="512" t="s">
        <v>2039</v>
      </c>
      <c r="B1271" s="512" t="s">
        <v>163</v>
      </c>
      <c r="C1271" s="512" t="s">
        <v>73</v>
      </c>
      <c r="D1271" s="512" t="s">
        <v>574</v>
      </c>
      <c r="E1271" s="513" t="s">
        <v>189</v>
      </c>
      <c r="F1271" s="514">
        <v>90919.0</v>
      </c>
      <c r="G1271" s="514">
        <v>28.0</v>
      </c>
      <c r="H1271" s="514">
        <v>0.03</v>
      </c>
      <c r="I1271" s="514">
        <v>0.0</v>
      </c>
      <c r="J1271" s="514">
        <v>0.0</v>
      </c>
      <c r="K1271" s="514">
        <v>28.0</v>
      </c>
      <c r="L1271" s="514">
        <v>877892.0</v>
      </c>
      <c r="M1271" s="514">
        <v>3.0E-4</v>
      </c>
      <c r="N1271" s="6">
        <v>1.0</v>
      </c>
    </row>
    <row r="1272">
      <c r="A1272" s="512" t="s">
        <v>2039</v>
      </c>
      <c r="B1272" s="512" t="s">
        <v>163</v>
      </c>
      <c r="C1272" s="512" t="s">
        <v>73</v>
      </c>
      <c r="D1272" s="512" t="s">
        <v>574</v>
      </c>
      <c r="E1272" s="513" t="s">
        <v>375</v>
      </c>
      <c r="F1272" s="514">
        <v>90919.0</v>
      </c>
      <c r="G1272" s="514">
        <v>1.0</v>
      </c>
      <c r="H1272" s="514">
        <v>0.0</v>
      </c>
      <c r="I1272" s="514">
        <v>0.0</v>
      </c>
      <c r="J1272" s="514">
        <v>0.0</v>
      </c>
      <c r="K1272" s="514">
        <v>1.0</v>
      </c>
      <c r="L1272" s="514">
        <v>877892.0</v>
      </c>
      <c r="M1272" s="514">
        <v>0.0</v>
      </c>
      <c r="N1272" s="6">
        <v>1.0</v>
      </c>
    </row>
    <row r="1273">
      <c r="A1273" s="512" t="s">
        <v>2039</v>
      </c>
      <c r="B1273" s="512" t="s">
        <v>163</v>
      </c>
      <c r="C1273" s="512" t="s">
        <v>73</v>
      </c>
      <c r="D1273" s="512" t="s">
        <v>574</v>
      </c>
      <c r="E1273" s="513" t="s">
        <v>374</v>
      </c>
      <c r="F1273" s="514">
        <v>90919.0</v>
      </c>
      <c r="G1273" s="514">
        <v>10.0</v>
      </c>
      <c r="H1273" s="514">
        <v>0.01</v>
      </c>
      <c r="I1273" s="514">
        <v>0.0</v>
      </c>
      <c r="J1273" s="514">
        <v>0.01</v>
      </c>
      <c r="K1273" s="514">
        <v>38.0</v>
      </c>
      <c r="L1273" s="514">
        <v>877892.0</v>
      </c>
      <c r="M1273" s="514">
        <v>4.0E-4</v>
      </c>
      <c r="N1273" s="6">
        <v>3.8</v>
      </c>
    </row>
    <row r="1274">
      <c r="A1274" s="512" t="s">
        <v>2039</v>
      </c>
      <c r="B1274" s="512" t="s">
        <v>163</v>
      </c>
      <c r="C1274" s="512" t="s">
        <v>72</v>
      </c>
      <c r="D1274" s="512" t="s">
        <v>574</v>
      </c>
      <c r="E1274" s="513" t="s">
        <v>379</v>
      </c>
      <c r="F1274" s="514">
        <v>89524.0</v>
      </c>
      <c r="G1274" s="514">
        <v>66452.0</v>
      </c>
      <c r="H1274" s="514">
        <v>74.23</v>
      </c>
      <c r="I1274" s="514">
        <v>24.14</v>
      </c>
      <c r="J1274" s="514">
        <v>26.17</v>
      </c>
      <c r="K1274" s="514">
        <v>202662.0</v>
      </c>
      <c r="L1274" s="514">
        <v>839540.0</v>
      </c>
      <c r="M1274" s="514">
        <v>2.2638</v>
      </c>
      <c r="N1274" s="6">
        <v>3.0498</v>
      </c>
    </row>
    <row r="1275">
      <c r="A1275" s="512" t="s">
        <v>2039</v>
      </c>
      <c r="B1275" s="512" t="s">
        <v>163</v>
      </c>
      <c r="C1275" s="512" t="s">
        <v>72</v>
      </c>
      <c r="D1275" s="512" t="s">
        <v>574</v>
      </c>
      <c r="E1275" s="513" t="s">
        <v>373</v>
      </c>
      <c r="F1275" s="514">
        <v>89524.0</v>
      </c>
      <c r="G1275" s="514">
        <v>44707.0</v>
      </c>
      <c r="H1275" s="514">
        <v>49.94</v>
      </c>
      <c r="I1275" s="514">
        <v>10.9</v>
      </c>
      <c r="J1275" s="514">
        <v>9.64</v>
      </c>
      <c r="K1275" s="514">
        <v>91520.0</v>
      </c>
      <c r="L1275" s="514">
        <v>839540.0</v>
      </c>
      <c r="M1275" s="514">
        <v>1.0223</v>
      </c>
      <c r="N1275" s="6">
        <v>2.0471</v>
      </c>
    </row>
    <row r="1276">
      <c r="A1276" s="512" t="s">
        <v>2039</v>
      </c>
      <c r="B1276" s="512" t="s">
        <v>163</v>
      </c>
      <c r="C1276" s="512" t="s">
        <v>72</v>
      </c>
      <c r="D1276" s="512" t="s">
        <v>574</v>
      </c>
      <c r="E1276" s="513" t="s">
        <v>49</v>
      </c>
      <c r="F1276" s="514">
        <v>89524.0</v>
      </c>
      <c r="G1276" s="514">
        <v>34784.0</v>
      </c>
      <c r="H1276" s="514">
        <v>38.85</v>
      </c>
      <c r="I1276" s="514">
        <v>8.1</v>
      </c>
      <c r="J1276" s="514">
        <v>7.78</v>
      </c>
      <c r="K1276" s="514">
        <v>68018.0</v>
      </c>
      <c r="L1276" s="514">
        <v>839540.0</v>
      </c>
      <c r="M1276" s="514">
        <v>0.7598</v>
      </c>
      <c r="N1276" s="6">
        <v>1.9554</v>
      </c>
    </row>
    <row r="1277">
      <c r="A1277" s="512" t="s">
        <v>2039</v>
      </c>
      <c r="B1277" s="512" t="s">
        <v>163</v>
      </c>
      <c r="C1277" s="512" t="s">
        <v>72</v>
      </c>
      <c r="D1277" s="512" t="s">
        <v>574</v>
      </c>
      <c r="E1277" s="513" t="s">
        <v>374</v>
      </c>
      <c r="F1277" s="514">
        <v>89524.0</v>
      </c>
      <c r="G1277" s="514">
        <v>26864.0</v>
      </c>
      <c r="H1277" s="514">
        <v>30.01</v>
      </c>
      <c r="I1277" s="514">
        <v>7.59</v>
      </c>
      <c r="J1277" s="514">
        <v>10.0</v>
      </c>
      <c r="K1277" s="514">
        <v>63754.0</v>
      </c>
      <c r="L1277" s="514">
        <v>839540.0</v>
      </c>
      <c r="M1277" s="514">
        <v>0.7121</v>
      </c>
      <c r="N1277" s="6">
        <v>2.3732</v>
      </c>
    </row>
    <row r="1278">
      <c r="A1278" s="512" t="s">
        <v>2039</v>
      </c>
      <c r="B1278" s="512" t="s">
        <v>163</v>
      </c>
      <c r="C1278" s="512" t="s">
        <v>72</v>
      </c>
      <c r="D1278" s="512" t="s">
        <v>574</v>
      </c>
      <c r="E1278" s="513" t="s">
        <v>372</v>
      </c>
      <c r="F1278" s="514">
        <v>89524.0</v>
      </c>
      <c r="G1278" s="514">
        <v>39571.0</v>
      </c>
      <c r="H1278" s="514">
        <v>44.2</v>
      </c>
      <c r="I1278" s="514">
        <v>6.98</v>
      </c>
      <c r="J1278" s="514">
        <v>8.47</v>
      </c>
      <c r="K1278" s="514">
        <v>58583.0</v>
      </c>
      <c r="L1278" s="514">
        <v>839540.0</v>
      </c>
      <c r="M1278" s="514">
        <v>0.6544</v>
      </c>
      <c r="N1278" s="6">
        <v>1.4805</v>
      </c>
    </row>
    <row r="1279">
      <c r="A1279" s="512" t="s">
        <v>2039</v>
      </c>
      <c r="B1279" s="512" t="s">
        <v>163</v>
      </c>
      <c r="C1279" s="512" t="s">
        <v>72</v>
      </c>
      <c r="D1279" s="512" t="s">
        <v>574</v>
      </c>
      <c r="E1279" s="513" t="s">
        <v>367</v>
      </c>
      <c r="F1279" s="514">
        <v>89524.0</v>
      </c>
      <c r="G1279" s="514">
        <v>17400.0</v>
      </c>
      <c r="H1279" s="514">
        <v>19.44</v>
      </c>
      <c r="I1279" s="514">
        <v>6.14</v>
      </c>
      <c r="J1279" s="514">
        <v>4.05</v>
      </c>
      <c r="K1279" s="514">
        <v>51572.0</v>
      </c>
      <c r="L1279" s="514">
        <v>839540.0</v>
      </c>
      <c r="M1279" s="514">
        <v>0.5761</v>
      </c>
      <c r="N1279" s="6">
        <v>2.9639</v>
      </c>
    </row>
    <row r="1280">
      <c r="A1280" s="512" t="s">
        <v>2039</v>
      </c>
      <c r="B1280" s="512" t="s">
        <v>163</v>
      </c>
      <c r="C1280" s="512" t="s">
        <v>72</v>
      </c>
      <c r="D1280" s="512" t="s">
        <v>574</v>
      </c>
      <c r="E1280" s="513" t="s">
        <v>40</v>
      </c>
      <c r="F1280" s="514">
        <v>89524.0</v>
      </c>
      <c r="G1280" s="514">
        <v>23306.0</v>
      </c>
      <c r="H1280" s="514">
        <v>26.03</v>
      </c>
      <c r="I1280" s="514">
        <v>5.56</v>
      </c>
      <c r="J1280" s="514">
        <v>5.12</v>
      </c>
      <c r="K1280" s="514">
        <v>46709.0</v>
      </c>
      <c r="L1280" s="514">
        <v>839540.0</v>
      </c>
      <c r="M1280" s="514">
        <v>0.5217</v>
      </c>
      <c r="N1280" s="6">
        <v>2.0042</v>
      </c>
    </row>
    <row r="1281">
      <c r="A1281" s="512" t="s">
        <v>2039</v>
      </c>
      <c r="B1281" s="512" t="s">
        <v>163</v>
      </c>
      <c r="C1281" s="512" t="s">
        <v>72</v>
      </c>
      <c r="D1281" s="512" t="s">
        <v>574</v>
      </c>
      <c r="E1281" s="513" t="s">
        <v>377</v>
      </c>
      <c r="F1281" s="514">
        <v>89524.0</v>
      </c>
      <c r="G1281" s="514">
        <v>28178.0</v>
      </c>
      <c r="H1281" s="514">
        <v>31.48</v>
      </c>
      <c r="I1281" s="514">
        <v>4.99</v>
      </c>
      <c r="J1281" s="514">
        <v>5.25</v>
      </c>
      <c r="K1281" s="514">
        <v>41895.0</v>
      </c>
      <c r="L1281" s="514">
        <v>839540.0</v>
      </c>
      <c r="M1281" s="514">
        <v>0.468</v>
      </c>
      <c r="N1281" s="6">
        <v>1.4868</v>
      </c>
    </row>
    <row r="1282">
      <c r="A1282" s="512" t="s">
        <v>2039</v>
      </c>
      <c r="B1282" s="512" t="s">
        <v>163</v>
      </c>
      <c r="C1282" s="512" t="s">
        <v>72</v>
      </c>
      <c r="D1282" s="512" t="s">
        <v>574</v>
      </c>
      <c r="E1282" s="513" t="s">
        <v>44</v>
      </c>
      <c r="F1282" s="514">
        <v>89524.0</v>
      </c>
      <c r="G1282" s="514">
        <v>24765.0</v>
      </c>
      <c r="H1282" s="514">
        <v>27.66</v>
      </c>
      <c r="I1282" s="514">
        <v>4.45</v>
      </c>
      <c r="J1282" s="514">
        <v>3.14</v>
      </c>
      <c r="K1282" s="514">
        <v>37335.0</v>
      </c>
      <c r="L1282" s="514">
        <v>839540.0</v>
      </c>
      <c r="M1282" s="514">
        <v>0.417</v>
      </c>
      <c r="N1282" s="6">
        <v>1.5076</v>
      </c>
    </row>
    <row r="1283">
      <c r="A1283" s="512" t="s">
        <v>2039</v>
      </c>
      <c r="B1283" s="512" t="s">
        <v>163</v>
      </c>
      <c r="C1283" s="512" t="s">
        <v>72</v>
      </c>
      <c r="D1283" s="512" t="s">
        <v>574</v>
      </c>
      <c r="E1283" s="513" t="s">
        <v>50</v>
      </c>
      <c r="F1283" s="514">
        <v>89524.0</v>
      </c>
      <c r="G1283" s="514">
        <v>21998.0</v>
      </c>
      <c r="H1283" s="514">
        <v>24.57</v>
      </c>
      <c r="I1283" s="514">
        <v>3.79</v>
      </c>
      <c r="J1283" s="514">
        <v>3.42</v>
      </c>
      <c r="K1283" s="514">
        <v>31786.0</v>
      </c>
      <c r="L1283" s="514">
        <v>839540.0</v>
      </c>
      <c r="M1283" s="514">
        <v>0.3551</v>
      </c>
      <c r="N1283" s="6">
        <v>1.4449</v>
      </c>
    </row>
    <row r="1284">
      <c r="A1284" s="512" t="s">
        <v>2039</v>
      </c>
      <c r="B1284" s="512" t="s">
        <v>163</v>
      </c>
      <c r="C1284" s="512" t="s">
        <v>72</v>
      </c>
      <c r="D1284" s="512" t="s">
        <v>574</v>
      </c>
      <c r="E1284" s="513" t="s">
        <v>380</v>
      </c>
      <c r="F1284" s="514">
        <v>89524.0</v>
      </c>
      <c r="G1284" s="514">
        <v>23453.0</v>
      </c>
      <c r="H1284" s="514">
        <v>26.2</v>
      </c>
      <c r="I1284" s="514">
        <v>3.75</v>
      </c>
      <c r="J1284" s="514">
        <v>3.01</v>
      </c>
      <c r="K1284" s="514">
        <v>31450.0</v>
      </c>
      <c r="L1284" s="514">
        <v>839540.0</v>
      </c>
      <c r="M1284" s="514">
        <v>0.3513</v>
      </c>
      <c r="N1284" s="6">
        <v>1.341</v>
      </c>
    </row>
    <row r="1285">
      <c r="A1285" s="512" t="s">
        <v>2039</v>
      </c>
      <c r="B1285" s="512" t="s">
        <v>163</v>
      </c>
      <c r="C1285" s="512" t="s">
        <v>72</v>
      </c>
      <c r="D1285" s="512" t="s">
        <v>574</v>
      </c>
      <c r="E1285" s="513" t="s">
        <v>42</v>
      </c>
      <c r="F1285" s="514">
        <v>89524.0</v>
      </c>
      <c r="G1285" s="514">
        <v>21147.0</v>
      </c>
      <c r="H1285" s="514">
        <v>23.62</v>
      </c>
      <c r="I1285" s="514">
        <v>3.67</v>
      </c>
      <c r="J1285" s="514">
        <v>3.92</v>
      </c>
      <c r="K1285" s="514">
        <v>30794.0</v>
      </c>
      <c r="L1285" s="514">
        <v>839540.0</v>
      </c>
      <c r="M1285" s="514">
        <v>0.344</v>
      </c>
      <c r="N1285" s="6">
        <v>1.4562</v>
      </c>
    </row>
    <row r="1286">
      <c r="A1286" s="512" t="s">
        <v>2039</v>
      </c>
      <c r="B1286" s="512" t="s">
        <v>163</v>
      </c>
      <c r="C1286" s="512" t="s">
        <v>72</v>
      </c>
      <c r="D1286" s="512" t="s">
        <v>574</v>
      </c>
      <c r="E1286" s="513" t="s">
        <v>312</v>
      </c>
      <c r="F1286" s="514">
        <v>89524.0</v>
      </c>
      <c r="G1286" s="514">
        <v>17760.0</v>
      </c>
      <c r="H1286" s="514">
        <v>19.84</v>
      </c>
      <c r="I1286" s="514">
        <v>2.63</v>
      </c>
      <c r="J1286" s="514">
        <v>2.88</v>
      </c>
      <c r="K1286" s="514">
        <v>22083.0</v>
      </c>
      <c r="L1286" s="514">
        <v>839540.0</v>
      </c>
      <c r="M1286" s="514">
        <v>0.2467</v>
      </c>
      <c r="N1286" s="6">
        <v>1.2434</v>
      </c>
    </row>
    <row r="1287">
      <c r="A1287" s="512" t="s">
        <v>2039</v>
      </c>
      <c r="B1287" s="512" t="s">
        <v>163</v>
      </c>
      <c r="C1287" s="512" t="s">
        <v>72</v>
      </c>
      <c r="D1287" s="512" t="s">
        <v>574</v>
      </c>
      <c r="E1287" s="513" t="s">
        <v>310</v>
      </c>
      <c r="F1287" s="514">
        <v>89524.0</v>
      </c>
      <c r="G1287" s="514">
        <v>15983.0</v>
      </c>
      <c r="H1287" s="514">
        <v>17.85</v>
      </c>
      <c r="I1287" s="514">
        <v>2.27</v>
      </c>
      <c r="J1287" s="514">
        <v>2.45</v>
      </c>
      <c r="K1287" s="514">
        <v>19026.0</v>
      </c>
      <c r="L1287" s="514">
        <v>839540.0</v>
      </c>
      <c r="M1287" s="514">
        <v>0.2125</v>
      </c>
      <c r="N1287" s="6">
        <v>1.1904</v>
      </c>
    </row>
    <row r="1288">
      <c r="A1288" s="512" t="s">
        <v>2039</v>
      </c>
      <c r="B1288" s="512" t="s">
        <v>163</v>
      </c>
      <c r="C1288" s="512" t="s">
        <v>72</v>
      </c>
      <c r="D1288" s="512" t="s">
        <v>574</v>
      </c>
      <c r="E1288" s="513" t="s">
        <v>32</v>
      </c>
      <c r="F1288" s="514">
        <v>89524.0</v>
      </c>
      <c r="G1288" s="514">
        <v>12866.0</v>
      </c>
      <c r="H1288" s="514">
        <v>14.37</v>
      </c>
      <c r="I1288" s="514">
        <v>1.81</v>
      </c>
      <c r="J1288" s="514">
        <v>1.89</v>
      </c>
      <c r="K1288" s="514">
        <v>15213.0</v>
      </c>
      <c r="L1288" s="514">
        <v>839540.0</v>
      </c>
      <c r="M1288" s="514">
        <v>0.1699</v>
      </c>
      <c r="N1288" s="6">
        <v>1.1824</v>
      </c>
    </row>
    <row r="1289">
      <c r="A1289" s="512" t="s">
        <v>2039</v>
      </c>
      <c r="B1289" s="512" t="s">
        <v>163</v>
      </c>
      <c r="C1289" s="512" t="s">
        <v>72</v>
      </c>
      <c r="D1289" s="512" t="s">
        <v>574</v>
      </c>
      <c r="E1289" s="513" t="s">
        <v>134</v>
      </c>
      <c r="F1289" s="514">
        <v>89524.0</v>
      </c>
      <c r="G1289" s="514">
        <v>7745.0</v>
      </c>
      <c r="H1289" s="514">
        <v>8.65</v>
      </c>
      <c r="I1289" s="514">
        <v>1.69</v>
      </c>
      <c r="J1289" s="514">
        <v>1.04</v>
      </c>
      <c r="K1289" s="514">
        <v>14228.0</v>
      </c>
      <c r="L1289" s="514">
        <v>839540.0</v>
      </c>
      <c r="M1289" s="514">
        <v>0.1589</v>
      </c>
      <c r="N1289" s="6">
        <v>1.8371</v>
      </c>
    </row>
    <row r="1290">
      <c r="A1290" s="512" t="s">
        <v>2039</v>
      </c>
      <c r="B1290" s="512" t="s">
        <v>163</v>
      </c>
      <c r="C1290" s="512" t="s">
        <v>72</v>
      </c>
      <c r="D1290" s="512" t="s">
        <v>574</v>
      </c>
      <c r="E1290" s="513" t="s">
        <v>43</v>
      </c>
      <c r="F1290" s="514">
        <v>89524.0</v>
      </c>
      <c r="G1290" s="514">
        <v>6163.0</v>
      </c>
      <c r="H1290" s="514">
        <v>6.88</v>
      </c>
      <c r="I1290" s="514">
        <v>0.81</v>
      </c>
      <c r="J1290" s="514">
        <v>0.96</v>
      </c>
      <c r="K1290" s="514">
        <v>6797.0</v>
      </c>
      <c r="L1290" s="514">
        <v>839540.0</v>
      </c>
      <c r="M1290" s="514">
        <v>0.0759</v>
      </c>
      <c r="N1290" s="6">
        <v>1.1029</v>
      </c>
    </row>
    <row r="1291">
      <c r="A1291" s="512" t="s">
        <v>2039</v>
      </c>
      <c r="B1291" s="512" t="s">
        <v>163</v>
      </c>
      <c r="C1291" s="512" t="s">
        <v>72</v>
      </c>
      <c r="D1291" s="512" t="s">
        <v>574</v>
      </c>
      <c r="E1291" s="513" t="s">
        <v>311</v>
      </c>
      <c r="F1291" s="514">
        <v>89524.0</v>
      </c>
      <c r="G1291" s="514">
        <v>4662.0</v>
      </c>
      <c r="H1291" s="514">
        <v>5.21</v>
      </c>
      <c r="I1291" s="514">
        <v>0.57</v>
      </c>
      <c r="J1291" s="514">
        <v>0.72</v>
      </c>
      <c r="K1291" s="514">
        <v>4786.0</v>
      </c>
      <c r="L1291" s="514">
        <v>839540.0</v>
      </c>
      <c r="M1291" s="514">
        <v>0.0535</v>
      </c>
      <c r="N1291" s="6">
        <v>1.0266</v>
      </c>
    </row>
    <row r="1292">
      <c r="A1292" s="512" t="s">
        <v>2039</v>
      </c>
      <c r="B1292" s="512" t="s">
        <v>163</v>
      </c>
      <c r="C1292" s="512" t="s">
        <v>72</v>
      </c>
      <c r="D1292" s="512" t="s">
        <v>574</v>
      </c>
      <c r="E1292" s="513" t="s">
        <v>375</v>
      </c>
      <c r="F1292" s="514">
        <v>89524.0</v>
      </c>
      <c r="G1292" s="514">
        <v>1052.0</v>
      </c>
      <c r="H1292" s="514">
        <v>1.18</v>
      </c>
      <c r="I1292" s="514">
        <v>0.14</v>
      </c>
      <c r="J1292" s="514">
        <v>0.09</v>
      </c>
      <c r="K1292" s="514">
        <v>1195.0</v>
      </c>
      <c r="L1292" s="514">
        <v>839540.0</v>
      </c>
      <c r="M1292" s="514">
        <v>0.0133</v>
      </c>
      <c r="N1292" s="6">
        <v>1.1359</v>
      </c>
    </row>
    <row r="1293">
      <c r="A1293" s="512" t="s">
        <v>2039</v>
      </c>
      <c r="B1293" s="512" t="s">
        <v>163</v>
      </c>
      <c r="C1293" s="512" t="s">
        <v>72</v>
      </c>
      <c r="D1293" s="512" t="s">
        <v>574</v>
      </c>
      <c r="E1293" s="513" t="s">
        <v>189</v>
      </c>
      <c r="F1293" s="514">
        <v>89524.0</v>
      </c>
      <c r="G1293" s="514">
        <v>130.0</v>
      </c>
      <c r="H1293" s="514">
        <v>0.15</v>
      </c>
      <c r="I1293" s="514">
        <v>0.02</v>
      </c>
      <c r="J1293" s="514">
        <v>0.01</v>
      </c>
      <c r="K1293" s="514">
        <v>134.0</v>
      </c>
      <c r="L1293" s="514">
        <v>839540.0</v>
      </c>
      <c r="M1293" s="514">
        <v>0.0015</v>
      </c>
      <c r="N1293" s="6">
        <v>1.0308</v>
      </c>
    </row>
    <row r="1294">
      <c r="A1294" s="512" t="s">
        <v>2039</v>
      </c>
      <c r="B1294" s="512" t="s">
        <v>163</v>
      </c>
      <c r="C1294" s="512" t="s">
        <v>1883</v>
      </c>
      <c r="D1294" s="512" t="s">
        <v>2036</v>
      </c>
      <c r="E1294" s="513" t="s">
        <v>375</v>
      </c>
      <c r="F1294" s="514">
        <v>37607.0</v>
      </c>
      <c r="G1294" s="514">
        <v>23070.0</v>
      </c>
      <c r="H1294" s="514">
        <v>61.34</v>
      </c>
      <c r="I1294" s="514">
        <v>28.5</v>
      </c>
      <c r="J1294" s="514">
        <v>38.63</v>
      </c>
      <c r="K1294" s="514">
        <v>303150.0</v>
      </c>
      <c r="L1294" s="514">
        <v>1063750.0</v>
      </c>
      <c r="M1294" s="514">
        <v>8.061</v>
      </c>
      <c r="N1294" s="6">
        <v>13.1404</v>
      </c>
    </row>
    <row r="1295">
      <c r="A1295" s="512" t="s">
        <v>2039</v>
      </c>
      <c r="B1295" s="512" t="s">
        <v>163</v>
      </c>
      <c r="C1295" s="512" t="s">
        <v>1883</v>
      </c>
      <c r="D1295" s="512" t="s">
        <v>2036</v>
      </c>
      <c r="E1295" s="513" t="s">
        <v>373</v>
      </c>
      <c r="F1295" s="514">
        <v>37607.0</v>
      </c>
      <c r="G1295" s="514">
        <v>9677.0</v>
      </c>
      <c r="H1295" s="514">
        <v>25.73</v>
      </c>
      <c r="I1295" s="514">
        <v>27.86</v>
      </c>
      <c r="J1295" s="514">
        <v>17.15</v>
      </c>
      <c r="K1295" s="514">
        <v>296310.0</v>
      </c>
      <c r="L1295" s="514">
        <v>1063750.0</v>
      </c>
      <c r="M1295" s="514">
        <v>7.8791</v>
      </c>
      <c r="N1295" s="6">
        <v>30.62</v>
      </c>
    </row>
    <row r="1296">
      <c r="A1296" s="512" t="s">
        <v>2039</v>
      </c>
      <c r="B1296" s="512" t="s">
        <v>163</v>
      </c>
      <c r="C1296" s="512" t="s">
        <v>1883</v>
      </c>
      <c r="D1296" s="512" t="s">
        <v>2036</v>
      </c>
      <c r="E1296" s="513" t="s">
        <v>134</v>
      </c>
      <c r="F1296" s="514">
        <v>37607.0</v>
      </c>
      <c r="G1296" s="514">
        <v>11892.0</v>
      </c>
      <c r="H1296" s="514">
        <v>31.62</v>
      </c>
      <c r="I1296" s="514">
        <v>26.5</v>
      </c>
      <c r="J1296" s="514">
        <v>22.8</v>
      </c>
      <c r="K1296" s="514">
        <v>281910.0</v>
      </c>
      <c r="L1296" s="514">
        <v>1063750.0</v>
      </c>
      <c r="M1296" s="514">
        <v>7.4962</v>
      </c>
      <c r="N1296" s="6">
        <v>23.7059</v>
      </c>
    </row>
    <row r="1297">
      <c r="A1297" s="512" t="s">
        <v>2039</v>
      </c>
      <c r="B1297" s="512" t="s">
        <v>163</v>
      </c>
      <c r="C1297" s="512" t="s">
        <v>1883</v>
      </c>
      <c r="D1297" s="512" t="s">
        <v>2036</v>
      </c>
      <c r="E1297" s="513" t="s">
        <v>189</v>
      </c>
      <c r="F1297" s="514">
        <v>37607.0</v>
      </c>
      <c r="G1297" s="514">
        <v>12816.0</v>
      </c>
      <c r="H1297" s="514">
        <v>34.08</v>
      </c>
      <c r="I1297" s="514">
        <v>12.64</v>
      </c>
      <c r="J1297" s="514">
        <v>17.44</v>
      </c>
      <c r="K1297" s="514">
        <v>134490.0</v>
      </c>
      <c r="L1297" s="514">
        <v>1063750.0</v>
      </c>
      <c r="M1297" s="514">
        <v>3.5762</v>
      </c>
      <c r="N1297" s="6">
        <v>10.4939</v>
      </c>
    </row>
    <row r="1298">
      <c r="A1298" s="512" t="s">
        <v>2039</v>
      </c>
      <c r="B1298" s="512" t="s">
        <v>163</v>
      </c>
      <c r="C1298" s="512" t="s">
        <v>1883</v>
      </c>
      <c r="D1298" s="512" t="s">
        <v>2036</v>
      </c>
      <c r="E1298" s="513" t="s">
        <v>35</v>
      </c>
      <c r="F1298" s="514">
        <v>37607.0</v>
      </c>
      <c r="G1298" s="514">
        <v>2065.0</v>
      </c>
      <c r="H1298" s="514">
        <v>5.49</v>
      </c>
      <c r="I1298" s="514">
        <v>3.09</v>
      </c>
      <c r="J1298" s="514">
        <v>2.56</v>
      </c>
      <c r="K1298" s="514">
        <v>32820.0</v>
      </c>
      <c r="L1298" s="514">
        <v>1063750.0</v>
      </c>
      <c r="M1298" s="514">
        <v>0.8727</v>
      </c>
      <c r="N1298" s="6">
        <v>15.8935</v>
      </c>
    </row>
    <row r="1299">
      <c r="A1299" s="512" t="s">
        <v>2039</v>
      </c>
      <c r="B1299" s="512" t="s">
        <v>163</v>
      </c>
      <c r="C1299" s="512" t="s">
        <v>1883</v>
      </c>
      <c r="D1299" s="512" t="s">
        <v>2036</v>
      </c>
      <c r="E1299" s="513" t="s">
        <v>377</v>
      </c>
      <c r="F1299" s="514">
        <v>37607.0</v>
      </c>
      <c r="G1299" s="514">
        <v>428.0</v>
      </c>
      <c r="H1299" s="514">
        <v>1.14</v>
      </c>
      <c r="I1299" s="514">
        <v>1.26</v>
      </c>
      <c r="J1299" s="514">
        <v>1.06</v>
      </c>
      <c r="K1299" s="514">
        <v>13435.0</v>
      </c>
      <c r="L1299" s="514">
        <v>1063750.0</v>
      </c>
      <c r="M1299" s="514">
        <v>0.3572</v>
      </c>
      <c r="N1299" s="6">
        <v>31.3902</v>
      </c>
    </row>
    <row r="1300">
      <c r="A1300" s="512" t="s">
        <v>2039</v>
      </c>
      <c r="B1300" s="512" t="s">
        <v>163</v>
      </c>
      <c r="C1300" s="512" t="s">
        <v>1883</v>
      </c>
      <c r="D1300" s="512" t="s">
        <v>2036</v>
      </c>
      <c r="E1300" s="513" t="s">
        <v>380</v>
      </c>
      <c r="F1300" s="514">
        <v>37607.0</v>
      </c>
      <c r="G1300" s="514">
        <v>143.0</v>
      </c>
      <c r="H1300" s="514">
        <v>0.38</v>
      </c>
      <c r="I1300" s="514">
        <v>0.15</v>
      </c>
      <c r="J1300" s="514">
        <v>0.35</v>
      </c>
      <c r="K1300" s="514">
        <v>1560.0</v>
      </c>
      <c r="L1300" s="514">
        <v>1063750.0</v>
      </c>
      <c r="M1300" s="514">
        <v>0.0415</v>
      </c>
      <c r="N1300" s="6">
        <v>10.9091</v>
      </c>
    </row>
    <row r="1301">
      <c r="A1301" s="512" t="s">
        <v>2039</v>
      </c>
      <c r="B1301" s="512" t="s">
        <v>163</v>
      </c>
      <c r="C1301" s="512" t="s">
        <v>1883</v>
      </c>
      <c r="D1301" s="512" t="s">
        <v>2036</v>
      </c>
      <c r="E1301" s="513" t="s">
        <v>42</v>
      </c>
      <c r="F1301" s="514">
        <v>37607.0</v>
      </c>
      <c r="G1301" s="514">
        <v>2.0</v>
      </c>
      <c r="H1301" s="514">
        <v>0.01</v>
      </c>
      <c r="I1301" s="514">
        <v>0.01</v>
      </c>
      <c r="J1301" s="514">
        <v>0.0</v>
      </c>
      <c r="K1301" s="514">
        <v>60.0</v>
      </c>
      <c r="L1301" s="514">
        <v>1063750.0</v>
      </c>
      <c r="M1301" s="514">
        <v>0.0016</v>
      </c>
      <c r="N1301" s="6">
        <v>30.0</v>
      </c>
    </row>
    <row r="1302">
      <c r="A1302" s="512" t="s">
        <v>2039</v>
      </c>
      <c r="B1302" s="512" t="s">
        <v>163</v>
      </c>
      <c r="C1302" s="512" t="s">
        <v>1883</v>
      </c>
      <c r="D1302" s="512" t="s">
        <v>2036</v>
      </c>
      <c r="E1302" s="513" t="s">
        <v>46</v>
      </c>
      <c r="F1302" s="514">
        <v>37607.0</v>
      </c>
      <c r="G1302" s="514">
        <v>1.0</v>
      </c>
      <c r="H1302" s="514">
        <v>0.0</v>
      </c>
      <c r="I1302" s="514">
        <v>0.0</v>
      </c>
      <c r="J1302" s="514">
        <v>0.0</v>
      </c>
      <c r="K1302" s="514">
        <v>15.0</v>
      </c>
      <c r="L1302" s="514">
        <v>1063750.0</v>
      </c>
      <c r="M1302" s="514">
        <v>4.0E-4</v>
      </c>
      <c r="N1302" s="6">
        <v>15.0</v>
      </c>
    </row>
    <row r="1303">
      <c r="A1303" s="512" t="s">
        <v>2039</v>
      </c>
      <c r="B1303" s="512" t="s">
        <v>163</v>
      </c>
      <c r="C1303" s="512" t="s">
        <v>1884</v>
      </c>
      <c r="D1303" s="512" t="s">
        <v>2036</v>
      </c>
      <c r="E1303" s="513" t="s">
        <v>380</v>
      </c>
      <c r="F1303" s="514">
        <v>69073.0</v>
      </c>
      <c r="G1303" s="514">
        <v>39078.0</v>
      </c>
      <c r="H1303" s="514">
        <v>56.57</v>
      </c>
      <c r="I1303" s="514">
        <v>27.0</v>
      </c>
      <c r="J1303" s="514">
        <v>35.44</v>
      </c>
      <c r="K1303" s="514">
        <v>727230.0</v>
      </c>
      <c r="L1303" s="514">
        <v>2693845.0</v>
      </c>
      <c r="M1303" s="514">
        <v>10.5284</v>
      </c>
      <c r="N1303" s="6">
        <v>18.6097</v>
      </c>
    </row>
    <row r="1304">
      <c r="A1304" s="512" t="s">
        <v>2039</v>
      </c>
      <c r="B1304" s="512" t="s">
        <v>163</v>
      </c>
      <c r="C1304" s="512" t="s">
        <v>1884</v>
      </c>
      <c r="D1304" s="512" t="s">
        <v>2036</v>
      </c>
      <c r="E1304" s="513" t="s">
        <v>373</v>
      </c>
      <c r="F1304" s="514">
        <v>69073.0</v>
      </c>
      <c r="G1304" s="514">
        <v>10214.0</v>
      </c>
      <c r="H1304" s="514">
        <v>14.79</v>
      </c>
      <c r="I1304" s="514">
        <v>23.24</v>
      </c>
      <c r="J1304" s="514">
        <v>9.59</v>
      </c>
      <c r="K1304" s="514">
        <v>626040.0</v>
      </c>
      <c r="L1304" s="514">
        <v>2693845.0</v>
      </c>
      <c r="M1304" s="514">
        <v>9.0635</v>
      </c>
      <c r="N1304" s="6">
        <v>61.2923</v>
      </c>
    </row>
    <row r="1305">
      <c r="A1305" s="512" t="s">
        <v>2039</v>
      </c>
      <c r="B1305" s="512" t="s">
        <v>163</v>
      </c>
      <c r="C1305" s="512" t="s">
        <v>1884</v>
      </c>
      <c r="D1305" s="512" t="s">
        <v>2036</v>
      </c>
      <c r="E1305" s="513" t="s">
        <v>375</v>
      </c>
      <c r="F1305" s="514">
        <v>69073.0</v>
      </c>
      <c r="G1305" s="514">
        <v>37411.0</v>
      </c>
      <c r="H1305" s="514">
        <v>54.16</v>
      </c>
      <c r="I1305" s="514">
        <v>19.99</v>
      </c>
      <c r="J1305" s="514">
        <v>24.52</v>
      </c>
      <c r="K1305" s="514">
        <v>538430.0</v>
      </c>
      <c r="L1305" s="514">
        <v>2693845.0</v>
      </c>
      <c r="M1305" s="514">
        <v>7.7951</v>
      </c>
      <c r="N1305" s="6">
        <v>14.3923</v>
      </c>
    </row>
    <row r="1306">
      <c r="A1306" s="512" t="s">
        <v>2039</v>
      </c>
      <c r="B1306" s="512" t="s">
        <v>163</v>
      </c>
      <c r="C1306" s="512" t="s">
        <v>1884</v>
      </c>
      <c r="D1306" s="512" t="s">
        <v>2036</v>
      </c>
      <c r="E1306" s="513" t="s">
        <v>134</v>
      </c>
      <c r="F1306" s="514">
        <v>69073.0</v>
      </c>
      <c r="G1306" s="514">
        <v>15604.0</v>
      </c>
      <c r="H1306" s="514">
        <v>22.59</v>
      </c>
      <c r="I1306" s="514">
        <v>11.36</v>
      </c>
      <c r="J1306" s="514">
        <v>10.28</v>
      </c>
      <c r="K1306" s="514">
        <v>305935.0</v>
      </c>
      <c r="L1306" s="514">
        <v>2693845.0</v>
      </c>
      <c r="M1306" s="514">
        <v>4.4292</v>
      </c>
      <c r="N1306" s="6">
        <v>19.6062</v>
      </c>
    </row>
    <row r="1307">
      <c r="A1307" s="512" t="s">
        <v>2039</v>
      </c>
      <c r="B1307" s="512" t="s">
        <v>163</v>
      </c>
      <c r="C1307" s="512" t="s">
        <v>1884</v>
      </c>
      <c r="D1307" s="512" t="s">
        <v>2036</v>
      </c>
      <c r="E1307" s="513" t="s">
        <v>189</v>
      </c>
      <c r="F1307" s="514">
        <v>69073.0</v>
      </c>
      <c r="G1307" s="514">
        <v>19178.0</v>
      </c>
      <c r="H1307" s="514">
        <v>27.76</v>
      </c>
      <c r="I1307" s="514">
        <v>7.67</v>
      </c>
      <c r="J1307" s="514">
        <v>10.38</v>
      </c>
      <c r="K1307" s="514">
        <v>206575.0</v>
      </c>
      <c r="L1307" s="514">
        <v>2693845.0</v>
      </c>
      <c r="M1307" s="514">
        <v>2.9907</v>
      </c>
      <c r="N1307" s="6">
        <v>10.7715</v>
      </c>
    </row>
    <row r="1308">
      <c r="A1308" s="512" t="s">
        <v>2039</v>
      </c>
      <c r="B1308" s="512" t="s">
        <v>163</v>
      </c>
      <c r="C1308" s="512" t="s">
        <v>1884</v>
      </c>
      <c r="D1308" s="512" t="s">
        <v>2036</v>
      </c>
      <c r="E1308" s="513" t="s">
        <v>44</v>
      </c>
      <c r="F1308" s="514">
        <v>69073.0</v>
      </c>
      <c r="G1308" s="514">
        <v>11755.0</v>
      </c>
      <c r="H1308" s="514">
        <v>17.02</v>
      </c>
      <c r="I1308" s="514">
        <v>5.67</v>
      </c>
      <c r="J1308" s="514">
        <v>5.45</v>
      </c>
      <c r="K1308" s="514">
        <v>152630.0</v>
      </c>
      <c r="L1308" s="514">
        <v>2693845.0</v>
      </c>
      <c r="M1308" s="514">
        <v>2.2097</v>
      </c>
      <c r="N1308" s="6">
        <v>12.9843</v>
      </c>
    </row>
    <row r="1309">
      <c r="A1309" s="512" t="s">
        <v>2039</v>
      </c>
      <c r="B1309" s="512" t="s">
        <v>163</v>
      </c>
      <c r="C1309" s="512" t="s">
        <v>1884</v>
      </c>
      <c r="D1309" s="512" t="s">
        <v>2036</v>
      </c>
      <c r="E1309" s="513" t="s">
        <v>35</v>
      </c>
      <c r="F1309" s="514">
        <v>69073.0</v>
      </c>
      <c r="G1309" s="514">
        <v>7441.0</v>
      </c>
      <c r="H1309" s="514">
        <v>10.77</v>
      </c>
      <c r="I1309" s="514">
        <v>4.58</v>
      </c>
      <c r="J1309" s="514">
        <v>3.89</v>
      </c>
      <c r="K1309" s="514">
        <v>123465.0</v>
      </c>
      <c r="L1309" s="514">
        <v>2693845.0</v>
      </c>
      <c r="M1309" s="514">
        <v>1.7875</v>
      </c>
      <c r="N1309" s="6">
        <v>16.5925</v>
      </c>
    </row>
    <row r="1310">
      <c r="A1310" s="512" t="s">
        <v>2039</v>
      </c>
      <c r="B1310" s="512" t="s">
        <v>163</v>
      </c>
      <c r="C1310" s="512" t="s">
        <v>1884</v>
      </c>
      <c r="D1310" s="512" t="s">
        <v>2036</v>
      </c>
      <c r="E1310" s="513" t="s">
        <v>377</v>
      </c>
      <c r="F1310" s="514">
        <v>69073.0</v>
      </c>
      <c r="G1310" s="514">
        <v>438.0</v>
      </c>
      <c r="H1310" s="514">
        <v>0.63</v>
      </c>
      <c r="I1310" s="514">
        <v>0.5</v>
      </c>
      <c r="J1310" s="514">
        <v>0.44</v>
      </c>
      <c r="K1310" s="514">
        <v>13470.0</v>
      </c>
      <c r="L1310" s="514">
        <v>2693845.0</v>
      </c>
      <c r="M1310" s="514">
        <v>0.195</v>
      </c>
      <c r="N1310" s="6">
        <v>30.7534</v>
      </c>
    </row>
    <row r="1311">
      <c r="A1311" s="512" t="s">
        <v>2039</v>
      </c>
      <c r="B1311" s="512" t="s">
        <v>163</v>
      </c>
      <c r="C1311" s="512" t="s">
        <v>1884</v>
      </c>
      <c r="D1311" s="512" t="s">
        <v>2036</v>
      </c>
      <c r="E1311" s="513" t="s">
        <v>42</v>
      </c>
      <c r="F1311" s="514">
        <v>69073.0</v>
      </c>
      <c r="G1311" s="514">
        <v>1.0</v>
      </c>
      <c r="H1311" s="514">
        <v>0.0</v>
      </c>
      <c r="I1311" s="514">
        <v>0.0</v>
      </c>
      <c r="J1311" s="514">
        <v>0.0</v>
      </c>
      <c r="K1311" s="514">
        <v>15.0</v>
      </c>
      <c r="L1311" s="514">
        <v>2693845.0</v>
      </c>
      <c r="M1311" s="514">
        <v>2.0E-4</v>
      </c>
      <c r="N1311" s="6">
        <v>15.0</v>
      </c>
    </row>
    <row r="1312">
      <c r="A1312" s="512" t="s">
        <v>2039</v>
      </c>
      <c r="B1312" s="512" t="s">
        <v>163</v>
      </c>
      <c r="C1312" s="512" t="s">
        <v>1884</v>
      </c>
      <c r="D1312" s="512" t="s">
        <v>2036</v>
      </c>
      <c r="E1312" s="513" t="s">
        <v>40</v>
      </c>
      <c r="F1312" s="514">
        <v>69073.0</v>
      </c>
      <c r="G1312" s="514">
        <v>1.0</v>
      </c>
      <c r="H1312" s="514">
        <v>0.0</v>
      </c>
      <c r="I1312" s="514">
        <v>0.0</v>
      </c>
      <c r="J1312" s="514">
        <v>0.0</v>
      </c>
      <c r="K1312" s="514">
        <v>15.0</v>
      </c>
      <c r="L1312" s="514">
        <v>2693845.0</v>
      </c>
      <c r="M1312" s="514">
        <v>2.0E-4</v>
      </c>
      <c r="N1312" s="6">
        <v>15.0</v>
      </c>
    </row>
    <row r="1313">
      <c r="A1313" s="512" t="s">
        <v>2039</v>
      </c>
      <c r="B1313" s="512" t="s">
        <v>163</v>
      </c>
      <c r="C1313" s="512" t="s">
        <v>1884</v>
      </c>
      <c r="D1313" s="512" t="s">
        <v>2036</v>
      </c>
      <c r="E1313" s="513" t="s">
        <v>374</v>
      </c>
      <c r="F1313" s="514">
        <v>69073.0</v>
      </c>
      <c r="G1313" s="514">
        <v>4.0</v>
      </c>
      <c r="H1313" s="514">
        <v>0.01</v>
      </c>
      <c r="I1313" s="514">
        <v>0.0</v>
      </c>
      <c r="J1313" s="514">
        <v>0.0</v>
      </c>
      <c r="K1313" s="514">
        <v>40.0</v>
      </c>
      <c r="L1313" s="514">
        <v>2693845.0</v>
      </c>
      <c r="M1313" s="514">
        <v>6.0E-4</v>
      </c>
      <c r="N1313" s="6">
        <v>10.0</v>
      </c>
    </row>
    <row r="1314">
      <c r="A1314" s="512" t="s">
        <v>2039</v>
      </c>
      <c r="B1314" s="512" t="s">
        <v>163</v>
      </c>
      <c r="C1314" s="512" t="s">
        <v>1885</v>
      </c>
      <c r="D1314" s="512" t="s">
        <v>2036</v>
      </c>
      <c r="E1314" s="513" t="s">
        <v>380</v>
      </c>
      <c r="F1314" s="514">
        <v>78282.0</v>
      </c>
      <c r="G1314" s="514">
        <v>56416.0</v>
      </c>
      <c r="H1314" s="514">
        <v>72.07</v>
      </c>
      <c r="I1314" s="514">
        <v>33.73</v>
      </c>
      <c r="J1314" s="514">
        <v>43.3</v>
      </c>
      <c r="K1314" s="514">
        <v>1294035.0</v>
      </c>
      <c r="L1314" s="514">
        <v>3836455.0</v>
      </c>
      <c r="M1314" s="514">
        <v>16.5304</v>
      </c>
      <c r="N1314" s="6">
        <v>22.9374</v>
      </c>
    </row>
    <row r="1315">
      <c r="A1315" s="512" t="s">
        <v>2039</v>
      </c>
      <c r="B1315" s="512" t="s">
        <v>163</v>
      </c>
      <c r="C1315" s="512" t="s">
        <v>1885</v>
      </c>
      <c r="D1315" s="512" t="s">
        <v>2036</v>
      </c>
      <c r="E1315" s="513" t="s">
        <v>375</v>
      </c>
      <c r="F1315" s="514">
        <v>78282.0</v>
      </c>
      <c r="G1315" s="514">
        <v>41150.0</v>
      </c>
      <c r="H1315" s="514">
        <v>52.57</v>
      </c>
      <c r="I1315" s="514">
        <v>19.37</v>
      </c>
      <c r="J1315" s="514">
        <v>20.74</v>
      </c>
      <c r="K1315" s="514">
        <v>743225.0</v>
      </c>
      <c r="L1315" s="514">
        <v>3836455.0</v>
      </c>
      <c r="M1315" s="514">
        <v>9.4942</v>
      </c>
      <c r="N1315" s="6">
        <v>18.0614</v>
      </c>
    </row>
    <row r="1316">
      <c r="A1316" s="512" t="s">
        <v>2039</v>
      </c>
      <c r="B1316" s="512" t="s">
        <v>163</v>
      </c>
      <c r="C1316" s="512" t="s">
        <v>1885</v>
      </c>
      <c r="D1316" s="512" t="s">
        <v>2036</v>
      </c>
      <c r="E1316" s="513" t="s">
        <v>373</v>
      </c>
      <c r="F1316" s="514">
        <v>78282.0</v>
      </c>
      <c r="G1316" s="514">
        <v>10331.0</v>
      </c>
      <c r="H1316" s="514">
        <v>13.2</v>
      </c>
      <c r="I1316" s="514">
        <v>16.47</v>
      </c>
      <c r="J1316" s="514">
        <v>7.28</v>
      </c>
      <c r="K1316" s="514">
        <v>631950.0</v>
      </c>
      <c r="L1316" s="514">
        <v>3836455.0</v>
      </c>
      <c r="M1316" s="514">
        <v>8.0727</v>
      </c>
      <c r="N1316" s="6">
        <v>61.1703</v>
      </c>
    </row>
    <row r="1317">
      <c r="A1317" s="512" t="s">
        <v>2039</v>
      </c>
      <c r="B1317" s="512" t="s">
        <v>163</v>
      </c>
      <c r="C1317" s="512" t="s">
        <v>1885</v>
      </c>
      <c r="D1317" s="512" t="s">
        <v>2036</v>
      </c>
      <c r="E1317" s="513" t="s">
        <v>44</v>
      </c>
      <c r="F1317" s="514">
        <v>78282.0</v>
      </c>
      <c r="G1317" s="514">
        <v>24765.0</v>
      </c>
      <c r="H1317" s="514">
        <v>31.64</v>
      </c>
      <c r="I1317" s="514">
        <v>9.68</v>
      </c>
      <c r="J1317" s="514">
        <v>9.17</v>
      </c>
      <c r="K1317" s="514">
        <v>371210.0</v>
      </c>
      <c r="L1317" s="514">
        <v>3836455.0</v>
      </c>
      <c r="M1317" s="514">
        <v>4.742</v>
      </c>
      <c r="N1317" s="6">
        <v>14.9893</v>
      </c>
    </row>
    <row r="1318">
      <c r="A1318" s="512" t="s">
        <v>2039</v>
      </c>
      <c r="B1318" s="512" t="s">
        <v>163</v>
      </c>
      <c r="C1318" s="512" t="s">
        <v>1885</v>
      </c>
      <c r="D1318" s="512" t="s">
        <v>2036</v>
      </c>
      <c r="E1318" s="513" t="s">
        <v>134</v>
      </c>
      <c r="F1318" s="514">
        <v>78282.0</v>
      </c>
      <c r="G1318" s="514">
        <v>12002.0</v>
      </c>
      <c r="H1318" s="514">
        <v>15.33</v>
      </c>
      <c r="I1318" s="514">
        <v>7.65</v>
      </c>
      <c r="J1318" s="514">
        <v>5.58</v>
      </c>
      <c r="K1318" s="514">
        <v>293435.0</v>
      </c>
      <c r="L1318" s="514">
        <v>3836455.0</v>
      </c>
      <c r="M1318" s="514">
        <v>3.7484</v>
      </c>
      <c r="N1318" s="6">
        <v>24.4488</v>
      </c>
    </row>
    <row r="1319">
      <c r="A1319" s="512" t="s">
        <v>2039</v>
      </c>
      <c r="B1319" s="512" t="s">
        <v>163</v>
      </c>
      <c r="C1319" s="512" t="s">
        <v>1885</v>
      </c>
      <c r="D1319" s="512" t="s">
        <v>2036</v>
      </c>
      <c r="E1319" s="513" t="s">
        <v>189</v>
      </c>
      <c r="F1319" s="514">
        <v>78282.0</v>
      </c>
      <c r="G1319" s="514">
        <v>21120.0</v>
      </c>
      <c r="H1319" s="514">
        <v>26.98</v>
      </c>
      <c r="I1319" s="514">
        <v>7.03</v>
      </c>
      <c r="J1319" s="514">
        <v>8.33</v>
      </c>
      <c r="K1319" s="514">
        <v>269720.0</v>
      </c>
      <c r="L1319" s="514">
        <v>3836455.0</v>
      </c>
      <c r="M1319" s="514">
        <v>3.4455</v>
      </c>
      <c r="N1319" s="6">
        <v>12.7708</v>
      </c>
    </row>
    <row r="1320">
      <c r="A1320" s="512" t="s">
        <v>2039</v>
      </c>
      <c r="B1320" s="512" t="s">
        <v>163</v>
      </c>
      <c r="C1320" s="512" t="s">
        <v>1885</v>
      </c>
      <c r="D1320" s="512" t="s">
        <v>2036</v>
      </c>
      <c r="E1320" s="513" t="s">
        <v>35</v>
      </c>
      <c r="F1320" s="514">
        <v>78282.0</v>
      </c>
      <c r="G1320" s="514">
        <v>13176.0</v>
      </c>
      <c r="H1320" s="514">
        <v>16.83</v>
      </c>
      <c r="I1320" s="514">
        <v>5.69</v>
      </c>
      <c r="J1320" s="514">
        <v>5.2</v>
      </c>
      <c r="K1320" s="514">
        <v>218115.0</v>
      </c>
      <c r="L1320" s="514">
        <v>3836455.0</v>
      </c>
      <c r="M1320" s="514">
        <v>2.7863</v>
      </c>
      <c r="N1320" s="6">
        <v>16.554</v>
      </c>
    </row>
    <row r="1321">
      <c r="A1321" s="512" t="s">
        <v>2039</v>
      </c>
      <c r="B1321" s="512" t="s">
        <v>163</v>
      </c>
      <c r="C1321" s="512" t="s">
        <v>1885</v>
      </c>
      <c r="D1321" s="512" t="s">
        <v>2036</v>
      </c>
      <c r="E1321" s="513" t="s">
        <v>377</v>
      </c>
      <c r="F1321" s="514">
        <v>78282.0</v>
      </c>
      <c r="G1321" s="514">
        <v>513.0</v>
      </c>
      <c r="H1321" s="514">
        <v>0.66</v>
      </c>
      <c r="I1321" s="514">
        <v>0.38</v>
      </c>
      <c r="J1321" s="514">
        <v>0.39</v>
      </c>
      <c r="K1321" s="514">
        <v>14615.0</v>
      </c>
      <c r="L1321" s="514">
        <v>3836455.0</v>
      </c>
      <c r="M1321" s="514">
        <v>0.1867</v>
      </c>
      <c r="N1321" s="6">
        <v>28.4893</v>
      </c>
    </row>
    <row r="1322">
      <c r="A1322" s="512" t="s">
        <v>2039</v>
      </c>
      <c r="B1322" s="512" t="s">
        <v>163</v>
      </c>
      <c r="C1322" s="512" t="s">
        <v>1885</v>
      </c>
      <c r="D1322" s="512" t="s">
        <v>2036</v>
      </c>
      <c r="E1322" s="513" t="s">
        <v>42</v>
      </c>
      <c r="F1322" s="514">
        <v>78282.0</v>
      </c>
      <c r="G1322" s="514">
        <v>2.0</v>
      </c>
      <c r="H1322" s="514">
        <v>0.0</v>
      </c>
      <c r="I1322" s="514">
        <v>0.0</v>
      </c>
      <c r="J1322" s="514">
        <v>0.0</v>
      </c>
      <c r="K1322" s="514">
        <v>30.0</v>
      </c>
      <c r="L1322" s="514">
        <v>3836455.0</v>
      </c>
      <c r="M1322" s="514">
        <v>4.0E-4</v>
      </c>
      <c r="N1322" s="6">
        <v>15.0</v>
      </c>
    </row>
    <row r="1323">
      <c r="A1323" s="512" t="s">
        <v>2039</v>
      </c>
      <c r="B1323" s="512" t="s">
        <v>163</v>
      </c>
      <c r="C1323" s="512" t="s">
        <v>1885</v>
      </c>
      <c r="D1323" s="512" t="s">
        <v>2036</v>
      </c>
      <c r="E1323" s="513" t="s">
        <v>40</v>
      </c>
      <c r="F1323" s="514">
        <v>78282.0</v>
      </c>
      <c r="G1323" s="514">
        <v>1.0</v>
      </c>
      <c r="H1323" s="514">
        <v>0.0</v>
      </c>
      <c r="I1323" s="514">
        <v>0.0</v>
      </c>
      <c r="J1323" s="514">
        <v>0.0</v>
      </c>
      <c r="K1323" s="514">
        <v>15.0</v>
      </c>
      <c r="L1323" s="514">
        <v>3836455.0</v>
      </c>
      <c r="M1323" s="514">
        <v>2.0E-4</v>
      </c>
      <c r="N1323" s="6">
        <v>15.0</v>
      </c>
    </row>
    <row r="1324">
      <c r="A1324" s="512" t="s">
        <v>2039</v>
      </c>
      <c r="B1324" s="512" t="s">
        <v>163</v>
      </c>
      <c r="C1324" s="512" t="s">
        <v>1885</v>
      </c>
      <c r="D1324" s="512" t="s">
        <v>2036</v>
      </c>
      <c r="E1324" s="513" t="s">
        <v>379</v>
      </c>
      <c r="F1324" s="514">
        <v>78282.0</v>
      </c>
      <c r="G1324" s="514">
        <v>1.0</v>
      </c>
      <c r="H1324" s="514">
        <v>0.0</v>
      </c>
      <c r="I1324" s="514">
        <v>0.0</v>
      </c>
      <c r="J1324" s="514">
        <v>0.0</v>
      </c>
      <c r="K1324" s="514">
        <v>15.0</v>
      </c>
      <c r="L1324" s="514">
        <v>3836455.0</v>
      </c>
      <c r="M1324" s="514">
        <v>2.0E-4</v>
      </c>
      <c r="N1324" s="6">
        <v>15.0</v>
      </c>
    </row>
    <row r="1325">
      <c r="A1325" s="512" t="s">
        <v>2039</v>
      </c>
      <c r="B1325" s="512" t="s">
        <v>163</v>
      </c>
      <c r="C1325" s="512" t="s">
        <v>1885</v>
      </c>
      <c r="D1325" s="512" t="s">
        <v>2036</v>
      </c>
      <c r="E1325" s="513" t="s">
        <v>374</v>
      </c>
      <c r="F1325" s="514">
        <v>78282.0</v>
      </c>
      <c r="G1325" s="514">
        <v>1.0</v>
      </c>
      <c r="H1325" s="514">
        <v>0.0</v>
      </c>
      <c r="I1325" s="514">
        <v>0.0</v>
      </c>
      <c r="J1325" s="514">
        <v>0.0</v>
      </c>
      <c r="K1325" s="514">
        <v>10.0</v>
      </c>
      <c r="L1325" s="514">
        <v>3836455.0</v>
      </c>
      <c r="M1325" s="514">
        <v>1.0E-4</v>
      </c>
      <c r="N1325" s="6">
        <v>10.0</v>
      </c>
    </row>
    <row r="1326">
      <c r="A1326" s="512" t="s">
        <v>2039</v>
      </c>
      <c r="B1326" s="512" t="s">
        <v>163</v>
      </c>
      <c r="C1326" s="512" t="s">
        <v>1885</v>
      </c>
      <c r="D1326" s="512" t="s">
        <v>2036</v>
      </c>
      <c r="E1326" s="513" t="s">
        <v>382</v>
      </c>
      <c r="F1326" s="514">
        <v>78282.0</v>
      </c>
      <c r="G1326" s="514">
        <v>6.0</v>
      </c>
      <c r="H1326" s="514">
        <v>0.01</v>
      </c>
      <c r="I1326" s="514">
        <v>0.0</v>
      </c>
      <c r="J1326" s="514">
        <v>0.0</v>
      </c>
      <c r="K1326" s="514">
        <v>80.0</v>
      </c>
      <c r="L1326" s="514">
        <v>3836455.0</v>
      </c>
      <c r="M1326" s="514">
        <v>0.001</v>
      </c>
      <c r="N1326" s="6">
        <v>13.3333</v>
      </c>
    </row>
    <row r="1327">
      <c r="A1327" s="512" t="s">
        <v>2039</v>
      </c>
      <c r="B1327" s="512" t="s">
        <v>163</v>
      </c>
      <c r="C1327" s="512" t="s">
        <v>75</v>
      </c>
      <c r="D1327" s="512" t="s">
        <v>2036</v>
      </c>
      <c r="E1327" s="513" t="s">
        <v>379</v>
      </c>
      <c r="F1327" s="514">
        <v>99051.0</v>
      </c>
      <c r="G1327" s="514">
        <v>95780.0</v>
      </c>
      <c r="H1327" s="514">
        <v>96.7</v>
      </c>
      <c r="I1327" s="514">
        <v>34.61</v>
      </c>
      <c r="J1327" s="514">
        <v>32.75</v>
      </c>
      <c r="K1327" s="514">
        <v>2.817628E7</v>
      </c>
      <c r="L1327" s="514">
        <v>8.1409575E7</v>
      </c>
      <c r="M1327" s="514">
        <v>284.4623</v>
      </c>
      <c r="N1327" s="6">
        <v>294.1771</v>
      </c>
    </row>
    <row r="1328">
      <c r="A1328" s="512" t="s">
        <v>2039</v>
      </c>
      <c r="B1328" s="512" t="s">
        <v>163</v>
      </c>
      <c r="C1328" s="512" t="s">
        <v>75</v>
      </c>
      <c r="D1328" s="512" t="s">
        <v>2036</v>
      </c>
      <c r="E1328" s="513" t="s">
        <v>49</v>
      </c>
      <c r="F1328" s="514">
        <v>99051.0</v>
      </c>
      <c r="G1328" s="514">
        <v>65742.0</v>
      </c>
      <c r="H1328" s="514">
        <v>66.37</v>
      </c>
      <c r="I1328" s="514">
        <v>15.77</v>
      </c>
      <c r="J1328" s="514">
        <v>15.18</v>
      </c>
      <c r="K1328" s="514">
        <v>1.28423E7</v>
      </c>
      <c r="L1328" s="514">
        <v>8.1409575E7</v>
      </c>
      <c r="M1328" s="514">
        <v>129.6534</v>
      </c>
      <c r="N1328" s="6">
        <v>195.3439</v>
      </c>
    </row>
    <row r="1329">
      <c r="A1329" s="512" t="s">
        <v>2039</v>
      </c>
      <c r="B1329" s="512" t="s">
        <v>163</v>
      </c>
      <c r="C1329" s="512" t="s">
        <v>75</v>
      </c>
      <c r="D1329" s="512" t="s">
        <v>2036</v>
      </c>
      <c r="E1329" s="513" t="s">
        <v>373</v>
      </c>
      <c r="F1329" s="514">
        <v>99051.0</v>
      </c>
      <c r="G1329" s="514">
        <v>73120.0</v>
      </c>
      <c r="H1329" s="514">
        <v>73.82</v>
      </c>
      <c r="I1329" s="514">
        <v>10.88</v>
      </c>
      <c r="J1329" s="514">
        <v>10.09</v>
      </c>
      <c r="K1329" s="514">
        <v>8855350.0</v>
      </c>
      <c r="L1329" s="514">
        <v>8.1409575E7</v>
      </c>
      <c r="M1329" s="514">
        <v>89.4019</v>
      </c>
      <c r="N1329" s="6">
        <v>121.1071</v>
      </c>
    </row>
    <row r="1330">
      <c r="A1330" s="512" t="s">
        <v>2039</v>
      </c>
      <c r="B1330" s="512" t="s">
        <v>163</v>
      </c>
      <c r="C1330" s="512" t="s">
        <v>75</v>
      </c>
      <c r="D1330" s="512" t="s">
        <v>2036</v>
      </c>
      <c r="E1330" s="513" t="s">
        <v>44</v>
      </c>
      <c r="F1330" s="514">
        <v>99051.0</v>
      </c>
      <c r="G1330" s="514">
        <v>58164.0</v>
      </c>
      <c r="H1330" s="514">
        <v>58.72</v>
      </c>
      <c r="I1330" s="514">
        <v>8.88</v>
      </c>
      <c r="J1330" s="514">
        <v>9.68</v>
      </c>
      <c r="K1330" s="514">
        <v>7229940.0</v>
      </c>
      <c r="L1330" s="514">
        <v>8.1409575E7</v>
      </c>
      <c r="M1330" s="514">
        <v>72.9921</v>
      </c>
      <c r="N1330" s="6">
        <v>124.3027</v>
      </c>
    </row>
    <row r="1331">
      <c r="A1331" s="512" t="s">
        <v>2039</v>
      </c>
      <c r="B1331" s="512" t="s">
        <v>163</v>
      </c>
      <c r="C1331" s="512" t="s">
        <v>75</v>
      </c>
      <c r="D1331" s="512" t="s">
        <v>2036</v>
      </c>
      <c r="E1331" s="513" t="s">
        <v>380</v>
      </c>
      <c r="F1331" s="514">
        <v>99051.0</v>
      </c>
      <c r="G1331" s="514">
        <v>59678.0</v>
      </c>
      <c r="H1331" s="514">
        <v>60.25</v>
      </c>
      <c r="I1331" s="514">
        <v>8.26</v>
      </c>
      <c r="J1331" s="514">
        <v>10.97</v>
      </c>
      <c r="K1331" s="514">
        <v>6726755.0</v>
      </c>
      <c r="L1331" s="514">
        <v>8.1409575E7</v>
      </c>
      <c r="M1331" s="514">
        <v>67.912</v>
      </c>
      <c r="N1331" s="6">
        <v>112.7175</v>
      </c>
    </row>
    <row r="1332">
      <c r="A1332" s="512" t="s">
        <v>2039</v>
      </c>
      <c r="B1332" s="512" t="s">
        <v>163</v>
      </c>
      <c r="C1332" s="512" t="s">
        <v>75</v>
      </c>
      <c r="D1332" s="512" t="s">
        <v>2036</v>
      </c>
      <c r="E1332" s="513" t="s">
        <v>372</v>
      </c>
      <c r="F1332" s="514">
        <v>99051.0</v>
      </c>
      <c r="G1332" s="514">
        <v>57211.0</v>
      </c>
      <c r="H1332" s="514">
        <v>57.76</v>
      </c>
      <c r="I1332" s="514">
        <v>6.17</v>
      </c>
      <c r="J1332" s="514">
        <v>6.67</v>
      </c>
      <c r="K1332" s="514">
        <v>5023830.0</v>
      </c>
      <c r="L1332" s="514">
        <v>8.1409575E7</v>
      </c>
      <c r="M1332" s="514">
        <v>50.7196</v>
      </c>
      <c r="N1332" s="6">
        <v>87.8123</v>
      </c>
    </row>
    <row r="1333">
      <c r="A1333" s="512" t="s">
        <v>2039</v>
      </c>
      <c r="B1333" s="512" t="s">
        <v>163</v>
      </c>
      <c r="C1333" s="512" t="s">
        <v>75</v>
      </c>
      <c r="D1333" s="512" t="s">
        <v>2036</v>
      </c>
      <c r="E1333" s="513" t="s">
        <v>374</v>
      </c>
      <c r="F1333" s="514">
        <v>99051.0</v>
      </c>
      <c r="G1333" s="514">
        <v>42509.0</v>
      </c>
      <c r="H1333" s="514">
        <v>42.92</v>
      </c>
      <c r="I1333" s="514">
        <v>4.36</v>
      </c>
      <c r="J1333" s="514">
        <v>4.2</v>
      </c>
      <c r="K1333" s="514">
        <v>3550900.0</v>
      </c>
      <c r="L1333" s="514">
        <v>8.1409575E7</v>
      </c>
      <c r="M1333" s="514">
        <v>35.8492</v>
      </c>
      <c r="N1333" s="6">
        <v>83.5329</v>
      </c>
    </row>
    <row r="1334">
      <c r="A1334" s="512" t="s">
        <v>2039</v>
      </c>
      <c r="B1334" s="512" t="s">
        <v>163</v>
      </c>
      <c r="C1334" s="512" t="s">
        <v>75</v>
      </c>
      <c r="D1334" s="512" t="s">
        <v>2036</v>
      </c>
      <c r="E1334" s="513" t="s">
        <v>375</v>
      </c>
      <c r="F1334" s="514">
        <v>99051.0</v>
      </c>
      <c r="G1334" s="514">
        <v>34724.0</v>
      </c>
      <c r="H1334" s="514">
        <v>35.06</v>
      </c>
      <c r="I1334" s="514">
        <v>3.36</v>
      </c>
      <c r="J1334" s="514">
        <v>2.77</v>
      </c>
      <c r="K1334" s="514">
        <v>2738730.0</v>
      </c>
      <c r="L1334" s="514">
        <v>8.1409575E7</v>
      </c>
      <c r="M1334" s="514">
        <v>27.6497</v>
      </c>
      <c r="N1334" s="6">
        <v>78.8714</v>
      </c>
    </row>
    <row r="1335">
      <c r="A1335" s="512" t="s">
        <v>2039</v>
      </c>
      <c r="B1335" s="512" t="s">
        <v>163</v>
      </c>
      <c r="C1335" s="512" t="s">
        <v>75</v>
      </c>
      <c r="D1335" s="512" t="s">
        <v>2036</v>
      </c>
      <c r="E1335" s="513" t="s">
        <v>35</v>
      </c>
      <c r="F1335" s="514">
        <v>99051.0</v>
      </c>
      <c r="G1335" s="514">
        <v>22965.0</v>
      </c>
      <c r="H1335" s="514">
        <v>23.19</v>
      </c>
      <c r="I1335" s="514">
        <v>1.77</v>
      </c>
      <c r="J1335" s="514">
        <v>1.59</v>
      </c>
      <c r="K1335" s="514">
        <v>1444590.0</v>
      </c>
      <c r="L1335" s="514">
        <v>8.1409575E7</v>
      </c>
      <c r="M1335" s="514">
        <v>14.5843</v>
      </c>
      <c r="N1335" s="6">
        <v>62.904</v>
      </c>
    </row>
    <row r="1336">
      <c r="A1336" s="512" t="s">
        <v>2039</v>
      </c>
      <c r="B1336" s="512" t="s">
        <v>163</v>
      </c>
      <c r="C1336" s="512" t="s">
        <v>75</v>
      </c>
      <c r="D1336" s="512" t="s">
        <v>2036</v>
      </c>
      <c r="E1336" s="513" t="s">
        <v>32</v>
      </c>
      <c r="F1336" s="514">
        <v>99051.0</v>
      </c>
      <c r="G1336" s="514">
        <v>28210.0</v>
      </c>
      <c r="H1336" s="514">
        <v>28.48</v>
      </c>
      <c r="I1336" s="514">
        <v>1.54</v>
      </c>
      <c r="J1336" s="514">
        <v>1.61</v>
      </c>
      <c r="K1336" s="514">
        <v>1252280.0</v>
      </c>
      <c r="L1336" s="514">
        <v>8.1409575E7</v>
      </c>
      <c r="M1336" s="514">
        <v>12.6428</v>
      </c>
      <c r="N1336" s="6">
        <v>44.3914</v>
      </c>
    </row>
    <row r="1337">
      <c r="A1337" s="512" t="s">
        <v>2039</v>
      </c>
      <c r="B1337" s="512" t="s">
        <v>163</v>
      </c>
      <c r="C1337" s="512" t="s">
        <v>75</v>
      </c>
      <c r="D1337" s="512" t="s">
        <v>2036</v>
      </c>
      <c r="E1337" s="513" t="s">
        <v>43</v>
      </c>
      <c r="F1337" s="514">
        <v>99051.0</v>
      </c>
      <c r="G1337" s="514">
        <v>26777.0</v>
      </c>
      <c r="H1337" s="514">
        <v>27.03</v>
      </c>
      <c r="I1337" s="514">
        <v>1.22</v>
      </c>
      <c r="J1337" s="514">
        <v>1.5</v>
      </c>
      <c r="K1337" s="514">
        <v>993785.0</v>
      </c>
      <c r="L1337" s="514">
        <v>8.1409575E7</v>
      </c>
      <c r="M1337" s="514">
        <v>10.0331</v>
      </c>
      <c r="N1337" s="6">
        <v>37.1134</v>
      </c>
    </row>
    <row r="1338">
      <c r="A1338" s="512" t="s">
        <v>2039</v>
      </c>
      <c r="B1338" s="512" t="s">
        <v>163</v>
      </c>
      <c r="C1338" s="512" t="s">
        <v>75</v>
      </c>
      <c r="D1338" s="512" t="s">
        <v>2036</v>
      </c>
      <c r="E1338" s="513" t="s">
        <v>189</v>
      </c>
      <c r="F1338" s="514">
        <v>99051.0</v>
      </c>
      <c r="G1338" s="514">
        <v>18687.0</v>
      </c>
      <c r="H1338" s="514">
        <v>18.87</v>
      </c>
      <c r="I1338" s="514">
        <v>1.19</v>
      </c>
      <c r="J1338" s="514">
        <v>0.97</v>
      </c>
      <c r="K1338" s="514">
        <v>968775.0</v>
      </c>
      <c r="L1338" s="514">
        <v>8.1409575E7</v>
      </c>
      <c r="M1338" s="514">
        <v>9.7806</v>
      </c>
      <c r="N1338" s="6">
        <v>51.8422</v>
      </c>
    </row>
    <row r="1339">
      <c r="A1339" s="512" t="s">
        <v>2039</v>
      </c>
      <c r="B1339" s="512" t="s">
        <v>163</v>
      </c>
      <c r="C1339" s="512" t="s">
        <v>75</v>
      </c>
      <c r="D1339" s="512" t="s">
        <v>2036</v>
      </c>
      <c r="E1339" s="513" t="s">
        <v>367</v>
      </c>
      <c r="F1339" s="514">
        <v>99051.0</v>
      </c>
      <c r="G1339" s="514">
        <v>19658.0</v>
      </c>
      <c r="H1339" s="514">
        <v>19.85</v>
      </c>
      <c r="I1339" s="514">
        <v>0.95</v>
      </c>
      <c r="J1339" s="514">
        <v>0.73</v>
      </c>
      <c r="K1339" s="514">
        <v>770975.0</v>
      </c>
      <c r="L1339" s="514">
        <v>8.1409575E7</v>
      </c>
      <c r="M1339" s="514">
        <v>7.7836</v>
      </c>
      <c r="N1339" s="6">
        <v>39.2194</v>
      </c>
    </row>
    <row r="1340">
      <c r="A1340" s="512" t="s">
        <v>2039</v>
      </c>
      <c r="B1340" s="512" t="s">
        <v>163</v>
      </c>
      <c r="C1340" s="512" t="s">
        <v>75</v>
      </c>
      <c r="D1340" s="512" t="s">
        <v>2036</v>
      </c>
      <c r="E1340" s="513" t="s">
        <v>377</v>
      </c>
      <c r="F1340" s="514">
        <v>99051.0</v>
      </c>
      <c r="G1340" s="514">
        <v>17115.0</v>
      </c>
      <c r="H1340" s="514">
        <v>17.28</v>
      </c>
      <c r="I1340" s="514">
        <v>0.71</v>
      </c>
      <c r="J1340" s="514">
        <v>0.93</v>
      </c>
      <c r="K1340" s="514">
        <v>580495.0</v>
      </c>
      <c r="L1340" s="514">
        <v>8.1409575E7</v>
      </c>
      <c r="M1340" s="514">
        <v>5.8606</v>
      </c>
      <c r="N1340" s="6">
        <v>33.9173</v>
      </c>
    </row>
    <row r="1341">
      <c r="A1341" s="512" t="s">
        <v>2039</v>
      </c>
      <c r="B1341" s="512" t="s">
        <v>163</v>
      </c>
      <c r="C1341" s="512" t="s">
        <v>75</v>
      </c>
      <c r="D1341" s="512" t="s">
        <v>2036</v>
      </c>
      <c r="E1341" s="513" t="s">
        <v>134</v>
      </c>
      <c r="F1341" s="514">
        <v>99051.0</v>
      </c>
      <c r="G1341" s="514">
        <v>5780.0</v>
      </c>
      <c r="H1341" s="514">
        <v>5.84</v>
      </c>
      <c r="I1341" s="514">
        <v>0.2</v>
      </c>
      <c r="J1341" s="514">
        <v>0.21</v>
      </c>
      <c r="K1341" s="514">
        <v>161840.0</v>
      </c>
      <c r="L1341" s="514">
        <v>8.1409575E7</v>
      </c>
      <c r="M1341" s="514">
        <v>1.6339</v>
      </c>
      <c r="N1341" s="6">
        <v>28.0</v>
      </c>
    </row>
    <row r="1342">
      <c r="A1342" s="512" t="s">
        <v>2039</v>
      </c>
      <c r="B1342" s="512" t="s">
        <v>163</v>
      </c>
      <c r="C1342" s="512" t="s">
        <v>75</v>
      </c>
      <c r="D1342" s="512" t="s">
        <v>2036</v>
      </c>
      <c r="E1342" s="513" t="s">
        <v>50</v>
      </c>
      <c r="F1342" s="514">
        <v>99051.0</v>
      </c>
      <c r="G1342" s="514">
        <v>1778.0</v>
      </c>
      <c r="H1342" s="514">
        <v>1.8</v>
      </c>
      <c r="I1342" s="514">
        <v>0.11</v>
      </c>
      <c r="J1342" s="514">
        <v>0.17</v>
      </c>
      <c r="K1342" s="514">
        <v>92550.0</v>
      </c>
      <c r="L1342" s="514">
        <v>8.1409575E7</v>
      </c>
      <c r="M1342" s="514">
        <v>0.9344</v>
      </c>
      <c r="N1342" s="6">
        <v>52.0529</v>
      </c>
    </row>
    <row r="1343">
      <c r="A1343" s="512" t="s">
        <v>2039</v>
      </c>
      <c r="B1343" s="512" t="s">
        <v>163</v>
      </c>
      <c r="C1343" s="512" t="s">
        <v>75</v>
      </c>
      <c r="D1343" s="512" t="s">
        <v>2036</v>
      </c>
      <c r="E1343" s="513" t="s">
        <v>382</v>
      </c>
      <c r="F1343" s="514">
        <v>99051.0</v>
      </c>
      <c r="G1343" s="514">
        <v>5.0</v>
      </c>
      <c r="H1343" s="514">
        <v>0.01</v>
      </c>
      <c r="I1343" s="514">
        <v>0.0</v>
      </c>
      <c r="J1343" s="514">
        <v>0.0</v>
      </c>
      <c r="K1343" s="514">
        <v>120.0</v>
      </c>
      <c r="L1343" s="514">
        <v>8.1409575E7</v>
      </c>
      <c r="M1343" s="514">
        <v>0.0012</v>
      </c>
      <c r="N1343" s="6">
        <v>24.0</v>
      </c>
    </row>
    <row r="1344">
      <c r="A1344" s="512" t="s">
        <v>2039</v>
      </c>
      <c r="B1344" s="512" t="s">
        <v>163</v>
      </c>
      <c r="C1344" s="512" t="s">
        <v>75</v>
      </c>
      <c r="D1344" s="512" t="s">
        <v>2036</v>
      </c>
      <c r="E1344" s="513" t="s">
        <v>42</v>
      </c>
      <c r="F1344" s="514">
        <v>99051.0</v>
      </c>
      <c r="G1344" s="514">
        <v>2.0</v>
      </c>
      <c r="H1344" s="514">
        <v>0.0</v>
      </c>
      <c r="I1344" s="514">
        <v>0.0</v>
      </c>
      <c r="J1344" s="514">
        <v>0.0</v>
      </c>
      <c r="K1344" s="514">
        <v>80.0</v>
      </c>
      <c r="L1344" s="514">
        <v>8.1409575E7</v>
      </c>
      <c r="M1344" s="514">
        <v>8.0E-4</v>
      </c>
      <c r="N1344" s="6">
        <v>40.0</v>
      </c>
    </row>
    <row r="1345">
      <c r="A1345" s="512" t="s">
        <v>2039</v>
      </c>
      <c r="B1345" s="512" t="s">
        <v>1867</v>
      </c>
      <c r="C1345" s="512" t="s">
        <v>71</v>
      </c>
      <c r="D1345" s="512" t="s">
        <v>574</v>
      </c>
      <c r="E1345" s="513" t="s">
        <v>379</v>
      </c>
      <c r="F1345" s="514">
        <v>51947.0</v>
      </c>
      <c r="G1345" s="514">
        <v>40888.0</v>
      </c>
      <c r="H1345" s="514">
        <v>78.71</v>
      </c>
      <c r="I1345" s="514">
        <v>34.2</v>
      </c>
      <c r="J1345" s="514">
        <v>33.32</v>
      </c>
      <c r="K1345" s="514">
        <v>142628.0</v>
      </c>
      <c r="L1345" s="514">
        <v>416990.0</v>
      </c>
      <c r="M1345" s="514">
        <v>2.7456</v>
      </c>
      <c r="N1345" s="6">
        <v>3.4883</v>
      </c>
    </row>
    <row r="1346">
      <c r="A1346" s="512" t="s">
        <v>2039</v>
      </c>
      <c r="B1346" s="512" t="s">
        <v>1867</v>
      </c>
      <c r="C1346" s="512" t="s">
        <v>71</v>
      </c>
      <c r="D1346" s="512" t="s">
        <v>574</v>
      </c>
      <c r="E1346" s="513" t="s">
        <v>377</v>
      </c>
      <c r="F1346" s="514">
        <v>51947.0</v>
      </c>
      <c r="G1346" s="514">
        <v>38289.0</v>
      </c>
      <c r="H1346" s="514">
        <v>73.71</v>
      </c>
      <c r="I1346" s="514">
        <v>18.95</v>
      </c>
      <c r="J1346" s="514">
        <v>25.73</v>
      </c>
      <c r="K1346" s="514">
        <v>79005.0</v>
      </c>
      <c r="L1346" s="514">
        <v>416990.0</v>
      </c>
      <c r="M1346" s="514">
        <v>1.5209</v>
      </c>
      <c r="N1346" s="6">
        <v>2.0634</v>
      </c>
    </row>
    <row r="1347">
      <c r="A1347" s="512" t="s">
        <v>2039</v>
      </c>
      <c r="B1347" s="512" t="s">
        <v>1867</v>
      </c>
      <c r="C1347" s="512" t="s">
        <v>71</v>
      </c>
      <c r="D1347" s="512" t="s">
        <v>574</v>
      </c>
      <c r="E1347" s="513" t="s">
        <v>380</v>
      </c>
      <c r="F1347" s="514">
        <v>51947.0</v>
      </c>
      <c r="G1347" s="514">
        <v>23794.0</v>
      </c>
      <c r="H1347" s="514">
        <v>45.8</v>
      </c>
      <c r="I1347" s="514">
        <v>17.58</v>
      </c>
      <c r="J1347" s="514">
        <v>12.94</v>
      </c>
      <c r="K1347" s="514">
        <v>73298.0</v>
      </c>
      <c r="L1347" s="514">
        <v>416990.0</v>
      </c>
      <c r="M1347" s="514">
        <v>1.411</v>
      </c>
      <c r="N1347" s="6">
        <v>3.0805</v>
      </c>
    </row>
    <row r="1348">
      <c r="A1348" s="512" t="s">
        <v>2039</v>
      </c>
      <c r="B1348" s="512" t="s">
        <v>1867</v>
      </c>
      <c r="C1348" s="512" t="s">
        <v>71</v>
      </c>
      <c r="D1348" s="512" t="s">
        <v>574</v>
      </c>
      <c r="E1348" s="513" t="s">
        <v>49</v>
      </c>
      <c r="F1348" s="514">
        <v>51947.0</v>
      </c>
      <c r="G1348" s="514">
        <v>21120.0</v>
      </c>
      <c r="H1348" s="514">
        <v>40.66</v>
      </c>
      <c r="I1348" s="514">
        <v>9.35</v>
      </c>
      <c r="J1348" s="514">
        <v>8.96</v>
      </c>
      <c r="K1348" s="514">
        <v>38970.0</v>
      </c>
      <c r="L1348" s="514">
        <v>416990.0</v>
      </c>
      <c r="M1348" s="514">
        <v>0.7502</v>
      </c>
      <c r="N1348" s="6">
        <v>1.8452</v>
      </c>
    </row>
    <row r="1349">
      <c r="A1349" s="512" t="s">
        <v>2039</v>
      </c>
      <c r="B1349" s="512" t="s">
        <v>1867</v>
      </c>
      <c r="C1349" s="512" t="s">
        <v>71</v>
      </c>
      <c r="D1349" s="512" t="s">
        <v>574</v>
      </c>
      <c r="E1349" s="513" t="s">
        <v>44</v>
      </c>
      <c r="F1349" s="514">
        <v>51947.0</v>
      </c>
      <c r="G1349" s="514">
        <v>20378.0</v>
      </c>
      <c r="H1349" s="514">
        <v>39.23</v>
      </c>
      <c r="I1349" s="514">
        <v>7.65</v>
      </c>
      <c r="J1349" s="514">
        <v>6.36</v>
      </c>
      <c r="K1349" s="514">
        <v>31908.0</v>
      </c>
      <c r="L1349" s="514">
        <v>416990.0</v>
      </c>
      <c r="M1349" s="514">
        <v>0.6142</v>
      </c>
      <c r="N1349" s="6">
        <v>1.5658</v>
      </c>
    </row>
    <row r="1350">
      <c r="A1350" s="512" t="s">
        <v>2039</v>
      </c>
      <c r="B1350" s="512" t="s">
        <v>1867</v>
      </c>
      <c r="C1350" s="512" t="s">
        <v>71</v>
      </c>
      <c r="D1350" s="512" t="s">
        <v>574</v>
      </c>
      <c r="E1350" s="513" t="s">
        <v>42</v>
      </c>
      <c r="F1350" s="514">
        <v>51947.0</v>
      </c>
      <c r="G1350" s="514">
        <v>13860.0</v>
      </c>
      <c r="H1350" s="514">
        <v>26.68</v>
      </c>
      <c r="I1350" s="514">
        <v>4.81</v>
      </c>
      <c r="J1350" s="514">
        <v>5.63</v>
      </c>
      <c r="K1350" s="514">
        <v>20077.0</v>
      </c>
      <c r="L1350" s="514">
        <v>416990.0</v>
      </c>
      <c r="M1350" s="514">
        <v>0.3865</v>
      </c>
      <c r="N1350" s="6">
        <v>1.4486</v>
      </c>
    </row>
    <row r="1351">
      <c r="A1351" s="512" t="s">
        <v>2039</v>
      </c>
      <c r="B1351" s="512" t="s">
        <v>1867</v>
      </c>
      <c r="C1351" s="512" t="s">
        <v>71</v>
      </c>
      <c r="D1351" s="512" t="s">
        <v>574</v>
      </c>
      <c r="E1351" s="513" t="s">
        <v>372</v>
      </c>
      <c r="F1351" s="514">
        <v>51947.0</v>
      </c>
      <c r="G1351" s="514">
        <v>11478.0</v>
      </c>
      <c r="H1351" s="514">
        <v>22.1</v>
      </c>
      <c r="I1351" s="514">
        <v>3.05</v>
      </c>
      <c r="J1351" s="514">
        <v>3.17</v>
      </c>
      <c r="K1351" s="514">
        <v>12705.0</v>
      </c>
      <c r="L1351" s="514">
        <v>416990.0</v>
      </c>
      <c r="M1351" s="514">
        <v>0.2446</v>
      </c>
      <c r="N1351" s="6">
        <v>1.1069</v>
      </c>
    </row>
    <row r="1352">
      <c r="A1352" s="512" t="s">
        <v>2039</v>
      </c>
      <c r="B1352" s="512" t="s">
        <v>1867</v>
      </c>
      <c r="C1352" s="512" t="s">
        <v>71</v>
      </c>
      <c r="D1352" s="512" t="s">
        <v>574</v>
      </c>
      <c r="E1352" s="513" t="s">
        <v>50</v>
      </c>
      <c r="F1352" s="514">
        <v>51947.0</v>
      </c>
      <c r="G1352" s="514">
        <v>7720.0</v>
      </c>
      <c r="H1352" s="514">
        <v>14.86</v>
      </c>
      <c r="I1352" s="514">
        <v>2.4</v>
      </c>
      <c r="J1352" s="514">
        <v>1.99</v>
      </c>
      <c r="K1352" s="514">
        <v>10026.0</v>
      </c>
      <c r="L1352" s="514">
        <v>416990.0</v>
      </c>
      <c r="M1352" s="514">
        <v>0.193</v>
      </c>
      <c r="N1352" s="6">
        <v>1.2987</v>
      </c>
    </row>
    <row r="1353">
      <c r="A1353" s="512" t="s">
        <v>2039</v>
      </c>
      <c r="B1353" s="512" t="s">
        <v>1867</v>
      </c>
      <c r="C1353" s="512" t="s">
        <v>71</v>
      </c>
      <c r="D1353" s="512" t="s">
        <v>574</v>
      </c>
      <c r="E1353" s="513" t="s">
        <v>134</v>
      </c>
      <c r="F1353" s="514">
        <v>51947.0</v>
      </c>
      <c r="G1353" s="514">
        <v>4749.0</v>
      </c>
      <c r="H1353" s="514">
        <v>9.14</v>
      </c>
      <c r="I1353" s="514">
        <v>1.57</v>
      </c>
      <c r="J1353" s="514">
        <v>1.47</v>
      </c>
      <c r="K1353" s="514">
        <v>6564.0</v>
      </c>
      <c r="L1353" s="514">
        <v>416990.0</v>
      </c>
      <c r="M1353" s="514">
        <v>0.1264</v>
      </c>
      <c r="N1353" s="6">
        <v>1.3822</v>
      </c>
    </row>
    <row r="1354">
      <c r="A1354" s="512" t="s">
        <v>2039</v>
      </c>
      <c r="B1354" s="512" t="s">
        <v>1867</v>
      </c>
      <c r="C1354" s="512" t="s">
        <v>71</v>
      </c>
      <c r="D1354" s="512" t="s">
        <v>574</v>
      </c>
      <c r="E1354" s="513" t="s">
        <v>43</v>
      </c>
      <c r="F1354" s="514">
        <v>51947.0</v>
      </c>
      <c r="G1354" s="514">
        <v>1416.0</v>
      </c>
      <c r="H1354" s="514">
        <v>2.73</v>
      </c>
      <c r="I1354" s="514">
        <v>0.35</v>
      </c>
      <c r="J1354" s="514">
        <v>0.36</v>
      </c>
      <c r="K1354" s="514">
        <v>1468.0</v>
      </c>
      <c r="L1354" s="514">
        <v>416990.0</v>
      </c>
      <c r="M1354" s="514">
        <v>0.0283</v>
      </c>
      <c r="N1354" s="6">
        <v>1.0367</v>
      </c>
    </row>
    <row r="1355">
      <c r="A1355" s="512" t="s">
        <v>2039</v>
      </c>
      <c r="B1355" s="512" t="s">
        <v>1867</v>
      </c>
      <c r="C1355" s="512" t="s">
        <v>71</v>
      </c>
      <c r="D1355" s="512" t="s">
        <v>574</v>
      </c>
      <c r="E1355" s="513" t="s">
        <v>375</v>
      </c>
      <c r="F1355" s="514">
        <v>51947.0</v>
      </c>
      <c r="G1355" s="514">
        <v>176.0</v>
      </c>
      <c r="H1355" s="514">
        <v>0.34</v>
      </c>
      <c r="I1355" s="514">
        <v>0.04</v>
      </c>
      <c r="J1355" s="514">
        <v>0.04</v>
      </c>
      <c r="K1355" s="514">
        <v>181.0</v>
      </c>
      <c r="L1355" s="514">
        <v>416990.0</v>
      </c>
      <c r="M1355" s="514">
        <v>0.0035</v>
      </c>
      <c r="N1355" s="6">
        <v>1.0284</v>
      </c>
    </row>
    <row r="1356">
      <c r="A1356" s="512" t="s">
        <v>2039</v>
      </c>
      <c r="B1356" s="512" t="s">
        <v>1867</v>
      </c>
      <c r="C1356" s="512" t="s">
        <v>71</v>
      </c>
      <c r="D1356" s="512" t="s">
        <v>574</v>
      </c>
      <c r="E1356" s="513" t="s">
        <v>35</v>
      </c>
      <c r="F1356" s="514">
        <v>51947.0</v>
      </c>
      <c r="G1356" s="514">
        <v>125.0</v>
      </c>
      <c r="H1356" s="514">
        <v>0.24</v>
      </c>
      <c r="I1356" s="514">
        <v>0.03</v>
      </c>
      <c r="J1356" s="514">
        <v>0.02</v>
      </c>
      <c r="K1356" s="514">
        <v>127.0</v>
      </c>
      <c r="L1356" s="514">
        <v>416990.0</v>
      </c>
      <c r="M1356" s="514">
        <v>0.0024</v>
      </c>
      <c r="N1356" s="6">
        <v>1.016</v>
      </c>
    </row>
    <row r="1357">
      <c r="A1357" s="512" t="s">
        <v>2039</v>
      </c>
      <c r="B1357" s="512" t="s">
        <v>1867</v>
      </c>
      <c r="C1357" s="512" t="s">
        <v>71</v>
      </c>
      <c r="D1357" s="512" t="s">
        <v>574</v>
      </c>
      <c r="E1357" s="513" t="s">
        <v>32</v>
      </c>
      <c r="F1357" s="514">
        <v>51947.0</v>
      </c>
      <c r="G1357" s="514">
        <v>6.0</v>
      </c>
      <c r="H1357" s="514">
        <v>0.01</v>
      </c>
      <c r="I1357" s="514">
        <v>0.0</v>
      </c>
      <c r="J1357" s="514">
        <v>0.0</v>
      </c>
      <c r="K1357" s="514">
        <v>7.0</v>
      </c>
      <c r="L1357" s="514">
        <v>416990.0</v>
      </c>
      <c r="M1357" s="514">
        <v>1.0E-4</v>
      </c>
      <c r="N1357" s="6">
        <v>1.1667</v>
      </c>
    </row>
    <row r="1358">
      <c r="A1358" s="512" t="s">
        <v>2039</v>
      </c>
      <c r="B1358" s="512" t="s">
        <v>1867</v>
      </c>
      <c r="C1358" s="512" t="s">
        <v>71</v>
      </c>
      <c r="D1358" s="512" t="s">
        <v>574</v>
      </c>
      <c r="E1358" s="513" t="s">
        <v>189</v>
      </c>
      <c r="F1358" s="514">
        <v>51947.0</v>
      </c>
      <c r="G1358" s="514">
        <v>12.0</v>
      </c>
      <c r="H1358" s="514">
        <v>0.02</v>
      </c>
      <c r="I1358" s="514">
        <v>0.0</v>
      </c>
      <c r="J1358" s="514">
        <v>0.0</v>
      </c>
      <c r="K1358" s="514">
        <v>12.0</v>
      </c>
      <c r="L1358" s="514">
        <v>416990.0</v>
      </c>
      <c r="M1358" s="514">
        <v>2.0E-4</v>
      </c>
      <c r="N1358" s="6">
        <v>1.0</v>
      </c>
    </row>
    <row r="1359">
      <c r="A1359" s="512" t="s">
        <v>2039</v>
      </c>
      <c r="B1359" s="512" t="s">
        <v>1867</v>
      </c>
      <c r="C1359" s="512" t="s">
        <v>71</v>
      </c>
      <c r="D1359" s="512" t="s">
        <v>574</v>
      </c>
      <c r="E1359" s="513" t="s">
        <v>312</v>
      </c>
      <c r="F1359" s="514">
        <v>51947.0</v>
      </c>
      <c r="G1359" s="514">
        <v>2.0</v>
      </c>
      <c r="H1359" s="514">
        <v>0.0</v>
      </c>
      <c r="I1359" s="514">
        <v>0.0</v>
      </c>
      <c r="J1359" s="514">
        <v>0.0</v>
      </c>
      <c r="K1359" s="514">
        <v>4.0</v>
      </c>
      <c r="L1359" s="514">
        <v>416990.0</v>
      </c>
      <c r="M1359" s="514">
        <v>1.0E-4</v>
      </c>
      <c r="N1359" s="6">
        <v>2.0</v>
      </c>
    </row>
    <row r="1360">
      <c r="A1360" s="512" t="s">
        <v>2039</v>
      </c>
      <c r="B1360" s="512" t="s">
        <v>1867</v>
      </c>
      <c r="C1360" s="512" t="s">
        <v>71</v>
      </c>
      <c r="D1360" s="512" t="s">
        <v>574</v>
      </c>
      <c r="E1360" s="513" t="s">
        <v>382</v>
      </c>
      <c r="F1360" s="514">
        <v>51947.0</v>
      </c>
      <c r="G1360" s="514">
        <v>2.0</v>
      </c>
      <c r="H1360" s="514">
        <v>0.0</v>
      </c>
      <c r="I1360" s="514">
        <v>0.0</v>
      </c>
      <c r="J1360" s="514">
        <v>0.0</v>
      </c>
      <c r="K1360" s="514">
        <v>6.0</v>
      </c>
      <c r="L1360" s="514">
        <v>416990.0</v>
      </c>
      <c r="M1360" s="514">
        <v>1.0E-4</v>
      </c>
      <c r="N1360" s="6">
        <v>3.0</v>
      </c>
    </row>
    <row r="1361">
      <c r="A1361" s="512" t="s">
        <v>2039</v>
      </c>
      <c r="B1361" s="512" t="s">
        <v>1867</v>
      </c>
      <c r="C1361" s="512" t="s">
        <v>71</v>
      </c>
      <c r="D1361" s="512" t="s">
        <v>574</v>
      </c>
      <c r="E1361" s="513" t="s">
        <v>374</v>
      </c>
      <c r="F1361" s="514">
        <v>51947.0</v>
      </c>
      <c r="G1361" s="514">
        <v>3.0</v>
      </c>
      <c r="H1361" s="514">
        <v>0.01</v>
      </c>
      <c r="I1361" s="514">
        <v>0.0</v>
      </c>
      <c r="J1361" s="514">
        <v>0.0</v>
      </c>
      <c r="K1361" s="514">
        <v>4.0</v>
      </c>
      <c r="L1361" s="514">
        <v>416990.0</v>
      </c>
      <c r="M1361" s="514">
        <v>1.0E-4</v>
      </c>
      <c r="N1361" s="6">
        <v>1.3333</v>
      </c>
    </row>
    <row r="1362">
      <c r="A1362" s="512" t="s">
        <v>2039</v>
      </c>
      <c r="B1362" s="512" t="s">
        <v>1867</v>
      </c>
      <c r="C1362" s="512" t="s">
        <v>70</v>
      </c>
      <c r="D1362" s="512" t="s">
        <v>574</v>
      </c>
      <c r="E1362" s="513" t="s">
        <v>379</v>
      </c>
      <c r="F1362" s="514">
        <v>54576.0</v>
      </c>
      <c r="G1362" s="514">
        <v>48314.0</v>
      </c>
      <c r="H1362" s="514">
        <v>88.53</v>
      </c>
      <c r="I1362" s="514">
        <v>37.25</v>
      </c>
      <c r="J1362" s="514">
        <v>34.18</v>
      </c>
      <c r="K1362" s="514">
        <v>250225.0</v>
      </c>
      <c r="L1362" s="514">
        <v>671669.0</v>
      </c>
      <c r="M1362" s="514">
        <v>4.5849</v>
      </c>
      <c r="N1362" s="6">
        <v>5.1791</v>
      </c>
    </row>
    <row r="1363">
      <c r="A1363" s="512" t="s">
        <v>2039</v>
      </c>
      <c r="B1363" s="512" t="s">
        <v>1867</v>
      </c>
      <c r="C1363" s="512" t="s">
        <v>70</v>
      </c>
      <c r="D1363" s="512" t="s">
        <v>574</v>
      </c>
      <c r="E1363" s="513" t="s">
        <v>380</v>
      </c>
      <c r="F1363" s="514">
        <v>54576.0</v>
      </c>
      <c r="G1363" s="514">
        <v>39094.0</v>
      </c>
      <c r="H1363" s="514">
        <v>71.63</v>
      </c>
      <c r="I1363" s="514">
        <v>19.78</v>
      </c>
      <c r="J1363" s="514">
        <v>21.14</v>
      </c>
      <c r="K1363" s="514">
        <v>132880.0</v>
      </c>
      <c r="L1363" s="514">
        <v>671669.0</v>
      </c>
      <c r="M1363" s="514">
        <v>2.4348</v>
      </c>
      <c r="N1363" s="6">
        <v>3.399</v>
      </c>
    </row>
    <row r="1364">
      <c r="A1364" s="512" t="s">
        <v>2039</v>
      </c>
      <c r="B1364" s="512" t="s">
        <v>1867</v>
      </c>
      <c r="C1364" s="512" t="s">
        <v>70</v>
      </c>
      <c r="D1364" s="512" t="s">
        <v>574</v>
      </c>
      <c r="E1364" s="513" t="s">
        <v>377</v>
      </c>
      <c r="F1364" s="514">
        <v>54576.0</v>
      </c>
      <c r="G1364" s="514">
        <v>38369.0</v>
      </c>
      <c r="H1364" s="514">
        <v>70.3</v>
      </c>
      <c r="I1364" s="514">
        <v>11.82</v>
      </c>
      <c r="J1364" s="514">
        <v>13.25</v>
      </c>
      <c r="K1364" s="514">
        <v>79391.0</v>
      </c>
      <c r="L1364" s="514">
        <v>671669.0</v>
      </c>
      <c r="M1364" s="514">
        <v>1.4547</v>
      </c>
      <c r="N1364" s="6">
        <v>2.0691</v>
      </c>
    </row>
    <row r="1365">
      <c r="A1365" s="512" t="s">
        <v>2039</v>
      </c>
      <c r="B1365" s="512" t="s">
        <v>1867</v>
      </c>
      <c r="C1365" s="512" t="s">
        <v>70</v>
      </c>
      <c r="D1365" s="512" t="s">
        <v>574</v>
      </c>
      <c r="E1365" s="513" t="s">
        <v>44</v>
      </c>
      <c r="F1365" s="514">
        <v>54576.0</v>
      </c>
      <c r="G1365" s="514">
        <v>26713.0</v>
      </c>
      <c r="H1365" s="514">
        <v>48.95</v>
      </c>
      <c r="I1365" s="514">
        <v>6.32</v>
      </c>
      <c r="J1365" s="514">
        <v>5.98</v>
      </c>
      <c r="K1365" s="514">
        <v>42462.0</v>
      </c>
      <c r="L1365" s="514">
        <v>671669.0</v>
      </c>
      <c r="M1365" s="514">
        <v>0.778</v>
      </c>
      <c r="N1365" s="6">
        <v>1.5896</v>
      </c>
    </row>
    <row r="1366">
      <c r="A1366" s="512" t="s">
        <v>2039</v>
      </c>
      <c r="B1366" s="512" t="s">
        <v>1867</v>
      </c>
      <c r="C1366" s="512" t="s">
        <v>70</v>
      </c>
      <c r="D1366" s="512" t="s">
        <v>574</v>
      </c>
      <c r="E1366" s="513" t="s">
        <v>49</v>
      </c>
      <c r="F1366" s="514">
        <v>54576.0</v>
      </c>
      <c r="G1366" s="514">
        <v>21120.0</v>
      </c>
      <c r="H1366" s="514">
        <v>38.7</v>
      </c>
      <c r="I1366" s="514">
        <v>5.8</v>
      </c>
      <c r="J1366" s="514">
        <v>5.08</v>
      </c>
      <c r="K1366" s="514">
        <v>38970.0</v>
      </c>
      <c r="L1366" s="514">
        <v>671669.0</v>
      </c>
      <c r="M1366" s="514">
        <v>0.7141</v>
      </c>
      <c r="N1366" s="6">
        <v>1.8452</v>
      </c>
    </row>
    <row r="1367">
      <c r="A1367" s="512" t="s">
        <v>2039</v>
      </c>
      <c r="B1367" s="512" t="s">
        <v>1867</v>
      </c>
      <c r="C1367" s="512" t="s">
        <v>70</v>
      </c>
      <c r="D1367" s="512" t="s">
        <v>574</v>
      </c>
      <c r="E1367" s="513" t="s">
        <v>374</v>
      </c>
      <c r="F1367" s="514">
        <v>54576.0</v>
      </c>
      <c r="G1367" s="514">
        <v>16849.0</v>
      </c>
      <c r="H1367" s="514">
        <v>30.87</v>
      </c>
      <c r="I1367" s="514">
        <v>5.36</v>
      </c>
      <c r="J1367" s="514">
        <v>5.78</v>
      </c>
      <c r="K1367" s="514">
        <v>36014.0</v>
      </c>
      <c r="L1367" s="514">
        <v>671669.0</v>
      </c>
      <c r="M1367" s="514">
        <v>0.6599</v>
      </c>
      <c r="N1367" s="6">
        <v>2.1375</v>
      </c>
    </row>
    <row r="1368">
      <c r="A1368" s="512" t="s">
        <v>2039</v>
      </c>
      <c r="B1368" s="512" t="s">
        <v>1867</v>
      </c>
      <c r="C1368" s="512" t="s">
        <v>70</v>
      </c>
      <c r="D1368" s="512" t="s">
        <v>574</v>
      </c>
      <c r="E1368" s="513" t="s">
        <v>375</v>
      </c>
      <c r="F1368" s="514">
        <v>54576.0</v>
      </c>
      <c r="G1368" s="514">
        <v>24275.0</v>
      </c>
      <c r="H1368" s="514">
        <v>44.48</v>
      </c>
      <c r="I1368" s="514">
        <v>4.69</v>
      </c>
      <c r="J1368" s="514">
        <v>5.6</v>
      </c>
      <c r="K1368" s="514">
        <v>31494.0</v>
      </c>
      <c r="L1368" s="514">
        <v>671669.0</v>
      </c>
      <c r="M1368" s="514">
        <v>0.5771</v>
      </c>
      <c r="N1368" s="6">
        <v>1.2974</v>
      </c>
    </row>
    <row r="1369">
      <c r="A1369" s="512" t="s">
        <v>2039</v>
      </c>
      <c r="B1369" s="512" t="s">
        <v>1867</v>
      </c>
      <c r="C1369" s="512" t="s">
        <v>70</v>
      </c>
      <c r="D1369" s="512" t="s">
        <v>574</v>
      </c>
      <c r="E1369" s="513" t="s">
        <v>372</v>
      </c>
      <c r="F1369" s="514">
        <v>54576.0</v>
      </c>
      <c r="G1369" s="514">
        <v>12067.0</v>
      </c>
      <c r="H1369" s="514">
        <v>22.11</v>
      </c>
      <c r="I1369" s="514">
        <v>2.33</v>
      </c>
      <c r="J1369" s="514">
        <v>2.01</v>
      </c>
      <c r="K1369" s="514">
        <v>15625.0</v>
      </c>
      <c r="L1369" s="514">
        <v>671669.0</v>
      </c>
      <c r="M1369" s="514">
        <v>0.2863</v>
      </c>
      <c r="N1369" s="6">
        <v>1.2949</v>
      </c>
    </row>
    <row r="1370">
      <c r="A1370" s="512" t="s">
        <v>2039</v>
      </c>
      <c r="B1370" s="512" t="s">
        <v>1867</v>
      </c>
      <c r="C1370" s="512" t="s">
        <v>70</v>
      </c>
      <c r="D1370" s="512" t="s">
        <v>574</v>
      </c>
      <c r="E1370" s="513" t="s">
        <v>35</v>
      </c>
      <c r="F1370" s="514">
        <v>54576.0</v>
      </c>
      <c r="G1370" s="514">
        <v>12299.0</v>
      </c>
      <c r="H1370" s="514">
        <v>22.54</v>
      </c>
      <c r="I1370" s="514">
        <v>1.96</v>
      </c>
      <c r="J1370" s="514">
        <v>2.18</v>
      </c>
      <c r="K1370" s="514">
        <v>13137.0</v>
      </c>
      <c r="L1370" s="514">
        <v>671669.0</v>
      </c>
      <c r="M1370" s="514">
        <v>0.2407</v>
      </c>
      <c r="N1370" s="6">
        <v>1.0681</v>
      </c>
    </row>
    <row r="1371">
      <c r="A1371" s="512" t="s">
        <v>2039</v>
      </c>
      <c r="B1371" s="512" t="s">
        <v>1867</v>
      </c>
      <c r="C1371" s="512" t="s">
        <v>70</v>
      </c>
      <c r="D1371" s="512" t="s">
        <v>574</v>
      </c>
      <c r="E1371" s="513" t="s">
        <v>189</v>
      </c>
      <c r="F1371" s="514">
        <v>54576.0</v>
      </c>
      <c r="G1371" s="514">
        <v>12059.0</v>
      </c>
      <c r="H1371" s="514">
        <v>22.1</v>
      </c>
      <c r="I1371" s="514">
        <v>1.83</v>
      </c>
      <c r="J1371" s="514">
        <v>2.29</v>
      </c>
      <c r="K1371" s="514">
        <v>12276.0</v>
      </c>
      <c r="L1371" s="514">
        <v>671669.0</v>
      </c>
      <c r="M1371" s="514">
        <v>0.2249</v>
      </c>
      <c r="N1371" s="6">
        <v>1.018</v>
      </c>
    </row>
    <row r="1372">
      <c r="A1372" s="512" t="s">
        <v>2039</v>
      </c>
      <c r="B1372" s="512" t="s">
        <v>1867</v>
      </c>
      <c r="C1372" s="512" t="s">
        <v>70</v>
      </c>
      <c r="D1372" s="512" t="s">
        <v>574</v>
      </c>
      <c r="E1372" s="513" t="s">
        <v>42</v>
      </c>
      <c r="F1372" s="514">
        <v>54576.0</v>
      </c>
      <c r="G1372" s="514">
        <v>5553.0</v>
      </c>
      <c r="H1372" s="514">
        <v>10.17</v>
      </c>
      <c r="I1372" s="514">
        <v>0.99</v>
      </c>
      <c r="J1372" s="514">
        <v>0.98</v>
      </c>
      <c r="K1372" s="514">
        <v>6622.0</v>
      </c>
      <c r="L1372" s="514">
        <v>671669.0</v>
      </c>
      <c r="M1372" s="514">
        <v>0.1213</v>
      </c>
      <c r="N1372" s="6">
        <v>1.1925</v>
      </c>
    </row>
    <row r="1373">
      <c r="A1373" s="512" t="s">
        <v>2039</v>
      </c>
      <c r="B1373" s="512" t="s">
        <v>1867</v>
      </c>
      <c r="C1373" s="512" t="s">
        <v>70</v>
      </c>
      <c r="D1373" s="512" t="s">
        <v>574</v>
      </c>
      <c r="E1373" s="513" t="s">
        <v>134</v>
      </c>
      <c r="F1373" s="514">
        <v>54576.0</v>
      </c>
      <c r="G1373" s="514">
        <v>4374.0</v>
      </c>
      <c r="H1373" s="514">
        <v>8.01</v>
      </c>
      <c r="I1373" s="514">
        <v>0.86</v>
      </c>
      <c r="J1373" s="514">
        <v>0.72</v>
      </c>
      <c r="K1373" s="514">
        <v>5764.0</v>
      </c>
      <c r="L1373" s="514">
        <v>671669.0</v>
      </c>
      <c r="M1373" s="514">
        <v>0.1056</v>
      </c>
      <c r="N1373" s="6">
        <v>1.3178</v>
      </c>
    </row>
    <row r="1374">
      <c r="A1374" s="512" t="s">
        <v>2039</v>
      </c>
      <c r="B1374" s="512" t="s">
        <v>1867</v>
      </c>
      <c r="C1374" s="512" t="s">
        <v>70</v>
      </c>
      <c r="D1374" s="512" t="s">
        <v>574</v>
      </c>
      <c r="E1374" s="513" t="s">
        <v>50</v>
      </c>
      <c r="F1374" s="514">
        <v>54576.0</v>
      </c>
      <c r="G1374" s="514">
        <v>4439.0</v>
      </c>
      <c r="H1374" s="514">
        <v>8.13</v>
      </c>
      <c r="I1374" s="514">
        <v>0.8</v>
      </c>
      <c r="J1374" s="514">
        <v>0.57</v>
      </c>
      <c r="K1374" s="514">
        <v>5377.0</v>
      </c>
      <c r="L1374" s="514">
        <v>671669.0</v>
      </c>
      <c r="M1374" s="514">
        <v>0.0985</v>
      </c>
      <c r="N1374" s="6">
        <v>1.2113</v>
      </c>
    </row>
    <row r="1375">
      <c r="A1375" s="512" t="s">
        <v>2039</v>
      </c>
      <c r="B1375" s="512" t="s">
        <v>1867</v>
      </c>
      <c r="C1375" s="512" t="s">
        <v>70</v>
      </c>
      <c r="D1375" s="512" t="s">
        <v>574</v>
      </c>
      <c r="E1375" s="513" t="s">
        <v>43</v>
      </c>
      <c r="F1375" s="514">
        <v>54576.0</v>
      </c>
      <c r="G1375" s="514">
        <v>1353.0</v>
      </c>
      <c r="H1375" s="514">
        <v>2.48</v>
      </c>
      <c r="I1375" s="514">
        <v>0.21</v>
      </c>
      <c r="J1375" s="514">
        <v>0.22</v>
      </c>
      <c r="K1375" s="514">
        <v>1405.0</v>
      </c>
      <c r="L1375" s="514">
        <v>671669.0</v>
      </c>
      <c r="M1375" s="514">
        <v>0.0257</v>
      </c>
      <c r="N1375" s="6">
        <v>1.0384</v>
      </c>
    </row>
    <row r="1376">
      <c r="A1376" s="512" t="s">
        <v>2039</v>
      </c>
      <c r="B1376" s="512" t="s">
        <v>1867</v>
      </c>
      <c r="C1376" s="512" t="s">
        <v>70</v>
      </c>
      <c r="D1376" s="512" t="s">
        <v>574</v>
      </c>
      <c r="E1376" s="513" t="s">
        <v>382</v>
      </c>
      <c r="F1376" s="514">
        <v>54576.0</v>
      </c>
      <c r="G1376" s="514">
        <v>3.0</v>
      </c>
      <c r="H1376" s="514">
        <v>0.01</v>
      </c>
      <c r="I1376" s="514">
        <v>0.0</v>
      </c>
      <c r="J1376" s="514">
        <v>0.0</v>
      </c>
      <c r="K1376" s="514">
        <v>10.0</v>
      </c>
      <c r="L1376" s="514">
        <v>671669.0</v>
      </c>
      <c r="M1376" s="514">
        <v>2.0E-4</v>
      </c>
      <c r="N1376" s="6">
        <v>3.3333</v>
      </c>
    </row>
    <row r="1377">
      <c r="A1377" s="512" t="s">
        <v>2039</v>
      </c>
      <c r="B1377" s="512" t="s">
        <v>1867</v>
      </c>
      <c r="C1377" s="512" t="s">
        <v>70</v>
      </c>
      <c r="D1377" s="512" t="s">
        <v>574</v>
      </c>
      <c r="E1377" s="513" t="s">
        <v>32</v>
      </c>
      <c r="F1377" s="514">
        <v>54576.0</v>
      </c>
      <c r="G1377" s="514">
        <v>11.0</v>
      </c>
      <c r="H1377" s="514">
        <v>0.02</v>
      </c>
      <c r="I1377" s="514">
        <v>0.0</v>
      </c>
      <c r="J1377" s="514">
        <v>0.0</v>
      </c>
      <c r="K1377" s="514">
        <v>13.0</v>
      </c>
      <c r="L1377" s="514">
        <v>671669.0</v>
      </c>
      <c r="M1377" s="514">
        <v>2.0E-4</v>
      </c>
      <c r="N1377" s="6">
        <v>1.1818</v>
      </c>
    </row>
    <row r="1378">
      <c r="A1378" s="512" t="s">
        <v>2039</v>
      </c>
      <c r="B1378" s="512" t="s">
        <v>1867</v>
      </c>
      <c r="C1378" s="512" t="s">
        <v>70</v>
      </c>
      <c r="D1378" s="512" t="s">
        <v>574</v>
      </c>
      <c r="E1378" s="513" t="s">
        <v>311</v>
      </c>
      <c r="F1378" s="514">
        <v>54576.0</v>
      </c>
      <c r="G1378" s="514">
        <v>2.0</v>
      </c>
      <c r="H1378" s="514">
        <v>0.0</v>
      </c>
      <c r="I1378" s="514">
        <v>0.0</v>
      </c>
      <c r="J1378" s="514">
        <v>0.0</v>
      </c>
      <c r="K1378" s="514">
        <v>4.0</v>
      </c>
      <c r="L1378" s="514">
        <v>671669.0</v>
      </c>
      <c r="M1378" s="514">
        <v>1.0E-4</v>
      </c>
      <c r="N1378" s="6">
        <v>2.0</v>
      </c>
    </row>
    <row r="1379">
      <c r="A1379" s="512" t="s">
        <v>2039</v>
      </c>
      <c r="B1379" s="512" t="s">
        <v>1867</v>
      </c>
      <c r="C1379" s="512" t="s">
        <v>74</v>
      </c>
      <c r="D1379" s="512" t="s">
        <v>574</v>
      </c>
      <c r="E1379" s="513" t="s">
        <v>379</v>
      </c>
      <c r="F1379" s="514">
        <v>48018.0</v>
      </c>
      <c r="G1379" s="514">
        <v>39715.0</v>
      </c>
      <c r="H1379" s="514">
        <v>82.71</v>
      </c>
      <c r="I1379" s="514">
        <v>35.35</v>
      </c>
      <c r="J1379" s="514">
        <v>39.87</v>
      </c>
      <c r="K1379" s="514">
        <v>107668.0</v>
      </c>
      <c r="L1379" s="514">
        <v>304574.0</v>
      </c>
      <c r="M1379" s="514">
        <v>2.2422</v>
      </c>
      <c r="N1379" s="6">
        <v>2.711</v>
      </c>
    </row>
    <row r="1380">
      <c r="A1380" s="512" t="s">
        <v>2039</v>
      </c>
      <c r="B1380" s="512" t="s">
        <v>1867</v>
      </c>
      <c r="C1380" s="512" t="s">
        <v>74</v>
      </c>
      <c r="D1380" s="512" t="s">
        <v>574</v>
      </c>
      <c r="E1380" s="513" t="s">
        <v>42</v>
      </c>
      <c r="F1380" s="514">
        <v>48018.0</v>
      </c>
      <c r="G1380" s="514">
        <v>23087.0</v>
      </c>
      <c r="H1380" s="514">
        <v>48.08</v>
      </c>
      <c r="I1380" s="514">
        <v>15.36</v>
      </c>
      <c r="J1380" s="514">
        <v>16.09</v>
      </c>
      <c r="K1380" s="514">
        <v>46796.0</v>
      </c>
      <c r="L1380" s="514">
        <v>304574.0</v>
      </c>
      <c r="M1380" s="514">
        <v>0.9746</v>
      </c>
      <c r="N1380" s="6">
        <v>2.0269</v>
      </c>
    </row>
    <row r="1381">
      <c r="A1381" s="512" t="s">
        <v>2039</v>
      </c>
      <c r="B1381" s="512" t="s">
        <v>1867</v>
      </c>
      <c r="C1381" s="512" t="s">
        <v>74</v>
      </c>
      <c r="D1381" s="512" t="s">
        <v>574</v>
      </c>
      <c r="E1381" s="513" t="s">
        <v>380</v>
      </c>
      <c r="F1381" s="514">
        <v>48018.0</v>
      </c>
      <c r="G1381" s="514">
        <v>12148.0</v>
      </c>
      <c r="H1381" s="514">
        <v>25.3</v>
      </c>
      <c r="I1381" s="514">
        <v>10.15</v>
      </c>
      <c r="J1381" s="514">
        <v>7.44</v>
      </c>
      <c r="K1381" s="514">
        <v>30922.0</v>
      </c>
      <c r="L1381" s="514">
        <v>304574.0</v>
      </c>
      <c r="M1381" s="514">
        <v>0.644</v>
      </c>
      <c r="N1381" s="6">
        <v>2.5454</v>
      </c>
    </row>
    <row r="1382">
      <c r="A1382" s="512" t="s">
        <v>2039</v>
      </c>
      <c r="B1382" s="512" t="s">
        <v>1867</v>
      </c>
      <c r="C1382" s="512" t="s">
        <v>74</v>
      </c>
      <c r="D1382" s="512" t="s">
        <v>574</v>
      </c>
      <c r="E1382" s="513" t="s">
        <v>50</v>
      </c>
      <c r="F1382" s="514">
        <v>48018.0</v>
      </c>
      <c r="G1382" s="514">
        <v>14557.0</v>
      </c>
      <c r="H1382" s="514">
        <v>30.32</v>
      </c>
      <c r="I1382" s="514">
        <v>6.88</v>
      </c>
      <c r="J1382" s="514">
        <v>7.4</v>
      </c>
      <c r="K1382" s="514">
        <v>20952.0</v>
      </c>
      <c r="L1382" s="514">
        <v>304574.0</v>
      </c>
      <c r="M1382" s="514">
        <v>0.4363</v>
      </c>
      <c r="N1382" s="6">
        <v>1.4393</v>
      </c>
    </row>
    <row r="1383">
      <c r="A1383" s="512" t="s">
        <v>2039</v>
      </c>
      <c r="B1383" s="512" t="s">
        <v>1867</v>
      </c>
      <c r="C1383" s="512" t="s">
        <v>74</v>
      </c>
      <c r="D1383" s="512" t="s">
        <v>574</v>
      </c>
      <c r="E1383" s="513" t="s">
        <v>134</v>
      </c>
      <c r="F1383" s="514">
        <v>48018.0</v>
      </c>
      <c r="G1383" s="514">
        <v>13056.0</v>
      </c>
      <c r="H1383" s="514">
        <v>27.19</v>
      </c>
      <c r="I1383" s="514">
        <v>6.44</v>
      </c>
      <c r="J1383" s="514">
        <v>7.8</v>
      </c>
      <c r="K1383" s="514">
        <v>19626.0</v>
      </c>
      <c r="L1383" s="514">
        <v>304574.0</v>
      </c>
      <c r="M1383" s="514">
        <v>0.4087</v>
      </c>
      <c r="N1383" s="6">
        <v>1.5032</v>
      </c>
    </row>
    <row r="1384">
      <c r="A1384" s="512" t="s">
        <v>2039</v>
      </c>
      <c r="B1384" s="512" t="s">
        <v>1867</v>
      </c>
      <c r="C1384" s="512" t="s">
        <v>74</v>
      </c>
      <c r="D1384" s="512" t="s">
        <v>574</v>
      </c>
      <c r="E1384" s="513" t="s">
        <v>377</v>
      </c>
      <c r="F1384" s="514">
        <v>48018.0</v>
      </c>
      <c r="G1384" s="514">
        <v>11818.0</v>
      </c>
      <c r="H1384" s="514">
        <v>24.61</v>
      </c>
      <c r="I1384" s="514">
        <v>6.19</v>
      </c>
      <c r="J1384" s="514">
        <v>4.63</v>
      </c>
      <c r="K1384" s="514">
        <v>18867.0</v>
      </c>
      <c r="L1384" s="514">
        <v>304574.0</v>
      </c>
      <c r="M1384" s="514">
        <v>0.3929</v>
      </c>
      <c r="N1384" s="6">
        <v>1.5965</v>
      </c>
    </row>
    <row r="1385">
      <c r="A1385" s="512" t="s">
        <v>2039</v>
      </c>
      <c r="B1385" s="512" t="s">
        <v>1867</v>
      </c>
      <c r="C1385" s="512" t="s">
        <v>74</v>
      </c>
      <c r="D1385" s="512" t="s">
        <v>574</v>
      </c>
      <c r="E1385" s="513" t="s">
        <v>372</v>
      </c>
      <c r="F1385" s="514">
        <v>48018.0</v>
      </c>
      <c r="G1385" s="514">
        <v>13657.0</v>
      </c>
      <c r="H1385" s="514">
        <v>28.44</v>
      </c>
      <c r="I1385" s="514">
        <v>5.38</v>
      </c>
      <c r="J1385" s="514">
        <v>5.79</v>
      </c>
      <c r="K1385" s="514">
        <v>16372.0</v>
      </c>
      <c r="L1385" s="514">
        <v>304574.0</v>
      </c>
      <c r="M1385" s="514">
        <v>0.341</v>
      </c>
      <c r="N1385" s="6">
        <v>1.1988</v>
      </c>
    </row>
    <row r="1386">
      <c r="A1386" s="512" t="s">
        <v>2039</v>
      </c>
      <c r="B1386" s="512" t="s">
        <v>1867</v>
      </c>
      <c r="C1386" s="512" t="s">
        <v>74</v>
      </c>
      <c r="D1386" s="512" t="s">
        <v>574</v>
      </c>
      <c r="E1386" s="513" t="s">
        <v>367</v>
      </c>
      <c r="F1386" s="514">
        <v>48018.0</v>
      </c>
      <c r="G1386" s="514">
        <v>7848.0</v>
      </c>
      <c r="H1386" s="514">
        <v>16.34</v>
      </c>
      <c r="I1386" s="514">
        <v>4.68</v>
      </c>
      <c r="J1386" s="514">
        <v>3.44</v>
      </c>
      <c r="K1386" s="514">
        <v>14256.0</v>
      </c>
      <c r="L1386" s="514">
        <v>304574.0</v>
      </c>
      <c r="M1386" s="514">
        <v>0.2969</v>
      </c>
      <c r="N1386" s="6">
        <v>1.8165</v>
      </c>
    </row>
    <row r="1387">
      <c r="A1387" s="512" t="s">
        <v>2039</v>
      </c>
      <c r="B1387" s="512" t="s">
        <v>1867</v>
      </c>
      <c r="C1387" s="512" t="s">
        <v>74</v>
      </c>
      <c r="D1387" s="512" t="s">
        <v>574</v>
      </c>
      <c r="E1387" s="513" t="s">
        <v>44</v>
      </c>
      <c r="F1387" s="514">
        <v>48018.0</v>
      </c>
      <c r="G1387" s="514">
        <v>6519.0</v>
      </c>
      <c r="H1387" s="514">
        <v>13.58</v>
      </c>
      <c r="I1387" s="514">
        <v>2.71</v>
      </c>
      <c r="J1387" s="514">
        <v>1.55</v>
      </c>
      <c r="K1387" s="514">
        <v>8266.0</v>
      </c>
      <c r="L1387" s="514">
        <v>304574.0</v>
      </c>
      <c r="M1387" s="514">
        <v>0.1721</v>
      </c>
      <c r="N1387" s="6">
        <v>1.268</v>
      </c>
    </row>
    <row r="1388">
      <c r="A1388" s="512" t="s">
        <v>2039</v>
      </c>
      <c r="B1388" s="512" t="s">
        <v>1867</v>
      </c>
      <c r="C1388" s="512" t="s">
        <v>74</v>
      </c>
      <c r="D1388" s="512" t="s">
        <v>574</v>
      </c>
      <c r="E1388" s="513" t="s">
        <v>40</v>
      </c>
      <c r="F1388" s="514">
        <v>48018.0</v>
      </c>
      <c r="G1388" s="514">
        <v>3543.0</v>
      </c>
      <c r="H1388" s="514">
        <v>7.38</v>
      </c>
      <c r="I1388" s="514">
        <v>2.1</v>
      </c>
      <c r="J1388" s="514">
        <v>1.75</v>
      </c>
      <c r="K1388" s="514">
        <v>6403.0</v>
      </c>
      <c r="L1388" s="514">
        <v>304574.0</v>
      </c>
      <c r="M1388" s="514">
        <v>0.1333</v>
      </c>
      <c r="N1388" s="6">
        <v>1.8072</v>
      </c>
    </row>
    <row r="1389">
      <c r="A1389" s="512" t="s">
        <v>2039</v>
      </c>
      <c r="B1389" s="512" t="s">
        <v>1867</v>
      </c>
      <c r="C1389" s="512" t="s">
        <v>74</v>
      </c>
      <c r="D1389" s="512" t="s">
        <v>574</v>
      </c>
      <c r="E1389" s="513" t="s">
        <v>373</v>
      </c>
      <c r="F1389" s="514">
        <v>48018.0</v>
      </c>
      <c r="G1389" s="514">
        <v>4641.0</v>
      </c>
      <c r="H1389" s="514">
        <v>9.67</v>
      </c>
      <c r="I1389" s="514">
        <v>1.56</v>
      </c>
      <c r="J1389" s="514">
        <v>1.06</v>
      </c>
      <c r="K1389" s="514">
        <v>4755.0</v>
      </c>
      <c r="L1389" s="514">
        <v>304574.0</v>
      </c>
      <c r="M1389" s="514">
        <v>0.099</v>
      </c>
      <c r="N1389" s="6">
        <v>1.0246</v>
      </c>
    </row>
    <row r="1390">
      <c r="A1390" s="512" t="s">
        <v>2039</v>
      </c>
      <c r="B1390" s="512" t="s">
        <v>1867</v>
      </c>
      <c r="C1390" s="512" t="s">
        <v>74</v>
      </c>
      <c r="D1390" s="512" t="s">
        <v>574</v>
      </c>
      <c r="E1390" s="513" t="s">
        <v>310</v>
      </c>
      <c r="F1390" s="514">
        <v>48018.0</v>
      </c>
      <c r="G1390" s="514">
        <v>2709.0</v>
      </c>
      <c r="H1390" s="514">
        <v>5.64</v>
      </c>
      <c r="I1390" s="514">
        <v>0.96</v>
      </c>
      <c r="J1390" s="514">
        <v>1.02</v>
      </c>
      <c r="K1390" s="514">
        <v>2937.0</v>
      </c>
      <c r="L1390" s="514">
        <v>304574.0</v>
      </c>
      <c r="M1390" s="514">
        <v>0.0612</v>
      </c>
      <c r="N1390" s="6">
        <v>1.0842</v>
      </c>
    </row>
    <row r="1391">
      <c r="A1391" s="512" t="s">
        <v>2039</v>
      </c>
      <c r="B1391" s="512" t="s">
        <v>1867</v>
      </c>
      <c r="C1391" s="512" t="s">
        <v>74</v>
      </c>
      <c r="D1391" s="512" t="s">
        <v>574</v>
      </c>
      <c r="E1391" s="513" t="s">
        <v>32</v>
      </c>
      <c r="F1391" s="514">
        <v>48018.0</v>
      </c>
      <c r="G1391" s="514">
        <v>2542.0</v>
      </c>
      <c r="H1391" s="514">
        <v>5.29</v>
      </c>
      <c r="I1391" s="514">
        <v>0.89</v>
      </c>
      <c r="J1391" s="514">
        <v>0.94</v>
      </c>
      <c r="K1391" s="514">
        <v>2697.0</v>
      </c>
      <c r="L1391" s="514">
        <v>304574.0</v>
      </c>
      <c r="M1391" s="514">
        <v>0.0562</v>
      </c>
      <c r="N1391" s="6">
        <v>1.061</v>
      </c>
    </row>
    <row r="1392">
      <c r="A1392" s="512" t="s">
        <v>2039</v>
      </c>
      <c r="B1392" s="512" t="s">
        <v>1867</v>
      </c>
      <c r="C1392" s="512" t="s">
        <v>74</v>
      </c>
      <c r="D1392" s="512" t="s">
        <v>574</v>
      </c>
      <c r="E1392" s="513" t="s">
        <v>312</v>
      </c>
      <c r="F1392" s="514">
        <v>48018.0</v>
      </c>
      <c r="G1392" s="514">
        <v>2461.0</v>
      </c>
      <c r="H1392" s="514">
        <v>5.13</v>
      </c>
      <c r="I1392" s="514">
        <v>0.89</v>
      </c>
      <c r="J1392" s="514">
        <v>0.77</v>
      </c>
      <c r="K1392" s="514">
        <v>2699.0</v>
      </c>
      <c r="L1392" s="514">
        <v>304574.0</v>
      </c>
      <c r="M1392" s="514">
        <v>0.0562</v>
      </c>
      <c r="N1392" s="6">
        <v>1.0967</v>
      </c>
    </row>
    <row r="1393">
      <c r="A1393" s="512" t="s">
        <v>2039</v>
      </c>
      <c r="B1393" s="512" t="s">
        <v>1867</v>
      </c>
      <c r="C1393" s="512" t="s">
        <v>74</v>
      </c>
      <c r="D1393" s="512" t="s">
        <v>574</v>
      </c>
      <c r="E1393" s="513" t="s">
        <v>311</v>
      </c>
      <c r="F1393" s="514">
        <v>48018.0</v>
      </c>
      <c r="G1393" s="514">
        <v>670.0</v>
      </c>
      <c r="H1393" s="514">
        <v>1.4</v>
      </c>
      <c r="I1393" s="514">
        <v>0.22</v>
      </c>
      <c r="J1393" s="514">
        <v>0.26</v>
      </c>
      <c r="K1393" s="514">
        <v>681.0</v>
      </c>
      <c r="L1393" s="514">
        <v>304574.0</v>
      </c>
      <c r="M1393" s="514">
        <v>0.0142</v>
      </c>
      <c r="N1393" s="6">
        <v>1.0164</v>
      </c>
    </row>
    <row r="1394">
      <c r="A1394" s="512" t="s">
        <v>2039</v>
      </c>
      <c r="B1394" s="512" t="s">
        <v>1867</v>
      </c>
      <c r="C1394" s="512" t="s">
        <v>74</v>
      </c>
      <c r="D1394" s="512" t="s">
        <v>574</v>
      </c>
      <c r="E1394" s="513" t="s">
        <v>374</v>
      </c>
      <c r="F1394" s="514">
        <v>48018.0</v>
      </c>
      <c r="G1394" s="514">
        <v>249.0</v>
      </c>
      <c r="H1394" s="514">
        <v>0.52</v>
      </c>
      <c r="I1394" s="514">
        <v>0.1</v>
      </c>
      <c r="J1394" s="514">
        <v>0.06</v>
      </c>
      <c r="K1394" s="514">
        <v>316.0</v>
      </c>
      <c r="L1394" s="514">
        <v>304574.0</v>
      </c>
      <c r="M1394" s="514">
        <v>0.0066</v>
      </c>
      <c r="N1394" s="6">
        <v>1.2691</v>
      </c>
    </row>
    <row r="1395">
      <c r="A1395" s="512" t="s">
        <v>2039</v>
      </c>
      <c r="B1395" s="512" t="s">
        <v>1867</v>
      </c>
      <c r="C1395" s="512" t="s">
        <v>74</v>
      </c>
      <c r="D1395" s="512" t="s">
        <v>574</v>
      </c>
      <c r="E1395" s="513" t="s">
        <v>375</v>
      </c>
      <c r="F1395" s="514">
        <v>48018.0</v>
      </c>
      <c r="G1395" s="514">
        <v>176.0</v>
      </c>
      <c r="H1395" s="514">
        <v>0.37</v>
      </c>
      <c r="I1395" s="514">
        <v>0.06</v>
      </c>
      <c r="J1395" s="514">
        <v>0.03</v>
      </c>
      <c r="K1395" s="514">
        <v>181.0</v>
      </c>
      <c r="L1395" s="514">
        <v>304574.0</v>
      </c>
      <c r="M1395" s="514">
        <v>0.0038</v>
      </c>
      <c r="N1395" s="6">
        <v>1.0284</v>
      </c>
    </row>
    <row r="1396">
      <c r="A1396" s="512" t="s">
        <v>2039</v>
      </c>
      <c r="B1396" s="512" t="s">
        <v>1867</v>
      </c>
      <c r="C1396" s="512" t="s">
        <v>74</v>
      </c>
      <c r="D1396" s="512" t="s">
        <v>574</v>
      </c>
      <c r="E1396" s="513" t="s">
        <v>43</v>
      </c>
      <c r="F1396" s="514">
        <v>48018.0</v>
      </c>
      <c r="G1396" s="514">
        <v>154.0</v>
      </c>
      <c r="H1396" s="514">
        <v>0.32</v>
      </c>
      <c r="I1396" s="514">
        <v>0.05</v>
      </c>
      <c r="J1396" s="514">
        <v>0.08</v>
      </c>
      <c r="K1396" s="514">
        <v>158.0</v>
      </c>
      <c r="L1396" s="514">
        <v>304574.0</v>
      </c>
      <c r="M1396" s="514">
        <v>0.0033</v>
      </c>
      <c r="N1396" s="6">
        <v>1.026</v>
      </c>
    </row>
    <row r="1397">
      <c r="A1397" s="512" t="s">
        <v>2039</v>
      </c>
      <c r="B1397" s="512" t="s">
        <v>1867</v>
      </c>
      <c r="C1397" s="512" t="s">
        <v>74</v>
      </c>
      <c r="D1397" s="512" t="s">
        <v>574</v>
      </c>
      <c r="E1397" s="513" t="s">
        <v>382</v>
      </c>
      <c r="F1397" s="514">
        <v>48018.0</v>
      </c>
      <c r="G1397" s="514">
        <v>3.0</v>
      </c>
      <c r="H1397" s="514">
        <v>0.01</v>
      </c>
      <c r="I1397" s="514">
        <v>0.0</v>
      </c>
      <c r="J1397" s="514">
        <v>0.0</v>
      </c>
      <c r="K1397" s="514">
        <v>10.0</v>
      </c>
      <c r="L1397" s="514">
        <v>304574.0</v>
      </c>
      <c r="M1397" s="514">
        <v>2.0E-4</v>
      </c>
      <c r="N1397" s="6">
        <v>3.3333</v>
      </c>
    </row>
    <row r="1398">
      <c r="A1398" s="512" t="s">
        <v>2039</v>
      </c>
      <c r="B1398" s="512" t="s">
        <v>1867</v>
      </c>
      <c r="C1398" s="512" t="s">
        <v>74</v>
      </c>
      <c r="D1398" s="512" t="s">
        <v>574</v>
      </c>
      <c r="E1398" s="513" t="s">
        <v>189</v>
      </c>
      <c r="F1398" s="514">
        <v>48018.0</v>
      </c>
      <c r="G1398" s="514">
        <v>12.0</v>
      </c>
      <c r="H1398" s="514">
        <v>0.02</v>
      </c>
      <c r="I1398" s="514">
        <v>0.0</v>
      </c>
      <c r="J1398" s="514">
        <v>0.01</v>
      </c>
      <c r="K1398" s="514">
        <v>12.0</v>
      </c>
      <c r="L1398" s="514">
        <v>304574.0</v>
      </c>
      <c r="M1398" s="514">
        <v>2.0E-4</v>
      </c>
      <c r="N1398" s="6">
        <v>1.0</v>
      </c>
    </row>
    <row r="1399">
      <c r="A1399" s="512" t="s">
        <v>2039</v>
      </c>
      <c r="B1399" s="512" t="s">
        <v>1867</v>
      </c>
      <c r="C1399" s="512" t="s">
        <v>1882</v>
      </c>
      <c r="D1399" s="512" t="s">
        <v>1882</v>
      </c>
      <c r="E1399" s="513" t="s">
        <v>379</v>
      </c>
      <c r="F1399" s="514">
        <v>56102.0</v>
      </c>
      <c r="G1399" s="514">
        <v>54891.0</v>
      </c>
      <c r="H1399" s="514">
        <v>97.84</v>
      </c>
      <c r="I1399" s="514">
        <v>20.79</v>
      </c>
      <c r="J1399" s="514">
        <v>23.4</v>
      </c>
      <c r="K1399" s="514">
        <v>1.0237335E7</v>
      </c>
      <c r="L1399" s="514">
        <v>4.9250682E7</v>
      </c>
      <c r="M1399" s="514">
        <v>182.4772</v>
      </c>
      <c r="N1399" s="6">
        <v>186.503</v>
      </c>
    </row>
    <row r="1400">
      <c r="A1400" s="512" t="s">
        <v>2039</v>
      </c>
      <c r="B1400" s="512" t="s">
        <v>1867</v>
      </c>
      <c r="C1400" s="512" t="s">
        <v>1882</v>
      </c>
      <c r="D1400" s="512" t="s">
        <v>1882</v>
      </c>
      <c r="E1400" s="513" t="s">
        <v>380</v>
      </c>
      <c r="F1400" s="514">
        <v>56102.0</v>
      </c>
      <c r="G1400" s="514">
        <v>42466.0</v>
      </c>
      <c r="H1400" s="514">
        <v>75.69</v>
      </c>
      <c r="I1400" s="514">
        <v>10.17</v>
      </c>
      <c r="J1400" s="514">
        <v>10.65</v>
      </c>
      <c r="K1400" s="514">
        <v>5007760.0</v>
      </c>
      <c r="L1400" s="514">
        <v>4.9250682E7</v>
      </c>
      <c r="M1400" s="514">
        <v>89.2617</v>
      </c>
      <c r="N1400" s="6">
        <v>117.924</v>
      </c>
    </row>
    <row r="1401">
      <c r="A1401" s="512" t="s">
        <v>2039</v>
      </c>
      <c r="B1401" s="512" t="s">
        <v>1867</v>
      </c>
      <c r="C1401" s="512" t="s">
        <v>1882</v>
      </c>
      <c r="D1401" s="512" t="s">
        <v>1882</v>
      </c>
      <c r="E1401" s="513" t="s">
        <v>373</v>
      </c>
      <c r="F1401" s="514">
        <v>56102.0</v>
      </c>
      <c r="G1401" s="514">
        <v>46485.0</v>
      </c>
      <c r="H1401" s="514">
        <v>82.86</v>
      </c>
      <c r="I1401" s="514">
        <v>10.14</v>
      </c>
      <c r="J1401" s="514">
        <v>10.79</v>
      </c>
      <c r="K1401" s="514">
        <v>4993765.0</v>
      </c>
      <c r="L1401" s="514">
        <v>4.9250682E7</v>
      </c>
      <c r="M1401" s="514">
        <v>89.0122</v>
      </c>
      <c r="N1401" s="6">
        <v>107.4274</v>
      </c>
    </row>
    <row r="1402">
      <c r="A1402" s="512" t="s">
        <v>2039</v>
      </c>
      <c r="B1402" s="512" t="s">
        <v>1867</v>
      </c>
      <c r="C1402" s="512" t="s">
        <v>1882</v>
      </c>
      <c r="D1402" s="512" t="s">
        <v>1882</v>
      </c>
      <c r="E1402" s="513" t="s">
        <v>374</v>
      </c>
      <c r="F1402" s="514">
        <v>56102.0</v>
      </c>
      <c r="G1402" s="514">
        <v>25276.0</v>
      </c>
      <c r="H1402" s="514">
        <v>45.05</v>
      </c>
      <c r="I1402" s="514">
        <v>8.91</v>
      </c>
      <c r="J1402" s="514">
        <v>9.8</v>
      </c>
      <c r="K1402" s="514">
        <v>4388160.0</v>
      </c>
      <c r="L1402" s="514">
        <v>4.9250682E7</v>
      </c>
      <c r="M1402" s="514">
        <v>78.2175</v>
      </c>
      <c r="N1402" s="6">
        <v>173.6097</v>
      </c>
    </row>
    <row r="1403">
      <c r="A1403" s="512" t="s">
        <v>2039</v>
      </c>
      <c r="B1403" s="512" t="s">
        <v>1867</v>
      </c>
      <c r="C1403" s="512" t="s">
        <v>1882</v>
      </c>
      <c r="D1403" s="512" t="s">
        <v>1882</v>
      </c>
      <c r="E1403" s="513" t="s">
        <v>372</v>
      </c>
      <c r="F1403" s="514">
        <v>56102.0</v>
      </c>
      <c r="G1403" s="514">
        <v>38732.0</v>
      </c>
      <c r="H1403" s="514">
        <v>69.04</v>
      </c>
      <c r="I1403" s="514">
        <v>7.52</v>
      </c>
      <c r="J1403" s="514">
        <v>8.38</v>
      </c>
      <c r="K1403" s="514">
        <v>3704875.0</v>
      </c>
      <c r="L1403" s="514">
        <v>4.9250682E7</v>
      </c>
      <c r="M1403" s="514">
        <v>66.0382</v>
      </c>
      <c r="N1403" s="6">
        <v>95.6541</v>
      </c>
    </row>
    <row r="1404">
      <c r="A1404" s="512" t="s">
        <v>2039</v>
      </c>
      <c r="B1404" s="512" t="s">
        <v>1867</v>
      </c>
      <c r="C1404" s="512" t="s">
        <v>1882</v>
      </c>
      <c r="D1404" s="512" t="s">
        <v>1882</v>
      </c>
      <c r="E1404" s="513" t="s">
        <v>50</v>
      </c>
      <c r="F1404" s="514">
        <v>56102.0</v>
      </c>
      <c r="G1404" s="514">
        <v>27761.0</v>
      </c>
      <c r="H1404" s="514">
        <v>49.48</v>
      </c>
      <c r="I1404" s="514">
        <v>6.93</v>
      </c>
      <c r="J1404" s="514">
        <v>6.73</v>
      </c>
      <c r="K1404" s="514">
        <v>3412795.0</v>
      </c>
      <c r="L1404" s="514">
        <v>4.9250682E7</v>
      </c>
      <c r="M1404" s="514">
        <v>60.832</v>
      </c>
      <c r="N1404" s="6">
        <v>122.9349</v>
      </c>
    </row>
    <row r="1405">
      <c r="A1405" s="512" t="s">
        <v>2039</v>
      </c>
      <c r="B1405" s="512" t="s">
        <v>1867</v>
      </c>
      <c r="C1405" s="512" t="s">
        <v>1882</v>
      </c>
      <c r="D1405" s="512" t="s">
        <v>1882</v>
      </c>
      <c r="E1405" s="513" t="s">
        <v>42</v>
      </c>
      <c r="F1405" s="514">
        <v>56102.0</v>
      </c>
      <c r="G1405" s="514">
        <v>23611.0</v>
      </c>
      <c r="H1405" s="514">
        <v>42.09</v>
      </c>
      <c r="I1405" s="514">
        <v>6.75</v>
      </c>
      <c r="J1405" s="514">
        <v>6.72</v>
      </c>
      <c r="K1405" s="514">
        <v>3326075.0</v>
      </c>
      <c r="L1405" s="514">
        <v>4.9250682E7</v>
      </c>
      <c r="M1405" s="514">
        <v>59.2862</v>
      </c>
      <c r="N1405" s="6">
        <v>140.8697</v>
      </c>
    </row>
    <row r="1406">
      <c r="A1406" s="512" t="s">
        <v>2039</v>
      </c>
      <c r="B1406" s="512" t="s">
        <v>1867</v>
      </c>
      <c r="C1406" s="512" t="s">
        <v>1882</v>
      </c>
      <c r="D1406" s="512" t="s">
        <v>1882</v>
      </c>
      <c r="E1406" s="513" t="s">
        <v>377</v>
      </c>
      <c r="F1406" s="514">
        <v>56102.0</v>
      </c>
      <c r="G1406" s="514">
        <v>24692.0</v>
      </c>
      <c r="H1406" s="514">
        <v>44.01</v>
      </c>
      <c r="I1406" s="514">
        <v>6.21</v>
      </c>
      <c r="J1406" s="514">
        <v>4.71</v>
      </c>
      <c r="K1406" s="514">
        <v>3056337.0</v>
      </c>
      <c r="L1406" s="514">
        <v>4.9250682E7</v>
      </c>
      <c r="M1406" s="514">
        <v>54.4782</v>
      </c>
      <c r="N1406" s="6">
        <v>123.7784</v>
      </c>
    </row>
    <row r="1407">
      <c r="A1407" s="512" t="s">
        <v>2039</v>
      </c>
      <c r="B1407" s="512" t="s">
        <v>1867</v>
      </c>
      <c r="C1407" s="512" t="s">
        <v>1882</v>
      </c>
      <c r="D1407" s="512" t="s">
        <v>1882</v>
      </c>
      <c r="E1407" s="513" t="s">
        <v>40</v>
      </c>
      <c r="F1407" s="514">
        <v>56102.0</v>
      </c>
      <c r="G1407" s="514">
        <v>18956.0</v>
      </c>
      <c r="H1407" s="514">
        <v>33.79</v>
      </c>
      <c r="I1407" s="514">
        <v>4.9</v>
      </c>
      <c r="J1407" s="514">
        <v>4.0</v>
      </c>
      <c r="K1407" s="514">
        <v>2413305.0</v>
      </c>
      <c r="L1407" s="514">
        <v>4.9250682E7</v>
      </c>
      <c r="M1407" s="514">
        <v>43.0164</v>
      </c>
      <c r="N1407" s="6">
        <v>127.3109</v>
      </c>
    </row>
    <row r="1408">
      <c r="A1408" s="512" t="s">
        <v>2039</v>
      </c>
      <c r="B1408" s="512" t="s">
        <v>1867</v>
      </c>
      <c r="C1408" s="512" t="s">
        <v>1882</v>
      </c>
      <c r="D1408" s="512" t="s">
        <v>1882</v>
      </c>
      <c r="E1408" s="513" t="s">
        <v>134</v>
      </c>
      <c r="F1408" s="514">
        <v>56102.0</v>
      </c>
      <c r="G1408" s="514">
        <v>15683.0</v>
      </c>
      <c r="H1408" s="514">
        <v>27.95</v>
      </c>
      <c r="I1408" s="514">
        <v>2.83</v>
      </c>
      <c r="J1408" s="514">
        <v>2.56</v>
      </c>
      <c r="K1408" s="514">
        <v>1393920.0</v>
      </c>
      <c r="L1408" s="514">
        <v>4.9250682E7</v>
      </c>
      <c r="M1408" s="514">
        <v>24.8462</v>
      </c>
      <c r="N1408" s="6">
        <v>88.881</v>
      </c>
    </row>
    <row r="1409">
      <c r="A1409" s="512" t="s">
        <v>2039</v>
      </c>
      <c r="B1409" s="512" t="s">
        <v>1867</v>
      </c>
      <c r="C1409" s="512" t="s">
        <v>1882</v>
      </c>
      <c r="D1409" s="512" t="s">
        <v>1882</v>
      </c>
      <c r="E1409" s="513" t="s">
        <v>367</v>
      </c>
      <c r="F1409" s="514">
        <v>56102.0</v>
      </c>
      <c r="G1409" s="514">
        <v>19618.0</v>
      </c>
      <c r="H1409" s="514">
        <v>34.97</v>
      </c>
      <c r="I1409" s="514">
        <v>2.81</v>
      </c>
      <c r="J1409" s="514">
        <v>2.32</v>
      </c>
      <c r="K1409" s="514">
        <v>1383430.0</v>
      </c>
      <c r="L1409" s="514">
        <v>4.9250682E7</v>
      </c>
      <c r="M1409" s="514">
        <v>24.6592</v>
      </c>
      <c r="N1409" s="6">
        <v>70.5184</v>
      </c>
    </row>
    <row r="1410">
      <c r="A1410" s="512" t="s">
        <v>2039</v>
      </c>
      <c r="B1410" s="512" t="s">
        <v>1867</v>
      </c>
      <c r="C1410" s="512" t="s">
        <v>1882</v>
      </c>
      <c r="D1410" s="512" t="s">
        <v>1882</v>
      </c>
      <c r="E1410" s="513" t="s">
        <v>310</v>
      </c>
      <c r="F1410" s="514">
        <v>56102.0</v>
      </c>
      <c r="G1410" s="514">
        <v>8633.0</v>
      </c>
      <c r="H1410" s="514">
        <v>15.39</v>
      </c>
      <c r="I1410" s="514">
        <v>2.29</v>
      </c>
      <c r="J1410" s="514">
        <v>1.87</v>
      </c>
      <c r="K1410" s="514">
        <v>1128550.0</v>
      </c>
      <c r="L1410" s="514">
        <v>4.9250682E7</v>
      </c>
      <c r="M1410" s="514">
        <v>20.116</v>
      </c>
      <c r="N1410" s="6">
        <v>130.7251</v>
      </c>
    </row>
    <row r="1411">
      <c r="A1411" s="512" t="s">
        <v>2039</v>
      </c>
      <c r="B1411" s="512" t="s">
        <v>1867</v>
      </c>
      <c r="C1411" s="512" t="s">
        <v>1882</v>
      </c>
      <c r="D1411" s="512" t="s">
        <v>1882</v>
      </c>
      <c r="E1411" s="513" t="s">
        <v>44</v>
      </c>
      <c r="F1411" s="514">
        <v>56102.0</v>
      </c>
      <c r="G1411" s="514">
        <v>28281.0</v>
      </c>
      <c r="H1411" s="514">
        <v>50.41</v>
      </c>
      <c r="I1411" s="514">
        <v>2.14</v>
      </c>
      <c r="J1411" s="514">
        <v>1.79</v>
      </c>
      <c r="K1411" s="514">
        <v>1054780.0</v>
      </c>
      <c r="L1411" s="514">
        <v>4.9250682E7</v>
      </c>
      <c r="M1411" s="514">
        <v>18.8011</v>
      </c>
      <c r="N1411" s="6">
        <v>37.2964</v>
      </c>
    </row>
    <row r="1412">
      <c r="A1412" s="512" t="s">
        <v>2039</v>
      </c>
      <c r="B1412" s="512" t="s">
        <v>1867</v>
      </c>
      <c r="C1412" s="512" t="s">
        <v>1882</v>
      </c>
      <c r="D1412" s="512" t="s">
        <v>1882</v>
      </c>
      <c r="E1412" s="513" t="s">
        <v>312</v>
      </c>
      <c r="F1412" s="514">
        <v>56102.0</v>
      </c>
      <c r="G1412" s="514">
        <v>7498.0</v>
      </c>
      <c r="H1412" s="514">
        <v>13.36</v>
      </c>
      <c r="I1412" s="514">
        <v>2.07</v>
      </c>
      <c r="J1412" s="514">
        <v>1.61</v>
      </c>
      <c r="K1412" s="514">
        <v>1020625.0</v>
      </c>
      <c r="L1412" s="514">
        <v>4.9250682E7</v>
      </c>
      <c r="M1412" s="514">
        <v>18.1923</v>
      </c>
      <c r="N1412" s="6">
        <v>136.1196</v>
      </c>
    </row>
    <row r="1413">
      <c r="A1413" s="512" t="s">
        <v>2039</v>
      </c>
      <c r="B1413" s="512" t="s">
        <v>1867</v>
      </c>
      <c r="C1413" s="512" t="s">
        <v>1882</v>
      </c>
      <c r="D1413" s="512" t="s">
        <v>1882</v>
      </c>
      <c r="E1413" s="513" t="s">
        <v>32</v>
      </c>
      <c r="F1413" s="514">
        <v>56102.0</v>
      </c>
      <c r="G1413" s="514">
        <v>7707.0</v>
      </c>
      <c r="H1413" s="514">
        <v>13.74</v>
      </c>
      <c r="I1413" s="514">
        <v>2.05</v>
      </c>
      <c r="J1413" s="514">
        <v>1.7</v>
      </c>
      <c r="K1413" s="514">
        <v>1011820.0</v>
      </c>
      <c r="L1413" s="514">
        <v>4.9250682E7</v>
      </c>
      <c r="M1413" s="514">
        <v>18.0354</v>
      </c>
      <c r="N1413" s="6">
        <v>131.2858</v>
      </c>
    </row>
    <row r="1414">
      <c r="A1414" s="512" t="s">
        <v>2039</v>
      </c>
      <c r="B1414" s="512" t="s">
        <v>1867</v>
      </c>
      <c r="C1414" s="512" t="s">
        <v>1882</v>
      </c>
      <c r="D1414" s="512" t="s">
        <v>1882</v>
      </c>
      <c r="E1414" s="513" t="s">
        <v>375</v>
      </c>
      <c r="F1414" s="514">
        <v>56102.0</v>
      </c>
      <c r="G1414" s="514">
        <v>15565.0</v>
      </c>
      <c r="H1414" s="514">
        <v>27.74</v>
      </c>
      <c r="I1414" s="514">
        <v>1.18</v>
      </c>
      <c r="J1414" s="514">
        <v>1.0</v>
      </c>
      <c r="K1414" s="514">
        <v>581800.0</v>
      </c>
      <c r="L1414" s="514">
        <v>4.9250682E7</v>
      </c>
      <c r="M1414" s="514">
        <v>10.3704</v>
      </c>
      <c r="N1414" s="6">
        <v>37.3787</v>
      </c>
    </row>
    <row r="1415">
      <c r="A1415" s="512" t="s">
        <v>2039</v>
      </c>
      <c r="B1415" s="512" t="s">
        <v>1867</v>
      </c>
      <c r="C1415" s="512" t="s">
        <v>1882</v>
      </c>
      <c r="D1415" s="512" t="s">
        <v>1882</v>
      </c>
      <c r="E1415" s="513" t="s">
        <v>35</v>
      </c>
      <c r="F1415" s="514">
        <v>56102.0</v>
      </c>
      <c r="G1415" s="514">
        <v>10155.0</v>
      </c>
      <c r="H1415" s="514">
        <v>18.1</v>
      </c>
      <c r="I1415" s="514">
        <v>0.66</v>
      </c>
      <c r="J1415" s="514">
        <v>0.61</v>
      </c>
      <c r="K1415" s="514">
        <v>325225.0</v>
      </c>
      <c r="L1415" s="514">
        <v>4.9250682E7</v>
      </c>
      <c r="M1415" s="514">
        <v>5.797</v>
      </c>
      <c r="N1415" s="6">
        <v>32.0261</v>
      </c>
    </row>
    <row r="1416">
      <c r="A1416" s="512" t="s">
        <v>2039</v>
      </c>
      <c r="B1416" s="512" t="s">
        <v>1867</v>
      </c>
      <c r="C1416" s="512" t="s">
        <v>1882</v>
      </c>
      <c r="D1416" s="512" t="s">
        <v>1882</v>
      </c>
      <c r="E1416" s="513" t="s">
        <v>43</v>
      </c>
      <c r="F1416" s="514">
        <v>56102.0</v>
      </c>
      <c r="G1416" s="514">
        <v>2053.0</v>
      </c>
      <c r="H1416" s="514">
        <v>3.66</v>
      </c>
      <c r="I1416" s="514">
        <v>0.65</v>
      </c>
      <c r="J1416" s="514">
        <v>0.49</v>
      </c>
      <c r="K1416" s="514">
        <v>320325.0</v>
      </c>
      <c r="L1416" s="514">
        <v>4.9250682E7</v>
      </c>
      <c r="M1416" s="514">
        <v>5.7097</v>
      </c>
      <c r="N1416" s="6">
        <v>156.0278</v>
      </c>
    </row>
    <row r="1417">
      <c r="A1417" s="512" t="s">
        <v>2039</v>
      </c>
      <c r="B1417" s="512" t="s">
        <v>1867</v>
      </c>
      <c r="C1417" s="512" t="s">
        <v>1882</v>
      </c>
      <c r="D1417" s="512" t="s">
        <v>1882</v>
      </c>
      <c r="E1417" s="513" t="s">
        <v>311</v>
      </c>
      <c r="F1417" s="514">
        <v>56102.0</v>
      </c>
      <c r="G1417" s="514">
        <v>2271.0</v>
      </c>
      <c r="H1417" s="514">
        <v>4.05</v>
      </c>
      <c r="I1417" s="514">
        <v>0.52</v>
      </c>
      <c r="J1417" s="514">
        <v>0.47</v>
      </c>
      <c r="K1417" s="514">
        <v>258350.0</v>
      </c>
      <c r="L1417" s="514">
        <v>4.9250682E7</v>
      </c>
      <c r="M1417" s="514">
        <v>4.605</v>
      </c>
      <c r="N1417" s="6">
        <v>113.7605</v>
      </c>
    </row>
    <row r="1418">
      <c r="A1418" s="512" t="s">
        <v>2039</v>
      </c>
      <c r="B1418" s="512" t="s">
        <v>1867</v>
      </c>
      <c r="C1418" s="512" t="s">
        <v>1882</v>
      </c>
      <c r="D1418" s="512" t="s">
        <v>1882</v>
      </c>
      <c r="E1418" s="513" t="s">
        <v>189</v>
      </c>
      <c r="F1418" s="514">
        <v>56102.0</v>
      </c>
      <c r="G1418" s="514">
        <v>8267.0</v>
      </c>
      <c r="H1418" s="514">
        <v>14.74</v>
      </c>
      <c r="I1418" s="514">
        <v>0.47</v>
      </c>
      <c r="J1418" s="514">
        <v>0.39</v>
      </c>
      <c r="K1418" s="514">
        <v>231450.0</v>
      </c>
      <c r="L1418" s="514">
        <v>4.9250682E7</v>
      </c>
      <c r="M1418" s="514">
        <v>4.1255</v>
      </c>
      <c r="N1418" s="6">
        <v>27.9969</v>
      </c>
    </row>
    <row r="1419">
      <c r="A1419" s="512" t="s">
        <v>2039</v>
      </c>
      <c r="B1419" s="512" t="s">
        <v>1867</v>
      </c>
      <c r="C1419" s="512" t="s">
        <v>69</v>
      </c>
      <c r="D1419" s="512" t="s">
        <v>574</v>
      </c>
      <c r="E1419" s="513" t="s">
        <v>379</v>
      </c>
      <c r="F1419" s="514">
        <v>54335.0</v>
      </c>
      <c r="G1419" s="514">
        <v>46204.0</v>
      </c>
      <c r="H1419" s="514">
        <v>85.04</v>
      </c>
      <c r="I1419" s="514">
        <v>38.2</v>
      </c>
      <c r="J1419" s="514">
        <v>35.03</v>
      </c>
      <c r="K1419" s="514">
        <v>249897.0</v>
      </c>
      <c r="L1419" s="514">
        <v>654119.0</v>
      </c>
      <c r="M1419" s="514">
        <v>4.5992</v>
      </c>
      <c r="N1419" s="6">
        <v>5.4086</v>
      </c>
    </row>
    <row r="1420">
      <c r="A1420" s="512" t="s">
        <v>2039</v>
      </c>
      <c r="B1420" s="512" t="s">
        <v>1867</v>
      </c>
      <c r="C1420" s="512" t="s">
        <v>69</v>
      </c>
      <c r="D1420" s="512" t="s">
        <v>574</v>
      </c>
      <c r="E1420" s="513" t="s">
        <v>380</v>
      </c>
      <c r="F1420" s="514">
        <v>54335.0</v>
      </c>
      <c r="G1420" s="514">
        <v>36803.0</v>
      </c>
      <c r="H1420" s="514">
        <v>67.73</v>
      </c>
      <c r="I1420" s="514">
        <v>18.55</v>
      </c>
      <c r="J1420" s="514">
        <v>19.32</v>
      </c>
      <c r="K1420" s="514">
        <v>121312.0</v>
      </c>
      <c r="L1420" s="514">
        <v>654119.0</v>
      </c>
      <c r="M1420" s="514">
        <v>2.2327</v>
      </c>
      <c r="N1420" s="6">
        <v>3.2963</v>
      </c>
    </row>
    <row r="1421">
      <c r="A1421" s="512" t="s">
        <v>2039</v>
      </c>
      <c r="B1421" s="512" t="s">
        <v>1867</v>
      </c>
      <c r="C1421" s="512" t="s">
        <v>69</v>
      </c>
      <c r="D1421" s="512" t="s">
        <v>574</v>
      </c>
      <c r="E1421" s="513" t="s">
        <v>377</v>
      </c>
      <c r="F1421" s="514">
        <v>54335.0</v>
      </c>
      <c r="G1421" s="514">
        <v>38158.0</v>
      </c>
      <c r="H1421" s="514">
        <v>70.23</v>
      </c>
      <c r="I1421" s="514">
        <v>10.87</v>
      </c>
      <c r="J1421" s="514">
        <v>13.29</v>
      </c>
      <c r="K1421" s="514">
        <v>71086.0</v>
      </c>
      <c r="L1421" s="514">
        <v>654119.0</v>
      </c>
      <c r="M1421" s="514">
        <v>1.3083</v>
      </c>
      <c r="N1421" s="6">
        <v>1.8629</v>
      </c>
    </row>
    <row r="1422">
      <c r="A1422" s="512" t="s">
        <v>2039</v>
      </c>
      <c r="B1422" s="512" t="s">
        <v>1867</v>
      </c>
      <c r="C1422" s="512" t="s">
        <v>69</v>
      </c>
      <c r="D1422" s="512" t="s">
        <v>574</v>
      </c>
      <c r="E1422" s="513" t="s">
        <v>374</v>
      </c>
      <c r="F1422" s="514">
        <v>54335.0</v>
      </c>
      <c r="G1422" s="514">
        <v>22678.0</v>
      </c>
      <c r="H1422" s="514">
        <v>41.74</v>
      </c>
      <c r="I1422" s="514">
        <v>9.38</v>
      </c>
      <c r="J1422" s="514">
        <v>10.41</v>
      </c>
      <c r="K1422" s="514">
        <v>61344.0</v>
      </c>
      <c r="L1422" s="514">
        <v>654119.0</v>
      </c>
      <c r="M1422" s="514">
        <v>1.129</v>
      </c>
      <c r="N1422" s="6">
        <v>2.705</v>
      </c>
    </row>
    <row r="1423">
      <c r="A1423" s="512" t="s">
        <v>2039</v>
      </c>
      <c r="B1423" s="512" t="s">
        <v>1867</v>
      </c>
      <c r="C1423" s="512" t="s">
        <v>69</v>
      </c>
      <c r="D1423" s="512" t="s">
        <v>574</v>
      </c>
      <c r="E1423" s="513" t="s">
        <v>44</v>
      </c>
      <c r="F1423" s="514">
        <v>54335.0</v>
      </c>
      <c r="G1423" s="514">
        <v>32856.0</v>
      </c>
      <c r="H1423" s="514">
        <v>60.47</v>
      </c>
      <c r="I1423" s="514">
        <v>8.05</v>
      </c>
      <c r="J1423" s="514">
        <v>9.29</v>
      </c>
      <c r="K1423" s="514">
        <v>52646.0</v>
      </c>
      <c r="L1423" s="514">
        <v>654119.0</v>
      </c>
      <c r="M1423" s="514">
        <v>0.9689</v>
      </c>
      <c r="N1423" s="6">
        <v>1.6023</v>
      </c>
    </row>
    <row r="1424">
      <c r="A1424" s="512" t="s">
        <v>2039</v>
      </c>
      <c r="B1424" s="512" t="s">
        <v>1867</v>
      </c>
      <c r="C1424" s="512" t="s">
        <v>69</v>
      </c>
      <c r="D1424" s="512" t="s">
        <v>574</v>
      </c>
      <c r="E1424" s="513" t="s">
        <v>49</v>
      </c>
      <c r="F1424" s="514">
        <v>54335.0</v>
      </c>
      <c r="G1424" s="514">
        <v>21120.0</v>
      </c>
      <c r="H1424" s="514">
        <v>38.87</v>
      </c>
      <c r="I1424" s="514">
        <v>5.96</v>
      </c>
      <c r="J1424" s="514">
        <v>5.28</v>
      </c>
      <c r="K1424" s="514">
        <v>38970.0</v>
      </c>
      <c r="L1424" s="514">
        <v>654119.0</v>
      </c>
      <c r="M1424" s="514">
        <v>0.7172</v>
      </c>
      <c r="N1424" s="6">
        <v>1.8452</v>
      </c>
    </row>
    <row r="1425">
      <c r="A1425" s="512" t="s">
        <v>2039</v>
      </c>
      <c r="B1425" s="512" t="s">
        <v>1867</v>
      </c>
      <c r="C1425" s="512" t="s">
        <v>69</v>
      </c>
      <c r="D1425" s="512" t="s">
        <v>574</v>
      </c>
      <c r="E1425" s="513" t="s">
        <v>375</v>
      </c>
      <c r="F1425" s="514">
        <v>54335.0</v>
      </c>
      <c r="G1425" s="514">
        <v>12069.0</v>
      </c>
      <c r="H1425" s="514">
        <v>22.21</v>
      </c>
      <c r="I1425" s="514">
        <v>2.32</v>
      </c>
      <c r="J1425" s="514">
        <v>1.74</v>
      </c>
      <c r="K1425" s="514">
        <v>15161.0</v>
      </c>
      <c r="L1425" s="514">
        <v>654119.0</v>
      </c>
      <c r="M1425" s="514">
        <v>0.279</v>
      </c>
      <c r="N1425" s="6">
        <v>1.2562</v>
      </c>
    </row>
    <row r="1426">
      <c r="A1426" s="512" t="s">
        <v>2039</v>
      </c>
      <c r="B1426" s="512" t="s">
        <v>1867</v>
      </c>
      <c r="C1426" s="512" t="s">
        <v>69</v>
      </c>
      <c r="D1426" s="512" t="s">
        <v>574</v>
      </c>
      <c r="E1426" s="513" t="s">
        <v>372</v>
      </c>
      <c r="F1426" s="514">
        <v>54335.0</v>
      </c>
      <c r="G1426" s="514">
        <v>10891.0</v>
      </c>
      <c r="H1426" s="514">
        <v>20.04</v>
      </c>
      <c r="I1426" s="514">
        <v>1.99</v>
      </c>
      <c r="J1426" s="514">
        <v>1.9</v>
      </c>
      <c r="K1426" s="514">
        <v>13000.0</v>
      </c>
      <c r="L1426" s="514">
        <v>654119.0</v>
      </c>
      <c r="M1426" s="514">
        <v>0.2393</v>
      </c>
      <c r="N1426" s="6">
        <v>1.1936</v>
      </c>
    </row>
    <row r="1427">
      <c r="A1427" s="512" t="s">
        <v>2039</v>
      </c>
      <c r="B1427" s="512" t="s">
        <v>1867</v>
      </c>
      <c r="C1427" s="512" t="s">
        <v>69</v>
      </c>
      <c r="D1427" s="512" t="s">
        <v>574</v>
      </c>
      <c r="E1427" s="513" t="s">
        <v>134</v>
      </c>
      <c r="F1427" s="514">
        <v>54335.0</v>
      </c>
      <c r="G1427" s="514">
        <v>8440.0</v>
      </c>
      <c r="H1427" s="514">
        <v>15.53</v>
      </c>
      <c r="I1427" s="514">
        <v>1.88</v>
      </c>
      <c r="J1427" s="514">
        <v>1.42</v>
      </c>
      <c r="K1427" s="514">
        <v>12292.0</v>
      </c>
      <c r="L1427" s="514">
        <v>654119.0</v>
      </c>
      <c r="M1427" s="514">
        <v>0.2262</v>
      </c>
      <c r="N1427" s="6">
        <v>1.4564</v>
      </c>
    </row>
    <row r="1428">
      <c r="A1428" s="512" t="s">
        <v>2039</v>
      </c>
      <c r="B1428" s="512" t="s">
        <v>1867</v>
      </c>
      <c r="C1428" s="512" t="s">
        <v>69</v>
      </c>
      <c r="D1428" s="512" t="s">
        <v>574</v>
      </c>
      <c r="E1428" s="513" t="s">
        <v>35</v>
      </c>
      <c r="F1428" s="514">
        <v>54335.0</v>
      </c>
      <c r="G1428" s="514">
        <v>5552.0</v>
      </c>
      <c r="H1428" s="514">
        <v>10.22</v>
      </c>
      <c r="I1428" s="514">
        <v>0.93</v>
      </c>
      <c r="J1428" s="514">
        <v>0.72</v>
      </c>
      <c r="K1428" s="514">
        <v>6104.0</v>
      </c>
      <c r="L1428" s="514">
        <v>654119.0</v>
      </c>
      <c r="M1428" s="514">
        <v>0.1123</v>
      </c>
      <c r="N1428" s="6">
        <v>1.0994</v>
      </c>
    </row>
    <row r="1429">
      <c r="A1429" s="512" t="s">
        <v>2039</v>
      </c>
      <c r="B1429" s="512" t="s">
        <v>1867</v>
      </c>
      <c r="C1429" s="512" t="s">
        <v>69</v>
      </c>
      <c r="D1429" s="512" t="s">
        <v>574</v>
      </c>
      <c r="E1429" s="513" t="s">
        <v>189</v>
      </c>
      <c r="F1429" s="514">
        <v>54335.0</v>
      </c>
      <c r="G1429" s="514">
        <v>4978.0</v>
      </c>
      <c r="H1429" s="514">
        <v>9.16</v>
      </c>
      <c r="I1429" s="514">
        <v>0.78</v>
      </c>
      <c r="J1429" s="514">
        <v>0.57</v>
      </c>
      <c r="K1429" s="514">
        <v>5088.0</v>
      </c>
      <c r="L1429" s="514">
        <v>654119.0</v>
      </c>
      <c r="M1429" s="514">
        <v>0.0936</v>
      </c>
      <c r="N1429" s="6">
        <v>1.0221</v>
      </c>
    </row>
    <row r="1430">
      <c r="A1430" s="512" t="s">
        <v>2039</v>
      </c>
      <c r="B1430" s="512" t="s">
        <v>1867</v>
      </c>
      <c r="C1430" s="512" t="s">
        <v>69</v>
      </c>
      <c r="D1430" s="512" t="s">
        <v>574</v>
      </c>
      <c r="E1430" s="513" t="s">
        <v>42</v>
      </c>
      <c r="F1430" s="514">
        <v>54335.0</v>
      </c>
      <c r="G1430" s="514">
        <v>3187.0</v>
      </c>
      <c r="H1430" s="514">
        <v>5.87</v>
      </c>
      <c r="I1430" s="514">
        <v>0.55</v>
      </c>
      <c r="J1430" s="514">
        <v>0.57</v>
      </c>
      <c r="K1430" s="514">
        <v>3610.0</v>
      </c>
      <c r="L1430" s="514">
        <v>654119.0</v>
      </c>
      <c r="M1430" s="514">
        <v>0.0664</v>
      </c>
      <c r="N1430" s="6">
        <v>1.1327</v>
      </c>
    </row>
    <row r="1431">
      <c r="A1431" s="512" t="s">
        <v>2039</v>
      </c>
      <c r="B1431" s="512" t="s">
        <v>1867</v>
      </c>
      <c r="C1431" s="512" t="s">
        <v>69</v>
      </c>
      <c r="D1431" s="512" t="s">
        <v>574</v>
      </c>
      <c r="E1431" s="513" t="s">
        <v>50</v>
      </c>
      <c r="F1431" s="514">
        <v>54335.0</v>
      </c>
      <c r="G1431" s="514">
        <v>2100.0</v>
      </c>
      <c r="H1431" s="514">
        <v>3.86</v>
      </c>
      <c r="I1431" s="514">
        <v>0.36</v>
      </c>
      <c r="J1431" s="514">
        <v>0.26</v>
      </c>
      <c r="K1431" s="514">
        <v>2332.0</v>
      </c>
      <c r="L1431" s="514">
        <v>654119.0</v>
      </c>
      <c r="M1431" s="514">
        <v>0.0429</v>
      </c>
      <c r="N1431" s="6">
        <v>1.1105</v>
      </c>
    </row>
    <row r="1432">
      <c r="A1432" s="512" t="s">
        <v>2039</v>
      </c>
      <c r="B1432" s="512" t="s">
        <v>1867</v>
      </c>
      <c r="C1432" s="512" t="s">
        <v>69</v>
      </c>
      <c r="D1432" s="512" t="s">
        <v>574</v>
      </c>
      <c r="E1432" s="513" t="s">
        <v>43</v>
      </c>
      <c r="F1432" s="514">
        <v>54335.0</v>
      </c>
      <c r="G1432" s="514">
        <v>1226.0</v>
      </c>
      <c r="H1432" s="514">
        <v>2.26</v>
      </c>
      <c r="I1432" s="514">
        <v>0.19</v>
      </c>
      <c r="J1432" s="514">
        <v>0.21</v>
      </c>
      <c r="K1432" s="514">
        <v>1256.0</v>
      </c>
      <c r="L1432" s="514">
        <v>654119.0</v>
      </c>
      <c r="M1432" s="514">
        <v>0.0231</v>
      </c>
      <c r="N1432" s="6">
        <v>1.0245</v>
      </c>
    </row>
    <row r="1433">
      <c r="A1433" s="512" t="s">
        <v>2039</v>
      </c>
      <c r="B1433" s="512" t="s">
        <v>1867</v>
      </c>
      <c r="C1433" s="512" t="s">
        <v>69</v>
      </c>
      <c r="D1433" s="512" t="s">
        <v>574</v>
      </c>
      <c r="E1433" s="513" t="s">
        <v>32</v>
      </c>
      <c r="F1433" s="514">
        <v>54335.0</v>
      </c>
      <c r="G1433" s="514">
        <v>18.0</v>
      </c>
      <c r="H1433" s="514">
        <v>0.03</v>
      </c>
      <c r="I1433" s="514">
        <v>0.0</v>
      </c>
      <c r="J1433" s="514">
        <v>0.01</v>
      </c>
      <c r="K1433" s="514">
        <v>21.0</v>
      </c>
      <c r="L1433" s="514">
        <v>654119.0</v>
      </c>
      <c r="M1433" s="514">
        <v>4.0E-4</v>
      </c>
      <c r="N1433" s="6">
        <v>1.1667</v>
      </c>
    </row>
    <row r="1434">
      <c r="A1434" s="512" t="s">
        <v>2039</v>
      </c>
      <c r="B1434" s="512" t="s">
        <v>1867</v>
      </c>
      <c r="C1434" s="512" t="s">
        <v>68</v>
      </c>
      <c r="D1434" s="512" t="s">
        <v>574</v>
      </c>
      <c r="E1434" s="513" t="s">
        <v>377</v>
      </c>
      <c r="F1434" s="514">
        <v>47259.0</v>
      </c>
      <c r="G1434" s="514">
        <v>36050.0</v>
      </c>
      <c r="H1434" s="514">
        <v>76.28</v>
      </c>
      <c r="I1434" s="514">
        <v>46.21</v>
      </c>
      <c r="J1434" s="514">
        <v>41.29</v>
      </c>
      <c r="K1434" s="514">
        <v>5448701.0</v>
      </c>
      <c r="L1434" s="514">
        <v>1.1791365E7</v>
      </c>
      <c r="M1434" s="514">
        <v>115.2945</v>
      </c>
      <c r="N1434" s="6">
        <v>151.1429</v>
      </c>
    </row>
    <row r="1435">
      <c r="A1435" s="512" t="s">
        <v>2039</v>
      </c>
      <c r="B1435" s="512" t="s">
        <v>1867</v>
      </c>
      <c r="C1435" s="512" t="s">
        <v>68</v>
      </c>
      <c r="D1435" s="512" t="s">
        <v>574</v>
      </c>
      <c r="E1435" s="513" t="s">
        <v>50</v>
      </c>
      <c r="F1435" s="514">
        <v>47259.0</v>
      </c>
      <c r="G1435" s="514">
        <v>30922.0</v>
      </c>
      <c r="H1435" s="514">
        <v>65.43</v>
      </c>
      <c r="I1435" s="514">
        <v>29.97</v>
      </c>
      <c r="J1435" s="514">
        <v>33.42</v>
      </c>
      <c r="K1435" s="514">
        <v>3534295.0</v>
      </c>
      <c r="L1435" s="514">
        <v>1.1791365E7</v>
      </c>
      <c r="M1435" s="514">
        <v>74.7856</v>
      </c>
      <c r="N1435" s="6">
        <v>114.2971</v>
      </c>
    </row>
    <row r="1436">
      <c r="A1436" s="512" t="s">
        <v>2039</v>
      </c>
      <c r="B1436" s="512" t="s">
        <v>1867</v>
      </c>
      <c r="C1436" s="512" t="s">
        <v>68</v>
      </c>
      <c r="D1436" s="512" t="s">
        <v>574</v>
      </c>
      <c r="E1436" s="513" t="s">
        <v>43</v>
      </c>
      <c r="F1436" s="514">
        <v>47259.0</v>
      </c>
      <c r="G1436" s="514">
        <v>12142.0</v>
      </c>
      <c r="H1436" s="514">
        <v>25.69</v>
      </c>
      <c r="I1436" s="514">
        <v>13.8</v>
      </c>
      <c r="J1436" s="514">
        <v>10.16</v>
      </c>
      <c r="K1436" s="514">
        <v>1627335.0</v>
      </c>
      <c r="L1436" s="514">
        <v>1.1791365E7</v>
      </c>
      <c r="M1436" s="514">
        <v>34.4344</v>
      </c>
      <c r="N1436" s="6">
        <v>134.0253</v>
      </c>
    </row>
    <row r="1437">
      <c r="A1437" s="512" t="s">
        <v>2039</v>
      </c>
      <c r="B1437" s="512" t="s">
        <v>1867</v>
      </c>
      <c r="C1437" s="512" t="s">
        <v>68</v>
      </c>
      <c r="D1437" s="512" t="s">
        <v>574</v>
      </c>
      <c r="E1437" s="513" t="s">
        <v>49</v>
      </c>
      <c r="F1437" s="514">
        <v>47259.0</v>
      </c>
      <c r="G1437" s="514">
        <v>20748.0</v>
      </c>
      <c r="H1437" s="514">
        <v>43.9</v>
      </c>
      <c r="I1437" s="514">
        <v>6.46</v>
      </c>
      <c r="J1437" s="514">
        <v>10.41</v>
      </c>
      <c r="K1437" s="514">
        <v>761760.0</v>
      </c>
      <c r="L1437" s="514">
        <v>1.1791365E7</v>
      </c>
      <c r="M1437" s="514">
        <v>16.1188</v>
      </c>
      <c r="N1437" s="6">
        <v>36.7149</v>
      </c>
    </row>
    <row r="1438">
      <c r="A1438" s="512" t="s">
        <v>2039</v>
      </c>
      <c r="B1438" s="512" t="s">
        <v>1867</v>
      </c>
      <c r="C1438" s="512" t="s">
        <v>68</v>
      </c>
      <c r="D1438" s="512" t="s">
        <v>574</v>
      </c>
      <c r="E1438" s="513" t="s">
        <v>134</v>
      </c>
      <c r="F1438" s="514">
        <v>47259.0</v>
      </c>
      <c r="G1438" s="514">
        <v>5735.0</v>
      </c>
      <c r="H1438" s="514">
        <v>12.14</v>
      </c>
      <c r="I1438" s="514">
        <v>1.9</v>
      </c>
      <c r="J1438" s="514">
        <v>2.36</v>
      </c>
      <c r="K1438" s="514">
        <v>223970.0</v>
      </c>
      <c r="L1438" s="514">
        <v>1.1791365E7</v>
      </c>
      <c r="M1438" s="514">
        <v>4.7392</v>
      </c>
      <c r="N1438" s="6">
        <v>39.0532</v>
      </c>
    </row>
    <row r="1439">
      <c r="A1439" s="512" t="s">
        <v>2039</v>
      </c>
      <c r="B1439" s="512" t="s">
        <v>1867</v>
      </c>
      <c r="C1439" s="512" t="s">
        <v>68</v>
      </c>
      <c r="D1439" s="512" t="s">
        <v>574</v>
      </c>
      <c r="E1439" s="513" t="s">
        <v>380</v>
      </c>
      <c r="F1439" s="514">
        <v>47259.0</v>
      </c>
      <c r="G1439" s="514">
        <v>2511.0</v>
      </c>
      <c r="H1439" s="514">
        <v>5.31</v>
      </c>
      <c r="I1439" s="514">
        <v>1.65</v>
      </c>
      <c r="J1439" s="514">
        <v>2.35</v>
      </c>
      <c r="K1439" s="514">
        <v>195134.0</v>
      </c>
      <c r="L1439" s="514">
        <v>1.1791365E7</v>
      </c>
      <c r="M1439" s="514">
        <v>4.129</v>
      </c>
      <c r="N1439" s="6">
        <v>77.7117</v>
      </c>
    </row>
    <row r="1440">
      <c r="A1440" s="512" t="s">
        <v>2039</v>
      </c>
      <c r="B1440" s="512" t="s">
        <v>1867</v>
      </c>
      <c r="C1440" s="512" t="s">
        <v>68</v>
      </c>
      <c r="D1440" s="512" t="s">
        <v>574</v>
      </c>
      <c r="E1440" s="513" t="s">
        <v>32</v>
      </c>
      <c r="F1440" s="514">
        <v>47259.0</v>
      </c>
      <c r="G1440" s="514">
        <v>7.0</v>
      </c>
      <c r="H1440" s="514">
        <v>0.01</v>
      </c>
      <c r="I1440" s="514">
        <v>0.0</v>
      </c>
      <c r="J1440" s="514">
        <v>0.0</v>
      </c>
      <c r="K1440" s="514">
        <v>80.0</v>
      </c>
      <c r="L1440" s="514">
        <v>1.1791365E7</v>
      </c>
      <c r="M1440" s="514">
        <v>0.0017</v>
      </c>
      <c r="N1440" s="6">
        <v>11.4286</v>
      </c>
    </row>
    <row r="1441">
      <c r="A1441" s="512" t="s">
        <v>2039</v>
      </c>
      <c r="B1441" s="512" t="s">
        <v>1867</v>
      </c>
      <c r="C1441" s="512" t="s">
        <v>68</v>
      </c>
      <c r="D1441" s="512" t="s">
        <v>574</v>
      </c>
      <c r="E1441" s="513" t="s">
        <v>42</v>
      </c>
      <c r="F1441" s="514">
        <v>47259.0</v>
      </c>
      <c r="G1441" s="514">
        <v>2.0</v>
      </c>
      <c r="H1441" s="514">
        <v>0.0</v>
      </c>
      <c r="I1441" s="514">
        <v>0.0</v>
      </c>
      <c r="J1441" s="514">
        <v>0.0</v>
      </c>
      <c r="K1441" s="514">
        <v>90.0</v>
      </c>
      <c r="L1441" s="514">
        <v>1.1791365E7</v>
      </c>
      <c r="M1441" s="514">
        <v>0.0019</v>
      </c>
      <c r="N1441" s="6">
        <v>45.0</v>
      </c>
    </row>
    <row r="1442">
      <c r="A1442" s="512" t="s">
        <v>2039</v>
      </c>
      <c r="B1442" s="512" t="s">
        <v>1867</v>
      </c>
      <c r="C1442" s="512" t="s">
        <v>2035</v>
      </c>
      <c r="D1442" s="512" t="s">
        <v>2036</v>
      </c>
      <c r="E1442" s="513" t="s">
        <v>134</v>
      </c>
      <c r="F1442" s="514">
        <v>5551.0</v>
      </c>
      <c r="G1442" s="514">
        <v>5510.0</v>
      </c>
      <c r="H1442" s="514">
        <v>99.26</v>
      </c>
      <c r="I1442" s="514">
        <v>98.95</v>
      </c>
      <c r="J1442" s="514">
        <v>99.18</v>
      </c>
      <c r="K1442" s="514">
        <v>85845.0</v>
      </c>
      <c r="L1442" s="514">
        <v>86760.0</v>
      </c>
      <c r="M1442" s="514">
        <v>15.4648</v>
      </c>
      <c r="N1442" s="6">
        <v>15.5799</v>
      </c>
    </row>
    <row r="1443">
      <c r="A1443" s="512" t="s">
        <v>2039</v>
      </c>
      <c r="B1443" s="512" t="s">
        <v>1867</v>
      </c>
      <c r="C1443" s="512" t="s">
        <v>2035</v>
      </c>
      <c r="D1443" s="512" t="s">
        <v>2036</v>
      </c>
      <c r="E1443" s="513" t="s">
        <v>373</v>
      </c>
      <c r="F1443" s="514">
        <v>5551.0</v>
      </c>
      <c r="G1443" s="514">
        <v>51.0</v>
      </c>
      <c r="H1443" s="514">
        <v>0.92</v>
      </c>
      <c r="I1443" s="514">
        <v>1.05</v>
      </c>
      <c r="J1443" s="514">
        <v>0.82</v>
      </c>
      <c r="K1443" s="514">
        <v>915.0</v>
      </c>
      <c r="L1443" s="514">
        <v>86760.0</v>
      </c>
      <c r="M1443" s="514">
        <v>0.1648</v>
      </c>
      <c r="N1443" s="6">
        <v>17.9412</v>
      </c>
    </row>
    <row r="1444">
      <c r="A1444" s="512" t="s">
        <v>2039</v>
      </c>
      <c r="B1444" s="512" t="s">
        <v>1867</v>
      </c>
      <c r="C1444" s="512" t="s">
        <v>73</v>
      </c>
      <c r="D1444" s="512" t="s">
        <v>574</v>
      </c>
      <c r="E1444" s="513" t="s">
        <v>379</v>
      </c>
      <c r="F1444" s="514">
        <v>51691.0</v>
      </c>
      <c r="G1444" s="514">
        <v>42833.0</v>
      </c>
      <c r="H1444" s="514">
        <v>82.86</v>
      </c>
      <c r="I1444" s="514">
        <v>28.03</v>
      </c>
      <c r="J1444" s="514">
        <v>31.76</v>
      </c>
      <c r="K1444" s="514">
        <v>142282.0</v>
      </c>
      <c r="L1444" s="514">
        <v>507660.0</v>
      </c>
      <c r="M1444" s="514">
        <v>2.7525</v>
      </c>
      <c r="N1444" s="6">
        <v>3.3218</v>
      </c>
    </row>
    <row r="1445">
      <c r="A1445" s="512" t="s">
        <v>2039</v>
      </c>
      <c r="B1445" s="512" t="s">
        <v>1867</v>
      </c>
      <c r="C1445" s="512" t="s">
        <v>73</v>
      </c>
      <c r="D1445" s="512" t="s">
        <v>574</v>
      </c>
      <c r="E1445" s="513" t="s">
        <v>380</v>
      </c>
      <c r="F1445" s="514">
        <v>51691.0</v>
      </c>
      <c r="G1445" s="514">
        <v>27343.0</v>
      </c>
      <c r="H1445" s="514">
        <v>52.9</v>
      </c>
      <c r="I1445" s="514">
        <v>13.71</v>
      </c>
      <c r="J1445" s="514">
        <v>12.86</v>
      </c>
      <c r="K1445" s="514">
        <v>69598.0</v>
      </c>
      <c r="L1445" s="514">
        <v>507660.0</v>
      </c>
      <c r="M1445" s="514">
        <v>1.3464</v>
      </c>
      <c r="N1445" s="6">
        <v>2.5454</v>
      </c>
    </row>
    <row r="1446">
      <c r="A1446" s="512" t="s">
        <v>2039</v>
      </c>
      <c r="B1446" s="512" t="s">
        <v>1867</v>
      </c>
      <c r="C1446" s="512" t="s">
        <v>73</v>
      </c>
      <c r="D1446" s="512" t="s">
        <v>574</v>
      </c>
      <c r="E1446" s="513" t="s">
        <v>372</v>
      </c>
      <c r="F1446" s="514">
        <v>51691.0</v>
      </c>
      <c r="G1446" s="514">
        <v>25013.0</v>
      </c>
      <c r="H1446" s="514">
        <v>48.39</v>
      </c>
      <c r="I1446" s="514">
        <v>8.06</v>
      </c>
      <c r="J1446" s="514">
        <v>9.12</v>
      </c>
      <c r="K1446" s="514">
        <v>40909.0</v>
      </c>
      <c r="L1446" s="514">
        <v>507660.0</v>
      </c>
      <c r="M1446" s="514">
        <v>0.7914</v>
      </c>
      <c r="N1446" s="6">
        <v>1.6355</v>
      </c>
    </row>
    <row r="1447">
      <c r="A1447" s="512" t="s">
        <v>2039</v>
      </c>
      <c r="B1447" s="512" t="s">
        <v>1867</v>
      </c>
      <c r="C1447" s="512" t="s">
        <v>73</v>
      </c>
      <c r="D1447" s="512" t="s">
        <v>574</v>
      </c>
      <c r="E1447" s="513" t="s">
        <v>377</v>
      </c>
      <c r="F1447" s="514">
        <v>51691.0</v>
      </c>
      <c r="G1447" s="514">
        <v>18672.0</v>
      </c>
      <c r="H1447" s="514">
        <v>36.12</v>
      </c>
      <c r="I1447" s="514">
        <v>7.66</v>
      </c>
      <c r="J1447" s="514">
        <v>6.51</v>
      </c>
      <c r="K1447" s="514">
        <v>38880.0</v>
      </c>
      <c r="L1447" s="514">
        <v>507660.0</v>
      </c>
      <c r="M1447" s="514">
        <v>0.7522</v>
      </c>
      <c r="N1447" s="6">
        <v>2.0823</v>
      </c>
    </row>
    <row r="1448">
      <c r="A1448" s="512" t="s">
        <v>2039</v>
      </c>
      <c r="B1448" s="512" t="s">
        <v>1867</v>
      </c>
      <c r="C1448" s="512" t="s">
        <v>73</v>
      </c>
      <c r="D1448" s="512" t="s">
        <v>574</v>
      </c>
      <c r="E1448" s="513" t="s">
        <v>44</v>
      </c>
      <c r="F1448" s="514">
        <v>51691.0</v>
      </c>
      <c r="G1448" s="514">
        <v>20378.0</v>
      </c>
      <c r="H1448" s="514">
        <v>39.42</v>
      </c>
      <c r="I1448" s="514">
        <v>6.29</v>
      </c>
      <c r="J1448" s="514">
        <v>5.15</v>
      </c>
      <c r="K1448" s="514">
        <v>31908.0</v>
      </c>
      <c r="L1448" s="514">
        <v>507660.0</v>
      </c>
      <c r="M1448" s="514">
        <v>0.6173</v>
      </c>
      <c r="N1448" s="6">
        <v>1.5658</v>
      </c>
    </row>
    <row r="1449">
      <c r="A1449" s="512" t="s">
        <v>2039</v>
      </c>
      <c r="B1449" s="512" t="s">
        <v>1867</v>
      </c>
      <c r="C1449" s="512" t="s">
        <v>73</v>
      </c>
      <c r="D1449" s="512" t="s">
        <v>574</v>
      </c>
      <c r="E1449" s="513" t="s">
        <v>373</v>
      </c>
      <c r="F1449" s="514">
        <v>51691.0</v>
      </c>
      <c r="G1449" s="514">
        <v>19313.0</v>
      </c>
      <c r="H1449" s="514">
        <v>37.36</v>
      </c>
      <c r="I1449" s="514">
        <v>6.2</v>
      </c>
      <c r="J1449" s="514">
        <v>4.97</v>
      </c>
      <c r="K1449" s="514">
        <v>31457.0</v>
      </c>
      <c r="L1449" s="514">
        <v>507660.0</v>
      </c>
      <c r="M1449" s="514">
        <v>0.6086</v>
      </c>
      <c r="N1449" s="6">
        <v>1.6288</v>
      </c>
    </row>
    <row r="1450">
      <c r="A1450" s="512" t="s">
        <v>2039</v>
      </c>
      <c r="B1450" s="512" t="s">
        <v>1867</v>
      </c>
      <c r="C1450" s="512" t="s">
        <v>73</v>
      </c>
      <c r="D1450" s="512" t="s">
        <v>574</v>
      </c>
      <c r="E1450" s="513" t="s">
        <v>367</v>
      </c>
      <c r="F1450" s="514">
        <v>51691.0</v>
      </c>
      <c r="G1450" s="514">
        <v>11962.0</v>
      </c>
      <c r="H1450" s="514">
        <v>23.14</v>
      </c>
      <c r="I1450" s="514">
        <v>6.04</v>
      </c>
      <c r="J1450" s="514">
        <v>4.36</v>
      </c>
      <c r="K1450" s="514">
        <v>30684.0</v>
      </c>
      <c r="L1450" s="514">
        <v>507660.0</v>
      </c>
      <c r="M1450" s="514">
        <v>0.5936</v>
      </c>
      <c r="N1450" s="6">
        <v>2.5651</v>
      </c>
    </row>
    <row r="1451">
      <c r="A1451" s="512" t="s">
        <v>2039</v>
      </c>
      <c r="B1451" s="512" t="s">
        <v>1867</v>
      </c>
      <c r="C1451" s="512" t="s">
        <v>73</v>
      </c>
      <c r="D1451" s="512" t="s">
        <v>574</v>
      </c>
      <c r="E1451" s="513" t="s">
        <v>42</v>
      </c>
      <c r="F1451" s="514">
        <v>51691.0</v>
      </c>
      <c r="G1451" s="514">
        <v>18107.0</v>
      </c>
      <c r="H1451" s="514">
        <v>35.03</v>
      </c>
      <c r="I1451" s="514">
        <v>5.85</v>
      </c>
      <c r="J1451" s="514">
        <v>6.29</v>
      </c>
      <c r="K1451" s="514">
        <v>29690.0</v>
      </c>
      <c r="L1451" s="514">
        <v>507660.0</v>
      </c>
      <c r="M1451" s="514">
        <v>0.5744</v>
      </c>
      <c r="N1451" s="6">
        <v>1.6397</v>
      </c>
    </row>
    <row r="1452">
      <c r="A1452" s="512" t="s">
        <v>2039</v>
      </c>
      <c r="B1452" s="512" t="s">
        <v>1867</v>
      </c>
      <c r="C1452" s="512" t="s">
        <v>73</v>
      </c>
      <c r="D1452" s="512" t="s">
        <v>574</v>
      </c>
      <c r="E1452" s="513" t="s">
        <v>50</v>
      </c>
      <c r="F1452" s="514">
        <v>51691.0</v>
      </c>
      <c r="G1452" s="514">
        <v>13782.0</v>
      </c>
      <c r="H1452" s="514">
        <v>26.66</v>
      </c>
      <c r="I1452" s="514">
        <v>3.72</v>
      </c>
      <c r="J1452" s="514">
        <v>4.0</v>
      </c>
      <c r="K1452" s="514">
        <v>18898.0</v>
      </c>
      <c r="L1452" s="514">
        <v>507660.0</v>
      </c>
      <c r="M1452" s="514">
        <v>0.3656</v>
      </c>
      <c r="N1452" s="6">
        <v>1.3712</v>
      </c>
    </row>
    <row r="1453">
      <c r="A1453" s="512" t="s">
        <v>2039</v>
      </c>
      <c r="B1453" s="512" t="s">
        <v>1867</v>
      </c>
      <c r="C1453" s="512" t="s">
        <v>73</v>
      </c>
      <c r="D1453" s="512" t="s">
        <v>574</v>
      </c>
      <c r="E1453" s="513" t="s">
        <v>134</v>
      </c>
      <c r="F1453" s="514">
        <v>51691.0</v>
      </c>
      <c r="G1453" s="514">
        <v>10299.0</v>
      </c>
      <c r="H1453" s="514">
        <v>19.92</v>
      </c>
      <c r="I1453" s="514">
        <v>3.34</v>
      </c>
      <c r="J1453" s="514">
        <v>4.29</v>
      </c>
      <c r="K1453" s="514">
        <v>16967.0</v>
      </c>
      <c r="L1453" s="514">
        <v>507660.0</v>
      </c>
      <c r="M1453" s="514">
        <v>0.3282</v>
      </c>
      <c r="N1453" s="6">
        <v>1.6474</v>
      </c>
    </row>
    <row r="1454">
      <c r="A1454" s="512" t="s">
        <v>2039</v>
      </c>
      <c r="B1454" s="512" t="s">
        <v>1867</v>
      </c>
      <c r="C1454" s="512" t="s">
        <v>73</v>
      </c>
      <c r="D1454" s="512" t="s">
        <v>574</v>
      </c>
      <c r="E1454" s="513" t="s">
        <v>40</v>
      </c>
      <c r="F1454" s="514">
        <v>51691.0</v>
      </c>
      <c r="G1454" s="514">
        <v>4749.0</v>
      </c>
      <c r="H1454" s="514">
        <v>9.19</v>
      </c>
      <c r="I1454" s="514">
        <v>2.82</v>
      </c>
      <c r="J1454" s="514">
        <v>2.11</v>
      </c>
      <c r="K1454" s="514">
        <v>14308.0</v>
      </c>
      <c r="L1454" s="514">
        <v>507660.0</v>
      </c>
      <c r="M1454" s="514">
        <v>0.2768</v>
      </c>
      <c r="N1454" s="6">
        <v>3.0128</v>
      </c>
    </row>
    <row r="1455">
      <c r="A1455" s="512" t="s">
        <v>2039</v>
      </c>
      <c r="B1455" s="512" t="s">
        <v>1867</v>
      </c>
      <c r="C1455" s="512" t="s">
        <v>73</v>
      </c>
      <c r="D1455" s="512" t="s">
        <v>574</v>
      </c>
      <c r="E1455" s="513" t="s">
        <v>310</v>
      </c>
      <c r="F1455" s="514">
        <v>51691.0</v>
      </c>
      <c r="G1455" s="514">
        <v>10941.0</v>
      </c>
      <c r="H1455" s="514">
        <v>21.17</v>
      </c>
      <c r="I1455" s="514">
        <v>2.64</v>
      </c>
      <c r="J1455" s="514">
        <v>2.71</v>
      </c>
      <c r="K1455" s="514">
        <v>13380.0</v>
      </c>
      <c r="L1455" s="514">
        <v>507660.0</v>
      </c>
      <c r="M1455" s="514">
        <v>0.2588</v>
      </c>
      <c r="N1455" s="6">
        <v>1.2229</v>
      </c>
    </row>
    <row r="1456">
      <c r="A1456" s="512" t="s">
        <v>2039</v>
      </c>
      <c r="B1456" s="512" t="s">
        <v>1867</v>
      </c>
      <c r="C1456" s="512" t="s">
        <v>73</v>
      </c>
      <c r="D1456" s="512" t="s">
        <v>574</v>
      </c>
      <c r="E1456" s="513" t="s">
        <v>312</v>
      </c>
      <c r="F1456" s="514">
        <v>51691.0</v>
      </c>
      <c r="G1456" s="514">
        <v>9682.0</v>
      </c>
      <c r="H1456" s="514">
        <v>18.73</v>
      </c>
      <c r="I1456" s="514">
        <v>2.34</v>
      </c>
      <c r="J1456" s="514">
        <v>2.39</v>
      </c>
      <c r="K1456" s="514">
        <v>11855.0</v>
      </c>
      <c r="L1456" s="514">
        <v>507660.0</v>
      </c>
      <c r="M1456" s="514">
        <v>0.2293</v>
      </c>
      <c r="N1456" s="6">
        <v>1.2244</v>
      </c>
    </row>
    <row r="1457">
      <c r="A1457" s="512" t="s">
        <v>2039</v>
      </c>
      <c r="B1457" s="512" t="s">
        <v>1867</v>
      </c>
      <c r="C1457" s="512" t="s">
        <v>73</v>
      </c>
      <c r="D1457" s="512" t="s">
        <v>574</v>
      </c>
      <c r="E1457" s="513" t="s">
        <v>32</v>
      </c>
      <c r="F1457" s="514">
        <v>51691.0</v>
      </c>
      <c r="G1457" s="514">
        <v>9415.0</v>
      </c>
      <c r="H1457" s="514">
        <v>18.21</v>
      </c>
      <c r="I1457" s="514">
        <v>2.2</v>
      </c>
      <c r="J1457" s="514">
        <v>2.29</v>
      </c>
      <c r="K1457" s="514">
        <v>11171.0</v>
      </c>
      <c r="L1457" s="514">
        <v>507660.0</v>
      </c>
      <c r="M1457" s="514">
        <v>0.2161</v>
      </c>
      <c r="N1457" s="6">
        <v>1.1865</v>
      </c>
    </row>
    <row r="1458">
      <c r="A1458" s="512" t="s">
        <v>2039</v>
      </c>
      <c r="B1458" s="512" t="s">
        <v>1867</v>
      </c>
      <c r="C1458" s="512" t="s">
        <v>73</v>
      </c>
      <c r="D1458" s="512" t="s">
        <v>574</v>
      </c>
      <c r="E1458" s="513" t="s">
        <v>311</v>
      </c>
      <c r="F1458" s="514">
        <v>51691.0</v>
      </c>
      <c r="G1458" s="514">
        <v>2982.0</v>
      </c>
      <c r="H1458" s="514">
        <v>5.77</v>
      </c>
      <c r="I1458" s="514">
        <v>0.6</v>
      </c>
      <c r="J1458" s="514">
        <v>0.69</v>
      </c>
      <c r="K1458" s="514">
        <v>3043.0</v>
      </c>
      <c r="L1458" s="514">
        <v>507660.0</v>
      </c>
      <c r="M1458" s="514">
        <v>0.0589</v>
      </c>
      <c r="N1458" s="6">
        <v>1.0205</v>
      </c>
    </row>
    <row r="1459">
      <c r="A1459" s="512" t="s">
        <v>2039</v>
      </c>
      <c r="B1459" s="512" t="s">
        <v>1867</v>
      </c>
      <c r="C1459" s="512" t="s">
        <v>73</v>
      </c>
      <c r="D1459" s="512" t="s">
        <v>574</v>
      </c>
      <c r="E1459" s="513" t="s">
        <v>43</v>
      </c>
      <c r="F1459" s="514">
        <v>51691.0</v>
      </c>
      <c r="G1459" s="514">
        <v>2007.0</v>
      </c>
      <c r="H1459" s="514">
        <v>3.88</v>
      </c>
      <c r="I1459" s="514">
        <v>0.42</v>
      </c>
      <c r="J1459" s="514">
        <v>0.43</v>
      </c>
      <c r="K1459" s="514">
        <v>2157.0</v>
      </c>
      <c r="L1459" s="514">
        <v>507660.0</v>
      </c>
      <c r="M1459" s="514">
        <v>0.0417</v>
      </c>
      <c r="N1459" s="6">
        <v>1.0747</v>
      </c>
    </row>
    <row r="1460">
      <c r="A1460" s="512" t="s">
        <v>2039</v>
      </c>
      <c r="B1460" s="512" t="s">
        <v>1867</v>
      </c>
      <c r="C1460" s="512" t="s">
        <v>73</v>
      </c>
      <c r="D1460" s="512" t="s">
        <v>574</v>
      </c>
      <c r="E1460" s="513" t="s">
        <v>35</v>
      </c>
      <c r="F1460" s="514">
        <v>51691.0</v>
      </c>
      <c r="G1460" s="514">
        <v>431.0</v>
      </c>
      <c r="H1460" s="514">
        <v>0.83</v>
      </c>
      <c r="I1460" s="514">
        <v>0.09</v>
      </c>
      <c r="J1460" s="514">
        <v>0.06</v>
      </c>
      <c r="K1460" s="514">
        <v>451.0</v>
      </c>
      <c r="L1460" s="514">
        <v>507660.0</v>
      </c>
      <c r="M1460" s="514">
        <v>0.0087</v>
      </c>
      <c r="N1460" s="6">
        <v>1.0464</v>
      </c>
    </row>
    <row r="1461">
      <c r="A1461" s="512" t="s">
        <v>2039</v>
      </c>
      <c r="B1461" s="512" t="s">
        <v>1867</v>
      </c>
      <c r="C1461" s="512" t="s">
        <v>73</v>
      </c>
      <c r="D1461" s="512" t="s">
        <v>574</v>
      </c>
      <c r="E1461" s="513" t="s">
        <v>374</v>
      </c>
      <c r="F1461" s="514">
        <v>51691.0</v>
      </c>
      <c r="G1461" s="514">
        <v>6.0</v>
      </c>
      <c r="H1461" s="514">
        <v>0.01</v>
      </c>
      <c r="I1461" s="514">
        <v>0.0</v>
      </c>
      <c r="J1461" s="514">
        <v>0.0</v>
      </c>
      <c r="K1461" s="514">
        <v>10.0</v>
      </c>
      <c r="L1461" s="514">
        <v>507660.0</v>
      </c>
      <c r="M1461" s="514">
        <v>2.0E-4</v>
      </c>
      <c r="N1461" s="6">
        <v>1.6667</v>
      </c>
    </row>
    <row r="1462">
      <c r="A1462" s="512" t="s">
        <v>2039</v>
      </c>
      <c r="B1462" s="512" t="s">
        <v>1867</v>
      </c>
      <c r="C1462" s="512" t="s">
        <v>73</v>
      </c>
      <c r="D1462" s="512" t="s">
        <v>574</v>
      </c>
      <c r="E1462" s="513" t="s">
        <v>189</v>
      </c>
      <c r="F1462" s="514">
        <v>51691.0</v>
      </c>
      <c r="G1462" s="514">
        <v>12.0</v>
      </c>
      <c r="H1462" s="514">
        <v>0.02</v>
      </c>
      <c r="I1462" s="514">
        <v>0.0</v>
      </c>
      <c r="J1462" s="514">
        <v>0.0</v>
      </c>
      <c r="K1462" s="514">
        <v>12.0</v>
      </c>
      <c r="L1462" s="514">
        <v>507660.0</v>
      </c>
      <c r="M1462" s="514">
        <v>2.0E-4</v>
      </c>
      <c r="N1462" s="6">
        <v>1.0</v>
      </c>
    </row>
    <row r="1463">
      <c r="A1463" s="512" t="s">
        <v>2039</v>
      </c>
      <c r="B1463" s="512" t="s">
        <v>1867</v>
      </c>
      <c r="C1463" s="512" t="s">
        <v>72</v>
      </c>
      <c r="D1463" s="512" t="s">
        <v>574</v>
      </c>
      <c r="E1463" s="513" t="s">
        <v>379</v>
      </c>
      <c r="F1463" s="514">
        <v>51486.0</v>
      </c>
      <c r="G1463" s="514">
        <v>37722.0</v>
      </c>
      <c r="H1463" s="514">
        <v>73.27</v>
      </c>
      <c r="I1463" s="514">
        <v>21.01</v>
      </c>
      <c r="J1463" s="514">
        <v>23.76</v>
      </c>
      <c r="K1463" s="514">
        <v>106588.0</v>
      </c>
      <c r="L1463" s="514">
        <v>507205.0</v>
      </c>
      <c r="M1463" s="514">
        <v>2.0702</v>
      </c>
      <c r="N1463" s="6">
        <v>2.8256</v>
      </c>
    </row>
    <row r="1464">
      <c r="A1464" s="512" t="s">
        <v>2039</v>
      </c>
      <c r="B1464" s="512" t="s">
        <v>1867</v>
      </c>
      <c r="C1464" s="512" t="s">
        <v>72</v>
      </c>
      <c r="D1464" s="512" t="s">
        <v>574</v>
      </c>
      <c r="E1464" s="513" t="s">
        <v>380</v>
      </c>
      <c r="F1464" s="514">
        <v>51486.0</v>
      </c>
      <c r="G1464" s="514">
        <v>18802.0</v>
      </c>
      <c r="H1464" s="514">
        <v>36.52</v>
      </c>
      <c r="I1464" s="514">
        <v>9.67</v>
      </c>
      <c r="J1464" s="514">
        <v>7.41</v>
      </c>
      <c r="K1464" s="514">
        <v>49068.0</v>
      </c>
      <c r="L1464" s="514">
        <v>507205.0</v>
      </c>
      <c r="M1464" s="514">
        <v>0.953</v>
      </c>
      <c r="N1464" s="6">
        <v>2.6097</v>
      </c>
    </row>
    <row r="1465">
      <c r="A1465" s="512" t="s">
        <v>2039</v>
      </c>
      <c r="B1465" s="512" t="s">
        <v>1867</v>
      </c>
      <c r="C1465" s="512" t="s">
        <v>72</v>
      </c>
      <c r="D1465" s="512" t="s">
        <v>574</v>
      </c>
      <c r="E1465" s="513" t="s">
        <v>373</v>
      </c>
      <c r="F1465" s="514">
        <v>51486.0</v>
      </c>
      <c r="G1465" s="514">
        <v>24602.0</v>
      </c>
      <c r="H1465" s="514">
        <v>47.78</v>
      </c>
      <c r="I1465" s="514">
        <v>9.41</v>
      </c>
      <c r="J1465" s="514">
        <v>8.38</v>
      </c>
      <c r="K1465" s="514">
        <v>47741.0</v>
      </c>
      <c r="L1465" s="514">
        <v>507205.0</v>
      </c>
      <c r="M1465" s="514">
        <v>0.9273</v>
      </c>
      <c r="N1465" s="6">
        <v>1.9405</v>
      </c>
    </row>
    <row r="1466">
      <c r="A1466" s="512" t="s">
        <v>2039</v>
      </c>
      <c r="B1466" s="512" t="s">
        <v>1867</v>
      </c>
      <c r="C1466" s="512" t="s">
        <v>72</v>
      </c>
      <c r="D1466" s="512" t="s">
        <v>574</v>
      </c>
      <c r="E1466" s="513" t="s">
        <v>377</v>
      </c>
      <c r="F1466" s="514">
        <v>51486.0</v>
      </c>
      <c r="G1466" s="514">
        <v>18060.0</v>
      </c>
      <c r="H1466" s="514">
        <v>35.08</v>
      </c>
      <c r="I1466" s="514">
        <v>8.33</v>
      </c>
      <c r="J1466" s="514">
        <v>6.75</v>
      </c>
      <c r="K1466" s="514">
        <v>42268.0</v>
      </c>
      <c r="L1466" s="514">
        <v>507205.0</v>
      </c>
      <c r="M1466" s="514">
        <v>0.821</v>
      </c>
      <c r="N1466" s="6">
        <v>2.3404</v>
      </c>
    </row>
    <row r="1467">
      <c r="A1467" s="512" t="s">
        <v>2039</v>
      </c>
      <c r="B1467" s="512" t="s">
        <v>1867</v>
      </c>
      <c r="C1467" s="512" t="s">
        <v>72</v>
      </c>
      <c r="D1467" s="512" t="s">
        <v>574</v>
      </c>
      <c r="E1467" s="513" t="s">
        <v>49</v>
      </c>
      <c r="F1467" s="514">
        <v>51486.0</v>
      </c>
      <c r="G1467" s="514">
        <v>21120.0</v>
      </c>
      <c r="H1467" s="514">
        <v>41.02</v>
      </c>
      <c r="I1467" s="514">
        <v>7.68</v>
      </c>
      <c r="J1467" s="514">
        <v>8.12</v>
      </c>
      <c r="K1467" s="514">
        <v>38970.0</v>
      </c>
      <c r="L1467" s="514">
        <v>507205.0</v>
      </c>
      <c r="M1467" s="514">
        <v>0.7569</v>
      </c>
      <c r="N1467" s="6">
        <v>1.8452</v>
      </c>
    </row>
    <row r="1468">
      <c r="A1468" s="512" t="s">
        <v>2039</v>
      </c>
      <c r="B1468" s="512" t="s">
        <v>1867</v>
      </c>
      <c r="C1468" s="512" t="s">
        <v>72</v>
      </c>
      <c r="D1468" s="512" t="s">
        <v>574</v>
      </c>
      <c r="E1468" s="513" t="s">
        <v>374</v>
      </c>
      <c r="F1468" s="514">
        <v>51486.0</v>
      </c>
      <c r="G1468" s="514">
        <v>17066.0</v>
      </c>
      <c r="H1468" s="514">
        <v>33.15</v>
      </c>
      <c r="I1468" s="514">
        <v>7.16</v>
      </c>
      <c r="J1468" s="514">
        <v>10.71</v>
      </c>
      <c r="K1468" s="514">
        <v>36327.0</v>
      </c>
      <c r="L1468" s="514">
        <v>507205.0</v>
      </c>
      <c r="M1468" s="514">
        <v>0.7056</v>
      </c>
      <c r="N1468" s="6">
        <v>2.1286</v>
      </c>
    </row>
    <row r="1469">
      <c r="A1469" s="512" t="s">
        <v>2039</v>
      </c>
      <c r="B1469" s="512" t="s">
        <v>1867</v>
      </c>
      <c r="C1469" s="512" t="s">
        <v>72</v>
      </c>
      <c r="D1469" s="512" t="s">
        <v>574</v>
      </c>
      <c r="E1469" s="513" t="s">
        <v>40</v>
      </c>
      <c r="F1469" s="514">
        <v>51486.0</v>
      </c>
      <c r="G1469" s="514">
        <v>15843.0</v>
      </c>
      <c r="H1469" s="514">
        <v>30.77</v>
      </c>
      <c r="I1469" s="514">
        <v>6.21</v>
      </c>
      <c r="J1469" s="514">
        <v>5.98</v>
      </c>
      <c r="K1469" s="514">
        <v>31483.0</v>
      </c>
      <c r="L1469" s="514">
        <v>507205.0</v>
      </c>
      <c r="M1469" s="514">
        <v>0.6115</v>
      </c>
      <c r="N1469" s="6">
        <v>1.9872</v>
      </c>
    </row>
    <row r="1470">
      <c r="A1470" s="512" t="s">
        <v>2039</v>
      </c>
      <c r="B1470" s="512" t="s">
        <v>1867</v>
      </c>
      <c r="C1470" s="512" t="s">
        <v>72</v>
      </c>
      <c r="D1470" s="512" t="s">
        <v>574</v>
      </c>
      <c r="E1470" s="513" t="s">
        <v>367</v>
      </c>
      <c r="F1470" s="514">
        <v>51486.0</v>
      </c>
      <c r="G1470" s="514">
        <v>12129.0</v>
      </c>
      <c r="H1470" s="514">
        <v>23.56</v>
      </c>
      <c r="I1470" s="514">
        <v>6.09</v>
      </c>
      <c r="J1470" s="514">
        <v>4.46</v>
      </c>
      <c r="K1470" s="514">
        <v>30869.0</v>
      </c>
      <c r="L1470" s="514">
        <v>507205.0</v>
      </c>
      <c r="M1470" s="514">
        <v>0.5996</v>
      </c>
      <c r="N1470" s="6">
        <v>2.5451</v>
      </c>
    </row>
    <row r="1471">
      <c r="A1471" s="512" t="s">
        <v>2039</v>
      </c>
      <c r="B1471" s="512" t="s">
        <v>1867</v>
      </c>
      <c r="C1471" s="512" t="s">
        <v>72</v>
      </c>
      <c r="D1471" s="512" t="s">
        <v>574</v>
      </c>
      <c r="E1471" s="513" t="s">
        <v>372</v>
      </c>
      <c r="F1471" s="514">
        <v>51486.0</v>
      </c>
      <c r="G1471" s="514">
        <v>19669.0</v>
      </c>
      <c r="H1471" s="514">
        <v>38.2</v>
      </c>
      <c r="I1471" s="514">
        <v>5.53</v>
      </c>
      <c r="J1471" s="514">
        <v>6.22</v>
      </c>
      <c r="K1471" s="514">
        <v>28042.0</v>
      </c>
      <c r="L1471" s="514">
        <v>507205.0</v>
      </c>
      <c r="M1471" s="514">
        <v>0.5447</v>
      </c>
      <c r="N1471" s="6">
        <v>1.4257</v>
      </c>
    </row>
    <row r="1472">
      <c r="A1472" s="512" t="s">
        <v>2039</v>
      </c>
      <c r="B1472" s="512" t="s">
        <v>1867</v>
      </c>
      <c r="C1472" s="512" t="s">
        <v>72</v>
      </c>
      <c r="D1472" s="512" t="s">
        <v>574</v>
      </c>
      <c r="E1472" s="513" t="s">
        <v>44</v>
      </c>
      <c r="F1472" s="514">
        <v>51486.0</v>
      </c>
      <c r="G1472" s="514">
        <v>13696.0</v>
      </c>
      <c r="H1472" s="514">
        <v>26.6</v>
      </c>
      <c r="I1472" s="514">
        <v>3.94</v>
      </c>
      <c r="J1472" s="514">
        <v>2.71</v>
      </c>
      <c r="K1472" s="514">
        <v>19968.0</v>
      </c>
      <c r="L1472" s="514">
        <v>507205.0</v>
      </c>
      <c r="M1472" s="514">
        <v>0.3878</v>
      </c>
      <c r="N1472" s="6">
        <v>1.4579</v>
      </c>
    </row>
    <row r="1473">
      <c r="A1473" s="512" t="s">
        <v>2039</v>
      </c>
      <c r="B1473" s="512" t="s">
        <v>1867</v>
      </c>
      <c r="C1473" s="512" t="s">
        <v>72</v>
      </c>
      <c r="D1473" s="512" t="s">
        <v>574</v>
      </c>
      <c r="E1473" s="513" t="s">
        <v>42</v>
      </c>
      <c r="F1473" s="514">
        <v>51486.0</v>
      </c>
      <c r="G1473" s="514">
        <v>14099.0</v>
      </c>
      <c r="H1473" s="514">
        <v>27.38</v>
      </c>
      <c r="I1473" s="514">
        <v>3.89</v>
      </c>
      <c r="J1473" s="514">
        <v>4.54</v>
      </c>
      <c r="K1473" s="514">
        <v>19706.0</v>
      </c>
      <c r="L1473" s="514">
        <v>507205.0</v>
      </c>
      <c r="M1473" s="514">
        <v>0.3827</v>
      </c>
      <c r="N1473" s="6">
        <v>1.3977</v>
      </c>
    </row>
    <row r="1474">
      <c r="A1474" s="512" t="s">
        <v>2039</v>
      </c>
      <c r="B1474" s="512" t="s">
        <v>1867</v>
      </c>
      <c r="C1474" s="512" t="s">
        <v>72</v>
      </c>
      <c r="D1474" s="512" t="s">
        <v>574</v>
      </c>
      <c r="E1474" s="513" t="s">
        <v>50</v>
      </c>
      <c r="F1474" s="514">
        <v>51486.0</v>
      </c>
      <c r="G1474" s="514">
        <v>10984.0</v>
      </c>
      <c r="H1474" s="514">
        <v>21.33</v>
      </c>
      <c r="I1474" s="514">
        <v>2.94</v>
      </c>
      <c r="J1474" s="514">
        <v>2.79</v>
      </c>
      <c r="K1474" s="514">
        <v>14907.0</v>
      </c>
      <c r="L1474" s="514">
        <v>507205.0</v>
      </c>
      <c r="M1474" s="514">
        <v>0.2895</v>
      </c>
      <c r="N1474" s="6">
        <v>1.3572</v>
      </c>
    </row>
    <row r="1475">
      <c r="A1475" s="512" t="s">
        <v>2039</v>
      </c>
      <c r="B1475" s="512" t="s">
        <v>1867</v>
      </c>
      <c r="C1475" s="512" t="s">
        <v>72</v>
      </c>
      <c r="D1475" s="512" t="s">
        <v>574</v>
      </c>
      <c r="E1475" s="513" t="s">
        <v>312</v>
      </c>
      <c r="F1475" s="514">
        <v>51486.0</v>
      </c>
      <c r="G1475" s="514">
        <v>8556.0</v>
      </c>
      <c r="H1475" s="514">
        <v>16.62</v>
      </c>
      <c r="I1475" s="514">
        <v>2.02</v>
      </c>
      <c r="J1475" s="514">
        <v>2.17</v>
      </c>
      <c r="K1475" s="514">
        <v>10231.0</v>
      </c>
      <c r="L1475" s="514">
        <v>507205.0</v>
      </c>
      <c r="M1475" s="514">
        <v>0.1987</v>
      </c>
      <c r="N1475" s="6">
        <v>1.1958</v>
      </c>
    </row>
    <row r="1476">
      <c r="A1476" s="512" t="s">
        <v>2039</v>
      </c>
      <c r="B1476" s="512" t="s">
        <v>1867</v>
      </c>
      <c r="C1476" s="512" t="s">
        <v>72</v>
      </c>
      <c r="D1476" s="512" t="s">
        <v>574</v>
      </c>
      <c r="E1476" s="513" t="s">
        <v>310</v>
      </c>
      <c r="F1476" s="514">
        <v>51486.0</v>
      </c>
      <c r="G1476" s="514">
        <v>8425.0</v>
      </c>
      <c r="H1476" s="514">
        <v>16.36</v>
      </c>
      <c r="I1476" s="514">
        <v>1.94</v>
      </c>
      <c r="J1476" s="514">
        <v>2.09</v>
      </c>
      <c r="K1476" s="514">
        <v>9834.0</v>
      </c>
      <c r="L1476" s="514">
        <v>507205.0</v>
      </c>
      <c r="M1476" s="514">
        <v>0.191</v>
      </c>
      <c r="N1476" s="6">
        <v>1.1672</v>
      </c>
    </row>
    <row r="1477">
      <c r="A1477" s="512" t="s">
        <v>2039</v>
      </c>
      <c r="B1477" s="512" t="s">
        <v>1867</v>
      </c>
      <c r="C1477" s="512" t="s">
        <v>72</v>
      </c>
      <c r="D1477" s="512" t="s">
        <v>574</v>
      </c>
      <c r="E1477" s="513" t="s">
        <v>32</v>
      </c>
      <c r="F1477" s="514">
        <v>51486.0</v>
      </c>
      <c r="G1477" s="514">
        <v>6859.0</v>
      </c>
      <c r="H1477" s="514">
        <v>13.32</v>
      </c>
      <c r="I1477" s="514">
        <v>1.58</v>
      </c>
      <c r="J1477" s="514">
        <v>1.55</v>
      </c>
      <c r="K1477" s="514">
        <v>8028.0</v>
      </c>
      <c r="L1477" s="514">
        <v>507205.0</v>
      </c>
      <c r="M1477" s="514">
        <v>0.1559</v>
      </c>
      <c r="N1477" s="6">
        <v>1.1704</v>
      </c>
    </row>
    <row r="1478">
      <c r="A1478" s="512" t="s">
        <v>2039</v>
      </c>
      <c r="B1478" s="512" t="s">
        <v>1867</v>
      </c>
      <c r="C1478" s="512" t="s">
        <v>72</v>
      </c>
      <c r="D1478" s="512" t="s">
        <v>574</v>
      </c>
      <c r="E1478" s="513" t="s">
        <v>134</v>
      </c>
      <c r="F1478" s="514">
        <v>51486.0</v>
      </c>
      <c r="G1478" s="514">
        <v>3633.0</v>
      </c>
      <c r="H1478" s="514">
        <v>7.06</v>
      </c>
      <c r="I1478" s="514">
        <v>1.19</v>
      </c>
      <c r="J1478" s="514">
        <v>0.76</v>
      </c>
      <c r="K1478" s="514">
        <v>6055.0</v>
      </c>
      <c r="L1478" s="514">
        <v>507205.0</v>
      </c>
      <c r="M1478" s="514">
        <v>0.1176</v>
      </c>
      <c r="N1478" s="6">
        <v>1.6667</v>
      </c>
    </row>
    <row r="1479">
      <c r="A1479" s="512" t="s">
        <v>2039</v>
      </c>
      <c r="B1479" s="512" t="s">
        <v>1867</v>
      </c>
      <c r="C1479" s="512" t="s">
        <v>72</v>
      </c>
      <c r="D1479" s="512" t="s">
        <v>574</v>
      </c>
      <c r="E1479" s="513" t="s">
        <v>43</v>
      </c>
      <c r="F1479" s="514">
        <v>51486.0</v>
      </c>
      <c r="G1479" s="514">
        <v>3743.0</v>
      </c>
      <c r="H1479" s="514">
        <v>7.27</v>
      </c>
      <c r="I1479" s="514">
        <v>0.8</v>
      </c>
      <c r="J1479" s="514">
        <v>0.9</v>
      </c>
      <c r="K1479" s="514">
        <v>4053.0</v>
      </c>
      <c r="L1479" s="514">
        <v>507205.0</v>
      </c>
      <c r="M1479" s="514">
        <v>0.0787</v>
      </c>
      <c r="N1479" s="6">
        <v>1.0828</v>
      </c>
    </row>
    <row r="1480">
      <c r="A1480" s="512" t="s">
        <v>2039</v>
      </c>
      <c r="B1480" s="512" t="s">
        <v>1867</v>
      </c>
      <c r="C1480" s="512" t="s">
        <v>72</v>
      </c>
      <c r="D1480" s="512" t="s">
        <v>574</v>
      </c>
      <c r="E1480" s="513" t="s">
        <v>311</v>
      </c>
      <c r="F1480" s="514">
        <v>51486.0</v>
      </c>
      <c r="G1480" s="514">
        <v>2354.0</v>
      </c>
      <c r="H1480" s="514">
        <v>4.57</v>
      </c>
      <c r="I1480" s="514">
        <v>0.47</v>
      </c>
      <c r="J1480" s="514">
        <v>0.61</v>
      </c>
      <c r="K1480" s="514">
        <v>2398.0</v>
      </c>
      <c r="L1480" s="514">
        <v>507205.0</v>
      </c>
      <c r="M1480" s="514">
        <v>0.0466</v>
      </c>
      <c r="N1480" s="6">
        <v>1.0187</v>
      </c>
    </row>
    <row r="1481">
      <c r="A1481" s="512" t="s">
        <v>2039</v>
      </c>
      <c r="B1481" s="512" t="s">
        <v>1867</v>
      </c>
      <c r="C1481" s="512" t="s">
        <v>72</v>
      </c>
      <c r="D1481" s="512" t="s">
        <v>574</v>
      </c>
      <c r="E1481" s="513" t="s">
        <v>375</v>
      </c>
      <c r="F1481" s="514">
        <v>51486.0</v>
      </c>
      <c r="G1481" s="514">
        <v>532.0</v>
      </c>
      <c r="H1481" s="514">
        <v>1.03</v>
      </c>
      <c r="I1481" s="514">
        <v>0.12</v>
      </c>
      <c r="J1481" s="514">
        <v>0.08</v>
      </c>
      <c r="K1481" s="514">
        <v>604.0</v>
      </c>
      <c r="L1481" s="514">
        <v>507205.0</v>
      </c>
      <c r="M1481" s="514">
        <v>0.0117</v>
      </c>
      <c r="N1481" s="6">
        <v>1.1353</v>
      </c>
    </row>
    <row r="1482">
      <c r="A1482" s="512" t="s">
        <v>2039</v>
      </c>
      <c r="B1482" s="512" t="s">
        <v>1867</v>
      </c>
      <c r="C1482" s="512" t="s">
        <v>72</v>
      </c>
      <c r="D1482" s="512" t="s">
        <v>574</v>
      </c>
      <c r="E1482" s="513" t="s">
        <v>189</v>
      </c>
      <c r="F1482" s="514">
        <v>51486.0</v>
      </c>
      <c r="G1482" s="514">
        <v>64.0</v>
      </c>
      <c r="H1482" s="514">
        <v>0.12</v>
      </c>
      <c r="I1482" s="514">
        <v>0.01</v>
      </c>
      <c r="J1482" s="514">
        <v>0.01</v>
      </c>
      <c r="K1482" s="514">
        <v>65.0</v>
      </c>
      <c r="L1482" s="514">
        <v>507205.0</v>
      </c>
      <c r="M1482" s="514">
        <v>0.0013</v>
      </c>
      <c r="N1482" s="6">
        <v>1.0156</v>
      </c>
    </row>
    <row r="1483">
      <c r="A1483" s="512" t="s">
        <v>2039</v>
      </c>
      <c r="B1483" s="512" t="s">
        <v>1867</v>
      </c>
      <c r="C1483" s="512" t="s">
        <v>1883</v>
      </c>
      <c r="D1483" s="512" t="s">
        <v>2036</v>
      </c>
      <c r="E1483" s="513" t="s">
        <v>380</v>
      </c>
      <c r="F1483" s="514">
        <v>25915.0</v>
      </c>
      <c r="G1483" s="514">
        <v>11951.0</v>
      </c>
      <c r="H1483" s="514">
        <v>46.12</v>
      </c>
      <c r="I1483" s="514">
        <v>31.22</v>
      </c>
      <c r="J1483" s="514">
        <v>29.94</v>
      </c>
      <c r="K1483" s="514">
        <v>276475.0</v>
      </c>
      <c r="L1483" s="514">
        <v>885430.0</v>
      </c>
      <c r="M1483" s="514">
        <v>10.6685</v>
      </c>
      <c r="N1483" s="6">
        <v>23.134</v>
      </c>
    </row>
    <row r="1484">
      <c r="A1484" s="512" t="s">
        <v>2039</v>
      </c>
      <c r="B1484" s="512" t="s">
        <v>1867</v>
      </c>
      <c r="C1484" s="512" t="s">
        <v>1883</v>
      </c>
      <c r="D1484" s="512" t="s">
        <v>2036</v>
      </c>
      <c r="E1484" s="513" t="s">
        <v>134</v>
      </c>
      <c r="F1484" s="514">
        <v>25915.0</v>
      </c>
      <c r="G1484" s="514">
        <v>8621.0</v>
      </c>
      <c r="H1484" s="514">
        <v>33.27</v>
      </c>
      <c r="I1484" s="514">
        <v>22.83</v>
      </c>
      <c r="J1484" s="514">
        <v>22.07</v>
      </c>
      <c r="K1484" s="514">
        <v>202155.0</v>
      </c>
      <c r="L1484" s="514">
        <v>885430.0</v>
      </c>
      <c r="M1484" s="514">
        <v>7.8007</v>
      </c>
      <c r="N1484" s="6">
        <v>23.4491</v>
      </c>
    </row>
    <row r="1485">
      <c r="A1485" s="512" t="s">
        <v>2039</v>
      </c>
      <c r="B1485" s="512" t="s">
        <v>1867</v>
      </c>
      <c r="C1485" s="512" t="s">
        <v>1883</v>
      </c>
      <c r="D1485" s="512" t="s">
        <v>2036</v>
      </c>
      <c r="E1485" s="513" t="s">
        <v>373</v>
      </c>
      <c r="F1485" s="514">
        <v>25915.0</v>
      </c>
      <c r="G1485" s="514">
        <v>5254.0</v>
      </c>
      <c r="H1485" s="514">
        <v>20.27</v>
      </c>
      <c r="I1485" s="514">
        <v>18.09</v>
      </c>
      <c r="J1485" s="514">
        <v>11.81</v>
      </c>
      <c r="K1485" s="514">
        <v>160170.0</v>
      </c>
      <c r="L1485" s="514">
        <v>885430.0</v>
      </c>
      <c r="M1485" s="514">
        <v>6.1806</v>
      </c>
      <c r="N1485" s="6">
        <v>30.4853</v>
      </c>
    </row>
    <row r="1486">
      <c r="A1486" s="512" t="s">
        <v>2039</v>
      </c>
      <c r="B1486" s="512" t="s">
        <v>1867</v>
      </c>
      <c r="C1486" s="512" t="s">
        <v>1883</v>
      </c>
      <c r="D1486" s="512" t="s">
        <v>2036</v>
      </c>
      <c r="E1486" s="513" t="s">
        <v>375</v>
      </c>
      <c r="F1486" s="514">
        <v>25915.0</v>
      </c>
      <c r="G1486" s="514">
        <v>12075.0</v>
      </c>
      <c r="H1486" s="514">
        <v>46.59</v>
      </c>
      <c r="I1486" s="514">
        <v>17.19</v>
      </c>
      <c r="J1486" s="514">
        <v>22.97</v>
      </c>
      <c r="K1486" s="514">
        <v>152170.0</v>
      </c>
      <c r="L1486" s="514">
        <v>885430.0</v>
      </c>
      <c r="M1486" s="514">
        <v>5.8719</v>
      </c>
      <c r="N1486" s="6">
        <v>12.6021</v>
      </c>
    </row>
    <row r="1487">
      <c r="A1487" s="512" t="s">
        <v>2039</v>
      </c>
      <c r="B1487" s="512" t="s">
        <v>1867</v>
      </c>
      <c r="C1487" s="512" t="s">
        <v>1883</v>
      </c>
      <c r="D1487" s="512" t="s">
        <v>2036</v>
      </c>
      <c r="E1487" s="513" t="s">
        <v>189</v>
      </c>
      <c r="F1487" s="514">
        <v>25915.0</v>
      </c>
      <c r="G1487" s="514">
        <v>6472.0</v>
      </c>
      <c r="H1487" s="514">
        <v>24.97</v>
      </c>
      <c r="I1487" s="514">
        <v>7.6</v>
      </c>
      <c r="J1487" s="514">
        <v>10.47</v>
      </c>
      <c r="K1487" s="514">
        <v>67305.0</v>
      </c>
      <c r="L1487" s="514">
        <v>885430.0</v>
      </c>
      <c r="M1487" s="514">
        <v>2.5971</v>
      </c>
      <c r="N1487" s="6">
        <v>10.3994</v>
      </c>
    </row>
    <row r="1488">
      <c r="A1488" s="512" t="s">
        <v>2039</v>
      </c>
      <c r="B1488" s="512" t="s">
        <v>1867</v>
      </c>
      <c r="C1488" s="512" t="s">
        <v>1883</v>
      </c>
      <c r="D1488" s="512" t="s">
        <v>2036</v>
      </c>
      <c r="E1488" s="513" t="s">
        <v>35</v>
      </c>
      <c r="F1488" s="514">
        <v>25915.0</v>
      </c>
      <c r="G1488" s="514">
        <v>1064.0</v>
      </c>
      <c r="H1488" s="514">
        <v>4.11</v>
      </c>
      <c r="I1488" s="514">
        <v>1.89</v>
      </c>
      <c r="J1488" s="514">
        <v>1.59</v>
      </c>
      <c r="K1488" s="514">
        <v>16740.0</v>
      </c>
      <c r="L1488" s="514">
        <v>885430.0</v>
      </c>
      <c r="M1488" s="514">
        <v>0.646</v>
      </c>
      <c r="N1488" s="6">
        <v>15.7331</v>
      </c>
    </row>
    <row r="1489">
      <c r="A1489" s="512" t="s">
        <v>2039</v>
      </c>
      <c r="B1489" s="512" t="s">
        <v>1867</v>
      </c>
      <c r="C1489" s="512" t="s">
        <v>1883</v>
      </c>
      <c r="D1489" s="512" t="s">
        <v>2036</v>
      </c>
      <c r="E1489" s="513" t="s">
        <v>377</v>
      </c>
      <c r="F1489" s="514">
        <v>25915.0</v>
      </c>
      <c r="G1489" s="514">
        <v>326.0</v>
      </c>
      <c r="H1489" s="514">
        <v>1.26</v>
      </c>
      <c r="I1489" s="514">
        <v>1.17</v>
      </c>
      <c r="J1489" s="514">
        <v>1.14</v>
      </c>
      <c r="K1489" s="514">
        <v>10395.0</v>
      </c>
      <c r="L1489" s="514">
        <v>885430.0</v>
      </c>
      <c r="M1489" s="514">
        <v>0.4011</v>
      </c>
      <c r="N1489" s="6">
        <v>31.8865</v>
      </c>
    </row>
    <row r="1490">
      <c r="A1490" s="512" t="s">
        <v>2039</v>
      </c>
      <c r="B1490" s="512" t="s">
        <v>1867</v>
      </c>
      <c r="C1490" s="512" t="s">
        <v>1883</v>
      </c>
      <c r="D1490" s="512" t="s">
        <v>2036</v>
      </c>
      <c r="E1490" s="513" t="s">
        <v>42</v>
      </c>
      <c r="F1490" s="514">
        <v>25915.0</v>
      </c>
      <c r="G1490" s="514">
        <v>1.0</v>
      </c>
      <c r="H1490" s="514">
        <v>0.0</v>
      </c>
      <c r="I1490" s="514">
        <v>0.0</v>
      </c>
      <c r="J1490" s="514">
        <v>0.0</v>
      </c>
      <c r="K1490" s="514">
        <v>20.0</v>
      </c>
      <c r="L1490" s="514">
        <v>885430.0</v>
      </c>
      <c r="M1490" s="514">
        <v>8.0E-4</v>
      </c>
      <c r="N1490" s="6">
        <v>20.0</v>
      </c>
    </row>
    <row r="1491">
      <c r="A1491" s="512" t="s">
        <v>2039</v>
      </c>
      <c r="B1491" s="512" t="s">
        <v>1867</v>
      </c>
      <c r="C1491" s="512" t="s">
        <v>1884</v>
      </c>
      <c r="D1491" s="512" t="s">
        <v>2036</v>
      </c>
      <c r="E1491" s="513" t="s">
        <v>380</v>
      </c>
      <c r="F1491" s="514">
        <v>42929.0</v>
      </c>
      <c r="G1491" s="514">
        <v>30636.0</v>
      </c>
      <c r="H1491" s="514">
        <v>71.36</v>
      </c>
      <c r="I1491" s="514">
        <v>46.24</v>
      </c>
      <c r="J1491" s="514">
        <v>48.76</v>
      </c>
      <c r="K1491" s="514">
        <v>919490.0</v>
      </c>
      <c r="L1491" s="514">
        <v>1988440.0</v>
      </c>
      <c r="M1491" s="514">
        <v>21.4189</v>
      </c>
      <c r="N1491" s="6">
        <v>30.0134</v>
      </c>
    </row>
    <row r="1492">
      <c r="A1492" s="512" t="s">
        <v>2039</v>
      </c>
      <c r="B1492" s="512" t="s">
        <v>1867</v>
      </c>
      <c r="C1492" s="512" t="s">
        <v>1884</v>
      </c>
      <c r="D1492" s="512" t="s">
        <v>2036</v>
      </c>
      <c r="E1492" s="513" t="s">
        <v>373</v>
      </c>
      <c r="F1492" s="514">
        <v>42929.0</v>
      </c>
      <c r="G1492" s="514">
        <v>5254.0</v>
      </c>
      <c r="H1492" s="514">
        <v>12.24</v>
      </c>
      <c r="I1492" s="514">
        <v>16.14</v>
      </c>
      <c r="J1492" s="514">
        <v>6.95</v>
      </c>
      <c r="K1492" s="514">
        <v>320895.0</v>
      </c>
      <c r="L1492" s="514">
        <v>1988440.0</v>
      </c>
      <c r="M1492" s="514">
        <v>7.475</v>
      </c>
      <c r="N1492" s="6">
        <v>61.0763</v>
      </c>
    </row>
    <row r="1493">
      <c r="A1493" s="512" t="s">
        <v>2039</v>
      </c>
      <c r="B1493" s="512" t="s">
        <v>1867</v>
      </c>
      <c r="C1493" s="512" t="s">
        <v>1884</v>
      </c>
      <c r="D1493" s="512" t="s">
        <v>2036</v>
      </c>
      <c r="E1493" s="513" t="s">
        <v>375</v>
      </c>
      <c r="F1493" s="514">
        <v>42929.0</v>
      </c>
      <c r="G1493" s="514">
        <v>21536.0</v>
      </c>
      <c r="H1493" s="514">
        <v>50.17</v>
      </c>
      <c r="I1493" s="514">
        <v>14.77</v>
      </c>
      <c r="J1493" s="514">
        <v>19.23</v>
      </c>
      <c r="K1493" s="514">
        <v>293725.0</v>
      </c>
      <c r="L1493" s="514">
        <v>1988440.0</v>
      </c>
      <c r="M1493" s="514">
        <v>6.8421</v>
      </c>
      <c r="N1493" s="6">
        <v>13.6388</v>
      </c>
    </row>
    <row r="1494">
      <c r="A1494" s="512" t="s">
        <v>2039</v>
      </c>
      <c r="B1494" s="512" t="s">
        <v>1867</v>
      </c>
      <c r="C1494" s="512" t="s">
        <v>1884</v>
      </c>
      <c r="D1494" s="512" t="s">
        <v>2036</v>
      </c>
      <c r="E1494" s="513" t="s">
        <v>134</v>
      </c>
      <c r="F1494" s="514">
        <v>42929.0</v>
      </c>
      <c r="G1494" s="514">
        <v>10271.0</v>
      </c>
      <c r="H1494" s="514">
        <v>23.93</v>
      </c>
      <c r="I1494" s="514">
        <v>9.25</v>
      </c>
      <c r="J1494" s="514">
        <v>9.41</v>
      </c>
      <c r="K1494" s="514">
        <v>183875.0</v>
      </c>
      <c r="L1494" s="514">
        <v>1988440.0</v>
      </c>
      <c r="M1494" s="514">
        <v>4.2832</v>
      </c>
      <c r="N1494" s="6">
        <v>17.9023</v>
      </c>
    </row>
    <row r="1495">
      <c r="A1495" s="512" t="s">
        <v>2039</v>
      </c>
      <c r="B1495" s="512" t="s">
        <v>1867</v>
      </c>
      <c r="C1495" s="512" t="s">
        <v>1884</v>
      </c>
      <c r="D1495" s="512" t="s">
        <v>2036</v>
      </c>
      <c r="E1495" s="513" t="s">
        <v>189</v>
      </c>
      <c r="F1495" s="514">
        <v>42929.0</v>
      </c>
      <c r="G1495" s="514">
        <v>10961.0</v>
      </c>
      <c r="H1495" s="514">
        <v>25.53</v>
      </c>
      <c r="I1495" s="514">
        <v>5.84</v>
      </c>
      <c r="J1495" s="514">
        <v>8.63</v>
      </c>
      <c r="K1495" s="514">
        <v>116075.0</v>
      </c>
      <c r="L1495" s="514">
        <v>1988440.0</v>
      </c>
      <c r="M1495" s="514">
        <v>2.7039</v>
      </c>
      <c r="N1495" s="6">
        <v>10.5898</v>
      </c>
    </row>
    <row r="1496">
      <c r="A1496" s="512" t="s">
        <v>2039</v>
      </c>
      <c r="B1496" s="512" t="s">
        <v>1867</v>
      </c>
      <c r="C1496" s="512" t="s">
        <v>1884</v>
      </c>
      <c r="D1496" s="512" t="s">
        <v>2036</v>
      </c>
      <c r="E1496" s="513" t="s">
        <v>44</v>
      </c>
      <c r="F1496" s="514">
        <v>42929.0</v>
      </c>
      <c r="G1496" s="514">
        <v>6519.0</v>
      </c>
      <c r="H1496" s="514">
        <v>15.19</v>
      </c>
      <c r="I1496" s="514">
        <v>4.12</v>
      </c>
      <c r="J1496" s="514">
        <v>3.87</v>
      </c>
      <c r="K1496" s="514">
        <v>81990.0</v>
      </c>
      <c r="L1496" s="514">
        <v>1988440.0</v>
      </c>
      <c r="M1496" s="514">
        <v>1.9099</v>
      </c>
      <c r="N1496" s="6">
        <v>12.5771</v>
      </c>
    </row>
    <row r="1497">
      <c r="A1497" s="512" t="s">
        <v>2039</v>
      </c>
      <c r="B1497" s="512" t="s">
        <v>1867</v>
      </c>
      <c r="C1497" s="512" t="s">
        <v>1884</v>
      </c>
      <c r="D1497" s="512" t="s">
        <v>2036</v>
      </c>
      <c r="E1497" s="513" t="s">
        <v>35</v>
      </c>
      <c r="F1497" s="514">
        <v>42929.0</v>
      </c>
      <c r="G1497" s="514">
        <v>3781.0</v>
      </c>
      <c r="H1497" s="514">
        <v>8.81</v>
      </c>
      <c r="I1497" s="514">
        <v>3.11</v>
      </c>
      <c r="J1497" s="514">
        <v>2.66</v>
      </c>
      <c r="K1497" s="514">
        <v>61755.0</v>
      </c>
      <c r="L1497" s="514">
        <v>1988440.0</v>
      </c>
      <c r="M1497" s="514">
        <v>1.4385</v>
      </c>
      <c r="N1497" s="6">
        <v>16.333</v>
      </c>
    </row>
    <row r="1498">
      <c r="A1498" s="512" t="s">
        <v>2039</v>
      </c>
      <c r="B1498" s="512" t="s">
        <v>1867</v>
      </c>
      <c r="C1498" s="512" t="s">
        <v>1884</v>
      </c>
      <c r="D1498" s="512" t="s">
        <v>2036</v>
      </c>
      <c r="E1498" s="513" t="s">
        <v>377</v>
      </c>
      <c r="F1498" s="514">
        <v>42929.0</v>
      </c>
      <c r="G1498" s="514">
        <v>341.0</v>
      </c>
      <c r="H1498" s="514">
        <v>0.79</v>
      </c>
      <c r="I1498" s="514">
        <v>0.53</v>
      </c>
      <c r="J1498" s="514">
        <v>0.5</v>
      </c>
      <c r="K1498" s="514">
        <v>10595.0</v>
      </c>
      <c r="L1498" s="514">
        <v>1988440.0</v>
      </c>
      <c r="M1498" s="514">
        <v>0.2468</v>
      </c>
      <c r="N1498" s="6">
        <v>31.0704</v>
      </c>
    </row>
    <row r="1499">
      <c r="A1499" s="512" t="s">
        <v>2039</v>
      </c>
      <c r="B1499" s="512" t="s">
        <v>1867</v>
      </c>
      <c r="C1499" s="512" t="s">
        <v>1884</v>
      </c>
      <c r="D1499" s="512" t="s">
        <v>2036</v>
      </c>
      <c r="E1499" s="513" t="s">
        <v>374</v>
      </c>
      <c r="F1499" s="514">
        <v>42929.0</v>
      </c>
      <c r="G1499" s="514">
        <v>4.0</v>
      </c>
      <c r="H1499" s="514">
        <v>0.01</v>
      </c>
      <c r="I1499" s="514">
        <v>0.0</v>
      </c>
      <c r="J1499" s="514">
        <v>0.0</v>
      </c>
      <c r="K1499" s="514">
        <v>40.0</v>
      </c>
      <c r="L1499" s="514">
        <v>1988440.0</v>
      </c>
      <c r="M1499" s="514">
        <v>9.0E-4</v>
      </c>
      <c r="N1499" s="6">
        <v>10.0</v>
      </c>
    </row>
    <row r="1500">
      <c r="A1500" s="512" t="s">
        <v>2039</v>
      </c>
      <c r="B1500" s="512" t="s">
        <v>1867</v>
      </c>
      <c r="C1500" s="512" t="s">
        <v>1885</v>
      </c>
      <c r="D1500" s="512" t="s">
        <v>2036</v>
      </c>
      <c r="E1500" s="513" t="s">
        <v>380</v>
      </c>
      <c r="F1500" s="514">
        <v>46783.0</v>
      </c>
      <c r="G1500" s="514">
        <v>37460.0</v>
      </c>
      <c r="H1500" s="514">
        <v>80.07</v>
      </c>
      <c r="I1500" s="514">
        <v>45.34</v>
      </c>
      <c r="J1500" s="514">
        <v>51.78</v>
      </c>
      <c r="K1500" s="514">
        <v>1111015.0</v>
      </c>
      <c r="L1500" s="514">
        <v>2450445.0</v>
      </c>
      <c r="M1500" s="514">
        <v>23.7483</v>
      </c>
      <c r="N1500" s="6">
        <v>29.6587</v>
      </c>
    </row>
    <row r="1501">
      <c r="A1501" s="512" t="s">
        <v>2039</v>
      </c>
      <c r="B1501" s="512" t="s">
        <v>1867</v>
      </c>
      <c r="C1501" s="512" t="s">
        <v>1885</v>
      </c>
      <c r="D1501" s="512" t="s">
        <v>2036</v>
      </c>
      <c r="E1501" s="513" t="s">
        <v>375</v>
      </c>
      <c r="F1501" s="514">
        <v>46783.0</v>
      </c>
      <c r="G1501" s="514">
        <v>23994.0</v>
      </c>
      <c r="H1501" s="514">
        <v>51.29</v>
      </c>
      <c r="I1501" s="514">
        <v>16.13</v>
      </c>
      <c r="J1501" s="514">
        <v>18.09</v>
      </c>
      <c r="K1501" s="514">
        <v>395225.0</v>
      </c>
      <c r="L1501" s="514">
        <v>2450445.0</v>
      </c>
      <c r="M1501" s="514">
        <v>8.448</v>
      </c>
      <c r="N1501" s="6">
        <v>16.4718</v>
      </c>
    </row>
    <row r="1502">
      <c r="A1502" s="512" t="s">
        <v>2039</v>
      </c>
      <c r="B1502" s="512" t="s">
        <v>1867</v>
      </c>
      <c r="C1502" s="512" t="s">
        <v>1885</v>
      </c>
      <c r="D1502" s="512" t="s">
        <v>2036</v>
      </c>
      <c r="E1502" s="513" t="s">
        <v>373</v>
      </c>
      <c r="F1502" s="514">
        <v>46783.0</v>
      </c>
      <c r="G1502" s="514">
        <v>4910.0</v>
      </c>
      <c r="H1502" s="514">
        <v>10.5</v>
      </c>
      <c r="I1502" s="514">
        <v>12.2</v>
      </c>
      <c r="J1502" s="514">
        <v>5.06</v>
      </c>
      <c r="K1502" s="514">
        <v>298875.0</v>
      </c>
      <c r="L1502" s="514">
        <v>2450445.0</v>
      </c>
      <c r="M1502" s="514">
        <v>6.3885</v>
      </c>
      <c r="N1502" s="6">
        <v>60.8707</v>
      </c>
    </row>
    <row r="1503">
      <c r="A1503" s="512" t="s">
        <v>2039</v>
      </c>
      <c r="B1503" s="512" t="s">
        <v>1867</v>
      </c>
      <c r="C1503" s="512" t="s">
        <v>1885</v>
      </c>
      <c r="D1503" s="512" t="s">
        <v>2036</v>
      </c>
      <c r="E1503" s="513" t="s">
        <v>44</v>
      </c>
      <c r="F1503" s="514">
        <v>46783.0</v>
      </c>
      <c r="G1503" s="514">
        <v>13696.0</v>
      </c>
      <c r="H1503" s="514">
        <v>29.28</v>
      </c>
      <c r="I1503" s="514">
        <v>8.11</v>
      </c>
      <c r="J1503" s="514">
        <v>7.29</v>
      </c>
      <c r="K1503" s="514">
        <v>198650.0</v>
      </c>
      <c r="L1503" s="514">
        <v>2450445.0</v>
      </c>
      <c r="M1503" s="514">
        <v>4.2462</v>
      </c>
      <c r="N1503" s="6">
        <v>14.5042</v>
      </c>
    </row>
    <row r="1504">
      <c r="A1504" s="512" t="s">
        <v>2039</v>
      </c>
      <c r="B1504" s="512" t="s">
        <v>1867</v>
      </c>
      <c r="C1504" s="512" t="s">
        <v>1885</v>
      </c>
      <c r="D1504" s="512" t="s">
        <v>2036</v>
      </c>
      <c r="E1504" s="513" t="s">
        <v>134</v>
      </c>
      <c r="F1504" s="514">
        <v>46783.0</v>
      </c>
      <c r="G1504" s="514">
        <v>7566.0</v>
      </c>
      <c r="H1504" s="514">
        <v>16.17</v>
      </c>
      <c r="I1504" s="514">
        <v>6.95</v>
      </c>
      <c r="J1504" s="514">
        <v>5.43</v>
      </c>
      <c r="K1504" s="514">
        <v>170300.0</v>
      </c>
      <c r="L1504" s="514">
        <v>2450445.0</v>
      </c>
      <c r="M1504" s="514">
        <v>3.6402</v>
      </c>
      <c r="N1504" s="6">
        <v>22.5086</v>
      </c>
    </row>
    <row r="1505">
      <c r="A1505" s="512" t="s">
        <v>2039</v>
      </c>
      <c r="B1505" s="512" t="s">
        <v>1867</v>
      </c>
      <c r="C1505" s="512" t="s">
        <v>1885</v>
      </c>
      <c r="D1505" s="512" t="s">
        <v>2036</v>
      </c>
      <c r="E1505" s="513" t="s">
        <v>189</v>
      </c>
      <c r="F1505" s="514">
        <v>46783.0</v>
      </c>
      <c r="G1505" s="514">
        <v>12011.0</v>
      </c>
      <c r="H1505" s="514">
        <v>25.67</v>
      </c>
      <c r="I1505" s="514">
        <v>5.92</v>
      </c>
      <c r="J1505" s="514">
        <v>7.53</v>
      </c>
      <c r="K1505" s="514">
        <v>145065.0</v>
      </c>
      <c r="L1505" s="514">
        <v>2450445.0</v>
      </c>
      <c r="M1505" s="514">
        <v>3.1008</v>
      </c>
      <c r="N1505" s="6">
        <v>12.0777</v>
      </c>
    </row>
    <row r="1506">
      <c r="A1506" s="512" t="s">
        <v>2039</v>
      </c>
      <c r="B1506" s="512" t="s">
        <v>1867</v>
      </c>
      <c r="C1506" s="512" t="s">
        <v>1885</v>
      </c>
      <c r="D1506" s="512" t="s">
        <v>2036</v>
      </c>
      <c r="E1506" s="513" t="s">
        <v>35</v>
      </c>
      <c r="F1506" s="514">
        <v>46783.0</v>
      </c>
      <c r="G1506" s="514">
        <v>7323.0</v>
      </c>
      <c r="H1506" s="514">
        <v>15.65</v>
      </c>
      <c r="I1506" s="514">
        <v>4.91</v>
      </c>
      <c r="J1506" s="514">
        <v>4.35</v>
      </c>
      <c r="K1506" s="514">
        <v>120255.0</v>
      </c>
      <c r="L1506" s="514">
        <v>2450445.0</v>
      </c>
      <c r="M1506" s="514">
        <v>2.5705</v>
      </c>
      <c r="N1506" s="6">
        <v>16.4215</v>
      </c>
    </row>
    <row r="1507">
      <c r="A1507" s="512" t="s">
        <v>2039</v>
      </c>
      <c r="B1507" s="512" t="s">
        <v>1867</v>
      </c>
      <c r="C1507" s="512" t="s">
        <v>1885</v>
      </c>
      <c r="D1507" s="512" t="s">
        <v>2036</v>
      </c>
      <c r="E1507" s="513" t="s">
        <v>377</v>
      </c>
      <c r="F1507" s="514">
        <v>46783.0</v>
      </c>
      <c r="G1507" s="514">
        <v>369.0</v>
      </c>
      <c r="H1507" s="514">
        <v>0.79</v>
      </c>
      <c r="I1507" s="514">
        <v>0.45</v>
      </c>
      <c r="J1507" s="514">
        <v>0.46</v>
      </c>
      <c r="K1507" s="514">
        <v>10995.0</v>
      </c>
      <c r="L1507" s="514">
        <v>2450445.0</v>
      </c>
      <c r="M1507" s="514">
        <v>0.235</v>
      </c>
      <c r="N1507" s="6">
        <v>29.7967</v>
      </c>
    </row>
    <row r="1508">
      <c r="A1508" s="512" t="s">
        <v>2039</v>
      </c>
      <c r="B1508" s="512" t="s">
        <v>1867</v>
      </c>
      <c r="C1508" s="512" t="s">
        <v>1885</v>
      </c>
      <c r="D1508" s="512" t="s">
        <v>2036</v>
      </c>
      <c r="E1508" s="513" t="s">
        <v>382</v>
      </c>
      <c r="F1508" s="514">
        <v>46783.0</v>
      </c>
      <c r="G1508" s="514">
        <v>2.0</v>
      </c>
      <c r="H1508" s="514">
        <v>0.0</v>
      </c>
      <c r="I1508" s="514">
        <v>0.0</v>
      </c>
      <c r="J1508" s="514">
        <v>0.0</v>
      </c>
      <c r="K1508" s="514">
        <v>20.0</v>
      </c>
      <c r="L1508" s="514">
        <v>2450445.0</v>
      </c>
      <c r="M1508" s="514">
        <v>4.0E-4</v>
      </c>
      <c r="N1508" s="6">
        <v>10.0</v>
      </c>
    </row>
    <row r="1509">
      <c r="A1509" s="512" t="s">
        <v>2039</v>
      </c>
      <c r="B1509" s="512" t="s">
        <v>1867</v>
      </c>
      <c r="C1509" s="512" t="s">
        <v>1885</v>
      </c>
      <c r="D1509" s="512" t="s">
        <v>2036</v>
      </c>
      <c r="E1509" s="513" t="s">
        <v>379</v>
      </c>
      <c r="F1509" s="514">
        <v>46783.0</v>
      </c>
      <c r="G1509" s="514">
        <v>1.0</v>
      </c>
      <c r="H1509" s="514">
        <v>0.0</v>
      </c>
      <c r="I1509" s="514">
        <v>0.0</v>
      </c>
      <c r="J1509" s="514">
        <v>0.0</v>
      </c>
      <c r="K1509" s="514">
        <v>15.0</v>
      </c>
      <c r="L1509" s="514">
        <v>2450445.0</v>
      </c>
      <c r="M1509" s="514">
        <v>3.0E-4</v>
      </c>
      <c r="N1509" s="6">
        <v>15.0</v>
      </c>
    </row>
    <row r="1510">
      <c r="A1510" s="512" t="s">
        <v>2039</v>
      </c>
      <c r="B1510" s="512" t="s">
        <v>1867</v>
      </c>
      <c r="C1510" s="512" t="s">
        <v>1885</v>
      </c>
      <c r="D1510" s="512" t="s">
        <v>2036</v>
      </c>
      <c r="E1510" s="513" t="s">
        <v>374</v>
      </c>
      <c r="F1510" s="514">
        <v>46783.0</v>
      </c>
      <c r="G1510" s="514">
        <v>1.0</v>
      </c>
      <c r="H1510" s="514">
        <v>0.0</v>
      </c>
      <c r="I1510" s="514">
        <v>0.0</v>
      </c>
      <c r="J1510" s="514">
        <v>0.0</v>
      </c>
      <c r="K1510" s="514">
        <v>30.0</v>
      </c>
      <c r="L1510" s="514">
        <v>2450445.0</v>
      </c>
      <c r="M1510" s="514">
        <v>6.0E-4</v>
      </c>
      <c r="N1510" s="6">
        <v>30.0</v>
      </c>
    </row>
    <row r="1511">
      <c r="A1511" s="512" t="s">
        <v>2039</v>
      </c>
      <c r="B1511" s="512" t="s">
        <v>1867</v>
      </c>
      <c r="C1511" s="512" t="s">
        <v>75</v>
      </c>
      <c r="D1511" s="512" t="s">
        <v>2036</v>
      </c>
      <c r="E1511" s="513" t="s">
        <v>379</v>
      </c>
      <c r="F1511" s="514">
        <v>55969.0</v>
      </c>
      <c r="G1511" s="514">
        <v>54366.0</v>
      </c>
      <c r="H1511" s="514">
        <v>97.14</v>
      </c>
      <c r="I1511" s="514">
        <v>29.76</v>
      </c>
      <c r="J1511" s="514">
        <v>29.62</v>
      </c>
      <c r="K1511" s="514">
        <v>1.48109E7</v>
      </c>
      <c r="L1511" s="514">
        <v>4.9770566E7</v>
      </c>
      <c r="M1511" s="514">
        <v>264.6268</v>
      </c>
      <c r="N1511" s="6">
        <v>272.4295</v>
      </c>
    </row>
    <row r="1512">
      <c r="A1512" s="512" t="s">
        <v>2039</v>
      </c>
      <c r="B1512" s="512" t="s">
        <v>1867</v>
      </c>
      <c r="C1512" s="512" t="s">
        <v>75</v>
      </c>
      <c r="D1512" s="512" t="s">
        <v>2036</v>
      </c>
      <c r="E1512" s="513" t="s">
        <v>380</v>
      </c>
      <c r="F1512" s="514">
        <v>55969.0</v>
      </c>
      <c r="G1512" s="514">
        <v>39444.0</v>
      </c>
      <c r="H1512" s="514">
        <v>70.47</v>
      </c>
      <c r="I1512" s="514">
        <v>17.04</v>
      </c>
      <c r="J1512" s="514">
        <v>17.0</v>
      </c>
      <c r="K1512" s="514">
        <v>8480040.0</v>
      </c>
      <c r="L1512" s="514">
        <v>4.9770566E7</v>
      </c>
      <c r="M1512" s="514">
        <v>151.5132</v>
      </c>
      <c r="N1512" s="6">
        <v>214.9894</v>
      </c>
    </row>
    <row r="1513">
      <c r="A1513" s="512" t="s">
        <v>2039</v>
      </c>
      <c r="B1513" s="512" t="s">
        <v>1867</v>
      </c>
      <c r="C1513" s="512" t="s">
        <v>75</v>
      </c>
      <c r="D1513" s="512" t="s">
        <v>2036</v>
      </c>
      <c r="E1513" s="513" t="s">
        <v>49</v>
      </c>
      <c r="F1513" s="514">
        <v>55969.0</v>
      </c>
      <c r="G1513" s="514">
        <v>38744.0</v>
      </c>
      <c r="H1513" s="514">
        <v>69.22</v>
      </c>
      <c r="I1513" s="514">
        <v>14.26</v>
      </c>
      <c r="J1513" s="514">
        <v>14.77</v>
      </c>
      <c r="K1513" s="514">
        <v>7099560.0</v>
      </c>
      <c r="L1513" s="514">
        <v>4.9770566E7</v>
      </c>
      <c r="M1513" s="514">
        <v>126.8481</v>
      </c>
      <c r="N1513" s="6">
        <v>183.2428</v>
      </c>
    </row>
    <row r="1514">
      <c r="A1514" s="512" t="s">
        <v>2039</v>
      </c>
      <c r="B1514" s="512" t="s">
        <v>1867</v>
      </c>
      <c r="C1514" s="512" t="s">
        <v>75</v>
      </c>
      <c r="D1514" s="512" t="s">
        <v>2036</v>
      </c>
      <c r="E1514" s="513" t="s">
        <v>373</v>
      </c>
      <c r="F1514" s="514">
        <v>55969.0</v>
      </c>
      <c r="G1514" s="514">
        <v>41129.0</v>
      </c>
      <c r="H1514" s="514">
        <v>73.49</v>
      </c>
      <c r="I1514" s="514">
        <v>9.27</v>
      </c>
      <c r="J1514" s="514">
        <v>8.65</v>
      </c>
      <c r="K1514" s="514">
        <v>4611515.0</v>
      </c>
      <c r="L1514" s="514">
        <v>4.9770566E7</v>
      </c>
      <c r="M1514" s="514">
        <v>82.3941</v>
      </c>
      <c r="N1514" s="6">
        <v>112.1232</v>
      </c>
    </row>
    <row r="1515">
      <c r="A1515" s="512" t="s">
        <v>2039</v>
      </c>
      <c r="B1515" s="512" t="s">
        <v>1867</v>
      </c>
      <c r="C1515" s="512" t="s">
        <v>75</v>
      </c>
      <c r="D1515" s="512" t="s">
        <v>2036</v>
      </c>
      <c r="E1515" s="513" t="s">
        <v>44</v>
      </c>
      <c r="F1515" s="514">
        <v>55969.0</v>
      </c>
      <c r="G1515" s="514">
        <v>34664.0</v>
      </c>
      <c r="H1515" s="514">
        <v>61.93</v>
      </c>
      <c r="I1515" s="514">
        <v>8.27</v>
      </c>
      <c r="J1515" s="514">
        <v>9.61</v>
      </c>
      <c r="K1515" s="514">
        <v>4116000.0</v>
      </c>
      <c r="L1515" s="514">
        <v>4.9770566E7</v>
      </c>
      <c r="M1515" s="514">
        <v>73.5407</v>
      </c>
      <c r="N1515" s="6">
        <v>118.7399</v>
      </c>
    </row>
    <row r="1516">
      <c r="A1516" s="512" t="s">
        <v>2039</v>
      </c>
      <c r="B1516" s="512" t="s">
        <v>1867</v>
      </c>
      <c r="C1516" s="512" t="s">
        <v>75</v>
      </c>
      <c r="D1516" s="512" t="s">
        <v>2036</v>
      </c>
      <c r="E1516" s="513" t="s">
        <v>372</v>
      </c>
      <c r="F1516" s="514">
        <v>55969.0</v>
      </c>
      <c r="G1516" s="514">
        <v>28710.0</v>
      </c>
      <c r="H1516" s="514">
        <v>51.3</v>
      </c>
      <c r="I1516" s="514">
        <v>4.67</v>
      </c>
      <c r="J1516" s="514">
        <v>4.69</v>
      </c>
      <c r="K1516" s="514">
        <v>2325780.0</v>
      </c>
      <c r="L1516" s="514">
        <v>4.9770566E7</v>
      </c>
      <c r="M1516" s="514">
        <v>41.5548</v>
      </c>
      <c r="N1516" s="6">
        <v>81.0094</v>
      </c>
    </row>
    <row r="1517">
      <c r="A1517" s="512" t="s">
        <v>2039</v>
      </c>
      <c r="B1517" s="512" t="s">
        <v>1867</v>
      </c>
      <c r="C1517" s="512" t="s">
        <v>75</v>
      </c>
      <c r="D1517" s="512" t="s">
        <v>2036</v>
      </c>
      <c r="E1517" s="513" t="s">
        <v>377</v>
      </c>
      <c r="F1517" s="514">
        <v>55969.0</v>
      </c>
      <c r="G1517" s="514">
        <v>13664.0</v>
      </c>
      <c r="H1517" s="514">
        <v>24.41</v>
      </c>
      <c r="I1517" s="514">
        <v>3.74</v>
      </c>
      <c r="J1517" s="514">
        <v>2.25</v>
      </c>
      <c r="K1517" s="514">
        <v>1861801.0</v>
      </c>
      <c r="L1517" s="514">
        <v>4.9770566E7</v>
      </c>
      <c r="M1517" s="514">
        <v>33.2649</v>
      </c>
      <c r="N1517" s="6">
        <v>136.2559</v>
      </c>
    </row>
    <row r="1518">
      <c r="A1518" s="512" t="s">
        <v>2039</v>
      </c>
      <c r="B1518" s="512" t="s">
        <v>1867</v>
      </c>
      <c r="C1518" s="512" t="s">
        <v>75</v>
      </c>
      <c r="D1518" s="512" t="s">
        <v>2036</v>
      </c>
      <c r="E1518" s="513" t="s">
        <v>374</v>
      </c>
      <c r="F1518" s="514">
        <v>55969.0</v>
      </c>
      <c r="G1518" s="514">
        <v>25460.0</v>
      </c>
      <c r="H1518" s="514">
        <v>45.49</v>
      </c>
      <c r="I1518" s="514">
        <v>3.69</v>
      </c>
      <c r="J1518" s="514">
        <v>4.08</v>
      </c>
      <c r="K1518" s="514">
        <v>1837460.0</v>
      </c>
      <c r="L1518" s="514">
        <v>4.9770566E7</v>
      </c>
      <c r="M1518" s="514">
        <v>32.83</v>
      </c>
      <c r="N1518" s="6">
        <v>72.1705</v>
      </c>
    </row>
    <row r="1519">
      <c r="A1519" s="512" t="s">
        <v>2039</v>
      </c>
      <c r="B1519" s="512" t="s">
        <v>1867</v>
      </c>
      <c r="C1519" s="512" t="s">
        <v>75</v>
      </c>
      <c r="D1519" s="512" t="s">
        <v>2036</v>
      </c>
      <c r="E1519" s="513" t="s">
        <v>375</v>
      </c>
      <c r="F1519" s="514">
        <v>55969.0</v>
      </c>
      <c r="G1519" s="514">
        <v>19469.0</v>
      </c>
      <c r="H1519" s="514">
        <v>34.79</v>
      </c>
      <c r="I1519" s="514">
        <v>2.79</v>
      </c>
      <c r="J1519" s="514">
        <v>2.43</v>
      </c>
      <c r="K1519" s="514">
        <v>1389870.0</v>
      </c>
      <c r="L1519" s="514">
        <v>4.9770566E7</v>
      </c>
      <c r="M1519" s="514">
        <v>24.8329</v>
      </c>
      <c r="N1519" s="6">
        <v>71.3889</v>
      </c>
    </row>
    <row r="1520">
      <c r="A1520" s="512" t="s">
        <v>2039</v>
      </c>
      <c r="B1520" s="512" t="s">
        <v>1867</v>
      </c>
      <c r="C1520" s="512" t="s">
        <v>75</v>
      </c>
      <c r="D1520" s="512" t="s">
        <v>2036</v>
      </c>
      <c r="E1520" s="513" t="s">
        <v>35</v>
      </c>
      <c r="F1520" s="514">
        <v>55969.0</v>
      </c>
      <c r="G1520" s="514">
        <v>13883.0</v>
      </c>
      <c r="H1520" s="514">
        <v>24.8</v>
      </c>
      <c r="I1520" s="514">
        <v>1.63</v>
      </c>
      <c r="J1520" s="514">
        <v>1.61</v>
      </c>
      <c r="K1520" s="514">
        <v>811680.0</v>
      </c>
      <c r="L1520" s="514">
        <v>4.9770566E7</v>
      </c>
      <c r="M1520" s="514">
        <v>14.5023</v>
      </c>
      <c r="N1520" s="6">
        <v>58.4657</v>
      </c>
    </row>
    <row r="1521">
      <c r="A1521" s="512" t="s">
        <v>2039</v>
      </c>
      <c r="B1521" s="512" t="s">
        <v>1867</v>
      </c>
      <c r="C1521" s="512" t="s">
        <v>75</v>
      </c>
      <c r="D1521" s="512" t="s">
        <v>2036</v>
      </c>
      <c r="E1521" s="513" t="s">
        <v>32</v>
      </c>
      <c r="F1521" s="514">
        <v>55969.0</v>
      </c>
      <c r="G1521" s="514">
        <v>16562.0</v>
      </c>
      <c r="H1521" s="514">
        <v>29.59</v>
      </c>
      <c r="I1521" s="514">
        <v>1.47</v>
      </c>
      <c r="J1521" s="514">
        <v>1.63</v>
      </c>
      <c r="K1521" s="514">
        <v>730970.0</v>
      </c>
      <c r="L1521" s="514">
        <v>4.9770566E7</v>
      </c>
      <c r="M1521" s="514">
        <v>13.0603</v>
      </c>
      <c r="N1521" s="6">
        <v>44.1354</v>
      </c>
    </row>
    <row r="1522">
      <c r="A1522" s="512" t="s">
        <v>2039</v>
      </c>
      <c r="B1522" s="512" t="s">
        <v>1867</v>
      </c>
      <c r="C1522" s="512" t="s">
        <v>75</v>
      </c>
      <c r="D1522" s="512" t="s">
        <v>2036</v>
      </c>
      <c r="E1522" s="513" t="s">
        <v>43</v>
      </c>
      <c r="F1522" s="514">
        <v>55969.0</v>
      </c>
      <c r="G1522" s="514">
        <v>17558.0</v>
      </c>
      <c r="H1522" s="514">
        <v>31.37</v>
      </c>
      <c r="I1522" s="514">
        <v>1.27</v>
      </c>
      <c r="J1522" s="514">
        <v>1.7</v>
      </c>
      <c r="K1522" s="514">
        <v>633550.0</v>
      </c>
      <c r="L1522" s="514">
        <v>4.9770566E7</v>
      </c>
      <c r="M1522" s="514">
        <v>11.3197</v>
      </c>
      <c r="N1522" s="6">
        <v>36.0833</v>
      </c>
    </row>
    <row r="1523">
      <c r="A1523" s="512" t="s">
        <v>2039</v>
      </c>
      <c r="B1523" s="512" t="s">
        <v>1867</v>
      </c>
      <c r="C1523" s="512" t="s">
        <v>75</v>
      </c>
      <c r="D1523" s="512" t="s">
        <v>2036</v>
      </c>
      <c r="E1523" s="513" t="s">
        <v>189</v>
      </c>
      <c r="F1523" s="514">
        <v>55969.0</v>
      </c>
      <c r="G1523" s="514">
        <v>10277.0</v>
      </c>
      <c r="H1523" s="514">
        <v>18.36</v>
      </c>
      <c r="I1523" s="514">
        <v>0.99</v>
      </c>
      <c r="J1523" s="514">
        <v>0.92</v>
      </c>
      <c r="K1523" s="514">
        <v>491940.0</v>
      </c>
      <c r="L1523" s="514">
        <v>4.9770566E7</v>
      </c>
      <c r="M1523" s="514">
        <v>8.7895</v>
      </c>
      <c r="N1523" s="6">
        <v>47.8681</v>
      </c>
    </row>
    <row r="1524">
      <c r="A1524" s="512" t="s">
        <v>2039</v>
      </c>
      <c r="B1524" s="512" t="s">
        <v>1867</v>
      </c>
      <c r="C1524" s="512" t="s">
        <v>75</v>
      </c>
      <c r="D1524" s="512" t="s">
        <v>2036</v>
      </c>
      <c r="E1524" s="513" t="s">
        <v>367</v>
      </c>
      <c r="F1524" s="514">
        <v>55969.0</v>
      </c>
      <c r="G1524" s="514">
        <v>13574.0</v>
      </c>
      <c r="H1524" s="514">
        <v>24.25</v>
      </c>
      <c r="I1524" s="514">
        <v>0.93</v>
      </c>
      <c r="J1524" s="514">
        <v>0.78</v>
      </c>
      <c r="K1524" s="514">
        <v>462905.0</v>
      </c>
      <c r="L1524" s="514">
        <v>4.9770566E7</v>
      </c>
      <c r="M1524" s="514">
        <v>8.2707</v>
      </c>
      <c r="N1524" s="6">
        <v>34.1023</v>
      </c>
    </row>
    <row r="1525">
      <c r="A1525" s="512" t="s">
        <v>2039</v>
      </c>
      <c r="B1525" s="512" t="s">
        <v>1867</v>
      </c>
      <c r="C1525" s="512" t="s">
        <v>75</v>
      </c>
      <c r="D1525" s="512" t="s">
        <v>2036</v>
      </c>
      <c r="E1525" s="513" t="s">
        <v>134</v>
      </c>
      <c r="F1525" s="514">
        <v>55969.0</v>
      </c>
      <c r="G1525" s="514">
        <v>2419.0</v>
      </c>
      <c r="H1525" s="514">
        <v>4.32</v>
      </c>
      <c r="I1525" s="514">
        <v>0.13</v>
      </c>
      <c r="J1525" s="514">
        <v>0.14</v>
      </c>
      <c r="K1525" s="514">
        <v>66390.0</v>
      </c>
      <c r="L1525" s="514">
        <v>4.9770566E7</v>
      </c>
      <c r="M1525" s="514">
        <v>1.1862</v>
      </c>
      <c r="N1525" s="6">
        <v>27.4452</v>
      </c>
    </row>
    <row r="1526">
      <c r="A1526" s="512" t="s">
        <v>2039</v>
      </c>
      <c r="B1526" s="512" t="s">
        <v>1867</v>
      </c>
      <c r="C1526" s="512" t="s">
        <v>75</v>
      </c>
      <c r="D1526" s="512" t="s">
        <v>2036</v>
      </c>
      <c r="E1526" s="513" t="s">
        <v>50</v>
      </c>
      <c r="F1526" s="514">
        <v>55969.0</v>
      </c>
      <c r="G1526" s="514">
        <v>778.0</v>
      </c>
      <c r="H1526" s="514">
        <v>1.39</v>
      </c>
      <c r="I1526" s="514">
        <v>0.08</v>
      </c>
      <c r="J1526" s="514">
        <v>0.14</v>
      </c>
      <c r="K1526" s="514">
        <v>40100.0</v>
      </c>
      <c r="L1526" s="514">
        <v>4.9770566E7</v>
      </c>
      <c r="M1526" s="514">
        <v>0.7165</v>
      </c>
      <c r="N1526" s="6">
        <v>51.5424</v>
      </c>
    </row>
    <row r="1527">
      <c r="A1527" s="512" t="s">
        <v>2039</v>
      </c>
      <c r="B1527" s="512" t="s">
        <v>1867</v>
      </c>
      <c r="C1527" s="512" t="s">
        <v>75</v>
      </c>
      <c r="D1527" s="512" t="s">
        <v>2036</v>
      </c>
      <c r="E1527" s="513" t="s">
        <v>382</v>
      </c>
      <c r="F1527" s="514">
        <v>55969.0</v>
      </c>
      <c r="G1527" s="514">
        <v>3.0</v>
      </c>
      <c r="H1527" s="514">
        <v>0.01</v>
      </c>
      <c r="I1527" s="514">
        <v>0.0</v>
      </c>
      <c r="J1527" s="514">
        <v>0.0</v>
      </c>
      <c r="K1527" s="514">
        <v>75.0</v>
      </c>
      <c r="L1527" s="514">
        <v>4.9770566E7</v>
      </c>
      <c r="M1527" s="514">
        <v>0.0013</v>
      </c>
      <c r="N1527" s="6">
        <v>25.0</v>
      </c>
    </row>
    <row r="1528">
      <c r="A1528" s="512" t="s">
        <v>2039</v>
      </c>
      <c r="B1528" s="512" t="s">
        <v>1867</v>
      </c>
      <c r="C1528" s="512" t="s">
        <v>75</v>
      </c>
      <c r="D1528" s="512" t="s">
        <v>2036</v>
      </c>
      <c r="E1528" s="513" t="s">
        <v>42</v>
      </c>
      <c r="F1528" s="514">
        <v>55969.0</v>
      </c>
      <c r="G1528" s="514">
        <v>1.0</v>
      </c>
      <c r="H1528" s="514">
        <v>0.0</v>
      </c>
      <c r="I1528" s="514">
        <v>0.0</v>
      </c>
      <c r="J1528" s="514">
        <v>0.0</v>
      </c>
      <c r="K1528" s="514">
        <v>30.0</v>
      </c>
      <c r="L1528" s="514">
        <v>4.9770566E7</v>
      </c>
      <c r="M1528" s="514">
        <v>5.0E-4</v>
      </c>
      <c r="N1528" s="6">
        <v>30.0</v>
      </c>
    </row>
    <row r="1529">
      <c r="A1529" s="512" t="s">
        <v>2040</v>
      </c>
      <c r="B1529" s="512" t="s">
        <v>163</v>
      </c>
      <c r="C1529" s="512" t="s">
        <v>71</v>
      </c>
      <c r="D1529" s="512" t="s">
        <v>574</v>
      </c>
      <c r="E1529" s="513" t="s">
        <v>379</v>
      </c>
      <c r="F1529" s="514">
        <v>44743.0</v>
      </c>
      <c r="G1529" s="514">
        <v>40606.0</v>
      </c>
      <c r="H1529" s="514">
        <v>90.75</v>
      </c>
      <c r="I1529" s="514">
        <v>49.54</v>
      </c>
      <c r="J1529" s="514">
        <v>43.7</v>
      </c>
      <c r="K1529" s="514">
        <v>258192.0</v>
      </c>
      <c r="L1529" s="514">
        <v>521225.0</v>
      </c>
      <c r="M1529" s="514">
        <v>5.7706</v>
      </c>
      <c r="N1529" s="6">
        <v>6.3585</v>
      </c>
    </row>
    <row r="1530">
      <c r="A1530" s="512" t="s">
        <v>2040</v>
      </c>
      <c r="B1530" s="512" t="s">
        <v>163</v>
      </c>
      <c r="C1530" s="512" t="s">
        <v>71</v>
      </c>
      <c r="D1530" s="512" t="s">
        <v>574</v>
      </c>
      <c r="E1530" s="513" t="s">
        <v>377</v>
      </c>
      <c r="F1530" s="514">
        <v>44743.0</v>
      </c>
      <c r="G1530" s="514">
        <v>29272.0</v>
      </c>
      <c r="H1530" s="514">
        <v>65.42</v>
      </c>
      <c r="I1530" s="514">
        <v>10.43</v>
      </c>
      <c r="J1530" s="514">
        <v>14.35</v>
      </c>
      <c r="K1530" s="514">
        <v>54376.0</v>
      </c>
      <c r="L1530" s="514">
        <v>521225.0</v>
      </c>
      <c r="M1530" s="514">
        <v>1.2153</v>
      </c>
      <c r="N1530" s="6">
        <v>1.8576</v>
      </c>
    </row>
    <row r="1531">
      <c r="A1531" s="512" t="s">
        <v>2040</v>
      </c>
      <c r="B1531" s="512" t="s">
        <v>163</v>
      </c>
      <c r="C1531" s="512" t="s">
        <v>71</v>
      </c>
      <c r="D1531" s="512" t="s">
        <v>574</v>
      </c>
      <c r="E1531" s="513" t="s">
        <v>49</v>
      </c>
      <c r="F1531" s="514">
        <v>44743.0</v>
      </c>
      <c r="G1531" s="514">
        <v>20723.0</v>
      </c>
      <c r="H1531" s="514">
        <v>46.32</v>
      </c>
      <c r="I1531" s="514">
        <v>9.29</v>
      </c>
      <c r="J1531" s="514">
        <v>8.81</v>
      </c>
      <c r="K1531" s="514">
        <v>48397.0</v>
      </c>
      <c r="L1531" s="514">
        <v>521225.0</v>
      </c>
      <c r="M1531" s="514">
        <v>1.0817</v>
      </c>
      <c r="N1531" s="6">
        <v>2.3354</v>
      </c>
    </row>
    <row r="1532">
      <c r="A1532" s="512" t="s">
        <v>2040</v>
      </c>
      <c r="B1532" s="512" t="s">
        <v>163</v>
      </c>
      <c r="C1532" s="512" t="s">
        <v>71</v>
      </c>
      <c r="D1532" s="512" t="s">
        <v>574</v>
      </c>
      <c r="E1532" s="513" t="s">
        <v>380</v>
      </c>
      <c r="F1532" s="514">
        <v>44743.0</v>
      </c>
      <c r="G1532" s="514">
        <v>20407.0</v>
      </c>
      <c r="H1532" s="514">
        <v>45.61</v>
      </c>
      <c r="I1532" s="514">
        <v>7.01</v>
      </c>
      <c r="J1532" s="514">
        <v>8.27</v>
      </c>
      <c r="K1532" s="514">
        <v>36526.0</v>
      </c>
      <c r="L1532" s="514">
        <v>521225.0</v>
      </c>
      <c r="M1532" s="514">
        <v>0.8164</v>
      </c>
      <c r="N1532" s="6">
        <v>1.7899</v>
      </c>
    </row>
    <row r="1533">
      <c r="A1533" s="512" t="s">
        <v>2040</v>
      </c>
      <c r="B1533" s="512" t="s">
        <v>163</v>
      </c>
      <c r="C1533" s="512" t="s">
        <v>71</v>
      </c>
      <c r="D1533" s="512" t="s">
        <v>574</v>
      </c>
      <c r="E1533" s="513" t="s">
        <v>44</v>
      </c>
      <c r="F1533" s="514">
        <v>44743.0</v>
      </c>
      <c r="G1533" s="514">
        <v>22055.0</v>
      </c>
      <c r="H1533" s="514">
        <v>49.29</v>
      </c>
      <c r="I1533" s="514">
        <v>6.98</v>
      </c>
      <c r="J1533" s="514">
        <v>7.05</v>
      </c>
      <c r="K1533" s="514">
        <v>36362.0</v>
      </c>
      <c r="L1533" s="514">
        <v>521225.0</v>
      </c>
      <c r="M1533" s="514">
        <v>0.8127</v>
      </c>
      <c r="N1533" s="6">
        <v>1.6487</v>
      </c>
    </row>
    <row r="1534">
      <c r="A1534" s="512" t="s">
        <v>2040</v>
      </c>
      <c r="B1534" s="512" t="s">
        <v>163</v>
      </c>
      <c r="C1534" s="512" t="s">
        <v>71</v>
      </c>
      <c r="D1534" s="512" t="s">
        <v>574</v>
      </c>
      <c r="E1534" s="513" t="s">
        <v>372</v>
      </c>
      <c r="F1534" s="514">
        <v>44743.0</v>
      </c>
      <c r="G1534" s="514">
        <v>22927.0</v>
      </c>
      <c r="H1534" s="514">
        <v>51.24</v>
      </c>
      <c r="I1534" s="514">
        <v>6.19</v>
      </c>
      <c r="J1534" s="514">
        <v>8.86</v>
      </c>
      <c r="K1534" s="514">
        <v>32276.0</v>
      </c>
      <c r="L1534" s="514">
        <v>521225.0</v>
      </c>
      <c r="M1534" s="514">
        <v>0.7214</v>
      </c>
      <c r="N1534" s="6">
        <v>1.4078</v>
      </c>
    </row>
    <row r="1535">
      <c r="A1535" s="512" t="s">
        <v>2040</v>
      </c>
      <c r="B1535" s="512" t="s">
        <v>163</v>
      </c>
      <c r="C1535" s="512" t="s">
        <v>71</v>
      </c>
      <c r="D1535" s="512" t="s">
        <v>574</v>
      </c>
      <c r="E1535" s="513" t="s">
        <v>42</v>
      </c>
      <c r="F1535" s="514">
        <v>44743.0</v>
      </c>
      <c r="G1535" s="514">
        <v>10514.0</v>
      </c>
      <c r="H1535" s="514">
        <v>23.5</v>
      </c>
      <c r="I1535" s="514">
        <v>3.3</v>
      </c>
      <c r="J1535" s="514">
        <v>3.63</v>
      </c>
      <c r="K1535" s="514">
        <v>17206.0</v>
      </c>
      <c r="L1535" s="514">
        <v>521225.0</v>
      </c>
      <c r="M1535" s="514">
        <v>0.3846</v>
      </c>
      <c r="N1535" s="6">
        <v>1.6365</v>
      </c>
    </row>
    <row r="1536">
      <c r="A1536" s="512" t="s">
        <v>2040</v>
      </c>
      <c r="B1536" s="512" t="s">
        <v>163</v>
      </c>
      <c r="C1536" s="512" t="s">
        <v>71</v>
      </c>
      <c r="D1536" s="512" t="s">
        <v>574</v>
      </c>
      <c r="E1536" s="513" t="s">
        <v>134</v>
      </c>
      <c r="F1536" s="514">
        <v>44743.0</v>
      </c>
      <c r="G1536" s="514">
        <v>7336.0</v>
      </c>
      <c r="H1536" s="514">
        <v>16.4</v>
      </c>
      <c r="I1536" s="514">
        <v>2.78</v>
      </c>
      <c r="J1536" s="514">
        <v>2.02</v>
      </c>
      <c r="K1536" s="514">
        <v>14490.0</v>
      </c>
      <c r="L1536" s="514">
        <v>521225.0</v>
      </c>
      <c r="M1536" s="514">
        <v>0.3238</v>
      </c>
      <c r="N1536" s="6">
        <v>1.9752</v>
      </c>
    </row>
    <row r="1537">
      <c r="A1537" s="512" t="s">
        <v>2040</v>
      </c>
      <c r="B1537" s="512" t="s">
        <v>163</v>
      </c>
      <c r="C1537" s="512" t="s">
        <v>71</v>
      </c>
      <c r="D1537" s="512" t="s">
        <v>574</v>
      </c>
      <c r="E1537" s="513" t="s">
        <v>50</v>
      </c>
      <c r="F1537" s="514">
        <v>44743.0</v>
      </c>
      <c r="G1537" s="514">
        <v>7734.0</v>
      </c>
      <c r="H1537" s="514">
        <v>17.29</v>
      </c>
      <c r="I1537" s="514">
        <v>2.01</v>
      </c>
      <c r="J1537" s="514">
        <v>1.88</v>
      </c>
      <c r="K1537" s="514">
        <v>10491.0</v>
      </c>
      <c r="L1537" s="514">
        <v>521225.0</v>
      </c>
      <c r="M1537" s="514">
        <v>0.2345</v>
      </c>
      <c r="N1537" s="6">
        <v>1.3565</v>
      </c>
    </row>
    <row r="1538">
      <c r="A1538" s="512" t="s">
        <v>2040</v>
      </c>
      <c r="B1538" s="512" t="s">
        <v>163</v>
      </c>
      <c r="C1538" s="512" t="s">
        <v>71</v>
      </c>
      <c r="D1538" s="512" t="s">
        <v>574</v>
      </c>
      <c r="E1538" s="513" t="s">
        <v>375</v>
      </c>
      <c r="F1538" s="514">
        <v>44743.0</v>
      </c>
      <c r="G1538" s="514">
        <v>5224.0</v>
      </c>
      <c r="H1538" s="514">
        <v>11.68</v>
      </c>
      <c r="I1538" s="514">
        <v>1.19</v>
      </c>
      <c r="J1538" s="514">
        <v>0.64</v>
      </c>
      <c r="K1538" s="514">
        <v>6189.0</v>
      </c>
      <c r="L1538" s="514">
        <v>521225.0</v>
      </c>
      <c r="M1538" s="514">
        <v>0.1383</v>
      </c>
      <c r="N1538" s="6">
        <v>1.1847</v>
      </c>
    </row>
    <row r="1539">
      <c r="A1539" s="512" t="s">
        <v>2040</v>
      </c>
      <c r="B1539" s="512" t="s">
        <v>163</v>
      </c>
      <c r="C1539" s="512" t="s">
        <v>71</v>
      </c>
      <c r="D1539" s="512" t="s">
        <v>574</v>
      </c>
      <c r="E1539" s="513" t="s">
        <v>35</v>
      </c>
      <c r="F1539" s="514">
        <v>44743.0</v>
      </c>
      <c r="G1539" s="514">
        <v>3551.0</v>
      </c>
      <c r="H1539" s="514">
        <v>7.94</v>
      </c>
      <c r="I1539" s="514">
        <v>0.79</v>
      </c>
      <c r="J1539" s="514">
        <v>0.46</v>
      </c>
      <c r="K1539" s="514">
        <v>4103.0</v>
      </c>
      <c r="L1539" s="514">
        <v>521225.0</v>
      </c>
      <c r="M1539" s="514">
        <v>0.0917</v>
      </c>
      <c r="N1539" s="6">
        <v>1.1554</v>
      </c>
    </row>
    <row r="1540">
      <c r="A1540" s="512" t="s">
        <v>2040</v>
      </c>
      <c r="B1540" s="512" t="s">
        <v>163</v>
      </c>
      <c r="C1540" s="512" t="s">
        <v>71</v>
      </c>
      <c r="D1540" s="512" t="s">
        <v>574</v>
      </c>
      <c r="E1540" s="513" t="s">
        <v>189</v>
      </c>
      <c r="F1540" s="514">
        <v>44743.0</v>
      </c>
      <c r="G1540" s="514">
        <v>1423.0</v>
      </c>
      <c r="H1540" s="514">
        <v>3.18</v>
      </c>
      <c r="I1540" s="514">
        <v>0.31</v>
      </c>
      <c r="J1540" s="514">
        <v>0.11</v>
      </c>
      <c r="K1540" s="514">
        <v>1614.0</v>
      </c>
      <c r="L1540" s="514">
        <v>521225.0</v>
      </c>
      <c r="M1540" s="514">
        <v>0.0361</v>
      </c>
      <c r="N1540" s="6">
        <v>1.1342</v>
      </c>
    </row>
    <row r="1541">
      <c r="A1541" s="512" t="s">
        <v>2040</v>
      </c>
      <c r="B1541" s="512" t="s">
        <v>163</v>
      </c>
      <c r="C1541" s="512" t="s">
        <v>71</v>
      </c>
      <c r="D1541" s="512" t="s">
        <v>574</v>
      </c>
      <c r="E1541" s="513" t="s">
        <v>43</v>
      </c>
      <c r="F1541" s="514">
        <v>44743.0</v>
      </c>
      <c r="G1541" s="514">
        <v>951.0</v>
      </c>
      <c r="H1541" s="514">
        <v>2.13</v>
      </c>
      <c r="I1541" s="514">
        <v>0.19</v>
      </c>
      <c r="J1541" s="514">
        <v>0.22</v>
      </c>
      <c r="K1541" s="514">
        <v>977.0</v>
      </c>
      <c r="L1541" s="514">
        <v>521225.0</v>
      </c>
      <c r="M1541" s="514">
        <v>0.0218</v>
      </c>
      <c r="N1541" s="6">
        <v>1.0273</v>
      </c>
    </row>
    <row r="1542">
      <c r="A1542" s="512" t="s">
        <v>2040</v>
      </c>
      <c r="B1542" s="512" t="s">
        <v>163</v>
      </c>
      <c r="C1542" s="512" t="s">
        <v>71</v>
      </c>
      <c r="D1542" s="512" t="s">
        <v>574</v>
      </c>
      <c r="E1542" s="513" t="s">
        <v>312</v>
      </c>
      <c r="F1542" s="514">
        <v>44743.0</v>
      </c>
      <c r="G1542" s="514">
        <v>3.0</v>
      </c>
      <c r="H1542" s="514">
        <v>0.01</v>
      </c>
      <c r="I1542" s="514">
        <v>0.0</v>
      </c>
      <c r="J1542" s="514">
        <v>0.0</v>
      </c>
      <c r="K1542" s="514">
        <v>4.0</v>
      </c>
      <c r="L1542" s="514">
        <v>521225.0</v>
      </c>
      <c r="M1542" s="514">
        <v>1.0E-4</v>
      </c>
      <c r="N1542" s="6">
        <v>1.3333</v>
      </c>
    </row>
    <row r="1543">
      <c r="A1543" s="512" t="s">
        <v>2040</v>
      </c>
      <c r="B1543" s="512" t="s">
        <v>163</v>
      </c>
      <c r="C1543" s="512" t="s">
        <v>71</v>
      </c>
      <c r="D1543" s="512" t="s">
        <v>574</v>
      </c>
      <c r="E1543" s="513" t="s">
        <v>374</v>
      </c>
      <c r="F1543" s="514">
        <v>44743.0</v>
      </c>
      <c r="G1543" s="514">
        <v>1.0</v>
      </c>
      <c r="H1543" s="514">
        <v>0.0</v>
      </c>
      <c r="I1543" s="514">
        <v>0.0</v>
      </c>
      <c r="J1543" s="514">
        <v>0.0</v>
      </c>
      <c r="K1543" s="514">
        <v>2.0</v>
      </c>
      <c r="L1543" s="514">
        <v>521225.0</v>
      </c>
      <c r="M1543" s="514">
        <v>0.0</v>
      </c>
      <c r="N1543" s="6">
        <v>2.0</v>
      </c>
    </row>
    <row r="1544">
      <c r="A1544" s="512" t="s">
        <v>2040</v>
      </c>
      <c r="B1544" s="512" t="s">
        <v>163</v>
      </c>
      <c r="C1544" s="512" t="s">
        <v>71</v>
      </c>
      <c r="D1544" s="512" t="s">
        <v>574</v>
      </c>
      <c r="E1544" s="513" t="s">
        <v>32</v>
      </c>
      <c r="F1544" s="514">
        <v>44743.0</v>
      </c>
      <c r="G1544" s="514">
        <v>13.0</v>
      </c>
      <c r="H1544" s="514">
        <v>0.03</v>
      </c>
      <c r="I1544" s="514">
        <v>0.0</v>
      </c>
      <c r="J1544" s="514">
        <v>0.01</v>
      </c>
      <c r="K1544" s="514">
        <v>14.0</v>
      </c>
      <c r="L1544" s="514">
        <v>521225.0</v>
      </c>
      <c r="M1544" s="514">
        <v>3.0E-4</v>
      </c>
      <c r="N1544" s="6">
        <v>1.0769</v>
      </c>
    </row>
    <row r="1545">
      <c r="A1545" s="512" t="s">
        <v>2040</v>
      </c>
      <c r="B1545" s="512" t="s">
        <v>163</v>
      </c>
      <c r="C1545" s="512" t="s">
        <v>71</v>
      </c>
      <c r="D1545" s="512" t="s">
        <v>574</v>
      </c>
      <c r="E1545" s="513" t="s">
        <v>382</v>
      </c>
      <c r="F1545" s="514">
        <v>44743.0</v>
      </c>
      <c r="G1545" s="514">
        <v>3.0</v>
      </c>
      <c r="H1545" s="514">
        <v>0.01</v>
      </c>
      <c r="I1545" s="514">
        <v>0.0</v>
      </c>
      <c r="J1545" s="514">
        <v>0.0</v>
      </c>
      <c r="K1545" s="514">
        <v>6.0</v>
      </c>
      <c r="L1545" s="514">
        <v>521225.0</v>
      </c>
      <c r="M1545" s="514">
        <v>1.0E-4</v>
      </c>
      <c r="N1545" s="6">
        <v>2.0</v>
      </c>
    </row>
    <row r="1546">
      <c r="A1546" s="512" t="s">
        <v>2040</v>
      </c>
      <c r="B1546" s="512" t="s">
        <v>163</v>
      </c>
      <c r="C1546" s="512" t="s">
        <v>70</v>
      </c>
      <c r="D1546" s="512" t="s">
        <v>574</v>
      </c>
      <c r="E1546" s="513" t="s">
        <v>379</v>
      </c>
      <c r="F1546" s="514">
        <v>45838.0</v>
      </c>
      <c r="G1546" s="514">
        <v>44433.0</v>
      </c>
      <c r="H1546" s="514">
        <v>96.93</v>
      </c>
      <c r="I1546" s="514">
        <v>53.71</v>
      </c>
      <c r="J1546" s="514">
        <v>48.51</v>
      </c>
      <c r="K1546" s="514">
        <v>454163.0</v>
      </c>
      <c r="L1546" s="514">
        <v>845512.0</v>
      </c>
      <c r="M1546" s="514">
        <v>9.908</v>
      </c>
      <c r="N1546" s="6">
        <v>10.2213</v>
      </c>
    </row>
    <row r="1547">
      <c r="A1547" s="512" t="s">
        <v>2040</v>
      </c>
      <c r="B1547" s="512" t="s">
        <v>163</v>
      </c>
      <c r="C1547" s="512" t="s">
        <v>70</v>
      </c>
      <c r="D1547" s="512" t="s">
        <v>574</v>
      </c>
      <c r="E1547" s="513" t="s">
        <v>380</v>
      </c>
      <c r="F1547" s="514">
        <v>45838.0</v>
      </c>
      <c r="G1547" s="514">
        <v>28924.0</v>
      </c>
      <c r="H1547" s="514">
        <v>63.1</v>
      </c>
      <c r="I1547" s="514">
        <v>12.41</v>
      </c>
      <c r="J1547" s="514">
        <v>15.37</v>
      </c>
      <c r="K1547" s="514">
        <v>104911.0</v>
      </c>
      <c r="L1547" s="514">
        <v>845512.0</v>
      </c>
      <c r="M1547" s="514">
        <v>2.2887</v>
      </c>
      <c r="N1547" s="6">
        <v>3.6271</v>
      </c>
    </row>
    <row r="1548">
      <c r="A1548" s="512" t="s">
        <v>2040</v>
      </c>
      <c r="B1548" s="512" t="s">
        <v>163</v>
      </c>
      <c r="C1548" s="512" t="s">
        <v>70</v>
      </c>
      <c r="D1548" s="512" t="s">
        <v>574</v>
      </c>
      <c r="E1548" s="513" t="s">
        <v>377</v>
      </c>
      <c r="F1548" s="514">
        <v>45838.0</v>
      </c>
      <c r="G1548" s="514">
        <v>29383.0</v>
      </c>
      <c r="H1548" s="514">
        <v>64.1</v>
      </c>
      <c r="I1548" s="514">
        <v>6.5</v>
      </c>
      <c r="J1548" s="514">
        <v>7.63</v>
      </c>
      <c r="K1548" s="514">
        <v>54958.0</v>
      </c>
      <c r="L1548" s="514">
        <v>845512.0</v>
      </c>
      <c r="M1548" s="514">
        <v>1.199</v>
      </c>
      <c r="N1548" s="6">
        <v>1.8704</v>
      </c>
    </row>
    <row r="1549">
      <c r="A1549" s="512" t="s">
        <v>2040</v>
      </c>
      <c r="B1549" s="512" t="s">
        <v>163</v>
      </c>
      <c r="C1549" s="512" t="s">
        <v>70</v>
      </c>
      <c r="D1549" s="512" t="s">
        <v>574</v>
      </c>
      <c r="E1549" s="513" t="s">
        <v>49</v>
      </c>
      <c r="F1549" s="514">
        <v>45838.0</v>
      </c>
      <c r="G1549" s="514">
        <v>20723.0</v>
      </c>
      <c r="H1549" s="514">
        <v>45.21</v>
      </c>
      <c r="I1549" s="514">
        <v>5.72</v>
      </c>
      <c r="J1549" s="514">
        <v>5.09</v>
      </c>
      <c r="K1549" s="514">
        <v>48397.0</v>
      </c>
      <c r="L1549" s="514">
        <v>845512.0</v>
      </c>
      <c r="M1549" s="514">
        <v>1.0558</v>
      </c>
      <c r="N1549" s="6">
        <v>2.3354</v>
      </c>
    </row>
    <row r="1550">
      <c r="A1550" s="512" t="s">
        <v>2040</v>
      </c>
      <c r="B1550" s="512" t="s">
        <v>163</v>
      </c>
      <c r="C1550" s="512" t="s">
        <v>70</v>
      </c>
      <c r="D1550" s="512" t="s">
        <v>574</v>
      </c>
      <c r="E1550" s="513" t="s">
        <v>44</v>
      </c>
      <c r="F1550" s="514">
        <v>45838.0</v>
      </c>
      <c r="G1550" s="514">
        <v>24461.0</v>
      </c>
      <c r="H1550" s="514">
        <v>53.36</v>
      </c>
      <c r="I1550" s="514">
        <v>4.72</v>
      </c>
      <c r="J1550" s="514">
        <v>4.97</v>
      </c>
      <c r="K1550" s="514">
        <v>39901.0</v>
      </c>
      <c r="L1550" s="514">
        <v>845512.0</v>
      </c>
      <c r="M1550" s="514">
        <v>0.8705</v>
      </c>
      <c r="N1550" s="6">
        <v>1.6312</v>
      </c>
    </row>
    <row r="1551">
      <c r="A1551" s="512" t="s">
        <v>2040</v>
      </c>
      <c r="B1551" s="512" t="s">
        <v>163</v>
      </c>
      <c r="C1551" s="512" t="s">
        <v>70</v>
      </c>
      <c r="D1551" s="512" t="s">
        <v>574</v>
      </c>
      <c r="E1551" s="513" t="s">
        <v>374</v>
      </c>
      <c r="F1551" s="514">
        <v>45838.0</v>
      </c>
      <c r="G1551" s="514">
        <v>14213.0</v>
      </c>
      <c r="H1551" s="514">
        <v>31.01</v>
      </c>
      <c r="I1551" s="514">
        <v>4.65</v>
      </c>
      <c r="J1551" s="514">
        <v>5.69</v>
      </c>
      <c r="K1551" s="514">
        <v>39342.0</v>
      </c>
      <c r="L1551" s="514">
        <v>845512.0</v>
      </c>
      <c r="M1551" s="514">
        <v>0.8583</v>
      </c>
      <c r="N1551" s="6">
        <v>2.768</v>
      </c>
    </row>
    <row r="1552">
      <c r="A1552" s="512" t="s">
        <v>2040</v>
      </c>
      <c r="B1552" s="512" t="s">
        <v>163</v>
      </c>
      <c r="C1552" s="512" t="s">
        <v>70</v>
      </c>
      <c r="D1552" s="512" t="s">
        <v>574</v>
      </c>
      <c r="E1552" s="513" t="s">
        <v>372</v>
      </c>
      <c r="F1552" s="514">
        <v>45838.0</v>
      </c>
      <c r="G1552" s="514">
        <v>19304.0</v>
      </c>
      <c r="H1552" s="514">
        <v>42.11</v>
      </c>
      <c r="I1552" s="514">
        <v>4.21</v>
      </c>
      <c r="J1552" s="514">
        <v>3.71</v>
      </c>
      <c r="K1552" s="514">
        <v>35591.0</v>
      </c>
      <c r="L1552" s="514">
        <v>845512.0</v>
      </c>
      <c r="M1552" s="514">
        <v>0.7765</v>
      </c>
      <c r="N1552" s="6">
        <v>1.8437</v>
      </c>
    </row>
    <row r="1553">
      <c r="A1553" s="512" t="s">
        <v>2040</v>
      </c>
      <c r="B1553" s="512" t="s">
        <v>163</v>
      </c>
      <c r="C1553" s="512" t="s">
        <v>70</v>
      </c>
      <c r="D1553" s="512" t="s">
        <v>574</v>
      </c>
      <c r="E1553" s="513" t="s">
        <v>375</v>
      </c>
      <c r="F1553" s="514">
        <v>45838.0</v>
      </c>
      <c r="G1553" s="514">
        <v>19471.0</v>
      </c>
      <c r="H1553" s="514">
        <v>42.48</v>
      </c>
      <c r="I1553" s="514">
        <v>3.04</v>
      </c>
      <c r="J1553" s="514">
        <v>3.87</v>
      </c>
      <c r="K1553" s="514">
        <v>25739.0</v>
      </c>
      <c r="L1553" s="514">
        <v>845512.0</v>
      </c>
      <c r="M1553" s="514">
        <v>0.5615</v>
      </c>
      <c r="N1553" s="6">
        <v>1.3219</v>
      </c>
    </row>
    <row r="1554">
      <c r="A1554" s="512" t="s">
        <v>2040</v>
      </c>
      <c r="B1554" s="512" t="s">
        <v>163</v>
      </c>
      <c r="C1554" s="512" t="s">
        <v>70</v>
      </c>
      <c r="D1554" s="512" t="s">
        <v>574</v>
      </c>
      <c r="E1554" s="513" t="s">
        <v>134</v>
      </c>
      <c r="F1554" s="514">
        <v>45838.0</v>
      </c>
      <c r="G1554" s="514">
        <v>6637.0</v>
      </c>
      <c r="H1554" s="514">
        <v>14.48</v>
      </c>
      <c r="I1554" s="514">
        <v>1.4</v>
      </c>
      <c r="J1554" s="514">
        <v>1.02</v>
      </c>
      <c r="K1554" s="514">
        <v>11798.0</v>
      </c>
      <c r="L1554" s="514">
        <v>845512.0</v>
      </c>
      <c r="M1554" s="514">
        <v>0.2574</v>
      </c>
      <c r="N1554" s="6">
        <v>1.7776</v>
      </c>
    </row>
    <row r="1555">
      <c r="A1555" s="512" t="s">
        <v>2040</v>
      </c>
      <c r="B1555" s="512" t="s">
        <v>163</v>
      </c>
      <c r="C1555" s="512" t="s">
        <v>70</v>
      </c>
      <c r="D1555" s="512" t="s">
        <v>574</v>
      </c>
      <c r="E1555" s="513" t="s">
        <v>35</v>
      </c>
      <c r="F1555" s="514">
        <v>45838.0</v>
      </c>
      <c r="G1555" s="514">
        <v>9889.0</v>
      </c>
      <c r="H1555" s="514">
        <v>21.57</v>
      </c>
      <c r="I1555" s="514">
        <v>1.24</v>
      </c>
      <c r="J1555" s="514">
        <v>1.46</v>
      </c>
      <c r="K1555" s="514">
        <v>10467.0</v>
      </c>
      <c r="L1555" s="514">
        <v>845512.0</v>
      </c>
      <c r="M1555" s="514">
        <v>0.2283</v>
      </c>
      <c r="N1555" s="6">
        <v>1.0584</v>
      </c>
    </row>
    <row r="1556">
      <c r="A1556" s="512" t="s">
        <v>2040</v>
      </c>
      <c r="B1556" s="512" t="s">
        <v>163</v>
      </c>
      <c r="C1556" s="512" t="s">
        <v>70</v>
      </c>
      <c r="D1556" s="512" t="s">
        <v>574</v>
      </c>
      <c r="E1556" s="513" t="s">
        <v>189</v>
      </c>
      <c r="F1556" s="514">
        <v>45838.0</v>
      </c>
      <c r="G1556" s="514">
        <v>9335.0</v>
      </c>
      <c r="H1556" s="514">
        <v>20.37</v>
      </c>
      <c r="I1556" s="514">
        <v>1.13</v>
      </c>
      <c r="J1556" s="514">
        <v>1.44</v>
      </c>
      <c r="K1556" s="514">
        <v>9528.0</v>
      </c>
      <c r="L1556" s="514">
        <v>845512.0</v>
      </c>
      <c r="M1556" s="514">
        <v>0.2079</v>
      </c>
      <c r="N1556" s="6">
        <v>1.0207</v>
      </c>
    </row>
    <row r="1557">
      <c r="A1557" s="512" t="s">
        <v>2040</v>
      </c>
      <c r="B1557" s="512" t="s">
        <v>163</v>
      </c>
      <c r="C1557" s="512" t="s">
        <v>70</v>
      </c>
      <c r="D1557" s="512" t="s">
        <v>574</v>
      </c>
      <c r="E1557" s="513" t="s">
        <v>50</v>
      </c>
      <c r="F1557" s="514">
        <v>45838.0</v>
      </c>
      <c r="G1557" s="514">
        <v>4198.0</v>
      </c>
      <c r="H1557" s="514">
        <v>9.16</v>
      </c>
      <c r="I1557" s="514">
        <v>0.6</v>
      </c>
      <c r="J1557" s="514">
        <v>0.53</v>
      </c>
      <c r="K1557" s="514">
        <v>5087.0</v>
      </c>
      <c r="L1557" s="514">
        <v>845512.0</v>
      </c>
      <c r="M1557" s="514">
        <v>0.111</v>
      </c>
      <c r="N1557" s="6">
        <v>1.2118</v>
      </c>
    </row>
    <row r="1558">
      <c r="A1558" s="512" t="s">
        <v>2040</v>
      </c>
      <c r="B1558" s="512" t="s">
        <v>163</v>
      </c>
      <c r="C1558" s="512" t="s">
        <v>70</v>
      </c>
      <c r="D1558" s="512" t="s">
        <v>574</v>
      </c>
      <c r="E1558" s="513" t="s">
        <v>42</v>
      </c>
      <c r="F1558" s="514">
        <v>45838.0</v>
      </c>
      <c r="G1558" s="514">
        <v>3866.0</v>
      </c>
      <c r="H1558" s="514">
        <v>8.43</v>
      </c>
      <c r="I1558" s="514">
        <v>0.56</v>
      </c>
      <c r="J1558" s="514">
        <v>0.6</v>
      </c>
      <c r="K1558" s="514">
        <v>4761.0</v>
      </c>
      <c r="L1558" s="514">
        <v>845512.0</v>
      </c>
      <c r="M1558" s="514">
        <v>0.1039</v>
      </c>
      <c r="N1558" s="6">
        <v>1.2315</v>
      </c>
    </row>
    <row r="1559">
      <c r="A1559" s="512" t="s">
        <v>2040</v>
      </c>
      <c r="B1559" s="512" t="s">
        <v>163</v>
      </c>
      <c r="C1559" s="512" t="s">
        <v>70</v>
      </c>
      <c r="D1559" s="512" t="s">
        <v>574</v>
      </c>
      <c r="E1559" s="513" t="s">
        <v>43</v>
      </c>
      <c r="F1559" s="514">
        <v>45838.0</v>
      </c>
      <c r="G1559" s="514">
        <v>806.0</v>
      </c>
      <c r="H1559" s="514">
        <v>1.76</v>
      </c>
      <c r="I1559" s="514">
        <v>0.1</v>
      </c>
      <c r="J1559" s="514">
        <v>0.11</v>
      </c>
      <c r="K1559" s="514">
        <v>844.0</v>
      </c>
      <c r="L1559" s="514">
        <v>845512.0</v>
      </c>
      <c r="M1559" s="514">
        <v>0.0184</v>
      </c>
      <c r="N1559" s="6">
        <v>1.0471</v>
      </c>
    </row>
    <row r="1560">
      <c r="A1560" s="512" t="s">
        <v>2040</v>
      </c>
      <c r="B1560" s="512" t="s">
        <v>163</v>
      </c>
      <c r="C1560" s="512" t="s">
        <v>70</v>
      </c>
      <c r="D1560" s="512" t="s">
        <v>574</v>
      </c>
      <c r="E1560" s="513" t="s">
        <v>32</v>
      </c>
      <c r="F1560" s="514">
        <v>45838.0</v>
      </c>
      <c r="G1560" s="514">
        <v>16.0</v>
      </c>
      <c r="H1560" s="514">
        <v>0.03</v>
      </c>
      <c r="I1560" s="514">
        <v>0.0</v>
      </c>
      <c r="J1560" s="514">
        <v>0.0</v>
      </c>
      <c r="K1560" s="514">
        <v>19.0</v>
      </c>
      <c r="L1560" s="514">
        <v>845512.0</v>
      </c>
      <c r="M1560" s="514">
        <v>4.0E-4</v>
      </c>
      <c r="N1560" s="6">
        <v>1.1875</v>
      </c>
    </row>
    <row r="1561">
      <c r="A1561" s="512" t="s">
        <v>2040</v>
      </c>
      <c r="B1561" s="512" t="s">
        <v>163</v>
      </c>
      <c r="C1561" s="512" t="s">
        <v>70</v>
      </c>
      <c r="D1561" s="512" t="s">
        <v>574</v>
      </c>
      <c r="E1561" s="513" t="s">
        <v>382</v>
      </c>
      <c r="F1561" s="514">
        <v>45838.0</v>
      </c>
      <c r="G1561" s="514">
        <v>2.0</v>
      </c>
      <c r="H1561" s="514">
        <v>0.0</v>
      </c>
      <c r="I1561" s="514">
        <v>0.0</v>
      </c>
      <c r="J1561" s="514">
        <v>0.0</v>
      </c>
      <c r="K1561" s="514">
        <v>4.0</v>
      </c>
      <c r="L1561" s="514">
        <v>845512.0</v>
      </c>
      <c r="M1561" s="514">
        <v>1.0E-4</v>
      </c>
      <c r="N1561" s="6">
        <v>2.0</v>
      </c>
    </row>
    <row r="1562">
      <c r="A1562" s="512" t="s">
        <v>2040</v>
      </c>
      <c r="B1562" s="512" t="s">
        <v>163</v>
      </c>
      <c r="C1562" s="512" t="s">
        <v>70</v>
      </c>
      <c r="D1562" s="512" t="s">
        <v>574</v>
      </c>
      <c r="E1562" s="513" t="s">
        <v>311</v>
      </c>
      <c r="F1562" s="514">
        <v>45838.0</v>
      </c>
      <c r="G1562" s="514">
        <v>1.0</v>
      </c>
      <c r="H1562" s="514">
        <v>0.0</v>
      </c>
      <c r="I1562" s="514">
        <v>0.0</v>
      </c>
      <c r="J1562" s="514">
        <v>0.0</v>
      </c>
      <c r="K1562" s="514">
        <v>2.0</v>
      </c>
      <c r="L1562" s="514">
        <v>845512.0</v>
      </c>
      <c r="M1562" s="514">
        <v>0.0</v>
      </c>
      <c r="N1562" s="6">
        <v>2.0</v>
      </c>
    </row>
    <row r="1563">
      <c r="A1563" s="512" t="s">
        <v>2040</v>
      </c>
      <c r="B1563" s="512" t="s">
        <v>163</v>
      </c>
      <c r="C1563" s="512" t="s">
        <v>74</v>
      </c>
      <c r="D1563" s="512" t="s">
        <v>574</v>
      </c>
      <c r="E1563" s="513" t="s">
        <v>379</v>
      </c>
      <c r="F1563" s="514">
        <v>43994.0</v>
      </c>
      <c r="G1563" s="514">
        <v>40793.0</v>
      </c>
      <c r="H1563" s="514">
        <v>92.72</v>
      </c>
      <c r="I1563" s="514">
        <v>44.49</v>
      </c>
      <c r="J1563" s="514">
        <v>49.1</v>
      </c>
      <c r="K1563" s="514">
        <v>194925.0</v>
      </c>
      <c r="L1563" s="514">
        <v>438175.0</v>
      </c>
      <c r="M1563" s="514">
        <v>4.4307</v>
      </c>
      <c r="N1563" s="6">
        <v>4.7784</v>
      </c>
    </row>
    <row r="1564">
      <c r="A1564" s="512" t="s">
        <v>2040</v>
      </c>
      <c r="B1564" s="512" t="s">
        <v>163</v>
      </c>
      <c r="C1564" s="512" t="s">
        <v>74</v>
      </c>
      <c r="D1564" s="512" t="s">
        <v>574</v>
      </c>
      <c r="E1564" s="513" t="s">
        <v>372</v>
      </c>
      <c r="F1564" s="514">
        <v>43994.0</v>
      </c>
      <c r="G1564" s="514">
        <v>23175.0</v>
      </c>
      <c r="H1564" s="514">
        <v>52.68</v>
      </c>
      <c r="I1564" s="514">
        <v>9.11</v>
      </c>
      <c r="J1564" s="514">
        <v>11.16</v>
      </c>
      <c r="K1564" s="514">
        <v>39922.0</v>
      </c>
      <c r="L1564" s="514">
        <v>438175.0</v>
      </c>
      <c r="M1564" s="514">
        <v>0.9074</v>
      </c>
      <c r="N1564" s="6">
        <v>1.7226</v>
      </c>
    </row>
    <row r="1565">
      <c r="A1565" s="512" t="s">
        <v>2040</v>
      </c>
      <c r="B1565" s="512" t="s">
        <v>163</v>
      </c>
      <c r="C1565" s="512" t="s">
        <v>74</v>
      </c>
      <c r="D1565" s="512" t="s">
        <v>574</v>
      </c>
      <c r="E1565" s="513" t="s">
        <v>42</v>
      </c>
      <c r="F1565" s="514">
        <v>43994.0</v>
      </c>
      <c r="G1565" s="514">
        <v>16076.0</v>
      </c>
      <c r="H1565" s="514">
        <v>36.54</v>
      </c>
      <c r="I1565" s="514">
        <v>9.09</v>
      </c>
      <c r="J1565" s="514">
        <v>9.03</v>
      </c>
      <c r="K1565" s="514">
        <v>39815.0</v>
      </c>
      <c r="L1565" s="514">
        <v>438175.0</v>
      </c>
      <c r="M1565" s="514">
        <v>0.905</v>
      </c>
      <c r="N1565" s="6">
        <v>2.4767</v>
      </c>
    </row>
    <row r="1566">
      <c r="A1566" s="512" t="s">
        <v>2040</v>
      </c>
      <c r="B1566" s="512" t="s">
        <v>163</v>
      </c>
      <c r="C1566" s="512" t="s">
        <v>74</v>
      </c>
      <c r="D1566" s="512" t="s">
        <v>574</v>
      </c>
      <c r="E1566" s="513" t="s">
        <v>134</v>
      </c>
      <c r="F1566" s="514">
        <v>43994.0</v>
      </c>
      <c r="G1566" s="514">
        <v>12663.0</v>
      </c>
      <c r="H1566" s="514">
        <v>28.78</v>
      </c>
      <c r="I1566" s="514">
        <v>6.75</v>
      </c>
      <c r="J1566" s="514">
        <v>6.21</v>
      </c>
      <c r="K1566" s="514">
        <v>29574.0</v>
      </c>
      <c r="L1566" s="514">
        <v>438175.0</v>
      </c>
      <c r="M1566" s="514">
        <v>0.6722</v>
      </c>
      <c r="N1566" s="6">
        <v>2.3355</v>
      </c>
    </row>
    <row r="1567">
      <c r="A1567" s="512" t="s">
        <v>2040</v>
      </c>
      <c r="B1567" s="512" t="s">
        <v>163</v>
      </c>
      <c r="C1567" s="512" t="s">
        <v>74</v>
      </c>
      <c r="D1567" s="512" t="s">
        <v>574</v>
      </c>
      <c r="E1567" s="513" t="s">
        <v>44</v>
      </c>
      <c r="F1567" s="514">
        <v>43994.0</v>
      </c>
      <c r="G1567" s="514">
        <v>15783.0</v>
      </c>
      <c r="H1567" s="514">
        <v>35.88</v>
      </c>
      <c r="I1567" s="514">
        <v>5.94</v>
      </c>
      <c r="J1567" s="514">
        <v>4.67</v>
      </c>
      <c r="K1567" s="514">
        <v>26023.0</v>
      </c>
      <c r="L1567" s="514">
        <v>438175.0</v>
      </c>
      <c r="M1567" s="514">
        <v>0.5915</v>
      </c>
      <c r="N1567" s="6">
        <v>1.6488</v>
      </c>
    </row>
    <row r="1568">
      <c r="A1568" s="512" t="s">
        <v>2040</v>
      </c>
      <c r="B1568" s="512" t="s">
        <v>163</v>
      </c>
      <c r="C1568" s="512" t="s">
        <v>74</v>
      </c>
      <c r="D1568" s="512" t="s">
        <v>574</v>
      </c>
      <c r="E1568" s="513" t="s">
        <v>50</v>
      </c>
      <c r="F1568" s="514">
        <v>43994.0</v>
      </c>
      <c r="G1568" s="514">
        <v>13877.0</v>
      </c>
      <c r="H1568" s="514">
        <v>31.54</v>
      </c>
      <c r="I1568" s="514">
        <v>5.4</v>
      </c>
      <c r="J1568" s="514">
        <v>5.46</v>
      </c>
      <c r="K1568" s="514">
        <v>23653.0</v>
      </c>
      <c r="L1568" s="514">
        <v>438175.0</v>
      </c>
      <c r="M1568" s="514">
        <v>0.5376</v>
      </c>
      <c r="N1568" s="6">
        <v>1.7045</v>
      </c>
    </row>
    <row r="1569">
      <c r="A1569" s="512" t="s">
        <v>2040</v>
      </c>
      <c r="B1569" s="512" t="s">
        <v>163</v>
      </c>
      <c r="C1569" s="512" t="s">
        <v>74</v>
      </c>
      <c r="D1569" s="512" t="s">
        <v>574</v>
      </c>
      <c r="E1569" s="513" t="s">
        <v>377</v>
      </c>
      <c r="F1569" s="514">
        <v>43994.0</v>
      </c>
      <c r="G1569" s="514">
        <v>13438.0</v>
      </c>
      <c r="H1569" s="514">
        <v>30.55</v>
      </c>
      <c r="I1569" s="514">
        <v>5.15</v>
      </c>
      <c r="J1569" s="514">
        <v>4.22</v>
      </c>
      <c r="K1569" s="514">
        <v>22545.0</v>
      </c>
      <c r="L1569" s="514">
        <v>438175.0</v>
      </c>
      <c r="M1569" s="514">
        <v>0.5125</v>
      </c>
      <c r="N1569" s="6">
        <v>1.6777</v>
      </c>
    </row>
    <row r="1570">
      <c r="A1570" s="512" t="s">
        <v>2040</v>
      </c>
      <c r="B1570" s="512" t="s">
        <v>163</v>
      </c>
      <c r="C1570" s="512" t="s">
        <v>74</v>
      </c>
      <c r="D1570" s="512" t="s">
        <v>574</v>
      </c>
      <c r="E1570" s="513" t="s">
        <v>367</v>
      </c>
      <c r="F1570" s="514">
        <v>43994.0</v>
      </c>
      <c r="G1570" s="514">
        <v>6204.0</v>
      </c>
      <c r="H1570" s="514">
        <v>14.1</v>
      </c>
      <c r="I1570" s="514">
        <v>3.26</v>
      </c>
      <c r="J1570" s="514">
        <v>2.29</v>
      </c>
      <c r="K1570" s="514">
        <v>14304.0</v>
      </c>
      <c r="L1570" s="514">
        <v>438175.0</v>
      </c>
      <c r="M1570" s="514">
        <v>0.3251</v>
      </c>
      <c r="N1570" s="6">
        <v>2.3056</v>
      </c>
    </row>
    <row r="1571">
      <c r="A1571" s="512" t="s">
        <v>2040</v>
      </c>
      <c r="B1571" s="512" t="s">
        <v>163</v>
      </c>
      <c r="C1571" s="512" t="s">
        <v>74</v>
      </c>
      <c r="D1571" s="512" t="s">
        <v>574</v>
      </c>
      <c r="E1571" s="513" t="s">
        <v>310</v>
      </c>
      <c r="F1571" s="514">
        <v>43994.0</v>
      </c>
      <c r="G1571" s="514">
        <v>5961.0</v>
      </c>
      <c r="H1571" s="514">
        <v>13.55</v>
      </c>
      <c r="I1571" s="514">
        <v>1.69</v>
      </c>
      <c r="J1571" s="514">
        <v>1.45</v>
      </c>
      <c r="K1571" s="514">
        <v>7387.0</v>
      </c>
      <c r="L1571" s="514">
        <v>438175.0</v>
      </c>
      <c r="M1571" s="514">
        <v>0.1679</v>
      </c>
      <c r="N1571" s="6">
        <v>1.2392</v>
      </c>
    </row>
    <row r="1572">
      <c r="A1572" s="512" t="s">
        <v>2040</v>
      </c>
      <c r="B1572" s="512" t="s">
        <v>163</v>
      </c>
      <c r="C1572" s="512" t="s">
        <v>74</v>
      </c>
      <c r="D1572" s="512" t="s">
        <v>574</v>
      </c>
      <c r="E1572" s="513" t="s">
        <v>32</v>
      </c>
      <c r="F1572" s="514">
        <v>43994.0</v>
      </c>
      <c r="G1572" s="514">
        <v>5767.0</v>
      </c>
      <c r="H1572" s="514">
        <v>13.11</v>
      </c>
      <c r="I1572" s="514">
        <v>1.59</v>
      </c>
      <c r="J1572" s="514">
        <v>1.37</v>
      </c>
      <c r="K1572" s="514">
        <v>6963.0</v>
      </c>
      <c r="L1572" s="514">
        <v>438175.0</v>
      </c>
      <c r="M1572" s="514">
        <v>0.1583</v>
      </c>
      <c r="N1572" s="6">
        <v>1.2074</v>
      </c>
    </row>
    <row r="1573">
      <c r="A1573" s="512" t="s">
        <v>2040</v>
      </c>
      <c r="B1573" s="512" t="s">
        <v>163</v>
      </c>
      <c r="C1573" s="512" t="s">
        <v>74</v>
      </c>
      <c r="D1573" s="512" t="s">
        <v>574</v>
      </c>
      <c r="E1573" s="513" t="s">
        <v>312</v>
      </c>
      <c r="F1573" s="514">
        <v>43994.0</v>
      </c>
      <c r="G1573" s="514">
        <v>4956.0</v>
      </c>
      <c r="H1573" s="514">
        <v>11.27</v>
      </c>
      <c r="I1573" s="514">
        <v>1.45</v>
      </c>
      <c r="J1573" s="514">
        <v>1.12</v>
      </c>
      <c r="K1573" s="514">
        <v>6346.0</v>
      </c>
      <c r="L1573" s="514">
        <v>438175.0</v>
      </c>
      <c r="M1573" s="514">
        <v>0.1442</v>
      </c>
      <c r="N1573" s="6">
        <v>1.2805</v>
      </c>
    </row>
    <row r="1574">
      <c r="A1574" s="512" t="s">
        <v>2040</v>
      </c>
      <c r="B1574" s="512" t="s">
        <v>163</v>
      </c>
      <c r="C1574" s="512" t="s">
        <v>74</v>
      </c>
      <c r="D1574" s="512" t="s">
        <v>574</v>
      </c>
      <c r="E1574" s="513" t="s">
        <v>40</v>
      </c>
      <c r="F1574" s="514">
        <v>43994.0</v>
      </c>
      <c r="G1574" s="514">
        <v>3948.0</v>
      </c>
      <c r="H1574" s="514">
        <v>8.97</v>
      </c>
      <c r="I1574" s="514">
        <v>1.43</v>
      </c>
      <c r="J1574" s="514">
        <v>1.46</v>
      </c>
      <c r="K1574" s="514">
        <v>6244.0</v>
      </c>
      <c r="L1574" s="514">
        <v>438175.0</v>
      </c>
      <c r="M1574" s="514">
        <v>0.1419</v>
      </c>
      <c r="N1574" s="6">
        <v>1.5816</v>
      </c>
    </row>
    <row r="1575">
      <c r="A1575" s="512" t="s">
        <v>2040</v>
      </c>
      <c r="B1575" s="512" t="s">
        <v>163</v>
      </c>
      <c r="C1575" s="512" t="s">
        <v>74</v>
      </c>
      <c r="D1575" s="512" t="s">
        <v>574</v>
      </c>
      <c r="E1575" s="513" t="s">
        <v>375</v>
      </c>
      <c r="F1575" s="514">
        <v>43994.0</v>
      </c>
      <c r="G1575" s="514">
        <v>5224.0</v>
      </c>
      <c r="H1575" s="514">
        <v>11.87</v>
      </c>
      <c r="I1575" s="514">
        <v>1.41</v>
      </c>
      <c r="J1575" s="514">
        <v>0.74</v>
      </c>
      <c r="K1575" s="514">
        <v>6189.0</v>
      </c>
      <c r="L1575" s="514">
        <v>438175.0</v>
      </c>
      <c r="M1575" s="514">
        <v>0.1407</v>
      </c>
      <c r="N1575" s="6">
        <v>1.1847</v>
      </c>
    </row>
    <row r="1576">
      <c r="A1576" s="512" t="s">
        <v>2040</v>
      </c>
      <c r="B1576" s="512" t="s">
        <v>163</v>
      </c>
      <c r="C1576" s="512" t="s">
        <v>74</v>
      </c>
      <c r="D1576" s="512" t="s">
        <v>574</v>
      </c>
      <c r="E1576" s="513" t="s">
        <v>374</v>
      </c>
      <c r="F1576" s="514">
        <v>43994.0</v>
      </c>
      <c r="G1576" s="514">
        <v>1848.0</v>
      </c>
      <c r="H1576" s="514">
        <v>4.2</v>
      </c>
      <c r="I1576" s="514">
        <v>1.09</v>
      </c>
      <c r="J1576" s="514">
        <v>0.34</v>
      </c>
      <c r="K1576" s="514">
        <v>4779.0</v>
      </c>
      <c r="L1576" s="514">
        <v>438175.0</v>
      </c>
      <c r="M1576" s="514">
        <v>0.1086</v>
      </c>
      <c r="N1576" s="6">
        <v>2.586</v>
      </c>
    </row>
    <row r="1577">
      <c r="A1577" s="512" t="s">
        <v>2040</v>
      </c>
      <c r="B1577" s="512" t="s">
        <v>163</v>
      </c>
      <c r="C1577" s="512" t="s">
        <v>74</v>
      </c>
      <c r="D1577" s="512" t="s">
        <v>574</v>
      </c>
      <c r="E1577" s="513" t="s">
        <v>373</v>
      </c>
      <c r="F1577" s="514">
        <v>43994.0</v>
      </c>
      <c r="G1577" s="514">
        <v>3878.0</v>
      </c>
      <c r="H1577" s="514">
        <v>8.81</v>
      </c>
      <c r="I1577" s="514">
        <v>0.92</v>
      </c>
      <c r="J1577" s="514">
        <v>0.53</v>
      </c>
      <c r="K1577" s="514">
        <v>4026.0</v>
      </c>
      <c r="L1577" s="514">
        <v>438175.0</v>
      </c>
      <c r="M1577" s="514">
        <v>0.0915</v>
      </c>
      <c r="N1577" s="6">
        <v>1.0382</v>
      </c>
    </row>
    <row r="1578">
      <c r="A1578" s="512" t="s">
        <v>2040</v>
      </c>
      <c r="B1578" s="512" t="s">
        <v>163</v>
      </c>
      <c r="C1578" s="512" t="s">
        <v>74</v>
      </c>
      <c r="D1578" s="512" t="s">
        <v>574</v>
      </c>
      <c r="E1578" s="513" t="s">
        <v>43</v>
      </c>
      <c r="F1578" s="514">
        <v>43994.0</v>
      </c>
      <c r="G1578" s="514">
        <v>1897.0</v>
      </c>
      <c r="H1578" s="514">
        <v>4.31</v>
      </c>
      <c r="I1578" s="514">
        <v>0.47</v>
      </c>
      <c r="J1578" s="514">
        <v>0.36</v>
      </c>
      <c r="K1578" s="514">
        <v>2081.0</v>
      </c>
      <c r="L1578" s="514">
        <v>438175.0</v>
      </c>
      <c r="M1578" s="514">
        <v>0.0473</v>
      </c>
      <c r="N1578" s="6">
        <v>1.097</v>
      </c>
    </row>
    <row r="1579">
      <c r="A1579" s="512" t="s">
        <v>2040</v>
      </c>
      <c r="B1579" s="512" t="s">
        <v>163</v>
      </c>
      <c r="C1579" s="512" t="s">
        <v>74</v>
      </c>
      <c r="D1579" s="512" t="s">
        <v>574</v>
      </c>
      <c r="E1579" s="513" t="s">
        <v>311</v>
      </c>
      <c r="F1579" s="514">
        <v>43994.0</v>
      </c>
      <c r="G1579" s="514">
        <v>1728.0</v>
      </c>
      <c r="H1579" s="514">
        <v>3.93</v>
      </c>
      <c r="I1579" s="514">
        <v>0.41</v>
      </c>
      <c r="J1579" s="514">
        <v>0.36</v>
      </c>
      <c r="K1579" s="514">
        <v>1781.0</v>
      </c>
      <c r="L1579" s="514">
        <v>438175.0</v>
      </c>
      <c r="M1579" s="514">
        <v>0.0405</v>
      </c>
      <c r="N1579" s="6">
        <v>1.0307</v>
      </c>
    </row>
    <row r="1580">
      <c r="A1580" s="512" t="s">
        <v>2040</v>
      </c>
      <c r="B1580" s="512" t="s">
        <v>163</v>
      </c>
      <c r="C1580" s="512" t="s">
        <v>74</v>
      </c>
      <c r="D1580" s="512" t="s">
        <v>574</v>
      </c>
      <c r="E1580" s="513" t="s">
        <v>189</v>
      </c>
      <c r="F1580" s="514">
        <v>43994.0</v>
      </c>
      <c r="G1580" s="514">
        <v>1423.0</v>
      </c>
      <c r="H1580" s="514">
        <v>3.23</v>
      </c>
      <c r="I1580" s="514">
        <v>0.37</v>
      </c>
      <c r="J1580" s="514">
        <v>0.12</v>
      </c>
      <c r="K1580" s="514">
        <v>1614.0</v>
      </c>
      <c r="L1580" s="514">
        <v>438175.0</v>
      </c>
      <c r="M1580" s="514">
        <v>0.0367</v>
      </c>
      <c r="N1580" s="6">
        <v>1.1342</v>
      </c>
    </row>
    <row r="1581">
      <c r="A1581" s="512" t="s">
        <v>2040</v>
      </c>
      <c r="B1581" s="512" t="s">
        <v>163</v>
      </c>
      <c r="C1581" s="512" t="s">
        <v>74</v>
      </c>
      <c r="D1581" s="512" t="s">
        <v>574</v>
      </c>
      <c r="E1581" s="513" t="s">
        <v>382</v>
      </c>
      <c r="F1581" s="514">
        <v>43994.0</v>
      </c>
      <c r="G1581" s="514">
        <v>2.0</v>
      </c>
      <c r="H1581" s="514">
        <v>0.0</v>
      </c>
      <c r="I1581" s="514">
        <v>0.0</v>
      </c>
      <c r="J1581" s="514">
        <v>0.0</v>
      </c>
      <c r="K1581" s="514">
        <v>4.0</v>
      </c>
      <c r="L1581" s="514">
        <v>438175.0</v>
      </c>
      <c r="M1581" s="514">
        <v>1.0E-4</v>
      </c>
      <c r="N1581" s="6">
        <v>2.0</v>
      </c>
    </row>
    <row r="1582">
      <c r="A1582" s="512" t="s">
        <v>2040</v>
      </c>
      <c r="B1582" s="512" t="s">
        <v>163</v>
      </c>
      <c r="C1582" s="512" t="s">
        <v>1882</v>
      </c>
      <c r="D1582" s="512" t="s">
        <v>1882</v>
      </c>
      <c r="E1582" s="513" t="s">
        <v>379</v>
      </c>
      <c r="F1582" s="514">
        <v>46530.0</v>
      </c>
      <c r="G1582" s="514">
        <v>46191.0</v>
      </c>
      <c r="H1582" s="514">
        <v>99.27</v>
      </c>
      <c r="I1582" s="514">
        <v>25.02</v>
      </c>
      <c r="J1582" s="514">
        <v>26.93</v>
      </c>
      <c r="K1582" s="514">
        <v>1.8632545E7</v>
      </c>
      <c r="L1582" s="514">
        <v>7.4466344E7</v>
      </c>
      <c r="M1582" s="514">
        <v>400.4415</v>
      </c>
      <c r="N1582" s="6">
        <v>403.3804</v>
      </c>
    </row>
    <row r="1583">
      <c r="A1583" s="512" t="s">
        <v>2040</v>
      </c>
      <c r="B1583" s="512" t="s">
        <v>163</v>
      </c>
      <c r="C1583" s="512" t="s">
        <v>1882</v>
      </c>
      <c r="D1583" s="512" t="s">
        <v>1882</v>
      </c>
      <c r="E1583" s="513" t="s">
        <v>372</v>
      </c>
      <c r="F1583" s="514">
        <v>46530.0</v>
      </c>
      <c r="G1583" s="514">
        <v>41859.0</v>
      </c>
      <c r="H1583" s="514">
        <v>89.96</v>
      </c>
      <c r="I1583" s="514">
        <v>12.08</v>
      </c>
      <c r="J1583" s="514">
        <v>15.2</v>
      </c>
      <c r="K1583" s="514">
        <v>8993080.0</v>
      </c>
      <c r="L1583" s="514">
        <v>7.4466344E7</v>
      </c>
      <c r="M1583" s="514">
        <v>193.2749</v>
      </c>
      <c r="N1583" s="6">
        <v>214.8422</v>
      </c>
    </row>
    <row r="1584">
      <c r="A1584" s="512" t="s">
        <v>2040</v>
      </c>
      <c r="B1584" s="512" t="s">
        <v>163</v>
      </c>
      <c r="C1584" s="512" t="s">
        <v>1882</v>
      </c>
      <c r="D1584" s="512" t="s">
        <v>1882</v>
      </c>
      <c r="E1584" s="513" t="s">
        <v>374</v>
      </c>
      <c r="F1584" s="514">
        <v>46530.0</v>
      </c>
      <c r="G1584" s="514">
        <v>20198.0</v>
      </c>
      <c r="H1584" s="514">
        <v>43.41</v>
      </c>
      <c r="I1584" s="514">
        <v>11.29</v>
      </c>
      <c r="J1584" s="514">
        <v>9.51</v>
      </c>
      <c r="K1584" s="514">
        <v>8406490.0</v>
      </c>
      <c r="L1584" s="514">
        <v>7.4466344E7</v>
      </c>
      <c r="M1584" s="514">
        <v>180.6682</v>
      </c>
      <c r="N1584" s="6">
        <v>416.2041</v>
      </c>
    </row>
    <row r="1585">
      <c r="A1585" s="512" t="s">
        <v>2040</v>
      </c>
      <c r="B1585" s="512" t="s">
        <v>163</v>
      </c>
      <c r="C1585" s="512" t="s">
        <v>1882</v>
      </c>
      <c r="D1585" s="512" t="s">
        <v>1882</v>
      </c>
      <c r="E1585" s="513" t="s">
        <v>377</v>
      </c>
      <c r="F1585" s="514">
        <v>46530.0</v>
      </c>
      <c r="G1585" s="514">
        <v>23767.0</v>
      </c>
      <c r="H1585" s="514">
        <v>51.08</v>
      </c>
      <c r="I1585" s="514">
        <v>6.91</v>
      </c>
      <c r="J1585" s="514">
        <v>5.79</v>
      </c>
      <c r="K1585" s="514">
        <v>5145349.0</v>
      </c>
      <c r="L1585" s="514">
        <v>7.4466344E7</v>
      </c>
      <c r="M1585" s="514">
        <v>110.5813</v>
      </c>
      <c r="N1585" s="6">
        <v>216.4913</v>
      </c>
    </row>
    <row r="1586">
      <c r="A1586" s="512" t="s">
        <v>2040</v>
      </c>
      <c r="B1586" s="512" t="s">
        <v>163</v>
      </c>
      <c r="C1586" s="512" t="s">
        <v>1882</v>
      </c>
      <c r="D1586" s="512" t="s">
        <v>1882</v>
      </c>
      <c r="E1586" s="513" t="s">
        <v>373</v>
      </c>
      <c r="F1586" s="514">
        <v>46530.0</v>
      </c>
      <c r="G1586" s="514">
        <v>38483.0</v>
      </c>
      <c r="H1586" s="514">
        <v>82.71</v>
      </c>
      <c r="I1586" s="514">
        <v>6.49</v>
      </c>
      <c r="J1586" s="514">
        <v>7.22</v>
      </c>
      <c r="K1586" s="514">
        <v>4832150.0</v>
      </c>
      <c r="L1586" s="514">
        <v>7.4466344E7</v>
      </c>
      <c r="M1586" s="514">
        <v>103.8502</v>
      </c>
      <c r="N1586" s="6">
        <v>125.5658</v>
      </c>
    </row>
    <row r="1587">
      <c r="A1587" s="512" t="s">
        <v>2040</v>
      </c>
      <c r="B1587" s="512" t="s">
        <v>163</v>
      </c>
      <c r="C1587" s="512" t="s">
        <v>1882</v>
      </c>
      <c r="D1587" s="512" t="s">
        <v>1882</v>
      </c>
      <c r="E1587" s="513" t="s">
        <v>50</v>
      </c>
      <c r="F1587" s="514">
        <v>46530.0</v>
      </c>
      <c r="G1587" s="514">
        <v>25190.0</v>
      </c>
      <c r="H1587" s="514">
        <v>54.14</v>
      </c>
      <c r="I1587" s="514">
        <v>5.17</v>
      </c>
      <c r="J1587" s="514">
        <v>5.13</v>
      </c>
      <c r="K1587" s="514">
        <v>3850300.0</v>
      </c>
      <c r="L1587" s="514">
        <v>7.4466344E7</v>
      </c>
      <c r="M1587" s="514">
        <v>82.7488</v>
      </c>
      <c r="N1587" s="6">
        <v>152.8503</v>
      </c>
    </row>
    <row r="1588">
      <c r="A1588" s="512" t="s">
        <v>2040</v>
      </c>
      <c r="B1588" s="512" t="s">
        <v>163</v>
      </c>
      <c r="C1588" s="512" t="s">
        <v>1882</v>
      </c>
      <c r="D1588" s="512" t="s">
        <v>1882</v>
      </c>
      <c r="E1588" s="513" t="s">
        <v>380</v>
      </c>
      <c r="F1588" s="514">
        <v>46530.0</v>
      </c>
      <c r="G1588" s="514">
        <v>31496.0</v>
      </c>
      <c r="H1588" s="514">
        <v>67.69</v>
      </c>
      <c r="I1588" s="514">
        <v>4.24</v>
      </c>
      <c r="J1588" s="514">
        <v>5.76</v>
      </c>
      <c r="K1588" s="514">
        <v>3160460.0</v>
      </c>
      <c r="L1588" s="514">
        <v>7.4466344E7</v>
      </c>
      <c r="M1588" s="514">
        <v>67.9231</v>
      </c>
      <c r="N1588" s="6">
        <v>100.3448</v>
      </c>
    </row>
    <row r="1589">
      <c r="A1589" s="512" t="s">
        <v>2040</v>
      </c>
      <c r="B1589" s="512" t="s">
        <v>163</v>
      </c>
      <c r="C1589" s="512" t="s">
        <v>1882</v>
      </c>
      <c r="D1589" s="512" t="s">
        <v>1882</v>
      </c>
      <c r="E1589" s="513" t="s">
        <v>42</v>
      </c>
      <c r="F1589" s="514">
        <v>46530.0</v>
      </c>
      <c r="G1589" s="514">
        <v>16176.0</v>
      </c>
      <c r="H1589" s="514">
        <v>34.76</v>
      </c>
      <c r="I1589" s="514">
        <v>3.95</v>
      </c>
      <c r="J1589" s="514">
        <v>4.03</v>
      </c>
      <c r="K1589" s="514">
        <v>2938970.0</v>
      </c>
      <c r="L1589" s="514">
        <v>7.4466344E7</v>
      </c>
      <c r="M1589" s="514">
        <v>63.1629</v>
      </c>
      <c r="N1589" s="6">
        <v>181.6871</v>
      </c>
    </row>
    <row r="1590">
      <c r="A1590" s="512" t="s">
        <v>2040</v>
      </c>
      <c r="B1590" s="512" t="s">
        <v>163</v>
      </c>
      <c r="C1590" s="512" t="s">
        <v>1882</v>
      </c>
      <c r="D1590" s="512" t="s">
        <v>1882</v>
      </c>
      <c r="E1590" s="513" t="s">
        <v>134</v>
      </c>
      <c r="F1590" s="514">
        <v>46530.0</v>
      </c>
      <c r="G1590" s="514">
        <v>14107.0</v>
      </c>
      <c r="H1590" s="514">
        <v>30.32</v>
      </c>
      <c r="I1590" s="514">
        <v>3.26</v>
      </c>
      <c r="J1590" s="514">
        <v>2.59</v>
      </c>
      <c r="K1590" s="514">
        <v>2428955.0</v>
      </c>
      <c r="L1590" s="514">
        <v>7.4466344E7</v>
      </c>
      <c r="M1590" s="514">
        <v>52.2019</v>
      </c>
      <c r="N1590" s="6">
        <v>172.1808</v>
      </c>
    </row>
    <row r="1591">
      <c r="A1591" s="512" t="s">
        <v>2040</v>
      </c>
      <c r="B1591" s="512" t="s">
        <v>163</v>
      </c>
      <c r="C1591" s="512" t="s">
        <v>1882</v>
      </c>
      <c r="D1591" s="512" t="s">
        <v>1882</v>
      </c>
      <c r="E1591" s="513" t="s">
        <v>310</v>
      </c>
      <c r="F1591" s="514">
        <v>46530.0</v>
      </c>
      <c r="G1591" s="514">
        <v>11788.0</v>
      </c>
      <c r="H1591" s="514">
        <v>25.33</v>
      </c>
      <c r="I1591" s="514">
        <v>2.99</v>
      </c>
      <c r="J1591" s="514">
        <v>2.37</v>
      </c>
      <c r="K1591" s="514">
        <v>2226050.0</v>
      </c>
      <c r="L1591" s="514">
        <v>7.4466344E7</v>
      </c>
      <c r="M1591" s="514">
        <v>47.8412</v>
      </c>
      <c r="N1591" s="6">
        <v>188.8403</v>
      </c>
    </row>
    <row r="1592">
      <c r="A1592" s="512" t="s">
        <v>2040</v>
      </c>
      <c r="B1592" s="512" t="s">
        <v>163</v>
      </c>
      <c r="C1592" s="512" t="s">
        <v>1882</v>
      </c>
      <c r="D1592" s="512" t="s">
        <v>1882</v>
      </c>
      <c r="E1592" s="513" t="s">
        <v>40</v>
      </c>
      <c r="F1592" s="514">
        <v>46530.0</v>
      </c>
      <c r="G1592" s="514">
        <v>14197.0</v>
      </c>
      <c r="H1592" s="514">
        <v>30.51</v>
      </c>
      <c r="I1592" s="514">
        <v>2.86</v>
      </c>
      <c r="J1592" s="514">
        <v>2.6</v>
      </c>
      <c r="K1592" s="514">
        <v>2129870.0</v>
      </c>
      <c r="L1592" s="514">
        <v>7.4466344E7</v>
      </c>
      <c r="M1592" s="514">
        <v>45.7741</v>
      </c>
      <c r="N1592" s="6">
        <v>150.0225</v>
      </c>
    </row>
    <row r="1593">
      <c r="A1593" s="512" t="s">
        <v>2040</v>
      </c>
      <c r="B1593" s="512" t="s">
        <v>163</v>
      </c>
      <c r="C1593" s="512" t="s">
        <v>1882</v>
      </c>
      <c r="D1593" s="512" t="s">
        <v>1882</v>
      </c>
      <c r="E1593" s="513" t="s">
        <v>32</v>
      </c>
      <c r="F1593" s="514">
        <v>46530.0</v>
      </c>
      <c r="G1593" s="514">
        <v>11329.0</v>
      </c>
      <c r="H1593" s="514">
        <v>24.35</v>
      </c>
      <c r="I1593" s="514">
        <v>2.79</v>
      </c>
      <c r="J1593" s="514">
        <v>2.18</v>
      </c>
      <c r="K1593" s="514">
        <v>2080700.0</v>
      </c>
      <c r="L1593" s="514">
        <v>7.4466344E7</v>
      </c>
      <c r="M1593" s="514">
        <v>44.7174</v>
      </c>
      <c r="N1593" s="6">
        <v>183.6614</v>
      </c>
    </row>
    <row r="1594">
      <c r="A1594" s="512" t="s">
        <v>2040</v>
      </c>
      <c r="B1594" s="512" t="s">
        <v>163</v>
      </c>
      <c r="C1594" s="512" t="s">
        <v>1882</v>
      </c>
      <c r="D1594" s="512" t="s">
        <v>1882</v>
      </c>
      <c r="E1594" s="513" t="s">
        <v>312</v>
      </c>
      <c r="F1594" s="514">
        <v>46530.0</v>
      </c>
      <c r="G1594" s="514">
        <v>10978.0</v>
      </c>
      <c r="H1594" s="514">
        <v>23.59</v>
      </c>
      <c r="I1594" s="514">
        <v>2.71</v>
      </c>
      <c r="J1594" s="514">
        <v>2.07</v>
      </c>
      <c r="K1594" s="514">
        <v>2020050.0</v>
      </c>
      <c r="L1594" s="514">
        <v>7.4466344E7</v>
      </c>
      <c r="M1594" s="514">
        <v>43.4139</v>
      </c>
      <c r="N1594" s="6">
        <v>184.0089</v>
      </c>
    </row>
    <row r="1595">
      <c r="A1595" s="512" t="s">
        <v>2040</v>
      </c>
      <c r="B1595" s="512" t="s">
        <v>163</v>
      </c>
      <c r="C1595" s="512" t="s">
        <v>1882</v>
      </c>
      <c r="D1595" s="512" t="s">
        <v>1882</v>
      </c>
      <c r="E1595" s="513" t="s">
        <v>44</v>
      </c>
      <c r="F1595" s="514">
        <v>46530.0</v>
      </c>
      <c r="G1595" s="514">
        <v>26920.0</v>
      </c>
      <c r="H1595" s="514">
        <v>57.86</v>
      </c>
      <c r="I1595" s="514">
        <v>2.58</v>
      </c>
      <c r="J1595" s="514">
        <v>2.43</v>
      </c>
      <c r="K1595" s="514">
        <v>1917545.0</v>
      </c>
      <c r="L1595" s="514">
        <v>7.4466344E7</v>
      </c>
      <c r="M1595" s="514">
        <v>41.2109</v>
      </c>
      <c r="N1595" s="6">
        <v>71.2312</v>
      </c>
    </row>
    <row r="1596">
      <c r="A1596" s="512" t="s">
        <v>2040</v>
      </c>
      <c r="B1596" s="512" t="s">
        <v>163</v>
      </c>
      <c r="C1596" s="512" t="s">
        <v>1882</v>
      </c>
      <c r="D1596" s="512" t="s">
        <v>1882</v>
      </c>
      <c r="E1596" s="513" t="s">
        <v>43</v>
      </c>
      <c r="F1596" s="514">
        <v>46530.0</v>
      </c>
      <c r="G1596" s="514">
        <v>6545.0</v>
      </c>
      <c r="H1596" s="514">
        <v>14.07</v>
      </c>
      <c r="I1596" s="514">
        <v>2.07</v>
      </c>
      <c r="J1596" s="514">
        <v>1.37</v>
      </c>
      <c r="K1596" s="514">
        <v>1540500.0</v>
      </c>
      <c r="L1596" s="514">
        <v>7.4466344E7</v>
      </c>
      <c r="M1596" s="514">
        <v>33.1077</v>
      </c>
      <c r="N1596" s="6">
        <v>235.3705</v>
      </c>
    </row>
    <row r="1597">
      <c r="A1597" s="512" t="s">
        <v>2040</v>
      </c>
      <c r="B1597" s="512" t="s">
        <v>163</v>
      </c>
      <c r="C1597" s="512" t="s">
        <v>1882</v>
      </c>
      <c r="D1597" s="512" t="s">
        <v>1882</v>
      </c>
      <c r="E1597" s="513" t="s">
        <v>367</v>
      </c>
      <c r="F1597" s="514">
        <v>46530.0</v>
      </c>
      <c r="G1597" s="514">
        <v>15037.0</v>
      </c>
      <c r="H1597" s="514">
        <v>32.32</v>
      </c>
      <c r="I1597" s="514">
        <v>1.84</v>
      </c>
      <c r="J1597" s="514">
        <v>1.47</v>
      </c>
      <c r="K1597" s="514">
        <v>1368205.0</v>
      </c>
      <c r="L1597" s="514">
        <v>7.4466344E7</v>
      </c>
      <c r="M1597" s="514">
        <v>29.4048</v>
      </c>
      <c r="N1597" s="6">
        <v>90.9892</v>
      </c>
    </row>
    <row r="1598">
      <c r="A1598" s="512" t="s">
        <v>2040</v>
      </c>
      <c r="B1598" s="512" t="s">
        <v>163</v>
      </c>
      <c r="C1598" s="512" t="s">
        <v>1882</v>
      </c>
      <c r="D1598" s="512" t="s">
        <v>1882</v>
      </c>
      <c r="E1598" s="513" t="s">
        <v>375</v>
      </c>
      <c r="F1598" s="514">
        <v>46530.0</v>
      </c>
      <c r="G1598" s="514">
        <v>18013.0</v>
      </c>
      <c r="H1598" s="514">
        <v>38.71</v>
      </c>
      <c r="I1598" s="514">
        <v>1.58</v>
      </c>
      <c r="J1598" s="514">
        <v>1.43</v>
      </c>
      <c r="K1598" s="514">
        <v>1174300.0</v>
      </c>
      <c r="L1598" s="514">
        <v>7.4466344E7</v>
      </c>
      <c r="M1598" s="514">
        <v>25.2375</v>
      </c>
      <c r="N1598" s="6">
        <v>65.1918</v>
      </c>
    </row>
    <row r="1599">
      <c r="A1599" s="512" t="s">
        <v>2040</v>
      </c>
      <c r="B1599" s="512" t="s">
        <v>163</v>
      </c>
      <c r="C1599" s="512" t="s">
        <v>1882</v>
      </c>
      <c r="D1599" s="512" t="s">
        <v>1882</v>
      </c>
      <c r="E1599" s="513" t="s">
        <v>35</v>
      </c>
      <c r="F1599" s="514">
        <v>46530.0</v>
      </c>
      <c r="G1599" s="514">
        <v>11783.0</v>
      </c>
      <c r="H1599" s="514">
        <v>25.32</v>
      </c>
      <c r="I1599" s="514">
        <v>0.86</v>
      </c>
      <c r="J1599" s="514">
        <v>0.78</v>
      </c>
      <c r="K1599" s="514">
        <v>639850.0</v>
      </c>
      <c r="L1599" s="514">
        <v>7.4466344E7</v>
      </c>
      <c r="M1599" s="514">
        <v>13.7513</v>
      </c>
      <c r="N1599" s="6">
        <v>54.3028</v>
      </c>
    </row>
    <row r="1600">
      <c r="A1600" s="512" t="s">
        <v>2040</v>
      </c>
      <c r="B1600" s="512" t="s">
        <v>163</v>
      </c>
      <c r="C1600" s="512" t="s">
        <v>1882</v>
      </c>
      <c r="D1600" s="512" t="s">
        <v>1882</v>
      </c>
      <c r="E1600" s="513" t="s">
        <v>311</v>
      </c>
      <c r="F1600" s="514">
        <v>46530.0</v>
      </c>
      <c r="G1600" s="514">
        <v>4201.0</v>
      </c>
      <c r="H1600" s="514">
        <v>9.03</v>
      </c>
      <c r="I1600" s="514">
        <v>0.75</v>
      </c>
      <c r="J1600" s="514">
        <v>0.61</v>
      </c>
      <c r="K1600" s="514">
        <v>557300.0</v>
      </c>
      <c r="L1600" s="514">
        <v>7.4466344E7</v>
      </c>
      <c r="M1600" s="514">
        <v>11.9772</v>
      </c>
      <c r="N1600" s="6">
        <v>132.6589</v>
      </c>
    </row>
    <row r="1601">
      <c r="A1601" s="512" t="s">
        <v>2040</v>
      </c>
      <c r="B1601" s="512" t="s">
        <v>163</v>
      </c>
      <c r="C1601" s="512" t="s">
        <v>1882</v>
      </c>
      <c r="D1601" s="512" t="s">
        <v>1882</v>
      </c>
      <c r="E1601" s="513" t="s">
        <v>189</v>
      </c>
      <c r="F1601" s="514">
        <v>46530.0</v>
      </c>
      <c r="G1601" s="514">
        <v>9420.0</v>
      </c>
      <c r="H1601" s="514">
        <v>20.25</v>
      </c>
      <c r="I1601" s="514">
        <v>0.57</v>
      </c>
      <c r="J1601" s="514">
        <v>0.51</v>
      </c>
      <c r="K1601" s="514">
        <v>423675.0</v>
      </c>
      <c r="L1601" s="514">
        <v>7.4466344E7</v>
      </c>
      <c r="M1601" s="514">
        <v>9.1054</v>
      </c>
      <c r="N1601" s="6">
        <v>44.9761</v>
      </c>
    </row>
    <row r="1602">
      <c r="A1602" s="512" t="s">
        <v>2040</v>
      </c>
      <c r="B1602" s="512" t="s">
        <v>163</v>
      </c>
      <c r="C1602" s="512" t="s">
        <v>69</v>
      </c>
      <c r="D1602" s="512" t="s">
        <v>574</v>
      </c>
      <c r="E1602" s="513" t="s">
        <v>379</v>
      </c>
      <c r="F1602" s="514">
        <v>45649.0</v>
      </c>
      <c r="G1602" s="514">
        <v>43457.0</v>
      </c>
      <c r="H1602" s="514">
        <v>95.2</v>
      </c>
      <c r="I1602" s="514">
        <v>54.02</v>
      </c>
      <c r="J1602" s="514">
        <v>49.03</v>
      </c>
      <c r="K1602" s="514">
        <v>453828.0</v>
      </c>
      <c r="L1602" s="514">
        <v>840081.0</v>
      </c>
      <c r="M1602" s="514">
        <v>9.9417</v>
      </c>
      <c r="N1602" s="6">
        <v>10.4432</v>
      </c>
    </row>
    <row r="1603">
      <c r="A1603" s="512" t="s">
        <v>2040</v>
      </c>
      <c r="B1603" s="512" t="s">
        <v>163</v>
      </c>
      <c r="C1603" s="512" t="s">
        <v>69</v>
      </c>
      <c r="D1603" s="512" t="s">
        <v>574</v>
      </c>
      <c r="E1603" s="513" t="s">
        <v>380</v>
      </c>
      <c r="F1603" s="514">
        <v>45649.0</v>
      </c>
      <c r="G1603" s="514">
        <v>24284.0</v>
      </c>
      <c r="H1603" s="514">
        <v>53.2</v>
      </c>
      <c r="I1603" s="514">
        <v>9.88</v>
      </c>
      <c r="J1603" s="514">
        <v>12.02</v>
      </c>
      <c r="K1603" s="514">
        <v>82990.0</v>
      </c>
      <c r="L1603" s="514">
        <v>840081.0</v>
      </c>
      <c r="M1603" s="514">
        <v>1.818</v>
      </c>
      <c r="N1603" s="6">
        <v>3.4175</v>
      </c>
    </row>
    <row r="1604">
      <c r="A1604" s="512" t="s">
        <v>2040</v>
      </c>
      <c r="B1604" s="512" t="s">
        <v>163</v>
      </c>
      <c r="C1604" s="512" t="s">
        <v>69</v>
      </c>
      <c r="D1604" s="512" t="s">
        <v>574</v>
      </c>
      <c r="E1604" s="513" t="s">
        <v>374</v>
      </c>
      <c r="F1604" s="514">
        <v>45649.0</v>
      </c>
      <c r="G1604" s="514">
        <v>18321.0</v>
      </c>
      <c r="H1604" s="514">
        <v>40.13</v>
      </c>
      <c r="I1604" s="514">
        <v>7.48</v>
      </c>
      <c r="J1604" s="514">
        <v>8.41</v>
      </c>
      <c r="K1604" s="514">
        <v>62839.0</v>
      </c>
      <c r="L1604" s="514">
        <v>840081.0</v>
      </c>
      <c r="M1604" s="514">
        <v>1.3766</v>
      </c>
      <c r="N1604" s="6">
        <v>3.4299</v>
      </c>
    </row>
    <row r="1605">
      <c r="A1605" s="512" t="s">
        <v>2040</v>
      </c>
      <c r="B1605" s="512" t="s">
        <v>163</v>
      </c>
      <c r="C1605" s="512" t="s">
        <v>69</v>
      </c>
      <c r="D1605" s="512" t="s">
        <v>574</v>
      </c>
      <c r="E1605" s="513" t="s">
        <v>377</v>
      </c>
      <c r="F1605" s="514">
        <v>45649.0</v>
      </c>
      <c r="G1605" s="514">
        <v>29592.0</v>
      </c>
      <c r="H1605" s="514">
        <v>64.83</v>
      </c>
      <c r="I1605" s="514">
        <v>6.58</v>
      </c>
      <c r="J1605" s="514">
        <v>7.91</v>
      </c>
      <c r="K1605" s="514">
        <v>55264.0</v>
      </c>
      <c r="L1605" s="514">
        <v>840081.0</v>
      </c>
      <c r="M1605" s="514">
        <v>1.2106</v>
      </c>
      <c r="N1605" s="6">
        <v>1.8675</v>
      </c>
    </row>
    <row r="1606">
      <c r="A1606" s="512" t="s">
        <v>2040</v>
      </c>
      <c r="B1606" s="512" t="s">
        <v>163</v>
      </c>
      <c r="C1606" s="512" t="s">
        <v>69</v>
      </c>
      <c r="D1606" s="512" t="s">
        <v>574</v>
      </c>
      <c r="E1606" s="513" t="s">
        <v>49</v>
      </c>
      <c r="F1606" s="514">
        <v>45649.0</v>
      </c>
      <c r="G1606" s="514">
        <v>20723.0</v>
      </c>
      <c r="H1606" s="514">
        <v>45.4</v>
      </c>
      <c r="I1606" s="514">
        <v>5.76</v>
      </c>
      <c r="J1606" s="514">
        <v>5.21</v>
      </c>
      <c r="K1606" s="514">
        <v>48397.0</v>
      </c>
      <c r="L1606" s="514">
        <v>840081.0</v>
      </c>
      <c r="M1606" s="514">
        <v>1.0602</v>
      </c>
      <c r="N1606" s="6">
        <v>2.3354</v>
      </c>
    </row>
    <row r="1607">
      <c r="A1607" s="512" t="s">
        <v>2040</v>
      </c>
      <c r="B1607" s="512" t="s">
        <v>163</v>
      </c>
      <c r="C1607" s="512" t="s">
        <v>69</v>
      </c>
      <c r="D1607" s="512" t="s">
        <v>574</v>
      </c>
      <c r="E1607" s="513" t="s">
        <v>44</v>
      </c>
      <c r="F1607" s="514">
        <v>45649.0</v>
      </c>
      <c r="G1607" s="514">
        <v>26568.0</v>
      </c>
      <c r="H1607" s="514">
        <v>58.2</v>
      </c>
      <c r="I1607" s="514">
        <v>5.19</v>
      </c>
      <c r="J1607" s="514">
        <v>6.1</v>
      </c>
      <c r="K1607" s="514">
        <v>43621.0</v>
      </c>
      <c r="L1607" s="514">
        <v>840081.0</v>
      </c>
      <c r="M1607" s="514">
        <v>0.9556</v>
      </c>
      <c r="N1607" s="6">
        <v>1.6419</v>
      </c>
    </row>
    <row r="1608">
      <c r="A1608" s="512" t="s">
        <v>2040</v>
      </c>
      <c r="B1608" s="512" t="s">
        <v>163</v>
      </c>
      <c r="C1608" s="512" t="s">
        <v>69</v>
      </c>
      <c r="D1608" s="512" t="s">
        <v>574</v>
      </c>
      <c r="E1608" s="513" t="s">
        <v>372</v>
      </c>
      <c r="F1608" s="514">
        <v>45649.0</v>
      </c>
      <c r="G1608" s="514">
        <v>22296.0</v>
      </c>
      <c r="H1608" s="514">
        <v>48.84</v>
      </c>
      <c r="I1608" s="514">
        <v>4.1</v>
      </c>
      <c r="J1608" s="514">
        <v>4.81</v>
      </c>
      <c r="K1608" s="514">
        <v>34453.0</v>
      </c>
      <c r="L1608" s="514">
        <v>840081.0</v>
      </c>
      <c r="M1608" s="514">
        <v>0.7547</v>
      </c>
      <c r="N1608" s="6">
        <v>1.5453</v>
      </c>
    </row>
    <row r="1609">
      <c r="A1609" s="512" t="s">
        <v>2040</v>
      </c>
      <c r="B1609" s="512" t="s">
        <v>163</v>
      </c>
      <c r="C1609" s="512" t="s">
        <v>69</v>
      </c>
      <c r="D1609" s="512" t="s">
        <v>574</v>
      </c>
      <c r="E1609" s="513" t="s">
        <v>375</v>
      </c>
      <c r="F1609" s="514">
        <v>45649.0</v>
      </c>
      <c r="G1609" s="514">
        <v>14422.0</v>
      </c>
      <c r="H1609" s="514">
        <v>31.59</v>
      </c>
      <c r="I1609" s="514">
        <v>2.25</v>
      </c>
      <c r="J1609" s="514">
        <v>2.2</v>
      </c>
      <c r="K1609" s="514">
        <v>18888.0</v>
      </c>
      <c r="L1609" s="514">
        <v>840081.0</v>
      </c>
      <c r="M1609" s="514">
        <v>0.4138</v>
      </c>
      <c r="N1609" s="6">
        <v>1.3097</v>
      </c>
    </row>
    <row r="1610">
      <c r="A1610" s="512" t="s">
        <v>2040</v>
      </c>
      <c r="B1610" s="512" t="s">
        <v>163</v>
      </c>
      <c r="C1610" s="512" t="s">
        <v>69</v>
      </c>
      <c r="D1610" s="512" t="s">
        <v>574</v>
      </c>
      <c r="E1610" s="513" t="s">
        <v>134</v>
      </c>
      <c r="F1610" s="514">
        <v>45649.0</v>
      </c>
      <c r="G1610" s="514">
        <v>10233.0</v>
      </c>
      <c r="H1610" s="514">
        <v>22.42</v>
      </c>
      <c r="I1610" s="514">
        <v>2.25</v>
      </c>
      <c r="J1610" s="514">
        <v>1.82</v>
      </c>
      <c r="K1610" s="514">
        <v>18912.0</v>
      </c>
      <c r="L1610" s="514">
        <v>840081.0</v>
      </c>
      <c r="M1610" s="514">
        <v>0.4143</v>
      </c>
      <c r="N1610" s="6">
        <v>1.8481</v>
      </c>
    </row>
    <row r="1611">
      <c r="A1611" s="512" t="s">
        <v>2040</v>
      </c>
      <c r="B1611" s="512" t="s">
        <v>163</v>
      </c>
      <c r="C1611" s="512" t="s">
        <v>69</v>
      </c>
      <c r="D1611" s="512" t="s">
        <v>574</v>
      </c>
      <c r="E1611" s="513" t="s">
        <v>35</v>
      </c>
      <c r="F1611" s="514">
        <v>45649.0</v>
      </c>
      <c r="G1611" s="514">
        <v>7984.0</v>
      </c>
      <c r="H1611" s="514">
        <v>17.49</v>
      </c>
      <c r="I1611" s="514">
        <v>1.04</v>
      </c>
      <c r="J1611" s="514">
        <v>1.01</v>
      </c>
      <c r="K1611" s="514">
        <v>8717.0</v>
      </c>
      <c r="L1611" s="514">
        <v>840081.0</v>
      </c>
      <c r="M1611" s="514">
        <v>0.191</v>
      </c>
      <c r="N1611" s="6">
        <v>1.0918</v>
      </c>
    </row>
    <row r="1612">
      <c r="A1612" s="512" t="s">
        <v>2040</v>
      </c>
      <c r="B1612" s="512" t="s">
        <v>163</v>
      </c>
      <c r="C1612" s="512" t="s">
        <v>69</v>
      </c>
      <c r="D1612" s="512" t="s">
        <v>574</v>
      </c>
      <c r="E1612" s="513" t="s">
        <v>189</v>
      </c>
      <c r="F1612" s="514">
        <v>45649.0</v>
      </c>
      <c r="G1612" s="514">
        <v>7141.0</v>
      </c>
      <c r="H1612" s="514">
        <v>15.64</v>
      </c>
      <c r="I1612" s="514">
        <v>0.87</v>
      </c>
      <c r="J1612" s="514">
        <v>0.83</v>
      </c>
      <c r="K1612" s="514">
        <v>7291.0</v>
      </c>
      <c r="L1612" s="514">
        <v>840081.0</v>
      </c>
      <c r="M1612" s="514">
        <v>0.1597</v>
      </c>
      <c r="N1612" s="6">
        <v>1.021</v>
      </c>
    </row>
    <row r="1613">
      <c r="A1613" s="512" t="s">
        <v>2040</v>
      </c>
      <c r="B1613" s="512" t="s">
        <v>163</v>
      </c>
      <c r="C1613" s="512" t="s">
        <v>69</v>
      </c>
      <c r="D1613" s="512" t="s">
        <v>574</v>
      </c>
      <c r="E1613" s="513" t="s">
        <v>42</v>
      </c>
      <c r="F1613" s="514">
        <v>45649.0</v>
      </c>
      <c r="G1613" s="514">
        <v>1993.0</v>
      </c>
      <c r="H1613" s="514">
        <v>4.37</v>
      </c>
      <c r="I1613" s="514">
        <v>0.26</v>
      </c>
      <c r="J1613" s="514">
        <v>0.33</v>
      </c>
      <c r="K1613" s="514">
        <v>2216.0</v>
      </c>
      <c r="L1613" s="514">
        <v>840081.0</v>
      </c>
      <c r="M1613" s="514">
        <v>0.0485</v>
      </c>
      <c r="N1613" s="6">
        <v>1.1119</v>
      </c>
    </row>
    <row r="1614">
      <c r="A1614" s="512" t="s">
        <v>2040</v>
      </c>
      <c r="B1614" s="512" t="s">
        <v>163</v>
      </c>
      <c r="C1614" s="512" t="s">
        <v>69</v>
      </c>
      <c r="D1614" s="512" t="s">
        <v>574</v>
      </c>
      <c r="E1614" s="513" t="s">
        <v>50</v>
      </c>
      <c r="F1614" s="514">
        <v>45649.0</v>
      </c>
      <c r="G1614" s="514">
        <v>1767.0</v>
      </c>
      <c r="H1614" s="514">
        <v>3.87</v>
      </c>
      <c r="I1614" s="514">
        <v>0.24</v>
      </c>
      <c r="J1614" s="514">
        <v>0.21</v>
      </c>
      <c r="K1614" s="514">
        <v>1976.0</v>
      </c>
      <c r="L1614" s="514">
        <v>840081.0</v>
      </c>
      <c r="M1614" s="514">
        <v>0.0433</v>
      </c>
      <c r="N1614" s="6">
        <v>1.1183</v>
      </c>
    </row>
    <row r="1615">
      <c r="A1615" s="512" t="s">
        <v>2040</v>
      </c>
      <c r="B1615" s="512" t="s">
        <v>163</v>
      </c>
      <c r="C1615" s="512" t="s">
        <v>69</v>
      </c>
      <c r="D1615" s="512" t="s">
        <v>574</v>
      </c>
      <c r="E1615" s="513" t="s">
        <v>43</v>
      </c>
      <c r="F1615" s="514">
        <v>45649.0</v>
      </c>
      <c r="G1615" s="514">
        <v>619.0</v>
      </c>
      <c r="H1615" s="514">
        <v>1.36</v>
      </c>
      <c r="I1615" s="514">
        <v>0.08</v>
      </c>
      <c r="J1615" s="514">
        <v>0.09</v>
      </c>
      <c r="K1615" s="514">
        <v>647.0</v>
      </c>
      <c r="L1615" s="514">
        <v>840081.0</v>
      </c>
      <c r="M1615" s="514">
        <v>0.0142</v>
      </c>
      <c r="N1615" s="6">
        <v>1.0452</v>
      </c>
    </row>
    <row r="1616">
      <c r="A1616" s="512" t="s">
        <v>2040</v>
      </c>
      <c r="B1616" s="512" t="s">
        <v>163</v>
      </c>
      <c r="C1616" s="512" t="s">
        <v>69</v>
      </c>
      <c r="D1616" s="512" t="s">
        <v>574</v>
      </c>
      <c r="E1616" s="513" t="s">
        <v>311</v>
      </c>
      <c r="F1616" s="514">
        <v>45649.0</v>
      </c>
      <c r="G1616" s="514">
        <v>1.0</v>
      </c>
      <c r="H1616" s="514">
        <v>0.0</v>
      </c>
      <c r="I1616" s="514">
        <v>0.0</v>
      </c>
      <c r="J1616" s="514">
        <v>0.0</v>
      </c>
      <c r="K1616" s="514">
        <v>1.0</v>
      </c>
      <c r="L1616" s="514">
        <v>840081.0</v>
      </c>
      <c r="M1616" s="514">
        <v>0.0</v>
      </c>
      <c r="N1616" s="6">
        <v>1.0</v>
      </c>
    </row>
    <row r="1617">
      <c r="A1617" s="512" t="s">
        <v>2040</v>
      </c>
      <c r="B1617" s="512" t="s">
        <v>163</v>
      </c>
      <c r="C1617" s="512" t="s">
        <v>69</v>
      </c>
      <c r="D1617" s="512" t="s">
        <v>574</v>
      </c>
      <c r="E1617" s="513" t="s">
        <v>32</v>
      </c>
      <c r="F1617" s="514">
        <v>45649.0</v>
      </c>
      <c r="G1617" s="514">
        <v>20.0</v>
      </c>
      <c r="H1617" s="514">
        <v>0.04</v>
      </c>
      <c r="I1617" s="514">
        <v>0.0</v>
      </c>
      <c r="J1617" s="514">
        <v>0.01</v>
      </c>
      <c r="K1617" s="514">
        <v>24.0</v>
      </c>
      <c r="L1617" s="514">
        <v>840081.0</v>
      </c>
      <c r="M1617" s="514">
        <v>5.0E-4</v>
      </c>
      <c r="N1617" s="6">
        <v>1.2</v>
      </c>
    </row>
    <row r="1618">
      <c r="A1618" s="512" t="s">
        <v>2040</v>
      </c>
      <c r="B1618" s="512" t="s">
        <v>163</v>
      </c>
      <c r="C1618" s="512" t="s">
        <v>69</v>
      </c>
      <c r="D1618" s="512" t="s">
        <v>574</v>
      </c>
      <c r="E1618" s="513" t="s">
        <v>312</v>
      </c>
      <c r="F1618" s="514">
        <v>45649.0</v>
      </c>
      <c r="G1618" s="514">
        <v>3.0</v>
      </c>
      <c r="H1618" s="514">
        <v>0.01</v>
      </c>
      <c r="I1618" s="514">
        <v>0.0</v>
      </c>
      <c r="J1618" s="514">
        <v>0.0</v>
      </c>
      <c r="K1618" s="514">
        <v>3.0</v>
      </c>
      <c r="L1618" s="514">
        <v>840081.0</v>
      </c>
      <c r="M1618" s="514">
        <v>1.0E-4</v>
      </c>
      <c r="N1618" s="6">
        <v>1.0</v>
      </c>
    </row>
    <row r="1619">
      <c r="A1619" s="512" t="s">
        <v>2040</v>
      </c>
      <c r="B1619" s="512" t="s">
        <v>163</v>
      </c>
      <c r="C1619" s="512" t="s">
        <v>69</v>
      </c>
      <c r="D1619" s="512" t="s">
        <v>574</v>
      </c>
      <c r="E1619" s="513" t="s">
        <v>367</v>
      </c>
      <c r="F1619" s="514">
        <v>45649.0</v>
      </c>
      <c r="G1619" s="514">
        <v>3.0</v>
      </c>
      <c r="H1619" s="514">
        <v>0.01</v>
      </c>
      <c r="I1619" s="514">
        <v>0.0</v>
      </c>
      <c r="J1619" s="514">
        <v>0.0</v>
      </c>
      <c r="K1619" s="514">
        <v>4.0</v>
      </c>
      <c r="L1619" s="514">
        <v>840081.0</v>
      </c>
      <c r="M1619" s="514">
        <v>1.0E-4</v>
      </c>
      <c r="N1619" s="6">
        <v>1.3333</v>
      </c>
    </row>
    <row r="1620">
      <c r="A1620" s="512" t="s">
        <v>2040</v>
      </c>
      <c r="B1620" s="512" t="s">
        <v>163</v>
      </c>
      <c r="C1620" s="512" t="s">
        <v>69</v>
      </c>
      <c r="D1620" s="512" t="s">
        <v>574</v>
      </c>
      <c r="E1620" s="513" t="s">
        <v>383</v>
      </c>
      <c r="F1620" s="514">
        <v>45649.0</v>
      </c>
      <c r="G1620" s="514">
        <v>1.0</v>
      </c>
      <c r="H1620" s="514">
        <v>0.0</v>
      </c>
      <c r="I1620" s="514">
        <v>0.0</v>
      </c>
      <c r="J1620" s="514">
        <v>0.0</v>
      </c>
      <c r="K1620" s="514">
        <v>2.0</v>
      </c>
      <c r="L1620" s="514">
        <v>840081.0</v>
      </c>
      <c r="M1620" s="514">
        <v>0.0</v>
      </c>
      <c r="N1620" s="6">
        <v>2.0</v>
      </c>
    </row>
    <row r="1621">
      <c r="A1621" s="512" t="s">
        <v>2040</v>
      </c>
      <c r="B1621" s="512" t="s">
        <v>163</v>
      </c>
      <c r="C1621" s="512" t="s">
        <v>69</v>
      </c>
      <c r="D1621" s="512" t="s">
        <v>574</v>
      </c>
      <c r="E1621" s="513" t="s">
        <v>310</v>
      </c>
      <c r="F1621" s="514">
        <v>45649.0</v>
      </c>
      <c r="G1621" s="514">
        <v>3.0</v>
      </c>
      <c r="H1621" s="514">
        <v>0.01</v>
      </c>
      <c r="I1621" s="514">
        <v>0.0</v>
      </c>
      <c r="J1621" s="514">
        <v>0.0</v>
      </c>
      <c r="K1621" s="514">
        <v>8.0</v>
      </c>
      <c r="L1621" s="514">
        <v>840081.0</v>
      </c>
      <c r="M1621" s="514">
        <v>2.0E-4</v>
      </c>
      <c r="N1621" s="6">
        <v>2.6667</v>
      </c>
    </row>
    <row r="1622">
      <c r="A1622" s="512" t="s">
        <v>2040</v>
      </c>
      <c r="B1622" s="512" t="s">
        <v>163</v>
      </c>
      <c r="C1622" s="512" t="s">
        <v>68</v>
      </c>
      <c r="D1622" s="512" t="s">
        <v>574</v>
      </c>
      <c r="E1622" s="513" t="s">
        <v>50</v>
      </c>
      <c r="F1622" s="514">
        <v>39145.0</v>
      </c>
      <c r="G1622" s="514">
        <v>28116.0</v>
      </c>
      <c r="H1622" s="514">
        <v>71.83</v>
      </c>
      <c r="I1622" s="514">
        <v>37.07</v>
      </c>
      <c r="J1622" s="514">
        <v>38.53</v>
      </c>
      <c r="K1622" s="514">
        <v>3870080.0</v>
      </c>
      <c r="L1622" s="514">
        <v>1.0441244E7</v>
      </c>
      <c r="M1622" s="514">
        <v>98.8652</v>
      </c>
      <c r="N1622" s="6">
        <v>137.6469</v>
      </c>
    </row>
    <row r="1623">
      <c r="A1623" s="512" t="s">
        <v>2040</v>
      </c>
      <c r="B1623" s="512" t="s">
        <v>163</v>
      </c>
      <c r="C1623" s="512" t="s">
        <v>68</v>
      </c>
      <c r="D1623" s="512" t="s">
        <v>574</v>
      </c>
      <c r="E1623" s="513" t="s">
        <v>43</v>
      </c>
      <c r="F1623" s="514">
        <v>39145.0</v>
      </c>
      <c r="G1623" s="514">
        <v>12757.0</v>
      </c>
      <c r="H1623" s="514">
        <v>32.59</v>
      </c>
      <c r="I1623" s="514">
        <v>30.47</v>
      </c>
      <c r="J1623" s="514">
        <v>15.76</v>
      </c>
      <c r="K1623" s="514">
        <v>3181630.0</v>
      </c>
      <c r="L1623" s="514">
        <v>1.0441244E7</v>
      </c>
      <c r="M1623" s="514">
        <v>81.2781</v>
      </c>
      <c r="N1623" s="6">
        <v>249.4027</v>
      </c>
    </row>
    <row r="1624">
      <c r="A1624" s="512" t="s">
        <v>2040</v>
      </c>
      <c r="B1624" s="512" t="s">
        <v>163</v>
      </c>
      <c r="C1624" s="512" t="s">
        <v>68</v>
      </c>
      <c r="D1624" s="512" t="s">
        <v>574</v>
      </c>
      <c r="E1624" s="513" t="s">
        <v>377</v>
      </c>
      <c r="F1624" s="514">
        <v>39145.0</v>
      </c>
      <c r="G1624" s="514">
        <v>26700.0</v>
      </c>
      <c r="H1624" s="514">
        <v>68.21</v>
      </c>
      <c r="I1624" s="514">
        <v>16.2</v>
      </c>
      <c r="J1624" s="514">
        <v>25.98</v>
      </c>
      <c r="K1624" s="514">
        <v>1691241.0</v>
      </c>
      <c r="L1624" s="514">
        <v>1.0441244E7</v>
      </c>
      <c r="M1624" s="514">
        <v>43.2045</v>
      </c>
      <c r="N1624" s="6">
        <v>63.3424</v>
      </c>
    </row>
    <row r="1625">
      <c r="A1625" s="512" t="s">
        <v>2040</v>
      </c>
      <c r="B1625" s="512" t="s">
        <v>163</v>
      </c>
      <c r="C1625" s="512" t="s">
        <v>68</v>
      </c>
      <c r="D1625" s="512" t="s">
        <v>574</v>
      </c>
      <c r="E1625" s="513" t="s">
        <v>49</v>
      </c>
      <c r="F1625" s="514">
        <v>39145.0</v>
      </c>
      <c r="G1625" s="514">
        <v>20538.0</v>
      </c>
      <c r="H1625" s="514">
        <v>52.47</v>
      </c>
      <c r="I1625" s="514">
        <v>9.17</v>
      </c>
      <c r="J1625" s="514">
        <v>13.75</v>
      </c>
      <c r="K1625" s="514">
        <v>957820.0</v>
      </c>
      <c r="L1625" s="514">
        <v>1.0441244E7</v>
      </c>
      <c r="M1625" s="514">
        <v>24.4685</v>
      </c>
      <c r="N1625" s="6">
        <v>46.6365</v>
      </c>
    </row>
    <row r="1626">
      <c r="A1626" s="512" t="s">
        <v>2040</v>
      </c>
      <c r="B1626" s="512" t="s">
        <v>163</v>
      </c>
      <c r="C1626" s="512" t="s">
        <v>68</v>
      </c>
      <c r="D1626" s="512" t="s">
        <v>574</v>
      </c>
      <c r="E1626" s="513" t="s">
        <v>134</v>
      </c>
      <c r="F1626" s="514">
        <v>39145.0</v>
      </c>
      <c r="G1626" s="514">
        <v>8220.0</v>
      </c>
      <c r="H1626" s="514">
        <v>21.0</v>
      </c>
      <c r="I1626" s="514">
        <v>5.54</v>
      </c>
      <c r="J1626" s="514">
        <v>4.42</v>
      </c>
      <c r="K1626" s="514">
        <v>578250.0</v>
      </c>
      <c r="L1626" s="514">
        <v>1.0441244E7</v>
      </c>
      <c r="M1626" s="514">
        <v>14.772</v>
      </c>
      <c r="N1626" s="6">
        <v>70.3467</v>
      </c>
    </row>
    <row r="1627">
      <c r="A1627" s="512" t="s">
        <v>2040</v>
      </c>
      <c r="B1627" s="512" t="s">
        <v>163</v>
      </c>
      <c r="C1627" s="512" t="s">
        <v>68</v>
      </c>
      <c r="D1627" s="512" t="s">
        <v>574</v>
      </c>
      <c r="E1627" s="513" t="s">
        <v>380</v>
      </c>
      <c r="F1627" s="514">
        <v>39145.0</v>
      </c>
      <c r="G1627" s="514">
        <v>1545.0</v>
      </c>
      <c r="H1627" s="514">
        <v>3.95</v>
      </c>
      <c r="I1627" s="514">
        <v>1.55</v>
      </c>
      <c r="J1627" s="514">
        <v>1.56</v>
      </c>
      <c r="K1627" s="514">
        <v>161993.0</v>
      </c>
      <c r="L1627" s="514">
        <v>1.0441244E7</v>
      </c>
      <c r="M1627" s="514">
        <v>4.1383</v>
      </c>
      <c r="N1627" s="6">
        <v>104.8498</v>
      </c>
    </row>
    <row r="1628">
      <c r="A1628" s="512" t="s">
        <v>2040</v>
      </c>
      <c r="B1628" s="512" t="s">
        <v>163</v>
      </c>
      <c r="C1628" s="512" t="s">
        <v>68</v>
      </c>
      <c r="D1628" s="512" t="s">
        <v>574</v>
      </c>
      <c r="E1628" s="513" t="s">
        <v>32</v>
      </c>
      <c r="F1628" s="514">
        <v>39145.0</v>
      </c>
      <c r="G1628" s="514">
        <v>11.0</v>
      </c>
      <c r="H1628" s="514">
        <v>0.03</v>
      </c>
      <c r="I1628" s="514">
        <v>0.0</v>
      </c>
      <c r="J1628" s="514">
        <v>0.0</v>
      </c>
      <c r="K1628" s="514">
        <v>160.0</v>
      </c>
      <c r="L1628" s="514">
        <v>1.0441244E7</v>
      </c>
      <c r="M1628" s="514">
        <v>0.0041</v>
      </c>
      <c r="N1628" s="6">
        <v>14.5455</v>
      </c>
    </row>
    <row r="1629">
      <c r="A1629" s="512" t="s">
        <v>2040</v>
      </c>
      <c r="B1629" s="512" t="s">
        <v>163</v>
      </c>
      <c r="C1629" s="512" t="s">
        <v>68</v>
      </c>
      <c r="D1629" s="512" t="s">
        <v>574</v>
      </c>
      <c r="E1629" s="513" t="s">
        <v>42</v>
      </c>
      <c r="F1629" s="514">
        <v>39145.0</v>
      </c>
      <c r="G1629" s="514">
        <v>2.0</v>
      </c>
      <c r="H1629" s="514">
        <v>0.01</v>
      </c>
      <c r="I1629" s="514">
        <v>0.0</v>
      </c>
      <c r="J1629" s="514">
        <v>0.0</v>
      </c>
      <c r="K1629" s="514">
        <v>70.0</v>
      </c>
      <c r="L1629" s="514">
        <v>1.0441244E7</v>
      </c>
      <c r="M1629" s="514">
        <v>0.0018</v>
      </c>
      <c r="N1629" s="6">
        <v>35.0</v>
      </c>
    </row>
    <row r="1630">
      <c r="A1630" s="512" t="s">
        <v>2040</v>
      </c>
      <c r="B1630" s="512" t="s">
        <v>163</v>
      </c>
      <c r="C1630" s="512" t="s">
        <v>2035</v>
      </c>
      <c r="D1630" s="512" t="s">
        <v>2036</v>
      </c>
      <c r="E1630" s="513" t="s">
        <v>134</v>
      </c>
      <c r="F1630" s="514">
        <v>6485.0</v>
      </c>
      <c r="G1630" s="514">
        <v>6437.0</v>
      </c>
      <c r="H1630" s="514">
        <v>99.26</v>
      </c>
      <c r="I1630" s="514">
        <v>99.4</v>
      </c>
      <c r="J1630" s="514">
        <v>99.23</v>
      </c>
      <c r="K1630" s="514">
        <v>167325.0</v>
      </c>
      <c r="L1630" s="514">
        <v>168330.0</v>
      </c>
      <c r="M1630" s="514">
        <v>25.8019</v>
      </c>
      <c r="N1630" s="6">
        <v>25.9943</v>
      </c>
    </row>
    <row r="1631">
      <c r="A1631" s="512" t="s">
        <v>2040</v>
      </c>
      <c r="B1631" s="512" t="s">
        <v>163</v>
      </c>
      <c r="C1631" s="512" t="s">
        <v>2035</v>
      </c>
      <c r="D1631" s="512" t="s">
        <v>2036</v>
      </c>
      <c r="E1631" s="513" t="s">
        <v>373</v>
      </c>
      <c r="F1631" s="514">
        <v>6485.0</v>
      </c>
      <c r="G1631" s="514">
        <v>53.0</v>
      </c>
      <c r="H1631" s="514">
        <v>0.82</v>
      </c>
      <c r="I1631" s="514">
        <v>0.56</v>
      </c>
      <c r="J1631" s="514">
        <v>0.76</v>
      </c>
      <c r="K1631" s="514">
        <v>945.0</v>
      </c>
      <c r="L1631" s="514">
        <v>168330.0</v>
      </c>
      <c r="M1631" s="514">
        <v>0.1457</v>
      </c>
      <c r="N1631" s="6">
        <v>17.8302</v>
      </c>
    </row>
    <row r="1632">
      <c r="A1632" s="512" t="s">
        <v>2040</v>
      </c>
      <c r="B1632" s="512" t="s">
        <v>163</v>
      </c>
      <c r="C1632" s="512" t="s">
        <v>2035</v>
      </c>
      <c r="D1632" s="512" t="s">
        <v>2036</v>
      </c>
      <c r="E1632" s="513" t="s">
        <v>383</v>
      </c>
      <c r="F1632" s="514">
        <v>6485.0</v>
      </c>
      <c r="G1632" s="514">
        <v>1.0</v>
      </c>
      <c r="H1632" s="514">
        <v>0.02</v>
      </c>
      <c r="I1632" s="514">
        <v>0.04</v>
      </c>
      <c r="J1632" s="514">
        <v>0.02</v>
      </c>
      <c r="K1632" s="514">
        <v>60.0</v>
      </c>
      <c r="L1632" s="514">
        <v>168330.0</v>
      </c>
      <c r="M1632" s="514">
        <v>0.0093</v>
      </c>
      <c r="N1632" s="6">
        <v>60.0</v>
      </c>
    </row>
    <row r="1633">
      <c r="A1633" s="512" t="s">
        <v>2040</v>
      </c>
      <c r="B1633" s="512" t="s">
        <v>163</v>
      </c>
      <c r="C1633" s="512" t="s">
        <v>73</v>
      </c>
      <c r="D1633" s="512" t="s">
        <v>574</v>
      </c>
      <c r="E1633" s="513" t="s">
        <v>379</v>
      </c>
      <c r="F1633" s="514">
        <v>45462.0</v>
      </c>
      <c r="G1633" s="514">
        <v>41471.0</v>
      </c>
      <c r="H1633" s="514">
        <v>91.22</v>
      </c>
      <c r="I1633" s="514">
        <v>37.88</v>
      </c>
      <c r="J1633" s="514">
        <v>36.9</v>
      </c>
      <c r="K1633" s="514">
        <v>257802.0</v>
      </c>
      <c r="L1633" s="514">
        <v>680629.0</v>
      </c>
      <c r="M1633" s="514">
        <v>5.6707</v>
      </c>
      <c r="N1633" s="6">
        <v>6.2164</v>
      </c>
    </row>
    <row r="1634">
      <c r="A1634" s="512" t="s">
        <v>2040</v>
      </c>
      <c r="B1634" s="512" t="s">
        <v>163</v>
      </c>
      <c r="C1634" s="512" t="s">
        <v>73</v>
      </c>
      <c r="D1634" s="512" t="s">
        <v>574</v>
      </c>
      <c r="E1634" s="513" t="s">
        <v>372</v>
      </c>
      <c r="F1634" s="514">
        <v>45462.0</v>
      </c>
      <c r="G1634" s="514">
        <v>34162.0</v>
      </c>
      <c r="H1634" s="514">
        <v>75.14</v>
      </c>
      <c r="I1634" s="514">
        <v>14.53</v>
      </c>
      <c r="J1634" s="514">
        <v>17.35</v>
      </c>
      <c r="K1634" s="514">
        <v>98903.0</v>
      </c>
      <c r="L1634" s="514">
        <v>680629.0</v>
      </c>
      <c r="M1634" s="514">
        <v>2.1755</v>
      </c>
      <c r="N1634" s="6">
        <v>2.8951</v>
      </c>
    </row>
    <row r="1635">
      <c r="A1635" s="512" t="s">
        <v>2040</v>
      </c>
      <c r="B1635" s="512" t="s">
        <v>163</v>
      </c>
      <c r="C1635" s="512" t="s">
        <v>73</v>
      </c>
      <c r="D1635" s="512" t="s">
        <v>574</v>
      </c>
      <c r="E1635" s="513" t="s">
        <v>380</v>
      </c>
      <c r="F1635" s="514">
        <v>45462.0</v>
      </c>
      <c r="G1635" s="514">
        <v>21738.0</v>
      </c>
      <c r="H1635" s="514">
        <v>47.82</v>
      </c>
      <c r="I1635" s="514">
        <v>5.68</v>
      </c>
      <c r="J1635" s="514">
        <v>6.96</v>
      </c>
      <c r="K1635" s="514">
        <v>38690.0</v>
      </c>
      <c r="L1635" s="514">
        <v>680629.0</v>
      </c>
      <c r="M1635" s="514">
        <v>0.851</v>
      </c>
      <c r="N1635" s="6">
        <v>1.7798</v>
      </c>
    </row>
    <row r="1636">
      <c r="A1636" s="512" t="s">
        <v>2040</v>
      </c>
      <c r="B1636" s="512" t="s">
        <v>163</v>
      </c>
      <c r="C1636" s="512" t="s">
        <v>73</v>
      </c>
      <c r="D1636" s="512" t="s">
        <v>574</v>
      </c>
      <c r="E1636" s="513" t="s">
        <v>44</v>
      </c>
      <c r="F1636" s="514">
        <v>45462.0</v>
      </c>
      <c r="G1636" s="514">
        <v>22055.0</v>
      </c>
      <c r="H1636" s="514">
        <v>48.51</v>
      </c>
      <c r="I1636" s="514">
        <v>5.34</v>
      </c>
      <c r="J1636" s="514">
        <v>5.35</v>
      </c>
      <c r="K1636" s="514">
        <v>36362.0</v>
      </c>
      <c r="L1636" s="514">
        <v>680629.0</v>
      </c>
      <c r="M1636" s="514">
        <v>0.7998</v>
      </c>
      <c r="N1636" s="6">
        <v>1.6487</v>
      </c>
    </row>
    <row r="1637">
      <c r="A1637" s="512" t="s">
        <v>2040</v>
      </c>
      <c r="B1637" s="512" t="s">
        <v>163</v>
      </c>
      <c r="C1637" s="512" t="s">
        <v>73</v>
      </c>
      <c r="D1637" s="512" t="s">
        <v>574</v>
      </c>
      <c r="E1637" s="513" t="s">
        <v>377</v>
      </c>
      <c r="F1637" s="514">
        <v>45462.0</v>
      </c>
      <c r="G1637" s="514">
        <v>18237.0</v>
      </c>
      <c r="H1637" s="514">
        <v>40.11</v>
      </c>
      <c r="I1637" s="514">
        <v>5.18</v>
      </c>
      <c r="J1637" s="514">
        <v>5.26</v>
      </c>
      <c r="K1637" s="514">
        <v>35289.0</v>
      </c>
      <c r="L1637" s="514">
        <v>680629.0</v>
      </c>
      <c r="M1637" s="514">
        <v>0.7762</v>
      </c>
      <c r="N1637" s="6">
        <v>1.935</v>
      </c>
    </row>
    <row r="1638">
      <c r="A1638" s="512" t="s">
        <v>2040</v>
      </c>
      <c r="B1638" s="512" t="s">
        <v>163</v>
      </c>
      <c r="C1638" s="512" t="s">
        <v>73</v>
      </c>
      <c r="D1638" s="512" t="s">
        <v>574</v>
      </c>
      <c r="E1638" s="513" t="s">
        <v>373</v>
      </c>
      <c r="F1638" s="514">
        <v>45462.0</v>
      </c>
      <c r="G1638" s="514">
        <v>20562.0</v>
      </c>
      <c r="H1638" s="514">
        <v>45.23</v>
      </c>
      <c r="I1638" s="514">
        <v>4.9</v>
      </c>
      <c r="J1638" s="514">
        <v>4.92</v>
      </c>
      <c r="K1638" s="514">
        <v>33348.0</v>
      </c>
      <c r="L1638" s="514">
        <v>680629.0</v>
      </c>
      <c r="M1638" s="514">
        <v>0.7335</v>
      </c>
      <c r="N1638" s="6">
        <v>1.6218</v>
      </c>
    </row>
    <row r="1639">
      <c r="A1639" s="512" t="s">
        <v>2040</v>
      </c>
      <c r="B1639" s="512" t="s">
        <v>163</v>
      </c>
      <c r="C1639" s="512" t="s">
        <v>73</v>
      </c>
      <c r="D1639" s="512" t="s">
        <v>574</v>
      </c>
      <c r="E1639" s="513" t="s">
        <v>134</v>
      </c>
      <c r="F1639" s="514">
        <v>45462.0</v>
      </c>
      <c r="G1639" s="514">
        <v>11900.0</v>
      </c>
      <c r="H1639" s="514">
        <v>26.18</v>
      </c>
      <c r="I1639" s="514">
        <v>4.54</v>
      </c>
      <c r="J1639" s="514">
        <v>4.14</v>
      </c>
      <c r="K1639" s="514">
        <v>30903.0</v>
      </c>
      <c r="L1639" s="514">
        <v>680629.0</v>
      </c>
      <c r="M1639" s="514">
        <v>0.6798</v>
      </c>
      <c r="N1639" s="6">
        <v>2.5969</v>
      </c>
    </row>
    <row r="1640">
      <c r="A1640" s="512" t="s">
        <v>2040</v>
      </c>
      <c r="B1640" s="512" t="s">
        <v>163</v>
      </c>
      <c r="C1640" s="512" t="s">
        <v>73</v>
      </c>
      <c r="D1640" s="512" t="s">
        <v>574</v>
      </c>
      <c r="E1640" s="513" t="s">
        <v>367</v>
      </c>
      <c r="F1640" s="514">
        <v>45462.0</v>
      </c>
      <c r="G1640" s="514">
        <v>9258.0</v>
      </c>
      <c r="H1640" s="514">
        <v>20.36</v>
      </c>
      <c r="I1640" s="514">
        <v>4.49</v>
      </c>
      <c r="J1640" s="514">
        <v>2.97</v>
      </c>
      <c r="K1640" s="514">
        <v>30527.0</v>
      </c>
      <c r="L1640" s="514">
        <v>680629.0</v>
      </c>
      <c r="M1640" s="514">
        <v>0.6715</v>
      </c>
      <c r="N1640" s="6">
        <v>3.2974</v>
      </c>
    </row>
    <row r="1641">
      <c r="A1641" s="512" t="s">
        <v>2040</v>
      </c>
      <c r="B1641" s="512" t="s">
        <v>163</v>
      </c>
      <c r="C1641" s="512" t="s">
        <v>73</v>
      </c>
      <c r="D1641" s="512" t="s">
        <v>574</v>
      </c>
      <c r="E1641" s="513" t="s">
        <v>42</v>
      </c>
      <c r="F1641" s="514">
        <v>45462.0</v>
      </c>
      <c r="G1641" s="514">
        <v>13421.0</v>
      </c>
      <c r="H1641" s="514">
        <v>29.52</v>
      </c>
      <c r="I1641" s="514">
        <v>3.52</v>
      </c>
      <c r="J1641" s="514">
        <v>3.83</v>
      </c>
      <c r="K1641" s="514">
        <v>23936.0</v>
      </c>
      <c r="L1641" s="514">
        <v>680629.0</v>
      </c>
      <c r="M1641" s="514">
        <v>0.5265</v>
      </c>
      <c r="N1641" s="6">
        <v>1.7835</v>
      </c>
    </row>
    <row r="1642">
      <c r="A1642" s="512" t="s">
        <v>2040</v>
      </c>
      <c r="B1642" s="512" t="s">
        <v>163</v>
      </c>
      <c r="C1642" s="512" t="s">
        <v>73</v>
      </c>
      <c r="D1642" s="512" t="s">
        <v>574</v>
      </c>
      <c r="E1642" s="513" t="s">
        <v>50</v>
      </c>
      <c r="F1642" s="514">
        <v>45462.0</v>
      </c>
      <c r="G1642" s="514">
        <v>13476.0</v>
      </c>
      <c r="H1642" s="514">
        <v>29.64</v>
      </c>
      <c r="I1642" s="514">
        <v>3.16</v>
      </c>
      <c r="J1642" s="514">
        <v>2.97</v>
      </c>
      <c r="K1642" s="514">
        <v>21489.0</v>
      </c>
      <c r="L1642" s="514">
        <v>680629.0</v>
      </c>
      <c r="M1642" s="514">
        <v>0.4727</v>
      </c>
      <c r="N1642" s="6">
        <v>1.5946</v>
      </c>
    </row>
    <row r="1643">
      <c r="A1643" s="512" t="s">
        <v>2040</v>
      </c>
      <c r="B1643" s="512" t="s">
        <v>163</v>
      </c>
      <c r="C1643" s="512" t="s">
        <v>73</v>
      </c>
      <c r="D1643" s="512" t="s">
        <v>574</v>
      </c>
      <c r="E1643" s="513" t="s">
        <v>312</v>
      </c>
      <c r="F1643" s="514">
        <v>45462.0</v>
      </c>
      <c r="G1643" s="514">
        <v>11565.0</v>
      </c>
      <c r="H1643" s="514">
        <v>25.44</v>
      </c>
      <c r="I1643" s="514">
        <v>2.33</v>
      </c>
      <c r="J1643" s="514">
        <v>2.08</v>
      </c>
      <c r="K1643" s="514">
        <v>15826.0</v>
      </c>
      <c r="L1643" s="514">
        <v>680629.0</v>
      </c>
      <c r="M1643" s="514">
        <v>0.3481</v>
      </c>
      <c r="N1643" s="6">
        <v>1.3684</v>
      </c>
    </row>
    <row r="1644">
      <c r="A1644" s="512" t="s">
        <v>2040</v>
      </c>
      <c r="B1644" s="512" t="s">
        <v>163</v>
      </c>
      <c r="C1644" s="512" t="s">
        <v>73</v>
      </c>
      <c r="D1644" s="512" t="s">
        <v>574</v>
      </c>
      <c r="E1644" s="513" t="s">
        <v>310</v>
      </c>
      <c r="F1644" s="514">
        <v>45462.0</v>
      </c>
      <c r="G1644" s="514">
        <v>10948.0</v>
      </c>
      <c r="H1644" s="514">
        <v>24.08</v>
      </c>
      <c r="I1644" s="514">
        <v>2.1</v>
      </c>
      <c r="J1644" s="514">
        <v>2.1</v>
      </c>
      <c r="K1644" s="514">
        <v>14283.0</v>
      </c>
      <c r="L1644" s="514">
        <v>680629.0</v>
      </c>
      <c r="M1644" s="514">
        <v>0.3142</v>
      </c>
      <c r="N1644" s="6">
        <v>1.3046</v>
      </c>
    </row>
    <row r="1645">
      <c r="A1645" s="512" t="s">
        <v>2040</v>
      </c>
      <c r="B1645" s="512" t="s">
        <v>163</v>
      </c>
      <c r="C1645" s="512" t="s">
        <v>73</v>
      </c>
      <c r="D1645" s="512" t="s">
        <v>574</v>
      </c>
      <c r="E1645" s="513" t="s">
        <v>40</v>
      </c>
      <c r="F1645" s="514">
        <v>45462.0</v>
      </c>
      <c r="G1645" s="514">
        <v>4279.0</v>
      </c>
      <c r="H1645" s="514">
        <v>9.41</v>
      </c>
      <c r="I1645" s="514">
        <v>1.91</v>
      </c>
      <c r="J1645" s="514">
        <v>1.32</v>
      </c>
      <c r="K1645" s="514">
        <v>13024.0</v>
      </c>
      <c r="L1645" s="514">
        <v>680629.0</v>
      </c>
      <c r="M1645" s="514">
        <v>0.2865</v>
      </c>
      <c r="N1645" s="6">
        <v>3.0437</v>
      </c>
    </row>
    <row r="1646">
      <c r="A1646" s="512" t="s">
        <v>2040</v>
      </c>
      <c r="B1646" s="512" t="s">
        <v>163</v>
      </c>
      <c r="C1646" s="512" t="s">
        <v>73</v>
      </c>
      <c r="D1646" s="512" t="s">
        <v>574</v>
      </c>
      <c r="E1646" s="513" t="s">
        <v>32</v>
      </c>
      <c r="F1646" s="514">
        <v>45462.0</v>
      </c>
      <c r="G1646" s="514">
        <v>9946.0</v>
      </c>
      <c r="H1646" s="514">
        <v>21.88</v>
      </c>
      <c r="I1646" s="514">
        <v>1.88</v>
      </c>
      <c r="J1646" s="514">
        <v>1.85</v>
      </c>
      <c r="K1646" s="514">
        <v>12819.0</v>
      </c>
      <c r="L1646" s="514">
        <v>680629.0</v>
      </c>
      <c r="M1646" s="514">
        <v>0.282</v>
      </c>
      <c r="N1646" s="6">
        <v>1.2889</v>
      </c>
    </row>
    <row r="1647">
      <c r="A1647" s="512" t="s">
        <v>2040</v>
      </c>
      <c r="B1647" s="512" t="s">
        <v>163</v>
      </c>
      <c r="C1647" s="512" t="s">
        <v>73</v>
      </c>
      <c r="D1647" s="512" t="s">
        <v>574</v>
      </c>
      <c r="E1647" s="513" t="s">
        <v>43</v>
      </c>
      <c r="F1647" s="514">
        <v>45462.0</v>
      </c>
      <c r="G1647" s="514">
        <v>5521.0</v>
      </c>
      <c r="H1647" s="514">
        <v>12.14</v>
      </c>
      <c r="I1647" s="514">
        <v>0.95</v>
      </c>
      <c r="J1647" s="514">
        <v>0.82</v>
      </c>
      <c r="K1647" s="514">
        <v>6475.0</v>
      </c>
      <c r="L1647" s="514">
        <v>680629.0</v>
      </c>
      <c r="M1647" s="514">
        <v>0.1424</v>
      </c>
      <c r="N1647" s="6">
        <v>1.1728</v>
      </c>
    </row>
    <row r="1648">
      <c r="A1648" s="512" t="s">
        <v>2040</v>
      </c>
      <c r="B1648" s="512" t="s">
        <v>163</v>
      </c>
      <c r="C1648" s="512" t="s">
        <v>73</v>
      </c>
      <c r="D1648" s="512" t="s">
        <v>574</v>
      </c>
      <c r="E1648" s="513" t="s">
        <v>35</v>
      </c>
      <c r="F1648" s="514">
        <v>45462.0</v>
      </c>
      <c r="G1648" s="514">
        <v>4845.0</v>
      </c>
      <c r="H1648" s="514">
        <v>10.66</v>
      </c>
      <c r="I1648" s="514">
        <v>0.82</v>
      </c>
      <c r="J1648" s="514">
        <v>0.51</v>
      </c>
      <c r="K1648" s="514">
        <v>5581.0</v>
      </c>
      <c r="L1648" s="514">
        <v>680629.0</v>
      </c>
      <c r="M1648" s="514">
        <v>0.1228</v>
      </c>
      <c r="N1648" s="6">
        <v>1.1519</v>
      </c>
    </row>
    <row r="1649">
      <c r="A1649" s="512" t="s">
        <v>2040</v>
      </c>
      <c r="B1649" s="512" t="s">
        <v>163</v>
      </c>
      <c r="C1649" s="512" t="s">
        <v>73</v>
      </c>
      <c r="D1649" s="512" t="s">
        <v>574</v>
      </c>
      <c r="E1649" s="513" t="s">
        <v>311</v>
      </c>
      <c r="F1649" s="514">
        <v>45462.0</v>
      </c>
      <c r="G1649" s="514">
        <v>3816.0</v>
      </c>
      <c r="H1649" s="514">
        <v>8.39</v>
      </c>
      <c r="I1649" s="514">
        <v>0.58</v>
      </c>
      <c r="J1649" s="514">
        <v>0.58</v>
      </c>
      <c r="K1649" s="514">
        <v>3914.0</v>
      </c>
      <c r="L1649" s="514">
        <v>680629.0</v>
      </c>
      <c r="M1649" s="514">
        <v>0.0861</v>
      </c>
      <c r="N1649" s="6">
        <v>1.0257</v>
      </c>
    </row>
    <row r="1650">
      <c r="A1650" s="512" t="s">
        <v>2040</v>
      </c>
      <c r="B1650" s="512" t="s">
        <v>163</v>
      </c>
      <c r="C1650" s="512" t="s">
        <v>73</v>
      </c>
      <c r="D1650" s="512" t="s">
        <v>574</v>
      </c>
      <c r="E1650" s="513" t="s">
        <v>189</v>
      </c>
      <c r="F1650" s="514">
        <v>45462.0</v>
      </c>
      <c r="G1650" s="514">
        <v>1419.0</v>
      </c>
      <c r="H1650" s="514">
        <v>3.12</v>
      </c>
      <c r="I1650" s="514">
        <v>0.21</v>
      </c>
      <c r="J1650" s="514">
        <v>0.08</v>
      </c>
      <c r="K1650" s="514">
        <v>1453.0</v>
      </c>
      <c r="L1650" s="514">
        <v>680629.0</v>
      </c>
      <c r="M1650" s="514">
        <v>0.032</v>
      </c>
      <c r="N1650" s="6">
        <v>1.024</v>
      </c>
    </row>
    <row r="1651">
      <c r="A1651" s="512" t="s">
        <v>2040</v>
      </c>
      <c r="B1651" s="512" t="s">
        <v>163</v>
      </c>
      <c r="C1651" s="512" t="s">
        <v>73</v>
      </c>
      <c r="D1651" s="512" t="s">
        <v>574</v>
      </c>
      <c r="E1651" s="513" t="s">
        <v>374</v>
      </c>
      <c r="F1651" s="514">
        <v>45462.0</v>
      </c>
      <c r="G1651" s="514">
        <v>4.0</v>
      </c>
      <c r="H1651" s="514">
        <v>0.01</v>
      </c>
      <c r="I1651" s="514">
        <v>0.0</v>
      </c>
      <c r="J1651" s="514">
        <v>0.0</v>
      </c>
      <c r="K1651" s="514">
        <v>5.0</v>
      </c>
      <c r="L1651" s="514">
        <v>680629.0</v>
      </c>
      <c r="M1651" s="514">
        <v>1.0E-4</v>
      </c>
      <c r="N1651" s="6">
        <v>1.25</v>
      </c>
    </row>
    <row r="1652">
      <c r="A1652" s="512" t="s">
        <v>2040</v>
      </c>
      <c r="B1652" s="512" t="s">
        <v>163</v>
      </c>
      <c r="C1652" s="512" t="s">
        <v>72</v>
      </c>
      <c r="D1652" s="512" t="s">
        <v>574</v>
      </c>
      <c r="E1652" s="513" t="s">
        <v>379</v>
      </c>
      <c r="F1652" s="514">
        <v>44848.0</v>
      </c>
      <c r="G1652" s="514">
        <v>38319.0</v>
      </c>
      <c r="H1652" s="514">
        <v>85.44</v>
      </c>
      <c r="I1652" s="514">
        <v>31.89</v>
      </c>
      <c r="J1652" s="514">
        <v>31.61</v>
      </c>
      <c r="K1652" s="514">
        <v>193441.0</v>
      </c>
      <c r="L1652" s="514">
        <v>606589.0</v>
      </c>
      <c r="M1652" s="514">
        <v>4.3133</v>
      </c>
      <c r="N1652" s="6">
        <v>5.0482</v>
      </c>
    </row>
    <row r="1653">
      <c r="A1653" s="512" t="s">
        <v>2040</v>
      </c>
      <c r="B1653" s="512" t="s">
        <v>163</v>
      </c>
      <c r="C1653" s="512" t="s">
        <v>72</v>
      </c>
      <c r="D1653" s="512" t="s">
        <v>574</v>
      </c>
      <c r="E1653" s="513" t="s">
        <v>372</v>
      </c>
      <c r="F1653" s="514">
        <v>44848.0</v>
      </c>
      <c r="G1653" s="514">
        <v>28575.0</v>
      </c>
      <c r="H1653" s="514">
        <v>63.72</v>
      </c>
      <c r="I1653" s="514">
        <v>10.69</v>
      </c>
      <c r="J1653" s="514">
        <v>12.24</v>
      </c>
      <c r="K1653" s="514">
        <v>64818.0</v>
      </c>
      <c r="L1653" s="514">
        <v>606589.0</v>
      </c>
      <c r="M1653" s="514">
        <v>1.4453</v>
      </c>
      <c r="N1653" s="6">
        <v>2.2683</v>
      </c>
    </row>
    <row r="1654">
      <c r="A1654" s="512" t="s">
        <v>2040</v>
      </c>
      <c r="B1654" s="512" t="s">
        <v>163</v>
      </c>
      <c r="C1654" s="512" t="s">
        <v>72</v>
      </c>
      <c r="D1654" s="512" t="s">
        <v>574</v>
      </c>
      <c r="E1654" s="513" t="s">
        <v>49</v>
      </c>
      <c r="F1654" s="514">
        <v>44848.0</v>
      </c>
      <c r="G1654" s="514">
        <v>20723.0</v>
      </c>
      <c r="H1654" s="514">
        <v>46.21</v>
      </c>
      <c r="I1654" s="514">
        <v>7.98</v>
      </c>
      <c r="J1654" s="514">
        <v>7.79</v>
      </c>
      <c r="K1654" s="514">
        <v>48397.0</v>
      </c>
      <c r="L1654" s="514">
        <v>606589.0</v>
      </c>
      <c r="M1654" s="514">
        <v>1.0791</v>
      </c>
      <c r="N1654" s="6">
        <v>2.3354</v>
      </c>
    </row>
    <row r="1655">
      <c r="A1655" s="512" t="s">
        <v>2040</v>
      </c>
      <c r="B1655" s="512" t="s">
        <v>163</v>
      </c>
      <c r="C1655" s="512" t="s">
        <v>72</v>
      </c>
      <c r="D1655" s="512" t="s">
        <v>574</v>
      </c>
      <c r="E1655" s="513" t="s">
        <v>374</v>
      </c>
      <c r="F1655" s="514">
        <v>44848.0</v>
      </c>
      <c r="G1655" s="514">
        <v>15796.0</v>
      </c>
      <c r="H1655" s="514">
        <v>35.22</v>
      </c>
      <c r="I1655" s="514">
        <v>7.27</v>
      </c>
      <c r="J1655" s="514">
        <v>10.19</v>
      </c>
      <c r="K1655" s="514">
        <v>44122.0</v>
      </c>
      <c r="L1655" s="514">
        <v>606589.0</v>
      </c>
      <c r="M1655" s="514">
        <v>0.9838</v>
      </c>
      <c r="N1655" s="6">
        <v>2.7932</v>
      </c>
    </row>
    <row r="1656">
      <c r="A1656" s="512" t="s">
        <v>2040</v>
      </c>
      <c r="B1656" s="512" t="s">
        <v>163</v>
      </c>
      <c r="C1656" s="512" t="s">
        <v>72</v>
      </c>
      <c r="D1656" s="512" t="s">
        <v>574</v>
      </c>
      <c r="E1656" s="513" t="s">
        <v>373</v>
      </c>
      <c r="F1656" s="514">
        <v>44848.0</v>
      </c>
      <c r="G1656" s="514">
        <v>21714.0</v>
      </c>
      <c r="H1656" s="514">
        <v>48.42</v>
      </c>
      <c r="I1656" s="514">
        <v>7.15</v>
      </c>
      <c r="J1656" s="514">
        <v>6.74</v>
      </c>
      <c r="K1656" s="514">
        <v>43360.0</v>
      </c>
      <c r="L1656" s="514">
        <v>606589.0</v>
      </c>
      <c r="M1656" s="514">
        <v>0.9668</v>
      </c>
      <c r="N1656" s="6">
        <v>1.9969</v>
      </c>
    </row>
    <row r="1657">
      <c r="A1657" s="512" t="s">
        <v>2040</v>
      </c>
      <c r="B1657" s="512" t="s">
        <v>163</v>
      </c>
      <c r="C1657" s="512" t="s">
        <v>72</v>
      </c>
      <c r="D1657" s="512" t="s">
        <v>574</v>
      </c>
      <c r="E1657" s="513" t="s">
        <v>44</v>
      </c>
      <c r="F1657" s="514">
        <v>44848.0</v>
      </c>
      <c r="G1657" s="514">
        <v>19207.0</v>
      </c>
      <c r="H1657" s="514">
        <v>42.83</v>
      </c>
      <c r="I1657" s="514">
        <v>5.25</v>
      </c>
      <c r="J1657" s="514">
        <v>4.66</v>
      </c>
      <c r="K1657" s="514">
        <v>31841.0</v>
      </c>
      <c r="L1657" s="514">
        <v>606589.0</v>
      </c>
      <c r="M1657" s="514">
        <v>0.71</v>
      </c>
      <c r="N1657" s="6">
        <v>1.6578</v>
      </c>
    </row>
    <row r="1658">
      <c r="A1658" s="512" t="s">
        <v>2040</v>
      </c>
      <c r="B1658" s="512" t="s">
        <v>163</v>
      </c>
      <c r="C1658" s="512" t="s">
        <v>72</v>
      </c>
      <c r="D1658" s="512" t="s">
        <v>574</v>
      </c>
      <c r="E1658" s="513" t="s">
        <v>367</v>
      </c>
      <c r="F1658" s="514">
        <v>44848.0</v>
      </c>
      <c r="G1658" s="514">
        <v>9300.0</v>
      </c>
      <c r="H1658" s="514">
        <v>20.74</v>
      </c>
      <c r="I1658" s="514">
        <v>5.03</v>
      </c>
      <c r="J1658" s="514">
        <v>3.35</v>
      </c>
      <c r="K1658" s="514">
        <v>30509.0</v>
      </c>
      <c r="L1658" s="514">
        <v>606589.0</v>
      </c>
      <c r="M1658" s="514">
        <v>0.6803</v>
      </c>
      <c r="N1658" s="6">
        <v>3.2805</v>
      </c>
    </row>
    <row r="1659">
      <c r="A1659" s="512" t="s">
        <v>2040</v>
      </c>
      <c r="B1659" s="512" t="s">
        <v>163</v>
      </c>
      <c r="C1659" s="512" t="s">
        <v>72</v>
      </c>
      <c r="D1659" s="512" t="s">
        <v>574</v>
      </c>
      <c r="E1659" s="513" t="s">
        <v>134</v>
      </c>
      <c r="F1659" s="514">
        <v>44848.0</v>
      </c>
      <c r="G1659" s="514">
        <v>7785.0</v>
      </c>
      <c r="H1659" s="514">
        <v>17.36</v>
      </c>
      <c r="I1659" s="514">
        <v>4.05</v>
      </c>
      <c r="J1659" s="514">
        <v>2.25</v>
      </c>
      <c r="K1659" s="514">
        <v>24545.0</v>
      </c>
      <c r="L1659" s="514">
        <v>606589.0</v>
      </c>
      <c r="M1659" s="514">
        <v>0.5473</v>
      </c>
      <c r="N1659" s="6">
        <v>3.1529</v>
      </c>
    </row>
    <row r="1660">
      <c r="A1660" s="512" t="s">
        <v>2040</v>
      </c>
      <c r="B1660" s="512" t="s">
        <v>163</v>
      </c>
      <c r="C1660" s="512" t="s">
        <v>72</v>
      </c>
      <c r="D1660" s="512" t="s">
        <v>574</v>
      </c>
      <c r="E1660" s="513" t="s">
        <v>40</v>
      </c>
      <c r="F1660" s="514">
        <v>44848.0</v>
      </c>
      <c r="G1660" s="514">
        <v>11436.0</v>
      </c>
      <c r="H1660" s="514">
        <v>25.5</v>
      </c>
      <c r="I1660" s="514">
        <v>4.04</v>
      </c>
      <c r="J1660" s="514">
        <v>3.85</v>
      </c>
      <c r="K1660" s="514">
        <v>24489.0</v>
      </c>
      <c r="L1660" s="514">
        <v>606589.0</v>
      </c>
      <c r="M1660" s="514">
        <v>0.546</v>
      </c>
      <c r="N1660" s="6">
        <v>2.1414</v>
      </c>
    </row>
    <row r="1661">
      <c r="A1661" s="512" t="s">
        <v>2040</v>
      </c>
      <c r="B1661" s="512" t="s">
        <v>163</v>
      </c>
      <c r="C1661" s="512" t="s">
        <v>72</v>
      </c>
      <c r="D1661" s="512" t="s">
        <v>574</v>
      </c>
      <c r="E1661" s="513" t="s">
        <v>377</v>
      </c>
      <c r="F1661" s="514">
        <v>44848.0</v>
      </c>
      <c r="G1661" s="514">
        <v>13097.0</v>
      </c>
      <c r="H1661" s="514">
        <v>29.2</v>
      </c>
      <c r="I1661" s="514">
        <v>3.28</v>
      </c>
      <c r="J1661" s="514">
        <v>3.37</v>
      </c>
      <c r="K1661" s="514">
        <v>19871.0</v>
      </c>
      <c r="L1661" s="514">
        <v>606589.0</v>
      </c>
      <c r="M1661" s="514">
        <v>0.4431</v>
      </c>
      <c r="N1661" s="6">
        <v>1.5172</v>
      </c>
    </row>
    <row r="1662">
      <c r="A1662" s="512" t="s">
        <v>2040</v>
      </c>
      <c r="B1662" s="512" t="s">
        <v>163</v>
      </c>
      <c r="C1662" s="512" t="s">
        <v>72</v>
      </c>
      <c r="D1662" s="512" t="s">
        <v>574</v>
      </c>
      <c r="E1662" s="513" t="s">
        <v>380</v>
      </c>
      <c r="F1662" s="514">
        <v>44848.0</v>
      </c>
      <c r="G1662" s="514">
        <v>14199.0</v>
      </c>
      <c r="H1662" s="514">
        <v>31.66</v>
      </c>
      <c r="I1662" s="514">
        <v>2.97</v>
      </c>
      <c r="J1662" s="514">
        <v>3.27</v>
      </c>
      <c r="K1662" s="514">
        <v>18025.0</v>
      </c>
      <c r="L1662" s="514">
        <v>606589.0</v>
      </c>
      <c r="M1662" s="514">
        <v>0.4019</v>
      </c>
      <c r="N1662" s="6">
        <v>1.2695</v>
      </c>
    </row>
    <row r="1663">
      <c r="A1663" s="512" t="s">
        <v>2040</v>
      </c>
      <c r="B1663" s="512" t="s">
        <v>163</v>
      </c>
      <c r="C1663" s="512" t="s">
        <v>72</v>
      </c>
      <c r="D1663" s="512" t="s">
        <v>574</v>
      </c>
      <c r="E1663" s="513" t="s">
        <v>50</v>
      </c>
      <c r="F1663" s="514">
        <v>44848.0</v>
      </c>
      <c r="G1663" s="514">
        <v>10903.0</v>
      </c>
      <c r="H1663" s="514">
        <v>24.31</v>
      </c>
      <c r="I1663" s="514">
        <v>2.71</v>
      </c>
      <c r="J1663" s="514">
        <v>2.59</v>
      </c>
      <c r="K1663" s="514">
        <v>16422.0</v>
      </c>
      <c r="L1663" s="514">
        <v>606589.0</v>
      </c>
      <c r="M1663" s="514">
        <v>0.3662</v>
      </c>
      <c r="N1663" s="6">
        <v>1.5062</v>
      </c>
    </row>
    <row r="1664">
      <c r="A1664" s="512" t="s">
        <v>2040</v>
      </c>
      <c r="B1664" s="512" t="s">
        <v>163</v>
      </c>
      <c r="C1664" s="512" t="s">
        <v>72</v>
      </c>
      <c r="D1664" s="512" t="s">
        <v>574</v>
      </c>
      <c r="E1664" s="513" t="s">
        <v>42</v>
      </c>
      <c r="F1664" s="514">
        <v>44848.0</v>
      </c>
      <c r="G1664" s="514">
        <v>8943.0</v>
      </c>
      <c r="H1664" s="514">
        <v>19.94</v>
      </c>
      <c r="I1664" s="514">
        <v>2.08</v>
      </c>
      <c r="J1664" s="514">
        <v>2.34</v>
      </c>
      <c r="K1664" s="514">
        <v>12633.0</v>
      </c>
      <c r="L1664" s="514">
        <v>606589.0</v>
      </c>
      <c r="M1664" s="514">
        <v>0.2817</v>
      </c>
      <c r="N1664" s="6">
        <v>1.4126</v>
      </c>
    </row>
    <row r="1665">
      <c r="A1665" s="512" t="s">
        <v>2040</v>
      </c>
      <c r="B1665" s="512" t="s">
        <v>163</v>
      </c>
      <c r="C1665" s="512" t="s">
        <v>72</v>
      </c>
      <c r="D1665" s="512" t="s">
        <v>574</v>
      </c>
      <c r="E1665" s="513" t="s">
        <v>375</v>
      </c>
      <c r="F1665" s="514">
        <v>44848.0</v>
      </c>
      <c r="G1665" s="514">
        <v>7082.0</v>
      </c>
      <c r="H1665" s="514">
        <v>15.79</v>
      </c>
      <c r="I1665" s="514">
        <v>1.46</v>
      </c>
      <c r="J1665" s="514">
        <v>0.92</v>
      </c>
      <c r="K1665" s="514">
        <v>8867.0</v>
      </c>
      <c r="L1665" s="514">
        <v>606589.0</v>
      </c>
      <c r="M1665" s="514">
        <v>0.1977</v>
      </c>
      <c r="N1665" s="6">
        <v>1.252</v>
      </c>
    </row>
    <row r="1666">
      <c r="A1666" s="512" t="s">
        <v>2040</v>
      </c>
      <c r="B1666" s="512" t="s">
        <v>163</v>
      </c>
      <c r="C1666" s="512" t="s">
        <v>72</v>
      </c>
      <c r="D1666" s="512" t="s">
        <v>574</v>
      </c>
      <c r="E1666" s="513" t="s">
        <v>312</v>
      </c>
      <c r="F1666" s="514">
        <v>44848.0</v>
      </c>
      <c r="G1666" s="514">
        <v>6531.0</v>
      </c>
      <c r="H1666" s="514">
        <v>14.56</v>
      </c>
      <c r="I1666" s="514">
        <v>1.3</v>
      </c>
      <c r="J1666" s="514">
        <v>1.52</v>
      </c>
      <c r="K1666" s="514">
        <v>7880.0</v>
      </c>
      <c r="L1666" s="514">
        <v>606589.0</v>
      </c>
      <c r="M1666" s="514">
        <v>0.1757</v>
      </c>
      <c r="N1666" s="6">
        <v>1.2066</v>
      </c>
    </row>
    <row r="1667">
      <c r="A1667" s="512" t="s">
        <v>2040</v>
      </c>
      <c r="B1667" s="512" t="s">
        <v>163</v>
      </c>
      <c r="C1667" s="512" t="s">
        <v>72</v>
      </c>
      <c r="D1667" s="512" t="s">
        <v>574</v>
      </c>
      <c r="E1667" s="513" t="s">
        <v>310</v>
      </c>
      <c r="F1667" s="514">
        <v>44848.0</v>
      </c>
      <c r="G1667" s="514">
        <v>4430.0</v>
      </c>
      <c r="H1667" s="514">
        <v>9.88</v>
      </c>
      <c r="I1667" s="514">
        <v>0.81</v>
      </c>
      <c r="J1667" s="514">
        <v>1.07</v>
      </c>
      <c r="K1667" s="514">
        <v>4898.0</v>
      </c>
      <c r="L1667" s="514">
        <v>606589.0</v>
      </c>
      <c r="M1667" s="514">
        <v>0.1092</v>
      </c>
      <c r="N1667" s="6">
        <v>1.1056</v>
      </c>
    </row>
    <row r="1668">
      <c r="A1668" s="512" t="s">
        <v>2040</v>
      </c>
      <c r="B1668" s="512" t="s">
        <v>163</v>
      </c>
      <c r="C1668" s="512" t="s">
        <v>72</v>
      </c>
      <c r="D1668" s="512" t="s">
        <v>574</v>
      </c>
      <c r="E1668" s="513" t="s">
        <v>32</v>
      </c>
      <c r="F1668" s="514">
        <v>44848.0</v>
      </c>
      <c r="G1668" s="514">
        <v>3785.0</v>
      </c>
      <c r="H1668" s="514">
        <v>8.44</v>
      </c>
      <c r="I1668" s="514">
        <v>0.68</v>
      </c>
      <c r="J1668" s="514">
        <v>0.93</v>
      </c>
      <c r="K1668" s="514">
        <v>4140.0</v>
      </c>
      <c r="L1668" s="514">
        <v>606589.0</v>
      </c>
      <c r="M1668" s="514">
        <v>0.0923</v>
      </c>
      <c r="N1668" s="6">
        <v>1.0938</v>
      </c>
    </row>
    <row r="1669">
      <c r="A1669" s="512" t="s">
        <v>2040</v>
      </c>
      <c r="B1669" s="512" t="s">
        <v>163</v>
      </c>
      <c r="C1669" s="512" t="s">
        <v>72</v>
      </c>
      <c r="D1669" s="512" t="s">
        <v>574</v>
      </c>
      <c r="E1669" s="513" t="s">
        <v>43</v>
      </c>
      <c r="F1669" s="514">
        <v>44848.0</v>
      </c>
      <c r="G1669" s="514">
        <v>3615.0</v>
      </c>
      <c r="H1669" s="514">
        <v>8.06</v>
      </c>
      <c r="I1669" s="514">
        <v>0.66</v>
      </c>
      <c r="J1669" s="514">
        <v>0.72</v>
      </c>
      <c r="K1669" s="514">
        <v>3978.0</v>
      </c>
      <c r="L1669" s="514">
        <v>606589.0</v>
      </c>
      <c r="M1669" s="514">
        <v>0.0887</v>
      </c>
      <c r="N1669" s="6">
        <v>1.1004</v>
      </c>
    </row>
    <row r="1670">
      <c r="A1670" s="512" t="s">
        <v>2040</v>
      </c>
      <c r="B1670" s="512" t="s">
        <v>163</v>
      </c>
      <c r="C1670" s="512" t="s">
        <v>72</v>
      </c>
      <c r="D1670" s="512" t="s">
        <v>574</v>
      </c>
      <c r="E1670" s="513" t="s">
        <v>189</v>
      </c>
      <c r="F1670" s="514">
        <v>44848.0</v>
      </c>
      <c r="G1670" s="514">
        <v>2874.0</v>
      </c>
      <c r="H1670" s="514">
        <v>6.41</v>
      </c>
      <c r="I1670" s="514">
        <v>0.48</v>
      </c>
      <c r="J1670" s="514">
        <v>0.23</v>
      </c>
      <c r="K1670" s="514">
        <v>2925.0</v>
      </c>
      <c r="L1670" s="514">
        <v>606589.0</v>
      </c>
      <c r="M1670" s="514">
        <v>0.0652</v>
      </c>
      <c r="N1670" s="6">
        <v>1.0177</v>
      </c>
    </row>
    <row r="1671">
      <c r="A1671" s="512" t="s">
        <v>2040</v>
      </c>
      <c r="B1671" s="512" t="s">
        <v>163</v>
      </c>
      <c r="C1671" s="512" t="s">
        <v>72</v>
      </c>
      <c r="D1671" s="512" t="s">
        <v>574</v>
      </c>
      <c r="E1671" s="513" t="s">
        <v>311</v>
      </c>
      <c r="F1671" s="514">
        <v>44848.0</v>
      </c>
      <c r="G1671" s="514">
        <v>1394.0</v>
      </c>
      <c r="H1671" s="514">
        <v>3.11</v>
      </c>
      <c r="I1671" s="514">
        <v>0.24</v>
      </c>
      <c r="J1671" s="514">
        <v>0.34</v>
      </c>
      <c r="K1671" s="514">
        <v>1428.0</v>
      </c>
      <c r="L1671" s="514">
        <v>606589.0</v>
      </c>
      <c r="M1671" s="514">
        <v>0.0318</v>
      </c>
      <c r="N1671" s="6">
        <v>1.0244</v>
      </c>
    </row>
    <row r="1672">
      <c r="A1672" s="512" t="s">
        <v>2040</v>
      </c>
      <c r="B1672" s="512" t="s">
        <v>163</v>
      </c>
      <c r="C1672" s="512" t="s">
        <v>1883</v>
      </c>
      <c r="D1672" s="512" t="s">
        <v>2036</v>
      </c>
      <c r="E1672" s="513" t="s">
        <v>375</v>
      </c>
      <c r="F1672" s="514">
        <v>23913.0</v>
      </c>
      <c r="G1672" s="514">
        <v>15135.0</v>
      </c>
      <c r="H1672" s="514">
        <v>63.29</v>
      </c>
      <c r="I1672" s="514">
        <v>32.22</v>
      </c>
      <c r="J1672" s="514">
        <v>39.86</v>
      </c>
      <c r="K1672" s="514">
        <v>279765.0</v>
      </c>
      <c r="L1672" s="514">
        <v>868410.0</v>
      </c>
      <c r="M1672" s="514">
        <v>11.6993</v>
      </c>
      <c r="N1672" s="6">
        <v>18.4846</v>
      </c>
    </row>
    <row r="1673">
      <c r="A1673" s="512" t="s">
        <v>2040</v>
      </c>
      <c r="B1673" s="512" t="s">
        <v>163</v>
      </c>
      <c r="C1673" s="512" t="s">
        <v>1883</v>
      </c>
      <c r="D1673" s="512" t="s">
        <v>2036</v>
      </c>
      <c r="E1673" s="513" t="s">
        <v>134</v>
      </c>
      <c r="F1673" s="514">
        <v>23913.0</v>
      </c>
      <c r="G1673" s="514">
        <v>8447.0</v>
      </c>
      <c r="H1673" s="514">
        <v>35.32</v>
      </c>
      <c r="I1673" s="514">
        <v>24.47</v>
      </c>
      <c r="J1673" s="514">
        <v>21.73</v>
      </c>
      <c r="K1673" s="514">
        <v>212505.0</v>
      </c>
      <c r="L1673" s="514">
        <v>868410.0</v>
      </c>
      <c r="M1673" s="514">
        <v>8.8866</v>
      </c>
      <c r="N1673" s="6">
        <v>25.1575</v>
      </c>
    </row>
    <row r="1674">
      <c r="A1674" s="512" t="s">
        <v>2040</v>
      </c>
      <c r="B1674" s="512" t="s">
        <v>163</v>
      </c>
      <c r="C1674" s="512" t="s">
        <v>1883</v>
      </c>
      <c r="D1674" s="512" t="s">
        <v>2036</v>
      </c>
      <c r="E1674" s="513" t="s">
        <v>373</v>
      </c>
      <c r="F1674" s="514">
        <v>23913.0</v>
      </c>
      <c r="G1674" s="514">
        <v>4405.0</v>
      </c>
      <c r="H1674" s="514">
        <v>18.42</v>
      </c>
      <c r="I1674" s="514">
        <v>15.55</v>
      </c>
      <c r="J1674" s="514">
        <v>8.54</v>
      </c>
      <c r="K1674" s="514">
        <v>135060.0</v>
      </c>
      <c r="L1674" s="514">
        <v>868410.0</v>
      </c>
      <c r="M1674" s="514">
        <v>5.648</v>
      </c>
      <c r="N1674" s="6">
        <v>30.6606</v>
      </c>
    </row>
    <row r="1675">
      <c r="A1675" s="512" t="s">
        <v>2040</v>
      </c>
      <c r="B1675" s="512" t="s">
        <v>163</v>
      </c>
      <c r="C1675" s="512" t="s">
        <v>1883</v>
      </c>
      <c r="D1675" s="512" t="s">
        <v>2036</v>
      </c>
      <c r="E1675" s="513" t="s">
        <v>189</v>
      </c>
      <c r="F1675" s="514">
        <v>23913.0</v>
      </c>
      <c r="G1675" s="514">
        <v>8429.0</v>
      </c>
      <c r="H1675" s="514">
        <v>35.25</v>
      </c>
      <c r="I1675" s="514">
        <v>15.23</v>
      </c>
      <c r="J1675" s="514">
        <v>17.63</v>
      </c>
      <c r="K1675" s="514">
        <v>132300.0</v>
      </c>
      <c r="L1675" s="514">
        <v>868410.0</v>
      </c>
      <c r="M1675" s="514">
        <v>5.5326</v>
      </c>
      <c r="N1675" s="6">
        <v>15.6958</v>
      </c>
    </row>
    <row r="1676">
      <c r="A1676" s="512" t="s">
        <v>2040</v>
      </c>
      <c r="B1676" s="512" t="s">
        <v>163</v>
      </c>
      <c r="C1676" s="512" t="s">
        <v>1883</v>
      </c>
      <c r="D1676" s="512" t="s">
        <v>2036</v>
      </c>
      <c r="E1676" s="513" t="s">
        <v>35</v>
      </c>
      <c r="F1676" s="514">
        <v>23913.0</v>
      </c>
      <c r="G1676" s="514">
        <v>5932.0</v>
      </c>
      <c r="H1676" s="514">
        <v>24.81</v>
      </c>
      <c r="I1676" s="514">
        <v>11.51</v>
      </c>
      <c r="J1676" s="514">
        <v>11.13</v>
      </c>
      <c r="K1676" s="514">
        <v>99930.0</v>
      </c>
      <c r="L1676" s="514">
        <v>868410.0</v>
      </c>
      <c r="M1676" s="514">
        <v>4.1789</v>
      </c>
      <c r="N1676" s="6">
        <v>16.8459</v>
      </c>
    </row>
    <row r="1677">
      <c r="A1677" s="512" t="s">
        <v>2040</v>
      </c>
      <c r="B1677" s="512" t="s">
        <v>163</v>
      </c>
      <c r="C1677" s="512" t="s">
        <v>1883</v>
      </c>
      <c r="D1677" s="512" t="s">
        <v>2036</v>
      </c>
      <c r="E1677" s="513" t="s">
        <v>377</v>
      </c>
      <c r="F1677" s="514">
        <v>23913.0</v>
      </c>
      <c r="G1677" s="514">
        <v>252.0</v>
      </c>
      <c r="H1677" s="514">
        <v>1.05</v>
      </c>
      <c r="I1677" s="514">
        <v>0.9</v>
      </c>
      <c r="J1677" s="514">
        <v>0.81</v>
      </c>
      <c r="K1677" s="514">
        <v>7830.0</v>
      </c>
      <c r="L1677" s="514">
        <v>868410.0</v>
      </c>
      <c r="M1677" s="514">
        <v>0.3274</v>
      </c>
      <c r="N1677" s="6">
        <v>31.0714</v>
      </c>
    </row>
    <row r="1678">
      <c r="A1678" s="512" t="s">
        <v>2040</v>
      </c>
      <c r="B1678" s="512" t="s">
        <v>163</v>
      </c>
      <c r="C1678" s="512" t="s">
        <v>1883</v>
      </c>
      <c r="D1678" s="512" t="s">
        <v>2036</v>
      </c>
      <c r="E1678" s="513" t="s">
        <v>380</v>
      </c>
      <c r="F1678" s="514">
        <v>23913.0</v>
      </c>
      <c r="G1678" s="514">
        <v>89.0</v>
      </c>
      <c r="H1678" s="514">
        <v>0.37</v>
      </c>
      <c r="I1678" s="514">
        <v>0.11</v>
      </c>
      <c r="J1678" s="514">
        <v>0.28</v>
      </c>
      <c r="K1678" s="514">
        <v>975.0</v>
      </c>
      <c r="L1678" s="514">
        <v>868410.0</v>
      </c>
      <c r="M1678" s="514">
        <v>0.0408</v>
      </c>
      <c r="N1678" s="6">
        <v>10.9551</v>
      </c>
    </row>
    <row r="1679">
      <c r="A1679" s="512" t="s">
        <v>2040</v>
      </c>
      <c r="B1679" s="512" t="s">
        <v>163</v>
      </c>
      <c r="C1679" s="512" t="s">
        <v>1883</v>
      </c>
      <c r="D1679" s="512" t="s">
        <v>2036</v>
      </c>
      <c r="E1679" s="513" t="s">
        <v>42</v>
      </c>
      <c r="F1679" s="514">
        <v>23913.0</v>
      </c>
      <c r="G1679" s="514">
        <v>1.0</v>
      </c>
      <c r="H1679" s="514">
        <v>0.0</v>
      </c>
      <c r="I1679" s="514">
        <v>0.0</v>
      </c>
      <c r="J1679" s="514">
        <v>0.0</v>
      </c>
      <c r="K1679" s="514">
        <v>20.0</v>
      </c>
      <c r="L1679" s="514">
        <v>868410.0</v>
      </c>
      <c r="M1679" s="514">
        <v>8.0E-4</v>
      </c>
      <c r="N1679" s="6">
        <v>20.0</v>
      </c>
    </row>
    <row r="1680">
      <c r="A1680" s="512" t="s">
        <v>2040</v>
      </c>
      <c r="B1680" s="512" t="s">
        <v>163</v>
      </c>
      <c r="C1680" s="512" t="s">
        <v>1883</v>
      </c>
      <c r="D1680" s="512" t="s">
        <v>2036</v>
      </c>
      <c r="E1680" s="513" t="s">
        <v>379</v>
      </c>
      <c r="F1680" s="514">
        <v>23913.0</v>
      </c>
      <c r="G1680" s="514">
        <v>1.0</v>
      </c>
      <c r="H1680" s="514">
        <v>0.0</v>
      </c>
      <c r="I1680" s="514">
        <v>0.0</v>
      </c>
      <c r="J1680" s="514">
        <v>0.0</v>
      </c>
      <c r="K1680" s="514">
        <v>15.0</v>
      </c>
      <c r="L1680" s="514">
        <v>868410.0</v>
      </c>
      <c r="M1680" s="514">
        <v>6.0E-4</v>
      </c>
      <c r="N1680" s="6">
        <v>15.0</v>
      </c>
    </row>
    <row r="1681">
      <c r="A1681" s="512" t="s">
        <v>2040</v>
      </c>
      <c r="B1681" s="512" t="s">
        <v>163</v>
      </c>
      <c r="C1681" s="512" t="s">
        <v>1883</v>
      </c>
      <c r="D1681" s="512" t="s">
        <v>2036</v>
      </c>
      <c r="E1681" s="513" t="s">
        <v>374</v>
      </c>
      <c r="F1681" s="514">
        <v>23913.0</v>
      </c>
      <c r="G1681" s="514">
        <v>1.0</v>
      </c>
      <c r="H1681" s="514">
        <v>0.0</v>
      </c>
      <c r="I1681" s="514">
        <v>0.0</v>
      </c>
      <c r="J1681" s="514">
        <v>0.0</v>
      </c>
      <c r="K1681" s="514">
        <v>10.0</v>
      </c>
      <c r="L1681" s="514">
        <v>868410.0</v>
      </c>
      <c r="M1681" s="514">
        <v>4.0E-4</v>
      </c>
      <c r="N1681" s="6">
        <v>10.0</v>
      </c>
    </row>
    <row r="1682">
      <c r="A1682" s="512" t="s">
        <v>2040</v>
      </c>
      <c r="B1682" s="512" t="s">
        <v>163</v>
      </c>
      <c r="C1682" s="512" t="s">
        <v>1884</v>
      </c>
      <c r="D1682" s="512" t="s">
        <v>2036</v>
      </c>
      <c r="E1682" s="513" t="s">
        <v>375</v>
      </c>
      <c r="F1682" s="514">
        <v>36105.0</v>
      </c>
      <c r="G1682" s="514">
        <v>19971.0</v>
      </c>
      <c r="H1682" s="514">
        <v>55.31</v>
      </c>
      <c r="I1682" s="514">
        <v>20.83</v>
      </c>
      <c r="J1682" s="514">
        <v>24.07</v>
      </c>
      <c r="K1682" s="514">
        <v>406225.0</v>
      </c>
      <c r="L1682" s="514">
        <v>1950550.0</v>
      </c>
      <c r="M1682" s="514">
        <v>11.2512</v>
      </c>
      <c r="N1682" s="6">
        <v>20.3407</v>
      </c>
    </row>
    <row r="1683">
      <c r="A1683" s="512" t="s">
        <v>2040</v>
      </c>
      <c r="B1683" s="512" t="s">
        <v>163</v>
      </c>
      <c r="C1683" s="512" t="s">
        <v>1884</v>
      </c>
      <c r="D1683" s="512" t="s">
        <v>2036</v>
      </c>
      <c r="E1683" s="513" t="s">
        <v>134</v>
      </c>
      <c r="F1683" s="514">
        <v>36105.0</v>
      </c>
      <c r="G1683" s="514">
        <v>10501.0</v>
      </c>
      <c r="H1683" s="514">
        <v>29.08</v>
      </c>
      <c r="I1683" s="514">
        <v>18.99</v>
      </c>
      <c r="J1683" s="514">
        <v>12.19</v>
      </c>
      <c r="K1683" s="514">
        <v>370395.0</v>
      </c>
      <c r="L1683" s="514">
        <v>1950550.0</v>
      </c>
      <c r="M1683" s="514">
        <v>10.2588</v>
      </c>
      <c r="N1683" s="6">
        <v>35.2724</v>
      </c>
    </row>
    <row r="1684">
      <c r="A1684" s="512" t="s">
        <v>2040</v>
      </c>
      <c r="B1684" s="512" t="s">
        <v>163</v>
      </c>
      <c r="C1684" s="512" t="s">
        <v>1884</v>
      </c>
      <c r="D1684" s="512" t="s">
        <v>2036</v>
      </c>
      <c r="E1684" s="513" t="s">
        <v>380</v>
      </c>
      <c r="F1684" s="514">
        <v>36105.0</v>
      </c>
      <c r="G1684" s="514">
        <v>17764.0</v>
      </c>
      <c r="H1684" s="514">
        <v>49.2</v>
      </c>
      <c r="I1684" s="514">
        <v>17.05</v>
      </c>
      <c r="J1684" s="514">
        <v>25.31</v>
      </c>
      <c r="K1684" s="514">
        <v>332490.0</v>
      </c>
      <c r="L1684" s="514">
        <v>1950550.0</v>
      </c>
      <c r="M1684" s="514">
        <v>9.209</v>
      </c>
      <c r="N1684" s="6">
        <v>18.7171</v>
      </c>
    </row>
    <row r="1685">
      <c r="A1685" s="512" t="s">
        <v>2040</v>
      </c>
      <c r="B1685" s="512" t="s">
        <v>163</v>
      </c>
      <c r="C1685" s="512" t="s">
        <v>1884</v>
      </c>
      <c r="D1685" s="512" t="s">
        <v>2036</v>
      </c>
      <c r="E1685" s="513" t="s">
        <v>373</v>
      </c>
      <c r="F1685" s="514">
        <v>36105.0</v>
      </c>
      <c r="G1685" s="514">
        <v>4846.0</v>
      </c>
      <c r="H1685" s="514">
        <v>13.42</v>
      </c>
      <c r="I1685" s="514">
        <v>15.2</v>
      </c>
      <c r="J1685" s="514">
        <v>6.15</v>
      </c>
      <c r="K1685" s="514">
        <v>296400.0</v>
      </c>
      <c r="L1685" s="514">
        <v>1950550.0</v>
      </c>
      <c r="M1685" s="514">
        <v>8.2094</v>
      </c>
      <c r="N1685" s="6">
        <v>61.1638</v>
      </c>
    </row>
    <row r="1686">
      <c r="A1686" s="512" t="s">
        <v>2040</v>
      </c>
      <c r="B1686" s="512" t="s">
        <v>163</v>
      </c>
      <c r="C1686" s="512" t="s">
        <v>1884</v>
      </c>
      <c r="D1686" s="512" t="s">
        <v>2036</v>
      </c>
      <c r="E1686" s="513" t="s">
        <v>44</v>
      </c>
      <c r="F1686" s="514">
        <v>36105.0</v>
      </c>
      <c r="G1686" s="514">
        <v>15783.0</v>
      </c>
      <c r="H1686" s="514">
        <v>43.71</v>
      </c>
      <c r="I1686" s="514">
        <v>13.19</v>
      </c>
      <c r="J1686" s="514">
        <v>15.51</v>
      </c>
      <c r="K1686" s="514">
        <v>257370.0</v>
      </c>
      <c r="L1686" s="514">
        <v>1950550.0</v>
      </c>
      <c r="M1686" s="514">
        <v>7.1284</v>
      </c>
      <c r="N1686" s="6">
        <v>16.3068</v>
      </c>
    </row>
    <row r="1687">
      <c r="A1687" s="512" t="s">
        <v>2040</v>
      </c>
      <c r="B1687" s="512" t="s">
        <v>163</v>
      </c>
      <c r="C1687" s="512" t="s">
        <v>1884</v>
      </c>
      <c r="D1687" s="512" t="s">
        <v>2036</v>
      </c>
      <c r="E1687" s="513" t="s">
        <v>189</v>
      </c>
      <c r="F1687" s="514">
        <v>36105.0</v>
      </c>
      <c r="G1687" s="514">
        <v>9984.0</v>
      </c>
      <c r="H1687" s="514">
        <v>27.65</v>
      </c>
      <c r="I1687" s="514">
        <v>8.06</v>
      </c>
      <c r="J1687" s="514">
        <v>9.54</v>
      </c>
      <c r="K1687" s="514">
        <v>157170.0</v>
      </c>
      <c r="L1687" s="514">
        <v>1950550.0</v>
      </c>
      <c r="M1687" s="514">
        <v>4.3531</v>
      </c>
      <c r="N1687" s="6">
        <v>15.7422</v>
      </c>
    </row>
    <row r="1688">
      <c r="A1688" s="512" t="s">
        <v>2040</v>
      </c>
      <c r="B1688" s="512" t="s">
        <v>163</v>
      </c>
      <c r="C1688" s="512" t="s">
        <v>1884</v>
      </c>
      <c r="D1688" s="512" t="s">
        <v>2036</v>
      </c>
      <c r="E1688" s="513" t="s">
        <v>35</v>
      </c>
      <c r="F1688" s="514">
        <v>36105.0</v>
      </c>
      <c r="G1688" s="514">
        <v>7394.0</v>
      </c>
      <c r="H1688" s="514">
        <v>20.48</v>
      </c>
      <c r="I1688" s="514">
        <v>6.25</v>
      </c>
      <c r="J1688" s="514">
        <v>6.79</v>
      </c>
      <c r="K1688" s="514">
        <v>121980.0</v>
      </c>
      <c r="L1688" s="514">
        <v>1950550.0</v>
      </c>
      <c r="M1688" s="514">
        <v>3.3785</v>
      </c>
      <c r="N1688" s="6">
        <v>16.4972</v>
      </c>
    </row>
    <row r="1689">
      <c r="A1689" s="512" t="s">
        <v>2040</v>
      </c>
      <c r="B1689" s="512" t="s">
        <v>163</v>
      </c>
      <c r="C1689" s="512" t="s">
        <v>1884</v>
      </c>
      <c r="D1689" s="512" t="s">
        <v>2036</v>
      </c>
      <c r="E1689" s="513" t="s">
        <v>377</v>
      </c>
      <c r="F1689" s="514">
        <v>36105.0</v>
      </c>
      <c r="G1689" s="514">
        <v>293.0</v>
      </c>
      <c r="H1689" s="514">
        <v>0.81</v>
      </c>
      <c r="I1689" s="514">
        <v>0.43</v>
      </c>
      <c r="J1689" s="514">
        <v>0.43</v>
      </c>
      <c r="K1689" s="514">
        <v>8445.0</v>
      </c>
      <c r="L1689" s="514">
        <v>1950550.0</v>
      </c>
      <c r="M1689" s="514">
        <v>0.2339</v>
      </c>
      <c r="N1689" s="6">
        <v>28.8225</v>
      </c>
    </row>
    <row r="1690">
      <c r="A1690" s="512" t="s">
        <v>2040</v>
      </c>
      <c r="B1690" s="512" t="s">
        <v>163</v>
      </c>
      <c r="C1690" s="512" t="s">
        <v>1884</v>
      </c>
      <c r="D1690" s="512" t="s">
        <v>2036</v>
      </c>
      <c r="E1690" s="513" t="s">
        <v>40</v>
      </c>
      <c r="F1690" s="514">
        <v>36105.0</v>
      </c>
      <c r="G1690" s="514">
        <v>2.0</v>
      </c>
      <c r="H1690" s="514">
        <v>0.01</v>
      </c>
      <c r="I1690" s="514">
        <v>0.0</v>
      </c>
      <c r="J1690" s="514">
        <v>0.0</v>
      </c>
      <c r="K1690" s="514">
        <v>30.0</v>
      </c>
      <c r="L1690" s="514">
        <v>1950550.0</v>
      </c>
      <c r="M1690" s="514">
        <v>8.0E-4</v>
      </c>
      <c r="N1690" s="6">
        <v>15.0</v>
      </c>
    </row>
    <row r="1691">
      <c r="A1691" s="512" t="s">
        <v>2040</v>
      </c>
      <c r="B1691" s="512" t="s">
        <v>163</v>
      </c>
      <c r="C1691" s="512" t="s">
        <v>1884</v>
      </c>
      <c r="D1691" s="512" t="s">
        <v>2036</v>
      </c>
      <c r="E1691" s="513" t="s">
        <v>379</v>
      </c>
      <c r="F1691" s="514">
        <v>36105.0</v>
      </c>
      <c r="G1691" s="514">
        <v>1.0</v>
      </c>
      <c r="H1691" s="514">
        <v>0.0</v>
      </c>
      <c r="I1691" s="514">
        <v>0.0</v>
      </c>
      <c r="J1691" s="514">
        <v>0.0</v>
      </c>
      <c r="K1691" s="514">
        <v>15.0</v>
      </c>
      <c r="L1691" s="514">
        <v>1950550.0</v>
      </c>
      <c r="M1691" s="514">
        <v>4.0E-4</v>
      </c>
      <c r="N1691" s="6">
        <v>15.0</v>
      </c>
    </row>
    <row r="1692">
      <c r="A1692" s="512" t="s">
        <v>2040</v>
      </c>
      <c r="B1692" s="512" t="s">
        <v>163</v>
      </c>
      <c r="C1692" s="512" t="s">
        <v>1884</v>
      </c>
      <c r="D1692" s="512" t="s">
        <v>2036</v>
      </c>
      <c r="E1692" s="513" t="s">
        <v>374</v>
      </c>
      <c r="F1692" s="514">
        <v>36105.0</v>
      </c>
      <c r="G1692" s="514">
        <v>3.0</v>
      </c>
      <c r="H1692" s="514">
        <v>0.01</v>
      </c>
      <c r="I1692" s="514">
        <v>0.0</v>
      </c>
      <c r="J1692" s="514">
        <v>0.0</v>
      </c>
      <c r="K1692" s="514">
        <v>30.0</v>
      </c>
      <c r="L1692" s="514">
        <v>1950550.0</v>
      </c>
      <c r="M1692" s="514">
        <v>8.0E-4</v>
      </c>
      <c r="N1692" s="6">
        <v>10.0</v>
      </c>
    </row>
    <row r="1693">
      <c r="A1693" s="512" t="s">
        <v>2040</v>
      </c>
      <c r="B1693" s="512" t="s">
        <v>163</v>
      </c>
      <c r="C1693" s="512" t="s">
        <v>1885</v>
      </c>
      <c r="D1693" s="512" t="s">
        <v>2036</v>
      </c>
      <c r="E1693" s="513" t="s">
        <v>380</v>
      </c>
      <c r="F1693" s="514">
        <v>39753.0</v>
      </c>
      <c r="G1693" s="514">
        <v>27080.0</v>
      </c>
      <c r="H1693" s="514">
        <v>68.12</v>
      </c>
      <c r="I1693" s="514">
        <v>25.29</v>
      </c>
      <c r="J1693" s="514">
        <v>35.02</v>
      </c>
      <c r="K1693" s="514">
        <v>691510.0</v>
      </c>
      <c r="L1693" s="514">
        <v>2734860.0</v>
      </c>
      <c r="M1693" s="514">
        <v>17.3952</v>
      </c>
      <c r="N1693" s="6">
        <v>25.5358</v>
      </c>
    </row>
    <row r="1694">
      <c r="A1694" s="512" t="s">
        <v>2040</v>
      </c>
      <c r="B1694" s="512" t="s">
        <v>163</v>
      </c>
      <c r="C1694" s="512" t="s">
        <v>1885</v>
      </c>
      <c r="D1694" s="512" t="s">
        <v>2036</v>
      </c>
      <c r="E1694" s="513" t="s">
        <v>373</v>
      </c>
      <c r="F1694" s="514">
        <v>39753.0</v>
      </c>
      <c r="G1694" s="514">
        <v>7847.0</v>
      </c>
      <c r="H1694" s="514">
        <v>19.74</v>
      </c>
      <c r="I1694" s="514">
        <v>17.48</v>
      </c>
      <c r="J1694" s="514">
        <v>10.09</v>
      </c>
      <c r="K1694" s="514">
        <v>477960.0</v>
      </c>
      <c r="L1694" s="514">
        <v>2734860.0</v>
      </c>
      <c r="M1694" s="514">
        <v>12.0232</v>
      </c>
      <c r="N1694" s="6">
        <v>60.9099</v>
      </c>
    </row>
    <row r="1695">
      <c r="A1695" s="512" t="s">
        <v>2040</v>
      </c>
      <c r="B1695" s="512" t="s">
        <v>163</v>
      </c>
      <c r="C1695" s="512" t="s">
        <v>1885</v>
      </c>
      <c r="D1695" s="512" t="s">
        <v>2036</v>
      </c>
      <c r="E1695" s="513" t="s">
        <v>375</v>
      </c>
      <c r="F1695" s="514">
        <v>39753.0</v>
      </c>
      <c r="G1695" s="514">
        <v>20755.0</v>
      </c>
      <c r="H1695" s="514">
        <v>52.21</v>
      </c>
      <c r="I1695" s="514">
        <v>17.16</v>
      </c>
      <c r="J1695" s="514">
        <v>18.49</v>
      </c>
      <c r="K1695" s="514">
        <v>469435.0</v>
      </c>
      <c r="L1695" s="514">
        <v>2734860.0</v>
      </c>
      <c r="M1695" s="514">
        <v>11.8088</v>
      </c>
      <c r="N1695" s="6">
        <v>22.6179</v>
      </c>
    </row>
    <row r="1696">
      <c r="A1696" s="512" t="s">
        <v>2040</v>
      </c>
      <c r="B1696" s="512" t="s">
        <v>163</v>
      </c>
      <c r="C1696" s="512" t="s">
        <v>1885</v>
      </c>
      <c r="D1696" s="512" t="s">
        <v>2036</v>
      </c>
      <c r="E1696" s="513" t="s">
        <v>134</v>
      </c>
      <c r="F1696" s="514">
        <v>39753.0</v>
      </c>
      <c r="G1696" s="514">
        <v>9373.0</v>
      </c>
      <c r="H1696" s="514">
        <v>23.58</v>
      </c>
      <c r="I1696" s="514">
        <v>16.48</v>
      </c>
      <c r="J1696" s="514">
        <v>9.35</v>
      </c>
      <c r="K1696" s="514">
        <v>450795.0</v>
      </c>
      <c r="L1696" s="514">
        <v>2734860.0</v>
      </c>
      <c r="M1696" s="514">
        <v>11.3399</v>
      </c>
      <c r="N1696" s="6">
        <v>48.0951</v>
      </c>
    </row>
    <row r="1697">
      <c r="A1697" s="512" t="s">
        <v>2040</v>
      </c>
      <c r="B1697" s="512" t="s">
        <v>163</v>
      </c>
      <c r="C1697" s="512" t="s">
        <v>1885</v>
      </c>
      <c r="D1697" s="512" t="s">
        <v>2036</v>
      </c>
      <c r="E1697" s="513" t="s">
        <v>44</v>
      </c>
      <c r="F1697" s="514">
        <v>39753.0</v>
      </c>
      <c r="G1697" s="514">
        <v>19207.0</v>
      </c>
      <c r="H1697" s="514">
        <v>48.32</v>
      </c>
      <c r="I1697" s="514">
        <v>11.54</v>
      </c>
      <c r="J1697" s="514">
        <v>13.5</v>
      </c>
      <c r="K1697" s="514">
        <v>315710.0</v>
      </c>
      <c r="L1697" s="514">
        <v>2734860.0</v>
      </c>
      <c r="M1697" s="514">
        <v>7.9418</v>
      </c>
      <c r="N1697" s="6">
        <v>16.4372</v>
      </c>
    </row>
    <row r="1698">
      <c r="A1698" s="512" t="s">
        <v>2040</v>
      </c>
      <c r="B1698" s="512" t="s">
        <v>163</v>
      </c>
      <c r="C1698" s="512" t="s">
        <v>1885</v>
      </c>
      <c r="D1698" s="512" t="s">
        <v>2036</v>
      </c>
      <c r="E1698" s="513" t="s">
        <v>189</v>
      </c>
      <c r="F1698" s="514">
        <v>39753.0</v>
      </c>
      <c r="G1698" s="514">
        <v>10314.0</v>
      </c>
      <c r="H1698" s="514">
        <v>25.95</v>
      </c>
      <c r="I1698" s="514">
        <v>6.63</v>
      </c>
      <c r="J1698" s="514">
        <v>7.49</v>
      </c>
      <c r="K1698" s="514">
        <v>181215.0</v>
      </c>
      <c r="L1698" s="514">
        <v>2734860.0</v>
      </c>
      <c r="M1698" s="514">
        <v>4.5585</v>
      </c>
      <c r="N1698" s="6">
        <v>17.5698</v>
      </c>
    </row>
    <row r="1699">
      <c r="A1699" s="512" t="s">
        <v>2040</v>
      </c>
      <c r="B1699" s="512" t="s">
        <v>163</v>
      </c>
      <c r="C1699" s="512" t="s">
        <v>1885</v>
      </c>
      <c r="D1699" s="512" t="s">
        <v>2036</v>
      </c>
      <c r="E1699" s="513" t="s">
        <v>35</v>
      </c>
      <c r="F1699" s="514">
        <v>39753.0</v>
      </c>
      <c r="G1699" s="514">
        <v>8636.0</v>
      </c>
      <c r="H1699" s="514">
        <v>21.72</v>
      </c>
      <c r="I1699" s="514">
        <v>5.09</v>
      </c>
      <c r="J1699" s="514">
        <v>5.69</v>
      </c>
      <c r="K1699" s="514">
        <v>139140.0</v>
      </c>
      <c r="L1699" s="514">
        <v>2734860.0</v>
      </c>
      <c r="M1699" s="514">
        <v>3.5001</v>
      </c>
      <c r="N1699" s="6">
        <v>16.1116</v>
      </c>
    </row>
    <row r="1700">
      <c r="A1700" s="512" t="s">
        <v>2040</v>
      </c>
      <c r="B1700" s="512" t="s">
        <v>163</v>
      </c>
      <c r="C1700" s="512" t="s">
        <v>1885</v>
      </c>
      <c r="D1700" s="512" t="s">
        <v>2036</v>
      </c>
      <c r="E1700" s="513" t="s">
        <v>377</v>
      </c>
      <c r="F1700" s="514">
        <v>39753.0</v>
      </c>
      <c r="G1700" s="514">
        <v>326.0</v>
      </c>
      <c r="H1700" s="514">
        <v>0.82</v>
      </c>
      <c r="I1700" s="514">
        <v>0.33</v>
      </c>
      <c r="J1700" s="514">
        <v>0.37</v>
      </c>
      <c r="K1700" s="514">
        <v>9015.0</v>
      </c>
      <c r="L1700" s="514">
        <v>2734860.0</v>
      </c>
      <c r="M1700" s="514">
        <v>0.2268</v>
      </c>
      <c r="N1700" s="6">
        <v>27.6534</v>
      </c>
    </row>
    <row r="1701">
      <c r="A1701" s="512" t="s">
        <v>2040</v>
      </c>
      <c r="B1701" s="512" t="s">
        <v>163</v>
      </c>
      <c r="C1701" s="512" t="s">
        <v>1885</v>
      </c>
      <c r="D1701" s="512" t="s">
        <v>2036</v>
      </c>
      <c r="E1701" s="513" t="s">
        <v>40</v>
      </c>
      <c r="F1701" s="514">
        <v>39753.0</v>
      </c>
      <c r="G1701" s="514">
        <v>1.0</v>
      </c>
      <c r="H1701" s="514">
        <v>0.0</v>
      </c>
      <c r="I1701" s="514">
        <v>0.0</v>
      </c>
      <c r="J1701" s="514">
        <v>0.0</v>
      </c>
      <c r="K1701" s="514">
        <v>15.0</v>
      </c>
      <c r="L1701" s="514">
        <v>2734860.0</v>
      </c>
      <c r="M1701" s="514">
        <v>4.0E-4</v>
      </c>
      <c r="N1701" s="6">
        <v>15.0</v>
      </c>
    </row>
    <row r="1702">
      <c r="A1702" s="512" t="s">
        <v>2040</v>
      </c>
      <c r="B1702" s="512" t="s">
        <v>163</v>
      </c>
      <c r="C1702" s="512" t="s">
        <v>1885</v>
      </c>
      <c r="D1702" s="512" t="s">
        <v>2036</v>
      </c>
      <c r="E1702" s="513" t="s">
        <v>379</v>
      </c>
      <c r="F1702" s="514">
        <v>39753.0</v>
      </c>
      <c r="G1702" s="514">
        <v>1.0</v>
      </c>
      <c r="H1702" s="514">
        <v>0.0</v>
      </c>
      <c r="I1702" s="514">
        <v>0.0</v>
      </c>
      <c r="J1702" s="514">
        <v>0.0</v>
      </c>
      <c r="K1702" s="514">
        <v>15.0</v>
      </c>
      <c r="L1702" s="514">
        <v>2734860.0</v>
      </c>
      <c r="M1702" s="514">
        <v>4.0E-4</v>
      </c>
      <c r="N1702" s="6">
        <v>15.0</v>
      </c>
    </row>
    <row r="1703">
      <c r="A1703" s="512" t="s">
        <v>2040</v>
      </c>
      <c r="B1703" s="512" t="s">
        <v>163</v>
      </c>
      <c r="C1703" s="512" t="s">
        <v>1885</v>
      </c>
      <c r="D1703" s="512" t="s">
        <v>2036</v>
      </c>
      <c r="E1703" s="513" t="s">
        <v>382</v>
      </c>
      <c r="F1703" s="514">
        <v>39753.0</v>
      </c>
      <c r="G1703" s="514">
        <v>5.0</v>
      </c>
      <c r="H1703" s="514">
        <v>0.01</v>
      </c>
      <c r="I1703" s="514">
        <v>0.0</v>
      </c>
      <c r="J1703" s="514">
        <v>0.0</v>
      </c>
      <c r="K1703" s="514">
        <v>50.0</v>
      </c>
      <c r="L1703" s="514">
        <v>2734860.0</v>
      </c>
      <c r="M1703" s="514">
        <v>0.0013</v>
      </c>
      <c r="N1703" s="6">
        <v>10.0</v>
      </c>
    </row>
    <row r="1704">
      <c r="A1704" s="512" t="s">
        <v>2040</v>
      </c>
      <c r="B1704" s="512" t="s">
        <v>163</v>
      </c>
      <c r="C1704" s="512" t="s">
        <v>75</v>
      </c>
      <c r="D1704" s="512" t="s">
        <v>2036</v>
      </c>
      <c r="E1704" s="513" t="s">
        <v>379</v>
      </c>
      <c r="F1704" s="514">
        <v>46484.0</v>
      </c>
      <c r="G1704" s="514">
        <v>45937.0</v>
      </c>
      <c r="H1704" s="514">
        <v>98.82</v>
      </c>
      <c r="I1704" s="514">
        <v>45.13</v>
      </c>
      <c r="J1704" s="514">
        <v>40.62</v>
      </c>
      <c r="K1704" s="514">
        <v>2.682235E7</v>
      </c>
      <c r="L1704" s="514">
        <v>5.9434603E7</v>
      </c>
      <c r="M1704" s="514">
        <v>577.0233</v>
      </c>
      <c r="N1704" s="6">
        <v>583.8942</v>
      </c>
    </row>
    <row r="1705">
      <c r="A1705" s="512" t="s">
        <v>2040</v>
      </c>
      <c r="B1705" s="512" t="s">
        <v>163</v>
      </c>
      <c r="C1705" s="512" t="s">
        <v>75</v>
      </c>
      <c r="D1705" s="512" t="s">
        <v>2036</v>
      </c>
      <c r="E1705" s="513" t="s">
        <v>49</v>
      </c>
      <c r="F1705" s="514">
        <v>46484.0</v>
      </c>
      <c r="G1705" s="514">
        <v>33788.0</v>
      </c>
      <c r="H1705" s="514">
        <v>72.69</v>
      </c>
      <c r="I1705" s="514">
        <v>11.25</v>
      </c>
      <c r="J1705" s="514">
        <v>12.36</v>
      </c>
      <c r="K1705" s="514">
        <v>6688660.0</v>
      </c>
      <c r="L1705" s="514">
        <v>5.9434603E7</v>
      </c>
      <c r="M1705" s="514">
        <v>143.8917</v>
      </c>
      <c r="N1705" s="6">
        <v>197.9596</v>
      </c>
    </row>
    <row r="1706">
      <c r="A1706" s="512" t="s">
        <v>2040</v>
      </c>
      <c r="B1706" s="512" t="s">
        <v>163</v>
      </c>
      <c r="C1706" s="512" t="s">
        <v>75</v>
      </c>
      <c r="D1706" s="512" t="s">
        <v>2036</v>
      </c>
      <c r="E1706" s="513" t="s">
        <v>372</v>
      </c>
      <c r="F1706" s="514">
        <v>46484.0</v>
      </c>
      <c r="G1706" s="514">
        <v>36451.0</v>
      </c>
      <c r="H1706" s="514">
        <v>78.42</v>
      </c>
      <c r="I1706" s="514">
        <v>9.44</v>
      </c>
      <c r="J1706" s="514">
        <v>10.48</v>
      </c>
      <c r="K1706" s="514">
        <v>5612220.0</v>
      </c>
      <c r="L1706" s="514">
        <v>5.9434603E7</v>
      </c>
      <c r="M1706" s="514">
        <v>120.7344</v>
      </c>
      <c r="N1706" s="6">
        <v>153.9661</v>
      </c>
    </row>
    <row r="1707">
      <c r="A1707" s="512" t="s">
        <v>2040</v>
      </c>
      <c r="B1707" s="512" t="s">
        <v>163</v>
      </c>
      <c r="C1707" s="512" t="s">
        <v>75</v>
      </c>
      <c r="D1707" s="512" t="s">
        <v>2036</v>
      </c>
      <c r="E1707" s="513" t="s">
        <v>373</v>
      </c>
      <c r="F1707" s="514">
        <v>46484.0</v>
      </c>
      <c r="G1707" s="514">
        <v>32420.0</v>
      </c>
      <c r="H1707" s="514">
        <v>69.74</v>
      </c>
      <c r="I1707" s="514">
        <v>7.21</v>
      </c>
      <c r="J1707" s="514">
        <v>6.53</v>
      </c>
      <c r="K1707" s="514">
        <v>4286595.0</v>
      </c>
      <c r="L1707" s="514">
        <v>5.9434603E7</v>
      </c>
      <c r="M1707" s="514">
        <v>92.2166</v>
      </c>
      <c r="N1707" s="6">
        <v>132.2207</v>
      </c>
    </row>
    <row r="1708">
      <c r="A1708" s="512" t="s">
        <v>2040</v>
      </c>
      <c r="B1708" s="512" t="s">
        <v>163</v>
      </c>
      <c r="C1708" s="512" t="s">
        <v>75</v>
      </c>
      <c r="D1708" s="512" t="s">
        <v>2036</v>
      </c>
      <c r="E1708" s="513" t="s">
        <v>44</v>
      </c>
      <c r="F1708" s="514">
        <v>46484.0</v>
      </c>
      <c r="G1708" s="514">
        <v>27924.0</v>
      </c>
      <c r="H1708" s="514">
        <v>60.07</v>
      </c>
      <c r="I1708" s="514">
        <v>6.24</v>
      </c>
      <c r="J1708" s="514">
        <v>7.36</v>
      </c>
      <c r="K1708" s="514">
        <v>3708120.0</v>
      </c>
      <c r="L1708" s="514">
        <v>5.9434603E7</v>
      </c>
      <c r="M1708" s="514">
        <v>79.772</v>
      </c>
      <c r="N1708" s="6">
        <v>132.7933</v>
      </c>
    </row>
    <row r="1709">
      <c r="A1709" s="512" t="s">
        <v>2040</v>
      </c>
      <c r="B1709" s="512" t="s">
        <v>163</v>
      </c>
      <c r="C1709" s="512" t="s">
        <v>75</v>
      </c>
      <c r="D1709" s="512" t="s">
        <v>2036</v>
      </c>
      <c r="E1709" s="513" t="s">
        <v>380</v>
      </c>
      <c r="F1709" s="514">
        <v>46484.0</v>
      </c>
      <c r="G1709" s="514">
        <v>27720.0</v>
      </c>
      <c r="H1709" s="514">
        <v>59.63</v>
      </c>
      <c r="I1709" s="514">
        <v>5.77</v>
      </c>
      <c r="J1709" s="514">
        <v>8.53</v>
      </c>
      <c r="K1709" s="514">
        <v>3431805.0</v>
      </c>
      <c r="L1709" s="514">
        <v>5.9434603E7</v>
      </c>
      <c r="M1709" s="514">
        <v>73.8277</v>
      </c>
      <c r="N1709" s="6">
        <v>123.8025</v>
      </c>
    </row>
    <row r="1710">
      <c r="A1710" s="512" t="s">
        <v>2040</v>
      </c>
      <c r="B1710" s="512" t="s">
        <v>163</v>
      </c>
      <c r="C1710" s="512" t="s">
        <v>75</v>
      </c>
      <c r="D1710" s="512" t="s">
        <v>2036</v>
      </c>
      <c r="E1710" s="513" t="s">
        <v>375</v>
      </c>
      <c r="F1710" s="514">
        <v>46484.0</v>
      </c>
      <c r="G1710" s="514">
        <v>19207.0</v>
      </c>
      <c r="H1710" s="514">
        <v>41.32</v>
      </c>
      <c r="I1710" s="514">
        <v>3.5</v>
      </c>
      <c r="J1710" s="514">
        <v>3.34</v>
      </c>
      <c r="K1710" s="514">
        <v>2082020.0</v>
      </c>
      <c r="L1710" s="514">
        <v>5.9434603E7</v>
      </c>
      <c r="M1710" s="514">
        <v>44.79</v>
      </c>
      <c r="N1710" s="6">
        <v>108.399</v>
      </c>
    </row>
    <row r="1711">
      <c r="A1711" s="512" t="s">
        <v>2040</v>
      </c>
      <c r="B1711" s="512" t="s">
        <v>163</v>
      </c>
      <c r="C1711" s="512" t="s">
        <v>75</v>
      </c>
      <c r="D1711" s="512" t="s">
        <v>2036</v>
      </c>
      <c r="E1711" s="513" t="s">
        <v>374</v>
      </c>
      <c r="F1711" s="514">
        <v>46484.0</v>
      </c>
      <c r="G1711" s="514">
        <v>20274.0</v>
      </c>
      <c r="H1711" s="514">
        <v>43.62</v>
      </c>
      <c r="I1711" s="514">
        <v>3.48</v>
      </c>
      <c r="J1711" s="514">
        <v>3.2</v>
      </c>
      <c r="K1711" s="514">
        <v>2071180.0</v>
      </c>
      <c r="L1711" s="514">
        <v>5.9434603E7</v>
      </c>
      <c r="M1711" s="514">
        <v>44.5568</v>
      </c>
      <c r="N1711" s="6">
        <v>102.1594</v>
      </c>
    </row>
    <row r="1712">
      <c r="A1712" s="512" t="s">
        <v>2040</v>
      </c>
      <c r="B1712" s="512" t="s">
        <v>163</v>
      </c>
      <c r="C1712" s="512" t="s">
        <v>75</v>
      </c>
      <c r="D1712" s="512" t="s">
        <v>2036</v>
      </c>
      <c r="E1712" s="513" t="s">
        <v>35</v>
      </c>
      <c r="F1712" s="514">
        <v>46484.0</v>
      </c>
      <c r="G1712" s="514">
        <v>13474.0</v>
      </c>
      <c r="H1712" s="514">
        <v>28.99</v>
      </c>
      <c r="I1712" s="514">
        <v>2.9</v>
      </c>
      <c r="J1712" s="514">
        <v>2.43</v>
      </c>
      <c r="K1712" s="514">
        <v>1721790.0</v>
      </c>
      <c r="L1712" s="514">
        <v>5.9434603E7</v>
      </c>
      <c r="M1712" s="514">
        <v>37.0405</v>
      </c>
      <c r="N1712" s="6">
        <v>127.7861</v>
      </c>
    </row>
    <row r="1713">
      <c r="A1713" s="512" t="s">
        <v>2040</v>
      </c>
      <c r="B1713" s="512" t="s">
        <v>163</v>
      </c>
      <c r="C1713" s="512" t="s">
        <v>75</v>
      </c>
      <c r="D1713" s="512" t="s">
        <v>2036</v>
      </c>
      <c r="E1713" s="513" t="s">
        <v>189</v>
      </c>
      <c r="F1713" s="514">
        <v>46484.0</v>
      </c>
      <c r="G1713" s="514">
        <v>9871.0</v>
      </c>
      <c r="H1713" s="514">
        <v>21.24</v>
      </c>
      <c r="I1713" s="514">
        <v>1.32</v>
      </c>
      <c r="J1713" s="514">
        <v>1.19</v>
      </c>
      <c r="K1713" s="514">
        <v>785370.0</v>
      </c>
      <c r="L1713" s="514">
        <v>5.9434603E7</v>
      </c>
      <c r="M1713" s="514">
        <v>16.8955</v>
      </c>
      <c r="N1713" s="6">
        <v>79.5634</v>
      </c>
    </row>
    <row r="1714">
      <c r="A1714" s="512" t="s">
        <v>2040</v>
      </c>
      <c r="B1714" s="512" t="s">
        <v>163</v>
      </c>
      <c r="C1714" s="512" t="s">
        <v>75</v>
      </c>
      <c r="D1714" s="512" t="s">
        <v>2036</v>
      </c>
      <c r="E1714" s="513" t="s">
        <v>32</v>
      </c>
      <c r="F1714" s="514">
        <v>46484.0</v>
      </c>
      <c r="G1714" s="514">
        <v>13472.0</v>
      </c>
      <c r="H1714" s="514">
        <v>28.98</v>
      </c>
      <c r="I1714" s="514">
        <v>0.97</v>
      </c>
      <c r="J1714" s="514">
        <v>1.14</v>
      </c>
      <c r="K1714" s="514">
        <v>579000.0</v>
      </c>
      <c r="L1714" s="514">
        <v>5.9434603E7</v>
      </c>
      <c r="M1714" s="514">
        <v>12.4559</v>
      </c>
      <c r="N1714" s="6">
        <v>42.978</v>
      </c>
    </row>
    <row r="1715">
      <c r="A1715" s="512" t="s">
        <v>2040</v>
      </c>
      <c r="B1715" s="512" t="s">
        <v>163</v>
      </c>
      <c r="C1715" s="512" t="s">
        <v>75</v>
      </c>
      <c r="D1715" s="512" t="s">
        <v>2036</v>
      </c>
      <c r="E1715" s="513" t="s">
        <v>43</v>
      </c>
      <c r="F1715" s="514">
        <v>46484.0</v>
      </c>
      <c r="G1715" s="514">
        <v>13416.0</v>
      </c>
      <c r="H1715" s="514">
        <v>28.86</v>
      </c>
      <c r="I1715" s="514">
        <v>0.89</v>
      </c>
      <c r="J1715" s="514">
        <v>1.08</v>
      </c>
      <c r="K1715" s="514">
        <v>528520.0</v>
      </c>
      <c r="L1715" s="514">
        <v>5.9434603E7</v>
      </c>
      <c r="M1715" s="514">
        <v>11.3699</v>
      </c>
      <c r="N1715" s="6">
        <v>39.3948</v>
      </c>
    </row>
    <row r="1716">
      <c r="A1716" s="512" t="s">
        <v>2040</v>
      </c>
      <c r="B1716" s="512" t="s">
        <v>163</v>
      </c>
      <c r="C1716" s="512" t="s">
        <v>75</v>
      </c>
      <c r="D1716" s="512" t="s">
        <v>2036</v>
      </c>
      <c r="E1716" s="513" t="s">
        <v>367</v>
      </c>
      <c r="F1716" s="514">
        <v>46484.0</v>
      </c>
      <c r="G1716" s="514">
        <v>10371.0</v>
      </c>
      <c r="H1716" s="514">
        <v>22.31</v>
      </c>
      <c r="I1716" s="514">
        <v>0.77</v>
      </c>
      <c r="J1716" s="514">
        <v>0.63</v>
      </c>
      <c r="K1716" s="514">
        <v>456040.0</v>
      </c>
      <c r="L1716" s="514">
        <v>5.9434603E7</v>
      </c>
      <c r="M1716" s="514">
        <v>9.8107</v>
      </c>
      <c r="N1716" s="6">
        <v>43.9726</v>
      </c>
    </row>
    <row r="1717">
      <c r="A1717" s="512" t="s">
        <v>2040</v>
      </c>
      <c r="B1717" s="512" t="s">
        <v>163</v>
      </c>
      <c r="C1717" s="512" t="s">
        <v>75</v>
      </c>
      <c r="D1717" s="512" t="s">
        <v>2036</v>
      </c>
      <c r="E1717" s="513" t="s">
        <v>377</v>
      </c>
      <c r="F1717" s="514">
        <v>46484.0</v>
      </c>
      <c r="G1717" s="514">
        <v>10536.0</v>
      </c>
      <c r="H1717" s="514">
        <v>22.67</v>
      </c>
      <c r="I1717" s="514">
        <v>0.7</v>
      </c>
      <c r="J1717" s="514">
        <v>0.73</v>
      </c>
      <c r="K1717" s="514">
        <v>415803.0</v>
      </c>
      <c r="L1717" s="514">
        <v>5.9434603E7</v>
      </c>
      <c r="M1717" s="514">
        <v>8.9451</v>
      </c>
      <c r="N1717" s="6">
        <v>39.465</v>
      </c>
    </row>
    <row r="1718">
      <c r="A1718" s="512" t="s">
        <v>2040</v>
      </c>
      <c r="B1718" s="512" t="s">
        <v>163</v>
      </c>
      <c r="C1718" s="512" t="s">
        <v>75</v>
      </c>
      <c r="D1718" s="512" t="s">
        <v>2036</v>
      </c>
      <c r="E1718" s="513" t="s">
        <v>134</v>
      </c>
      <c r="F1718" s="514">
        <v>46484.0</v>
      </c>
      <c r="G1718" s="514">
        <v>4888.0</v>
      </c>
      <c r="H1718" s="514">
        <v>10.52</v>
      </c>
      <c r="I1718" s="514">
        <v>0.34</v>
      </c>
      <c r="J1718" s="514">
        <v>0.27</v>
      </c>
      <c r="K1718" s="514">
        <v>204470.0</v>
      </c>
      <c r="L1718" s="514">
        <v>5.9434603E7</v>
      </c>
      <c r="M1718" s="514">
        <v>4.3987</v>
      </c>
      <c r="N1718" s="6">
        <v>41.831</v>
      </c>
    </row>
    <row r="1719">
      <c r="A1719" s="512" t="s">
        <v>2040</v>
      </c>
      <c r="B1719" s="512" t="s">
        <v>163</v>
      </c>
      <c r="C1719" s="512" t="s">
        <v>75</v>
      </c>
      <c r="D1719" s="512" t="s">
        <v>2036</v>
      </c>
      <c r="E1719" s="513" t="s">
        <v>50</v>
      </c>
      <c r="F1719" s="514">
        <v>46484.0</v>
      </c>
      <c r="G1719" s="514">
        <v>786.0</v>
      </c>
      <c r="H1719" s="514">
        <v>1.69</v>
      </c>
      <c r="I1719" s="514">
        <v>0.07</v>
      </c>
      <c r="J1719" s="514">
        <v>0.11</v>
      </c>
      <c r="K1719" s="514">
        <v>40525.0</v>
      </c>
      <c r="L1719" s="514">
        <v>5.9434603E7</v>
      </c>
      <c r="M1719" s="514">
        <v>0.8718</v>
      </c>
      <c r="N1719" s="6">
        <v>51.5585</v>
      </c>
    </row>
    <row r="1720">
      <c r="A1720" s="512" t="s">
        <v>2040</v>
      </c>
      <c r="B1720" s="512" t="s">
        <v>163</v>
      </c>
      <c r="C1720" s="512" t="s">
        <v>75</v>
      </c>
      <c r="D1720" s="512" t="s">
        <v>2036</v>
      </c>
      <c r="E1720" s="513" t="s">
        <v>382</v>
      </c>
      <c r="F1720" s="514">
        <v>46484.0</v>
      </c>
      <c r="G1720" s="514">
        <v>2.0</v>
      </c>
      <c r="H1720" s="514">
        <v>0.0</v>
      </c>
      <c r="I1720" s="514">
        <v>0.0</v>
      </c>
      <c r="J1720" s="514">
        <v>0.0</v>
      </c>
      <c r="K1720" s="514">
        <v>30.0</v>
      </c>
      <c r="L1720" s="514">
        <v>5.9434603E7</v>
      </c>
      <c r="M1720" s="514">
        <v>6.0E-4</v>
      </c>
      <c r="N1720" s="6">
        <v>15.0</v>
      </c>
    </row>
    <row r="1721">
      <c r="A1721" s="512" t="s">
        <v>2040</v>
      </c>
      <c r="B1721" s="512" t="s">
        <v>163</v>
      </c>
      <c r="C1721" s="512" t="s">
        <v>75</v>
      </c>
      <c r="D1721" s="512" t="s">
        <v>2036</v>
      </c>
      <c r="E1721" s="513" t="s">
        <v>42</v>
      </c>
      <c r="F1721" s="514">
        <v>46484.0</v>
      </c>
      <c r="G1721" s="514">
        <v>1.0</v>
      </c>
      <c r="H1721" s="514">
        <v>0.0</v>
      </c>
      <c r="I1721" s="514">
        <v>0.0</v>
      </c>
      <c r="J1721" s="514">
        <v>0.0</v>
      </c>
      <c r="K1721" s="514">
        <v>40.0</v>
      </c>
      <c r="L1721" s="514">
        <v>5.9434603E7</v>
      </c>
      <c r="M1721" s="514">
        <v>9.0E-4</v>
      </c>
      <c r="N1721" s="6">
        <v>40.0</v>
      </c>
    </row>
    <row r="1722">
      <c r="A1722" s="512" t="s">
        <v>2040</v>
      </c>
      <c r="B1722" s="512" t="s">
        <v>163</v>
      </c>
      <c r="C1722" s="512" t="s">
        <v>75</v>
      </c>
      <c r="D1722" s="512" t="s">
        <v>2036</v>
      </c>
      <c r="E1722" s="513" t="s">
        <v>40</v>
      </c>
      <c r="F1722" s="514">
        <v>46484.0</v>
      </c>
      <c r="G1722" s="514">
        <v>1.0</v>
      </c>
      <c r="H1722" s="514">
        <v>0.0</v>
      </c>
      <c r="I1722" s="514">
        <v>0.0</v>
      </c>
      <c r="J1722" s="514">
        <v>0.0</v>
      </c>
      <c r="K1722" s="514">
        <v>65.0</v>
      </c>
      <c r="L1722" s="514">
        <v>5.9434603E7</v>
      </c>
      <c r="M1722" s="514">
        <v>0.0014</v>
      </c>
      <c r="N1722" s="6">
        <v>65.0</v>
      </c>
    </row>
    <row r="1723">
      <c r="A1723" s="512" t="s">
        <v>2040</v>
      </c>
      <c r="B1723" s="512" t="s">
        <v>1867</v>
      </c>
      <c r="C1723" s="512" t="s">
        <v>71</v>
      </c>
      <c r="D1723" s="512" t="s">
        <v>574</v>
      </c>
      <c r="E1723" s="513" t="s">
        <v>379</v>
      </c>
      <c r="F1723" s="514">
        <v>24642.0</v>
      </c>
      <c r="G1723" s="514">
        <v>22181.0</v>
      </c>
      <c r="H1723" s="514">
        <v>90.01</v>
      </c>
      <c r="I1723" s="514">
        <v>42.19</v>
      </c>
      <c r="J1723" s="514">
        <v>39.22</v>
      </c>
      <c r="K1723" s="514">
        <v>127896.0</v>
      </c>
      <c r="L1723" s="514">
        <v>303169.0</v>
      </c>
      <c r="M1723" s="514">
        <v>5.1902</v>
      </c>
      <c r="N1723" s="6">
        <v>5.766</v>
      </c>
    </row>
    <row r="1724">
      <c r="A1724" s="512" t="s">
        <v>2040</v>
      </c>
      <c r="B1724" s="512" t="s">
        <v>1867</v>
      </c>
      <c r="C1724" s="512" t="s">
        <v>71</v>
      </c>
      <c r="D1724" s="512" t="s">
        <v>574</v>
      </c>
      <c r="E1724" s="513" t="s">
        <v>377</v>
      </c>
      <c r="F1724" s="514">
        <v>24642.0</v>
      </c>
      <c r="G1724" s="514">
        <v>18453.0</v>
      </c>
      <c r="H1724" s="514">
        <v>74.88</v>
      </c>
      <c r="I1724" s="514">
        <v>14.61</v>
      </c>
      <c r="J1724" s="514">
        <v>18.2</v>
      </c>
      <c r="K1724" s="514">
        <v>44285.0</v>
      </c>
      <c r="L1724" s="514">
        <v>303169.0</v>
      </c>
      <c r="M1724" s="514">
        <v>1.7971</v>
      </c>
      <c r="N1724" s="6">
        <v>2.3999</v>
      </c>
    </row>
    <row r="1725">
      <c r="A1725" s="512" t="s">
        <v>2040</v>
      </c>
      <c r="B1725" s="512" t="s">
        <v>1867</v>
      </c>
      <c r="C1725" s="512" t="s">
        <v>71</v>
      </c>
      <c r="D1725" s="512" t="s">
        <v>574</v>
      </c>
      <c r="E1725" s="513" t="s">
        <v>380</v>
      </c>
      <c r="F1725" s="514">
        <v>24642.0</v>
      </c>
      <c r="G1725" s="514">
        <v>13017.0</v>
      </c>
      <c r="H1725" s="514">
        <v>52.82</v>
      </c>
      <c r="I1725" s="514">
        <v>14.36</v>
      </c>
      <c r="J1725" s="514">
        <v>13.12</v>
      </c>
      <c r="K1725" s="514">
        <v>43533.0</v>
      </c>
      <c r="L1725" s="514">
        <v>303169.0</v>
      </c>
      <c r="M1725" s="514">
        <v>1.7666</v>
      </c>
      <c r="N1725" s="6">
        <v>3.3443</v>
      </c>
    </row>
    <row r="1726">
      <c r="A1726" s="512" t="s">
        <v>2040</v>
      </c>
      <c r="B1726" s="512" t="s">
        <v>1867</v>
      </c>
      <c r="C1726" s="512" t="s">
        <v>71</v>
      </c>
      <c r="D1726" s="512" t="s">
        <v>574</v>
      </c>
      <c r="E1726" s="513" t="s">
        <v>49</v>
      </c>
      <c r="F1726" s="514">
        <v>24642.0</v>
      </c>
      <c r="G1726" s="514">
        <v>12801.0</v>
      </c>
      <c r="H1726" s="514">
        <v>51.95</v>
      </c>
      <c r="I1726" s="514">
        <v>8.9</v>
      </c>
      <c r="J1726" s="514">
        <v>9.41</v>
      </c>
      <c r="K1726" s="514">
        <v>26971.0</v>
      </c>
      <c r="L1726" s="514">
        <v>303169.0</v>
      </c>
      <c r="M1726" s="514">
        <v>1.0945</v>
      </c>
      <c r="N1726" s="6">
        <v>2.1069</v>
      </c>
    </row>
    <row r="1727">
      <c r="A1727" s="512" t="s">
        <v>2040</v>
      </c>
      <c r="B1727" s="512" t="s">
        <v>1867</v>
      </c>
      <c r="C1727" s="512" t="s">
        <v>71</v>
      </c>
      <c r="D1727" s="512" t="s">
        <v>574</v>
      </c>
      <c r="E1727" s="513" t="s">
        <v>44</v>
      </c>
      <c r="F1727" s="514">
        <v>24642.0</v>
      </c>
      <c r="G1727" s="514">
        <v>12633.0</v>
      </c>
      <c r="H1727" s="514">
        <v>51.27</v>
      </c>
      <c r="I1727" s="514">
        <v>6.32</v>
      </c>
      <c r="J1727" s="514">
        <v>6.65</v>
      </c>
      <c r="K1727" s="514">
        <v>19151.0</v>
      </c>
      <c r="L1727" s="514">
        <v>303169.0</v>
      </c>
      <c r="M1727" s="514">
        <v>0.7772</v>
      </c>
      <c r="N1727" s="6">
        <v>1.516</v>
      </c>
    </row>
    <row r="1728">
      <c r="A1728" s="512" t="s">
        <v>2040</v>
      </c>
      <c r="B1728" s="512" t="s">
        <v>1867</v>
      </c>
      <c r="C1728" s="512" t="s">
        <v>71</v>
      </c>
      <c r="D1728" s="512" t="s">
        <v>574</v>
      </c>
      <c r="E1728" s="513" t="s">
        <v>372</v>
      </c>
      <c r="F1728" s="514">
        <v>24642.0</v>
      </c>
      <c r="G1728" s="514">
        <v>9256.0</v>
      </c>
      <c r="H1728" s="514">
        <v>37.56</v>
      </c>
      <c r="I1728" s="514">
        <v>4.2</v>
      </c>
      <c r="J1728" s="514">
        <v>4.67</v>
      </c>
      <c r="K1728" s="514">
        <v>12724.0</v>
      </c>
      <c r="L1728" s="514">
        <v>303169.0</v>
      </c>
      <c r="M1728" s="514">
        <v>0.5164</v>
      </c>
      <c r="N1728" s="6">
        <v>1.3747</v>
      </c>
    </row>
    <row r="1729">
      <c r="A1729" s="512" t="s">
        <v>2040</v>
      </c>
      <c r="B1729" s="512" t="s">
        <v>1867</v>
      </c>
      <c r="C1729" s="512" t="s">
        <v>71</v>
      </c>
      <c r="D1729" s="512" t="s">
        <v>574</v>
      </c>
      <c r="E1729" s="513" t="s">
        <v>42</v>
      </c>
      <c r="F1729" s="514">
        <v>24642.0</v>
      </c>
      <c r="G1729" s="514">
        <v>7104.0</v>
      </c>
      <c r="H1729" s="514">
        <v>28.83</v>
      </c>
      <c r="I1729" s="514">
        <v>3.44</v>
      </c>
      <c r="J1729" s="514">
        <v>4.1</v>
      </c>
      <c r="K1729" s="514">
        <v>10423.0</v>
      </c>
      <c r="L1729" s="514">
        <v>303169.0</v>
      </c>
      <c r="M1729" s="514">
        <v>0.423</v>
      </c>
      <c r="N1729" s="6">
        <v>1.4672</v>
      </c>
    </row>
    <row r="1730">
      <c r="A1730" s="512" t="s">
        <v>2040</v>
      </c>
      <c r="B1730" s="512" t="s">
        <v>1867</v>
      </c>
      <c r="C1730" s="512" t="s">
        <v>71</v>
      </c>
      <c r="D1730" s="512" t="s">
        <v>574</v>
      </c>
      <c r="E1730" s="513" t="s">
        <v>134</v>
      </c>
      <c r="F1730" s="514">
        <v>24642.0</v>
      </c>
      <c r="G1730" s="514">
        <v>4259.0</v>
      </c>
      <c r="H1730" s="514">
        <v>17.28</v>
      </c>
      <c r="I1730" s="514">
        <v>2.58</v>
      </c>
      <c r="J1730" s="514">
        <v>2.02</v>
      </c>
      <c r="K1730" s="514">
        <v>7813.0</v>
      </c>
      <c r="L1730" s="514">
        <v>303169.0</v>
      </c>
      <c r="M1730" s="514">
        <v>0.3171</v>
      </c>
      <c r="N1730" s="6">
        <v>1.8345</v>
      </c>
    </row>
    <row r="1731">
      <c r="A1731" s="512" t="s">
        <v>2040</v>
      </c>
      <c r="B1731" s="512" t="s">
        <v>1867</v>
      </c>
      <c r="C1731" s="512" t="s">
        <v>71</v>
      </c>
      <c r="D1731" s="512" t="s">
        <v>574</v>
      </c>
      <c r="E1731" s="513" t="s">
        <v>50</v>
      </c>
      <c r="F1731" s="514">
        <v>24642.0</v>
      </c>
      <c r="G1731" s="514">
        <v>3462.0</v>
      </c>
      <c r="H1731" s="514">
        <v>14.05</v>
      </c>
      <c r="I1731" s="514">
        <v>1.46</v>
      </c>
      <c r="J1731" s="514">
        <v>1.38</v>
      </c>
      <c r="K1731" s="514">
        <v>4435.0</v>
      </c>
      <c r="L1731" s="514">
        <v>303169.0</v>
      </c>
      <c r="M1731" s="514">
        <v>0.18</v>
      </c>
      <c r="N1731" s="6">
        <v>1.2811</v>
      </c>
    </row>
    <row r="1732">
      <c r="A1732" s="512" t="s">
        <v>2040</v>
      </c>
      <c r="B1732" s="512" t="s">
        <v>1867</v>
      </c>
      <c r="C1732" s="512" t="s">
        <v>71</v>
      </c>
      <c r="D1732" s="512" t="s">
        <v>574</v>
      </c>
      <c r="E1732" s="513" t="s">
        <v>375</v>
      </c>
      <c r="F1732" s="514">
        <v>24642.0</v>
      </c>
      <c r="G1732" s="514">
        <v>2361.0</v>
      </c>
      <c r="H1732" s="514">
        <v>9.58</v>
      </c>
      <c r="I1732" s="514">
        <v>0.88</v>
      </c>
      <c r="J1732" s="514">
        <v>0.46</v>
      </c>
      <c r="K1732" s="514">
        <v>2678.0</v>
      </c>
      <c r="L1732" s="514">
        <v>303169.0</v>
      </c>
      <c r="M1732" s="514">
        <v>0.1087</v>
      </c>
      <c r="N1732" s="6">
        <v>1.1343</v>
      </c>
    </row>
    <row r="1733">
      <c r="A1733" s="512" t="s">
        <v>2040</v>
      </c>
      <c r="B1733" s="512" t="s">
        <v>1867</v>
      </c>
      <c r="C1733" s="512" t="s">
        <v>71</v>
      </c>
      <c r="D1733" s="512" t="s">
        <v>574</v>
      </c>
      <c r="E1733" s="513" t="s">
        <v>35</v>
      </c>
      <c r="F1733" s="514">
        <v>24642.0</v>
      </c>
      <c r="G1733" s="514">
        <v>1867.0</v>
      </c>
      <c r="H1733" s="514">
        <v>7.58</v>
      </c>
      <c r="I1733" s="514">
        <v>0.67</v>
      </c>
      <c r="J1733" s="514">
        <v>0.44</v>
      </c>
      <c r="K1733" s="514">
        <v>2027.0</v>
      </c>
      <c r="L1733" s="514">
        <v>303169.0</v>
      </c>
      <c r="M1733" s="514">
        <v>0.0823</v>
      </c>
      <c r="N1733" s="6">
        <v>1.0857</v>
      </c>
    </row>
    <row r="1734">
      <c r="A1734" s="512" t="s">
        <v>2040</v>
      </c>
      <c r="B1734" s="512" t="s">
        <v>1867</v>
      </c>
      <c r="C1734" s="512" t="s">
        <v>71</v>
      </c>
      <c r="D1734" s="512" t="s">
        <v>574</v>
      </c>
      <c r="E1734" s="513" t="s">
        <v>43</v>
      </c>
      <c r="F1734" s="514">
        <v>24642.0</v>
      </c>
      <c r="G1734" s="514">
        <v>583.0</v>
      </c>
      <c r="H1734" s="514">
        <v>2.37</v>
      </c>
      <c r="I1734" s="514">
        <v>0.2</v>
      </c>
      <c r="J1734" s="514">
        <v>0.25</v>
      </c>
      <c r="K1734" s="514">
        <v>608.0</v>
      </c>
      <c r="L1734" s="514">
        <v>303169.0</v>
      </c>
      <c r="M1734" s="514">
        <v>0.0247</v>
      </c>
      <c r="N1734" s="6">
        <v>1.0429</v>
      </c>
    </row>
    <row r="1735">
      <c r="A1735" s="512" t="s">
        <v>2040</v>
      </c>
      <c r="B1735" s="512" t="s">
        <v>1867</v>
      </c>
      <c r="C1735" s="512" t="s">
        <v>71</v>
      </c>
      <c r="D1735" s="512" t="s">
        <v>574</v>
      </c>
      <c r="E1735" s="513" t="s">
        <v>189</v>
      </c>
      <c r="F1735" s="514">
        <v>24642.0</v>
      </c>
      <c r="G1735" s="514">
        <v>598.0</v>
      </c>
      <c r="H1735" s="514">
        <v>2.43</v>
      </c>
      <c r="I1735" s="514">
        <v>0.2</v>
      </c>
      <c r="J1735" s="514">
        <v>0.09</v>
      </c>
      <c r="K1735" s="514">
        <v>619.0</v>
      </c>
      <c r="L1735" s="514">
        <v>303169.0</v>
      </c>
      <c r="M1735" s="514">
        <v>0.0251</v>
      </c>
      <c r="N1735" s="6">
        <v>1.0351</v>
      </c>
    </row>
    <row r="1736">
      <c r="A1736" s="512" t="s">
        <v>2040</v>
      </c>
      <c r="B1736" s="512" t="s">
        <v>1867</v>
      </c>
      <c r="C1736" s="512" t="s">
        <v>71</v>
      </c>
      <c r="D1736" s="512" t="s">
        <v>574</v>
      </c>
      <c r="E1736" s="513" t="s">
        <v>382</v>
      </c>
      <c r="F1736" s="514">
        <v>24642.0</v>
      </c>
      <c r="G1736" s="514">
        <v>1.0</v>
      </c>
      <c r="H1736" s="514">
        <v>0.0</v>
      </c>
      <c r="I1736" s="514">
        <v>0.0</v>
      </c>
      <c r="J1736" s="514">
        <v>0.0</v>
      </c>
      <c r="K1736" s="514">
        <v>2.0</v>
      </c>
      <c r="L1736" s="514">
        <v>303169.0</v>
      </c>
      <c r="M1736" s="514">
        <v>1.0E-4</v>
      </c>
      <c r="N1736" s="6">
        <v>2.0</v>
      </c>
    </row>
    <row r="1737">
      <c r="A1737" s="512" t="s">
        <v>2040</v>
      </c>
      <c r="B1737" s="512" t="s">
        <v>1867</v>
      </c>
      <c r="C1737" s="512" t="s">
        <v>71</v>
      </c>
      <c r="D1737" s="512" t="s">
        <v>574</v>
      </c>
      <c r="E1737" s="513" t="s">
        <v>32</v>
      </c>
      <c r="F1737" s="514">
        <v>24642.0</v>
      </c>
      <c r="G1737" s="514">
        <v>3.0</v>
      </c>
      <c r="H1737" s="514">
        <v>0.01</v>
      </c>
      <c r="I1737" s="514">
        <v>0.0</v>
      </c>
      <c r="J1737" s="514">
        <v>0.0</v>
      </c>
      <c r="K1737" s="514">
        <v>4.0</v>
      </c>
      <c r="L1737" s="514">
        <v>303169.0</v>
      </c>
      <c r="M1737" s="514">
        <v>2.0E-4</v>
      </c>
      <c r="N1737" s="6">
        <v>1.3333</v>
      </c>
    </row>
    <row r="1738">
      <c r="A1738" s="512" t="s">
        <v>2040</v>
      </c>
      <c r="B1738" s="512" t="s">
        <v>1867</v>
      </c>
      <c r="C1738" s="512" t="s">
        <v>70</v>
      </c>
      <c r="D1738" s="512" t="s">
        <v>574</v>
      </c>
      <c r="E1738" s="513" t="s">
        <v>379</v>
      </c>
      <c r="F1738" s="514">
        <v>25059.0</v>
      </c>
      <c r="G1738" s="514">
        <v>24364.0</v>
      </c>
      <c r="H1738" s="514">
        <v>97.23</v>
      </c>
      <c r="I1738" s="514">
        <v>47.97</v>
      </c>
      <c r="J1738" s="514">
        <v>43.54</v>
      </c>
      <c r="K1738" s="514">
        <v>222432.0</v>
      </c>
      <c r="L1738" s="514">
        <v>463649.0</v>
      </c>
      <c r="M1738" s="514">
        <v>8.8763</v>
      </c>
      <c r="N1738" s="6">
        <v>9.1295</v>
      </c>
    </row>
    <row r="1739">
      <c r="A1739" s="512" t="s">
        <v>2040</v>
      </c>
      <c r="B1739" s="512" t="s">
        <v>1867</v>
      </c>
      <c r="C1739" s="512" t="s">
        <v>70</v>
      </c>
      <c r="D1739" s="512" t="s">
        <v>574</v>
      </c>
      <c r="E1739" s="513" t="s">
        <v>380</v>
      </c>
      <c r="F1739" s="514">
        <v>25059.0</v>
      </c>
      <c r="G1739" s="514">
        <v>17857.0</v>
      </c>
      <c r="H1739" s="514">
        <v>71.26</v>
      </c>
      <c r="I1739" s="514">
        <v>15.94</v>
      </c>
      <c r="J1739" s="514">
        <v>18.33</v>
      </c>
      <c r="K1739" s="514">
        <v>73895.0</v>
      </c>
      <c r="L1739" s="514">
        <v>463649.0</v>
      </c>
      <c r="M1739" s="514">
        <v>2.9488</v>
      </c>
      <c r="N1739" s="6">
        <v>4.1382</v>
      </c>
    </row>
    <row r="1740">
      <c r="A1740" s="512" t="s">
        <v>2040</v>
      </c>
      <c r="B1740" s="512" t="s">
        <v>1867</v>
      </c>
      <c r="C1740" s="512" t="s">
        <v>70</v>
      </c>
      <c r="D1740" s="512" t="s">
        <v>574</v>
      </c>
      <c r="E1740" s="513" t="s">
        <v>377</v>
      </c>
      <c r="F1740" s="514">
        <v>25059.0</v>
      </c>
      <c r="G1740" s="514">
        <v>18487.0</v>
      </c>
      <c r="H1740" s="514">
        <v>73.77</v>
      </c>
      <c r="I1740" s="514">
        <v>9.59</v>
      </c>
      <c r="J1740" s="514">
        <v>10.01</v>
      </c>
      <c r="K1740" s="514">
        <v>44448.0</v>
      </c>
      <c r="L1740" s="514">
        <v>463649.0</v>
      </c>
      <c r="M1740" s="514">
        <v>1.7737</v>
      </c>
      <c r="N1740" s="6">
        <v>2.4043</v>
      </c>
    </row>
    <row r="1741">
      <c r="A1741" s="512" t="s">
        <v>2040</v>
      </c>
      <c r="B1741" s="512" t="s">
        <v>1867</v>
      </c>
      <c r="C1741" s="512" t="s">
        <v>70</v>
      </c>
      <c r="D1741" s="512" t="s">
        <v>574</v>
      </c>
      <c r="E1741" s="513" t="s">
        <v>49</v>
      </c>
      <c r="F1741" s="514">
        <v>25059.0</v>
      </c>
      <c r="G1741" s="514">
        <v>12801.0</v>
      </c>
      <c r="H1741" s="514">
        <v>51.08</v>
      </c>
      <c r="I1741" s="514">
        <v>5.82</v>
      </c>
      <c r="J1741" s="514">
        <v>5.52</v>
      </c>
      <c r="K1741" s="514">
        <v>26971.0</v>
      </c>
      <c r="L1741" s="514">
        <v>463649.0</v>
      </c>
      <c r="M1741" s="514">
        <v>1.0763</v>
      </c>
      <c r="N1741" s="6">
        <v>2.1069</v>
      </c>
    </row>
    <row r="1742">
      <c r="A1742" s="512" t="s">
        <v>2040</v>
      </c>
      <c r="B1742" s="512" t="s">
        <v>1867</v>
      </c>
      <c r="C1742" s="512" t="s">
        <v>70</v>
      </c>
      <c r="D1742" s="512" t="s">
        <v>574</v>
      </c>
      <c r="E1742" s="513" t="s">
        <v>374</v>
      </c>
      <c r="F1742" s="514">
        <v>25059.0</v>
      </c>
      <c r="G1742" s="514">
        <v>9143.0</v>
      </c>
      <c r="H1742" s="514">
        <v>36.49</v>
      </c>
      <c r="I1742" s="514">
        <v>4.98</v>
      </c>
      <c r="J1742" s="514">
        <v>5.88</v>
      </c>
      <c r="K1742" s="514">
        <v>23099.0</v>
      </c>
      <c r="L1742" s="514">
        <v>463649.0</v>
      </c>
      <c r="M1742" s="514">
        <v>0.9218</v>
      </c>
      <c r="N1742" s="6">
        <v>2.5264</v>
      </c>
    </row>
    <row r="1743">
      <c r="A1743" s="512" t="s">
        <v>2040</v>
      </c>
      <c r="B1743" s="512" t="s">
        <v>1867</v>
      </c>
      <c r="C1743" s="512" t="s">
        <v>70</v>
      </c>
      <c r="D1743" s="512" t="s">
        <v>574</v>
      </c>
      <c r="E1743" s="513" t="s">
        <v>44</v>
      </c>
      <c r="F1743" s="514">
        <v>25059.0</v>
      </c>
      <c r="G1743" s="514">
        <v>14136.0</v>
      </c>
      <c r="H1743" s="514">
        <v>56.41</v>
      </c>
      <c r="I1743" s="514">
        <v>4.63</v>
      </c>
      <c r="J1743" s="514">
        <v>4.98</v>
      </c>
      <c r="K1743" s="514">
        <v>21471.0</v>
      </c>
      <c r="L1743" s="514">
        <v>463649.0</v>
      </c>
      <c r="M1743" s="514">
        <v>0.8568</v>
      </c>
      <c r="N1743" s="6">
        <v>1.5189</v>
      </c>
    </row>
    <row r="1744">
      <c r="A1744" s="512" t="s">
        <v>2040</v>
      </c>
      <c r="B1744" s="512" t="s">
        <v>1867</v>
      </c>
      <c r="C1744" s="512" t="s">
        <v>70</v>
      </c>
      <c r="D1744" s="512" t="s">
        <v>574</v>
      </c>
      <c r="E1744" s="513" t="s">
        <v>372</v>
      </c>
      <c r="F1744" s="514">
        <v>25059.0</v>
      </c>
      <c r="G1744" s="514">
        <v>9019.0</v>
      </c>
      <c r="H1744" s="514">
        <v>35.99</v>
      </c>
      <c r="I1744" s="514">
        <v>3.32</v>
      </c>
      <c r="J1744" s="514">
        <v>2.78</v>
      </c>
      <c r="K1744" s="514">
        <v>15389.0</v>
      </c>
      <c r="L1744" s="514">
        <v>463649.0</v>
      </c>
      <c r="M1744" s="514">
        <v>0.6141</v>
      </c>
      <c r="N1744" s="6">
        <v>1.7063</v>
      </c>
    </row>
    <row r="1745">
      <c r="A1745" s="512" t="s">
        <v>2040</v>
      </c>
      <c r="B1745" s="512" t="s">
        <v>1867</v>
      </c>
      <c r="C1745" s="512" t="s">
        <v>70</v>
      </c>
      <c r="D1745" s="512" t="s">
        <v>574</v>
      </c>
      <c r="E1745" s="513" t="s">
        <v>375</v>
      </c>
      <c r="F1745" s="514">
        <v>25059.0</v>
      </c>
      <c r="G1745" s="514">
        <v>11122.0</v>
      </c>
      <c r="H1745" s="514">
        <v>44.38</v>
      </c>
      <c r="I1745" s="514">
        <v>3.05</v>
      </c>
      <c r="J1745" s="514">
        <v>3.83</v>
      </c>
      <c r="K1745" s="514">
        <v>14140.0</v>
      </c>
      <c r="L1745" s="514">
        <v>463649.0</v>
      </c>
      <c r="M1745" s="514">
        <v>0.5643</v>
      </c>
      <c r="N1745" s="6">
        <v>1.2714</v>
      </c>
    </row>
    <row r="1746">
      <c r="A1746" s="512" t="s">
        <v>2040</v>
      </c>
      <c r="B1746" s="512" t="s">
        <v>1867</v>
      </c>
      <c r="C1746" s="512" t="s">
        <v>70</v>
      </c>
      <c r="D1746" s="512" t="s">
        <v>574</v>
      </c>
      <c r="E1746" s="513" t="s">
        <v>35</v>
      </c>
      <c r="F1746" s="514">
        <v>25059.0</v>
      </c>
      <c r="G1746" s="514">
        <v>5876.0</v>
      </c>
      <c r="H1746" s="514">
        <v>23.45</v>
      </c>
      <c r="I1746" s="514">
        <v>1.34</v>
      </c>
      <c r="J1746" s="514">
        <v>1.6</v>
      </c>
      <c r="K1746" s="514">
        <v>6226.0</v>
      </c>
      <c r="L1746" s="514">
        <v>463649.0</v>
      </c>
      <c r="M1746" s="514">
        <v>0.2485</v>
      </c>
      <c r="N1746" s="6">
        <v>1.0596</v>
      </c>
    </row>
    <row r="1747">
      <c r="A1747" s="512" t="s">
        <v>2040</v>
      </c>
      <c r="B1747" s="512" t="s">
        <v>1867</v>
      </c>
      <c r="C1747" s="512" t="s">
        <v>70</v>
      </c>
      <c r="D1747" s="512" t="s">
        <v>574</v>
      </c>
      <c r="E1747" s="513" t="s">
        <v>189</v>
      </c>
      <c r="F1747" s="514">
        <v>25059.0</v>
      </c>
      <c r="G1747" s="514">
        <v>5121.0</v>
      </c>
      <c r="H1747" s="514">
        <v>20.44</v>
      </c>
      <c r="I1747" s="514">
        <v>1.12</v>
      </c>
      <c r="J1747" s="514">
        <v>1.48</v>
      </c>
      <c r="K1747" s="514">
        <v>5208.0</v>
      </c>
      <c r="L1747" s="514">
        <v>463649.0</v>
      </c>
      <c r="M1747" s="514">
        <v>0.2078</v>
      </c>
      <c r="N1747" s="6">
        <v>1.017</v>
      </c>
    </row>
    <row r="1748">
      <c r="A1748" s="512" t="s">
        <v>2040</v>
      </c>
      <c r="B1748" s="512" t="s">
        <v>1867</v>
      </c>
      <c r="C1748" s="512" t="s">
        <v>70</v>
      </c>
      <c r="D1748" s="512" t="s">
        <v>574</v>
      </c>
      <c r="E1748" s="513" t="s">
        <v>134</v>
      </c>
      <c r="F1748" s="514">
        <v>25059.0</v>
      </c>
      <c r="G1748" s="514">
        <v>3236.0</v>
      </c>
      <c r="H1748" s="514">
        <v>12.91</v>
      </c>
      <c r="I1748" s="514">
        <v>1.05</v>
      </c>
      <c r="J1748" s="514">
        <v>0.88</v>
      </c>
      <c r="K1748" s="514">
        <v>4878.0</v>
      </c>
      <c r="L1748" s="514">
        <v>463649.0</v>
      </c>
      <c r="M1748" s="514">
        <v>0.1947</v>
      </c>
      <c r="N1748" s="6">
        <v>1.5074</v>
      </c>
    </row>
    <row r="1749">
      <c r="A1749" s="512" t="s">
        <v>2040</v>
      </c>
      <c r="B1749" s="512" t="s">
        <v>1867</v>
      </c>
      <c r="C1749" s="512" t="s">
        <v>70</v>
      </c>
      <c r="D1749" s="512" t="s">
        <v>574</v>
      </c>
      <c r="E1749" s="513" t="s">
        <v>42</v>
      </c>
      <c r="F1749" s="514">
        <v>25059.0</v>
      </c>
      <c r="G1749" s="514">
        <v>2332.0</v>
      </c>
      <c r="H1749" s="514">
        <v>9.31</v>
      </c>
      <c r="I1749" s="514">
        <v>0.59</v>
      </c>
      <c r="J1749" s="514">
        <v>0.62</v>
      </c>
      <c r="K1749" s="514">
        <v>2729.0</v>
      </c>
      <c r="L1749" s="514">
        <v>463649.0</v>
      </c>
      <c r="M1749" s="514">
        <v>0.1089</v>
      </c>
      <c r="N1749" s="6">
        <v>1.1702</v>
      </c>
    </row>
    <row r="1750">
      <c r="A1750" s="512" t="s">
        <v>2040</v>
      </c>
      <c r="B1750" s="512" t="s">
        <v>1867</v>
      </c>
      <c r="C1750" s="512" t="s">
        <v>70</v>
      </c>
      <c r="D1750" s="512" t="s">
        <v>574</v>
      </c>
      <c r="E1750" s="513" t="s">
        <v>50</v>
      </c>
      <c r="F1750" s="514">
        <v>25059.0</v>
      </c>
      <c r="G1750" s="514">
        <v>1892.0</v>
      </c>
      <c r="H1750" s="514">
        <v>7.55</v>
      </c>
      <c r="I1750" s="514">
        <v>0.48</v>
      </c>
      <c r="J1750" s="514">
        <v>0.42</v>
      </c>
      <c r="K1750" s="514">
        <v>2244.0</v>
      </c>
      <c r="L1750" s="514">
        <v>463649.0</v>
      </c>
      <c r="M1750" s="514">
        <v>0.0895</v>
      </c>
      <c r="N1750" s="6">
        <v>1.186</v>
      </c>
    </row>
    <row r="1751">
      <c r="A1751" s="512" t="s">
        <v>2040</v>
      </c>
      <c r="B1751" s="512" t="s">
        <v>1867</v>
      </c>
      <c r="C1751" s="512" t="s">
        <v>70</v>
      </c>
      <c r="D1751" s="512" t="s">
        <v>574</v>
      </c>
      <c r="E1751" s="513" t="s">
        <v>43</v>
      </c>
      <c r="F1751" s="514">
        <v>25059.0</v>
      </c>
      <c r="G1751" s="514">
        <v>485.0</v>
      </c>
      <c r="H1751" s="514">
        <v>1.94</v>
      </c>
      <c r="I1751" s="514">
        <v>0.11</v>
      </c>
      <c r="J1751" s="514">
        <v>0.13</v>
      </c>
      <c r="K1751" s="514">
        <v>502.0</v>
      </c>
      <c r="L1751" s="514">
        <v>463649.0</v>
      </c>
      <c r="M1751" s="514">
        <v>0.02</v>
      </c>
      <c r="N1751" s="6">
        <v>1.0351</v>
      </c>
    </row>
    <row r="1752">
      <c r="A1752" s="512" t="s">
        <v>2040</v>
      </c>
      <c r="B1752" s="512" t="s">
        <v>1867</v>
      </c>
      <c r="C1752" s="512" t="s">
        <v>70</v>
      </c>
      <c r="D1752" s="512" t="s">
        <v>574</v>
      </c>
      <c r="E1752" s="513" t="s">
        <v>32</v>
      </c>
      <c r="F1752" s="514">
        <v>25059.0</v>
      </c>
      <c r="G1752" s="514">
        <v>8.0</v>
      </c>
      <c r="H1752" s="514">
        <v>0.03</v>
      </c>
      <c r="I1752" s="514">
        <v>0.0</v>
      </c>
      <c r="J1752" s="514">
        <v>0.0</v>
      </c>
      <c r="K1752" s="514">
        <v>10.0</v>
      </c>
      <c r="L1752" s="514">
        <v>463649.0</v>
      </c>
      <c r="M1752" s="514">
        <v>4.0E-4</v>
      </c>
      <c r="N1752" s="6">
        <v>1.25</v>
      </c>
    </row>
    <row r="1753">
      <c r="A1753" s="512" t="s">
        <v>2040</v>
      </c>
      <c r="B1753" s="512" t="s">
        <v>1867</v>
      </c>
      <c r="C1753" s="512" t="s">
        <v>70</v>
      </c>
      <c r="D1753" s="512" t="s">
        <v>574</v>
      </c>
      <c r="E1753" s="513" t="s">
        <v>382</v>
      </c>
      <c r="F1753" s="514">
        <v>25059.0</v>
      </c>
      <c r="G1753" s="514">
        <v>3.0</v>
      </c>
      <c r="H1753" s="514">
        <v>0.01</v>
      </c>
      <c r="I1753" s="514">
        <v>0.0</v>
      </c>
      <c r="J1753" s="514">
        <v>0.0</v>
      </c>
      <c r="K1753" s="514">
        <v>6.0</v>
      </c>
      <c r="L1753" s="514">
        <v>463649.0</v>
      </c>
      <c r="M1753" s="514">
        <v>2.0E-4</v>
      </c>
      <c r="N1753" s="6">
        <v>2.0</v>
      </c>
    </row>
    <row r="1754">
      <c r="A1754" s="512" t="s">
        <v>2040</v>
      </c>
      <c r="B1754" s="512" t="s">
        <v>1867</v>
      </c>
      <c r="C1754" s="512" t="s">
        <v>70</v>
      </c>
      <c r="D1754" s="512" t="s">
        <v>574</v>
      </c>
      <c r="E1754" s="513" t="s">
        <v>383</v>
      </c>
      <c r="F1754" s="514">
        <v>25059.0</v>
      </c>
      <c r="G1754" s="514">
        <v>1.0</v>
      </c>
      <c r="H1754" s="514">
        <v>0.0</v>
      </c>
      <c r="I1754" s="514">
        <v>0.0</v>
      </c>
      <c r="J1754" s="514">
        <v>0.0</v>
      </c>
      <c r="K1754" s="514">
        <v>1.0</v>
      </c>
      <c r="L1754" s="514">
        <v>463649.0</v>
      </c>
      <c r="M1754" s="514">
        <v>0.0</v>
      </c>
      <c r="N1754" s="6">
        <v>1.0</v>
      </c>
    </row>
    <row r="1755">
      <c r="A1755" s="512" t="s">
        <v>2040</v>
      </c>
      <c r="B1755" s="512" t="s">
        <v>1867</v>
      </c>
      <c r="C1755" s="512" t="s">
        <v>74</v>
      </c>
      <c r="D1755" s="512" t="s">
        <v>574</v>
      </c>
      <c r="E1755" s="513" t="s">
        <v>379</v>
      </c>
      <c r="F1755" s="514">
        <v>24181.0</v>
      </c>
      <c r="G1755" s="514">
        <v>22208.0</v>
      </c>
      <c r="H1755" s="514">
        <v>91.84</v>
      </c>
      <c r="I1755" s="514">
        <v>38.8</v>
      </c>
      <c r="J1755" s="514">
        <v>43.29</v>
      </c>
      <c r="K1755" s="514">
        <v>95837.0</v>
      </c>
      <c r="L1755" s="514">
        <v>246976.0</v>
      </c>
      <c r="M1755" s="514">
        <v>3.9633</v>
      </c>
      <c r="N1755" s="6">
        <v>4.3154</v>
      </c>
    </row>
    <row r="1756">
      <c r="A1756" s="512" t="s">
        <v>2040</v>
      </c>
      <c r="B1756" s="512" t="s">
        <v>1867</v>
      </c>
      <c r="C1756" s="512" t="s">
        <v>74</v>
      </c>
      <c r="D1756" s="512" t="s">
        <v>574</v>
      </c>
      <c r="E1756" s="513" t="s">
        <v>42</v>
      </c>
      <c r="F1756" s="514">
        <v>24181.0</v>
      </c>
      <c r="G1756" s="514">
        <v>10541.0</v>
      </c>
      <c r="H1756" s="514">
        <v>43.59</v>
      </c>
      <c r="I1756" s="514">
        <v>9.72</v>
      </c>
      <c r="J1756" s="514">
        <v>10.21</v>
      </c>
      <c r="K1756" s="514">
        <v>24011.0</v>
      </c>
      <c r="L1756" s="514">
        <v>246976.0</v>
      </c>
      <c r="M1756" s="514">
        <v>0.993</v>
      </c>
      <c r="N1756" s="6">
        <v>2.2779</v>
      </c>
    </row>
    <row r="1757">
      <c r="A1757" s="512" t="s">
        <v>2040</v>
      </c>
      <c r="B1757" s="512" t="s">
        <v>1867</v>
      </c>
      <c r="C1757" s="512" t="s">
        <v>74</v>
      </c>
      <c r="D1757" s="512" t="s">
        <v>574</v>
      </c>
      <c r="E1757" s="513" t="s">
        <v>377</v>
      </c>
      <c r="F1757" s="514">
        <v>24181.0</v>
      </c>
      <c r="G1757" s="514">
        <v>8456.0</v>
      </c>
      <c r="H1757" s="514">
        <v>34.97</v>
      </c>
      <c r="I1757" s="514">
        <v>7.41</v>
      </c>
      <c r="J1757" s="514">
        <v>5.55</v>
      </c>
      <c r="K1757" s="514">
        <v>18308.0</v>
      </c>
      <c r="L1757" s="514">
        <v>246976.0</v>
      </c>
      <c r="M1757" s="514">
        <v>0.7571</v>
      </c>
      <c r="N1757" s="6">
        <v>2.1651</v>
      </c>
    </row>
    <row r="1758">
      <c r="A1758" s="512" t="s">
        <v>2040</v>
      </c>
      <c r="B1758" s="512" t="s">
        <v>1867</v>
      </c>
      <c r="C1758" s="512" t="s">
        <v>74</v>
      </c>
      <c r="D1758" s="512" t="s">
        <v>574</v>
      </c>
      <c r="E1758" s="513" t="s">
        <v>380</v>
      </c>
      <c r="F1758" s="514">
        <v>24181.0</v>
      </c>
      <c r="G1758" s="514">
        <v>6357.0</v>
      </c>
      <c r="H1758" s="514">
        <v>26.29</v>
      </c>
      <c r="I1758" s="514">
        <v>7.35</v>
      </c>
      <c r="J1758" s="514">
        <v>6.55</v>
      </c>
      <c r="K1758" s="514">
        <v>18160.0</v>
      </c>
      <c r="L1758" s="514">
        <v>246976.0</v>
      </c>
      <c r="M1758" s="514">
        <v>0.751</v>
      </c>
      <c r="N1758" s="6">
        <v>2.8567</v>
      </c>
    </row>
    <row r="1759">
      <c r="A1759" s="512" t="s">
        <v>2040</v>
      </c>
      <c r="B1759" s="512" t="s">
        <v>1867</v>
      </c>
      <c r="C1759" s="512" t="s">
        <v>74</v>
      </c>
      <c r="D1759" s="512" t="s">
        <v>574</v>
      </c>
      <c r="E1759" s="513" t="s">
        <v>134</v>
      </c>
      <c r="F1759" s="514">
        <v>24181.0</v>
      </c>
      <c r="G1759" s="514">
        <v>8233.0</v>
      </c>
      <c r="H1759" s="514">
        <v>34.05</v>
      </c>
      <c r="I1759" s="514">
        <v>7.06</v>
      </c>
      <c r="J1759" s="514">
        <v>7.63</v>
      </c>
      <c r="K1759" s="514">
        <v>17437.0</v>
      </c>
      <c r="L1759" s="514">
        <v>246976.0</v>
      </c>
      <c r="M1759" s="514">
        <v>0.7211</v>
      </c>
      <c r="N1759" s="6">
        <v>2.1179</v>
      </c>
    </row>
    <row r="1760">
      <c r="A1760" s="512" t="s">
        <v>2040</v>
      </c>
      <c r="B1760" s="512" t="s">
        <v>1867</v>
      </c>
      <c r="C1760" s="512" t="s">
        <v>74</v>
      </c>
      <c r="D1760" s="512" t="s">
        <v>574</v>
      </c>
      <c r="E1760" s="513" t="s">
        <v>372</v>
      </c>
      <c r="F1760" s="514">
        <v>24181.0</v>
      </c>
      <c r="G1760" s="514">
        <v>10586.0</v>
      </c>
      <c r="H1760" s="514">
        <v>43.78</v>
      </c>
      <c r="I1760" s="514">
        <v>6.86</v>
      </c>
      <c r="J1760" s="514">
        <v>7.51</v>
      </c>
      <c r="K1760" s="514">
        <v>16953.0</v>
      </c>
      <c r="L1760" s="514">
        <v>246976.0</v>
      </c>
      <c r="M1760" s="514">
        <v>0.7011</v>
      </c>
      <c r="N1760" s="6">
        <v>1.6015</v>
      </c>
    </row>
    <row r="1761">
      <c r="A1761" s="512" t="s">
        <v>2040</v>
      </c>
      <c r="B1761" s="512" t="s">
        <v>1867</v>
      </c>
      <c r="C1761" s="512" t="s">
        <v>74</v>
      </c>
      <c r="D1761" s="512" t="s">
        <v>574</v>
      </c>
      <c r="E1761" s="513" t="s">
        <v>50</v>
      </c>
      <c r="F1761" s="514">
        <v>24181.0</v>
      </c>
      <c r="G1761" s="514">
        <v>8342.0</v>
      </c>
      <c r="H1761" s="514">
        <v>34.5</v>
      </c>
      <c r="I1761" s="514">
        <v>5.58</v>
      </c>
      <c r="J1761" s="514">
        <v>5.92</v>
      </c>
      <c r="K1761" s="514">
        <v>13770.0</v>
      </c>
      <c r="L1761" s="514">
        <v>246976.0</v>
      </c>
      <c r="M1761" s="514">
        <v>0.5695</v>
      </c>
      <c r="N1761" s="6">
        <v>1.6507</v>
      </c>
    </row>
    <row r="1762">
      <c r="A1762" s="512" t="s">
        <v>2040</v>
      </c>
      <c r="B1762" s="512" t="s">
        <v>1867</v>
      </c>
      <c r="C1762" s="512" t="s">
        <v>74</v>
      </c>
      <c r="D1762" s="512" t="s">
        <v>574</v>
      </c>
      <c r="E1762" s="513" t="s">
        <v>44</v>
      </c>
      <c r="F1762" s="514">
        <v>24181.0</v>
      </c>
      <c r="G1762" s="514">
        <v>8356.0</v>
      </c>
      <c r="H1762" s="514">
        <v>34.56</v>
      </c>
      <c r="I1762" s="514">
        <v>5.12</v>
      </c>
      <c r="J1762" s="514">
        <v>3.9</v>
      </c>
      <c r="K1762" s="514">
        <v>12641.0</v>
      </c>
      <c r="L1762" s="514">
        <v>246976.0</v>
      </c>
      <c r="M1762" s="514">
        <v>0.5228</v>
      </c>
      <c r="N1762" s="6">
        <v>1.5128</v>
      </c>
    </row>
    <row r="1763">
      <c r="A1763" s="512" t="s">
        <v>2040</v>
      </c>
      <c r="B1763" s="512" t="s">
        <v>1867</v>
      </c>
      <c r="C1763" s="512" t="s">
        <v>74</v>
      </c>
      <c r="D1763" s="512" t="s">
        <v>574</v>
      </c>
      <c r="E1763" s="513" t="s">
        <v>367</v>
      </c>
      <c r="F1763" s="514">
        <v>24181.0</v>
      </c>
      <c r="G1763" s="514">
        <v>3702.0</v>
      </c>
      <c r="H1763" s="514">
        <v>15.31</v>
      </c>
      <c r="I1763" s="514">
        <v>2.78</v>
      </c>
      <c r="J1763" s="514">
        <v>2.24</v>
      </c>
      <c r="K1763" s="514">
        <v>6868.0</v>
      </c>
      <c r="L1763" s="514">
        <v>246976.0</v>
      </c>
      <c r="M1763" s="514">
        <v>0.284</v>
      </c>
      <c r="N1763" s="6">
        <v>1.8552</v>
      </c>
    </row>
    <row r="1764">
      <c r="A1764" s="512" t="s">
        <v>2040</v>
      </c>
      <c r="B1764" s="512" t="s">
        <v>1867</v>
      </c>
      <c r="C1764" s="512" t="s">
        <v>74</v>
      </c>
      <c r="D1764" s="512" t="s">
        <v>574</v>
      </c>
      <c r="E1764" s="513" t="s">
        <v>40</v>
      </c>
      <c r="F1764" s="514">
        <v>24181.0</v>
      </c>
      <c r="G1764" s="514">
        <v>2242.0</v>
      </c>
      <c r="H1764" s="514">
        <v>9.27</v>
      </c>
      <c r="I1764" s="514">
        <v>1.46</v>
      </c>
      <c r="J1764" s="514">
        <v>1.27</v>
      </c>
      <c r="K1764" s="514">
        <v>3600.0</v>
      </c>
      <c r="L1764" s="514">
        <v>246976.0</v>
      </c>
      <c r="M1764" s="514">
        <v>0.1489</v>
      </c>
      <c r="N1764" s="6">
        <v>1.6057</v>
      </c>
    </row>
    <row r="1765">
      <c r="A1765" s="512" t="s">
        <v>2040</v>
      </c>
      <c r="B1765" s="512" t="s">
        <v>1867</v>
      </c>
      <c r="C1765" s="512" t="s">
        <v>74</v>
      </c>
      <c r="D1765" s="512" t="s">
        <v>574</v>
      </c>
      <c r="E1765" s="513" t="s">
        <v>310</v>
      </c>
      <c r="F1765" s="514">
        <v>24181.0</v>
      </c>
      <c r="G1765" s="514">
        <v>3055.0</v>
      </c>
      <c r="H1765" s="514">
        <v>12.63</v>
      </c>
      <c r="I1765" s="514">
        <v>1.44</v>
      </c>
      <c r="J1765" s="514">
        <v>1.37</v>
      </c>
      <c r="K1765" s="514">
        <v>3565.0</v>
      </c>
      <c r="L1765" s="514">
        <v>246976.0</v>
      </c>
      <c r="M1765" s="514">
        <v>0.1474</v>
      </c>
      <c r="N1765" s="6">
        <v>1.1669</v>
      </c>
    </row>
    <row r="1766">
      <c r="A1766" s="512" t="s">
        <v>2040</v>
      </c>
      <c r="B1766" s="512" t="s">
        <v>1867</v>
      </c>
      <c r="C1766" s="512" t="s">
        <v>74</v>
      </c>
      <c r="D1766" s="512" t="s">
        <v>574</v>
      </c>
      <c r="E1766" s="513" t="s">
        <v>32</v>
      </c>
      <c r="F1766" s="514">
        <v>24181.0</v>
      </c>
      <c r="G1766" s="514">
        <v>2978.0</v>
      </c>
      <c r="H1766" s="514">
        <v>12.32</v>
      </c>
      <c r="I1766" s="514">
        <v>1.38</v>
      </c>
      <c r="J1766" s="514">
        <v>1.35</v>
      </c>
      <c r="K1766" s="514">
        <v>3415.0</v>
      </c>
      <c r="L1766" s="514">
        <v>246976.0</v>
      </c>
      <c r="M1766" s="514">
        <v>0.1412</v>
      </c>
      <c r="N1766" s="6">
        <v>1.1467</v>
      </c>
    </row>
    <row r="1767">
      <c r="A1767" s="512" t="s">
        <v>2040</v>
      </c>
      <c r="B1767" s="512" t="s">
        <v>1867</v>
      </c>
      <c r="C1767" s="512" t="s">
        <v>74</v>
      </c>
      <c r="D1767" s="512" t="s">
        <v>574</v>
      </c>
      <c r="E1767" s="513" t="s">
        <v>312</v>
      </c>
      <c r="F1767" s="514">
        <v>24181.0</v>
      </c>
      <c r="G1767" s="514">
        <v>2798.0</v>
      </c>
      <c r="H1767" s="514">
        <v>11.57</v>
      </c>
      <c r="I1767" s="514">
        <v>1.37</v>
      </c>
      <c r="J1767" s="514">
        <v>1.16</v>
      </c>
      <c r="K1767" s="514">
        <v>3373.0</v>
      </c>
      <c r="L1767" s="514">
        <v>246976.0</v>
      </c>
      <c r="M1767" s="514">
        <v>0.1395</v>
      </c>
      <c r="N1767" s="6">
        <v>1.2055</v>
      </c>
    </row>
    <row r="1768">
      <c r="A1768" s="512" t="s">
        <v>2040</v>
      </c>
      <c r="B1768" s="512" t="s">
        <v>1867</v>
      </c>
      <c r="C1768" s="512" t="s">
        <v>74</v>
      </c>
      <c r="D1768" s="512" t="s">
        <v>574</v>
      </c>
      <c r="E1768" s="513" t="s">
        <v>375</v>
      </c>
      <c r="F1768" s="514">
        <v>24181.0</v>
      </c>
      <c r="G1768" s="514">
        <v>2361.0</v>
      </c>
      <c r="H1768" s="514">
        <v>9.76</v>
      </c>
      <c r="I1768" s="514">
        <v>1.08</v>
      </c>
      <c r="J1768" s="514">
        <v>0.53</v>
      </c>
      <c r="K1768" s="514">
        <v>2678.0</v>
      </c>
      <c r="L1768" s="514">
        <v>246976.0</v>
      </c>
      <c r="M1768" s="514">
        <v>0.1107</v>
      </c>
      <c r="N1768" s="6">
        <v>1.1343</v>
      </c>
    </row>
    <row r="1769">
      <c r="A1769" s="512" t="s">
        <v>2040</v>
      </c>
      <c r="B1769" s="512" t="s">
        <v>1867</v>
      </c>
      <c r="C1769" s="512" t="s">
        <v>74</v>
      </c>
      <c r="D1769" s="512" t="s">
        <v>574</v>
      </c>
      <c r="E1769" s="513" t="s">
        <v>373</v>
      </c>
      <c r="F1769" s="514">
        <v>24181.0</v>
      </c>
      <c r="G1769" s="514">
        <v>1869.0</v>
      </c>
      <c r="H1769" s="514">
        <v>7.73</v>
      </c>
      <c r="I1769" s="514">
        <v>0.78</v>
      </c>
      <c r="J1769" s="514">
        <v>0.5</v>
      </c>
      <c r="K1769" s="514">
        <v>1927.0</v>
      </c>
      <c r="L1769" s="514">
        <v>246976.0</v>
      </c>
      <c r="M1769" s="514">
        <v>0.0797</v>
      </c>
      <c r="N1769" s="6">
        <v>1.031</v>
      </c>
    </row>
    <row r="1770">
      <c r="A1770" s="512" t="s">
        <v>2040</v>
      </c>
      <c r="B1770" s="512" t="s">
        <v>1867</v>
      </c>
      <c r="C1770" s="512" t="s">
        <v>74</v>
      </c>
      <c r="D1770" s="512" t="s">
        <v>574</v>
      </c>
      <c r="E1770" s="513" t="s">
        <v>374</v>
      </c>
      <c r="F1770" s="514">
        <v>24181.0</v>
      </c>
      <c r="G1770" s="514">
        <v>841.0</v>
      </c>
      <c r="H1770" s="514">
        <v>3.48</v>
      </c>
      <c r="I1770" s="514">
        <v>0.77</v>
      </c>
      <c r="J1770" s="514">
        <v>0.25</v>
      </c>
      <c r="K1770" s="514">
        <v>1896.0</v>
      </c>
      <c r="L1770" s="514">
        <v>246976.0</v>
      </c>
      <c r="M1770" s="514">
        <v>0.0784</v>
      </c>
      <c r="N1770" s="6">
        <v>2.2545</v>
      </c>
    </row>
    <row r="1771">
      <c r="A1771" s="512" t="s">
        <v>2040</v>
      </c>
      <c r="B1771" s="512" t="s">
        <v>1867</v>
      </c>
      <c r="C1771" s="512" t="s">
        <v>74</v>
      </c>
      <c r="D1771" s="512" t="s">
        <v>574</v>
      </c>
      <c r="E1771" s="513" t="s">
        <v>43</v>
      </c>
      <c r="F1771" s="514">
        <v>24181.0</v>
      </c>
      <c r="G1771" s="514">
        <v>921.0</v>
      </c>
      <c r="H1771" s="514">
        <v>3.81</v>
      </c>
      <c r="I1771" s="514">
        <v>0.4</v>
      </c>
      <c r="J1771" s="514">
        <v>0.33</v>
      </c>
      <c r="K1771" s="514">
        <v>995.0</v>
      </c>
      <c r="L1771" s="514">
        <v>246976.0</v>
      </c>
      <c r="M1771" s="514">
        <v>0.0411</v>
      </c>
      <c r="N1771" s="6">
        <v>1.0803</v>
      </c>
    </row>
    <row r="1772">
      <c r="A1772" s="512" t="s">
        <v>2040</v>
      </c>
      <c r="B1772" s="512" t="s">
        <v>1867</v>
      </c>
      <c r="C1772" s="512" t="s">
        <v>74</v>
      </c>
      <c r="D1772" s="512" t="s">
        <v>574</v>
      </c>
      <c r="E1772" s="513" t="s">
        <v>311</v>
      </c>
      <c r="F1772" s="514">
        <v>24181.0</v>
      </c>
      <c r="G1772" s="514">
        <v>902.0</v>
      </c>
      <c r="H1772" s="514">
        <v>3.73</v>
      </c>
      <c r="I1772" s="514">
        <v>0.37</v>
      </c>
      <c r="J1772" s="514">
        <v>0.33</v>
      </c>
      <c r="K1772" s="514">
        <v>916.0</v>
      </c>
      <c r="L1772" s="514">
        <v>246976.0</v>
      </c>
      <c r="M1772" s="514">
        <v>0.0379</v>
      </c>
      <c r="N1772" s="6">
        <v>1.0155</v>
      </c>
    </row>
    <row r="1773">
      <c r="A1773" s="512" t="s">
        <v>2040</v>
      </c>
      <c r="B1773" s="512" t="s">
        <v>1867</v>
      </c>
      <c r="C1773" s="512" t="s">
        <v>74</v>
      </c>
      <c r="D1773" s="512" t="s">
        <v>574</v>
      </c>
      <c r="E1773" s="513" t="s">
        <v>189</v>
      </c>
      <c r="F1773" s="514">
        <v>24181.0</v>
      </c>
      <c r="G1773" s="514">
        <v>598.0</v>
      </c>
      <c r="H1773" s="514">
        <v>2.47</v>
      </c>
      <c r="I1773" s="514">
        <v>0.25</v>
      </c>
      <c r="J1773" s="514">
        <v>0.1</v>
      </c>
      <c r="K1773" s="514">
        <v>619.0</v>
      </c>
      <c r="L1773" s="514">
        <v>246976.0</v>
      </c>
      <c r="M1773" s="514">
        <v>0.0256</v>
      </c>
      <c r="N1773" s="6">
        <v>1.0351</v>
      </c>
    </row>
    <row r="1774">
      <c r="A1774" s="512" t="s">
        <v>2040</v>
      </c>
      <c r="B1774" s="512" t="s">
        <v>1867</v>
      </c>
      <c r="C1774" s="512" t="s">
        <v>74</v>
      </c>
      <c r="D1774" s="512" t="s">
        <v>574</v>
      </c>
      <c r="E1774" s="513" t="s">
        <v>382</v>
      </c>
      <c r="F1774" s="514">
        <v>24181.0</v>
      </c>
      <c r="G1774" s="514">
        <v>3.0</v>
      </c>
      <c r="H1774" s="514">
        <v>0.01</v>
      </c>
      <c r="I1774" s="514">
        <v>0.0</v>
      </c>
      <c r="J1774" s="514">
        <v>0.01</v>
      </c>
      <c r="K1774" s="514">
        <v>6.0</v>
      </c>
      <c r="L1774" s="514">
        <v>246976.0</v>
      </c>
      <c r="M1774" s="514">
        <v>2.0E-4</v>
      </c>
      <c r="N1774" s="6">
        <v>2.0</v>
      </c>
    </row>
    <row r="1775">
      <c r="A1775" s="512" t="s">
        <v>2040</v>
      </c>
      <c r="B1775" s="512" t="s">
        <v>1867</v>
      </c>
      <c r="C1775" s="512" t="s">
        <v>74</v>
      </c>
      <c r="D1775" s="512" t="s">
        <v>574</v>
      </c>
      <c r="E1775" s="513" t="s">
        <v>383</v>
      </c>
      <c r="F1775" s="514">
        <v>24181.0</v>
      </c>
      <c r="G1775" s="514">
        <v>1.0</v>
      </c>
      <c r="H1775" s="514">
        <v>0.0</v>
      </c>
      <c r="I1775" s="514">
        <v>0.0</v>
      </c>
      <c r="J1775" s="514">
        <v>0.0</v>
      </c>
      <c r="K1775" s="514">
        <v>1.0</v>
      </c>
      <c r="L1775" s="514">
        <v>246976.0</v>
      </c>
      <c r="M1775" s="514">
        <v>0.0</v>
      </c>
      <c r="N1775" s="6">
        <v>1.0</v>
      </c>
    </row>
    <row r="1776">
      <c r="A1776" s="512" t="s">
        <v>2040</v>
      </c>
      <c r="B1776" s="512" t="s">
        <v>1867</v>
      </c>
      <c r="C1776" s="512" t="s">
        <v>1882</v>
      </c>
      <c r="D1776" s="512" t="s">
        <v>1882</v>
      </c>
      <c r="E1776" s="513" t="s">
        <v>379</v>
      </c>
      <c r="F1776" s="514">
        <v>25361.0</v>
      </c>
      <c r="G1776" s="514">
        <v>25190.0</v>
      </c>
      <c r="H1776" s="514">
        <v>99.33</v>
      </c>
      <c r="I1776" s="514">
        <v>23.62</v>
      </c>
      <c r="J1776" s="514">
        <v>25.37</v>
      </c>
      <c r="K1776" s="514">
        <v>9058740.0</v>
      </c>
      <c r="L1776" s="514">
        <v>3.8344276E7</v>
      </c>
      <c r="M1776" s="514">
        <v>357.1918</v>
      </c>
      <c r="N1776" s="6">
        <v>359.6165</v>
      </c>
    </row>
    <row r="1777">
      <c r="A1777" s="512" t="s">
        <v>2040</v>
      </c>
      <c r="B1777" s="512" t="s">
        <v>1867</v>
      </c>
      <c r="C1777" s="512" t="s">
        <v>1882</v>
      </c>
      <c r="D1777" s="512" t="s">
        <v>1882</v>
      </c>
      <c r="E1777" s="513" t="s">
        <v>374</v>
      </c>
      <c r="F1777" s="514">
        <v>25361.0</v>
      </c>
      <c r="G1777" s="514">
        <v>11831.0</v>
      </c>
      <c r="H1777" s="514">
        <v>46.65</v>
      </c>
      <c r="I1777" s="514">
        <v>10.46</v>
      </c>
      <c r="J1777" s="514">
        <v>9.98</v>
      </c>
      <c r="K1777" s="514">
        <v>4011915.0</v>
      </c>
      <c r="L1777" s="514">
        <v>3.8344276E7</v>
      </c>
      <c r="M1777" s="514">
        <v>158.1923</v>
      </c>
      <c r="N1777" s="6">
        <v>339.1019</v>
      </c>
    </row>
    <row r="1778">
      <c r="A1778" s="512" t="s">
        <v>2040</v>
      </c>
      <c r="B1778" s="512" t="s">
        <v>1867</v>
      </c>
      <c r="C1778" s="512" t="s">
        <v>1882</v>
      </c>
      <c r="D1778" s="512" t="s">
        <v>1882</v>
      </c>
      <c r="E1778" s="513" t="s">
        <v>372</v>
      </c>
      <c r="F1778" s="514">
        <v>25361.0</v>
      </c>
      <c r="G1778" s="514">
        <v>21825.0</v>
      </c>
      <c r="H1778" s="514">
        <v>86.06</v>
      </c>
      <c r="I1778" s="514">
        <v>9.84</v>
      </c>
      <c r="J1778" s="514">
        <v>10.65</v>
      </c>
      <c r="K1778" s="514">
        <v>3774260.0</v>
      </c>
      <c r="L1778" s="514">
        <v>3.8344276E7</v>
      </c>
      <c r="M1778" s="514">
        <v>148.8214</v>
      </c>
      <c r="N1778" s="6">
        <v>172.9329</v>
      </c>
    </row>
    <row r="1779">
      <c r="A1779" s="512" t="s">
        <v>2040</v>
      </c>
      <c r="B1779" s="512" t="s">
        <v>1867</v>
      </c>
      <c r="C1779" s="512" t="s">
        <v>1882</v>
      </c>
      <c r="D1779" s="512" t="s">
        <v>1882</v>
      </c>
      <c r="E1779" s="513" t="s">
        <v>380</v>
      </c>
      <c r="F1779" s="514">
        <v>25361.0</v>
      </c>
      <c r="G1779" s="514">
        <v>19376.0</v>
      </c>
      <c r="H1779" s="514">
        <v>76.4</v>
      </c>
      <c r="I1779" s="514">
        <v>8.18</v>
      </c>
      <c r="J1779" s="514">
        <v>9.45</v>
      </c>
      <c r="K1779" s="514">
        <v>3136840.0</v>
      </c>
      <c r="L1779" s="514">
        <v>3.8344276E7</v>
      </c>
      <c r="M1779" s="514">
        <v>123.6876</v>
      </c>
      <c r="N1779" s="6">
        <v>161.8931</v>
      </c>
    </row>
    <row r="1780">
      <c r="A1780" s="512" t="s">
        <v>2040</v>
      </c>
      <c r="B1780" s="512" t="s">
        <v>1867</v>
      </c>
      <c r="C1780" s="512" t="s">
        <v>1882</v>
      </c>
      <c r="D1780" s="512" t="s">
        <v>1882</v>
      </c>
      <c r="E1780" s="513" t="s">
        <v>377</v>
      </c>
      <c r="F1780" s="514">
        <v>25361.0</v>
      </c>
      <c r="G1780" s="514">
        <v>13931.0</v>
      </c>
      <c r="H1780" s="514">
        <v>54.93</v>
      </c>
      <c r="I1780" s="514">
        <v>6.83</v>
      </c>
      <c r="J1780" s="514">
        <v>5.78</v>
      </c>
      <c r="K1780" s="514">
        <v>2620546.0</v>
      </c>
      <c r="L1780" s="514">
        <v>3.8344276E7</v>
      </c>
      <c r="M1780" s="514">
        <v>103.3298</v>
      </c>
      <c r="N1780" s="6">
        <v>188.109</v>
      </c>
    </row>
    <row r="1781">
      <c r="A1781" s="512" t="s">
        <v>2040</v>
      </c>
      <c r="B1781" s="512" t="s">
        <v>1867</v>
      </c>
      <c r="C1781" s="512" t="s">
        <v>1882</v>
      </c>
      <c r="D1781" s="512" t="s">
        <v>1882</v>
      </c>
      <c r="E1781" s="513" t="s">
        <v>373</v>
      </c>
      <c r="F1781" s="514">
        <v>25361.0</v>
      </c>
      <c r="G1781" s="514">
        <v>21143.0</v>
      </c>
      <c r="H1781" s="514">
        <v>83.37</v>
      </c>
      <c r="I1781" s="514">
        <v>5.86</v>
      </c>
      <c r="J1781" s="514">
        <v>6.44</v>
      </c>
      <c r="K1781" s="514">
        <v>2246230.0</v>
      </c>
      <c r="L1781" s="514">
        <v>3.8344276E7</v>
      </c>
      <c r="M1781" s="514">
        <v>88.5702</v>
      </c>
      <c r="N1781" s="6">
        <v>106.2399</v>
      </c>
    </row>
    <row r="1782">
      <c r="A1782" s="512" t="s">
        <v>2040</v>
      </c>
      <c r="B1782" s="512" t="s">
        <v>1867</v>
      </c>
      <c r="C1782" s="512" t="s">
        <v>1882</v>
      </c>
      <c r="D1782" s="512" t="s">
        <v>1882</v>
      </c>
      <c r="E1782" s="513" t="s">
        <v>50</v>
      </c>
      <c r="F1782" s="514">
        <v>25361.0</v>
      </c>
      <c r="G1782" s="514">
        <v>14387.0</v>
      </c>
      <c r="H1782" s="514">
        <v>56.73</v>
      </c>
      <c r="I1782" s="514">
        <v>5.4</v>
      </c>
      <c r="J1782" s="514">
        <v>5.61</v>
      </c>
      <c r="K1782" s="514">
        <v>2071800.0</v>
      </c>
      <c r="L1782" s="514">
        <v>3.8344276E7</v>
      </c>
      <c r="M1782" s="514">
        <v>81.6924</v>
      </c>
      <c r="N1782" s="6">
        <v>144.005</v>
      </c>
    </row>
    <row r="1783">
      <c r="A1783" s="512" t="s">
        <v>2040</v>
      </c>
      <c r="B1783" s="512" t="s">
        <v>1867</v>
      </c>
      <c r="C1783" s="512" t="s">
        <v>1882</v>
      </c>
      <c r="D1783" s="512" t="s">
        <v>1882</v>
      </c>
      <c r="E1783" s="513" t="s">
        <v>42</v>
      </c>
      <c r="F1783" s="514">
        <v>25361.0</v>
      </c>
      <c r="G1783" s="514">
        <v>10714.0</v>
      </c>
      <c r="H1783" s="514">
        <v>42.25</v>
      </c>
      <c r="I1783" s="514">
        <v>4.62</v>
      </c>
      <c r="J1783" s="514">
        <v>4.9</v>
      </c>
      <c r="K1783" s="514">
        <v>1771940.0</v>
      </c>
      <c r="L1783" s="514">
        <v>3.8344276E7</v>
      </c>
      <c r="M1783" s="514">
        <v>69.8687</v>
      </c>
      <c r="N1783" s="6">
        <v>165.3855</v>
      </c>
    </row>
    <row r="1784">
      <c r="A1784" s="512" t="s">
        <v>2040</v>
      </c>
      <c r="B1784" s="512" t="s">
        <v>1867</v>
      </c>
      <c r="C1784" s="512" t="s">
        <v>1882</v>
      </c>
      <c r="D1784" s="512" t="s">
        <v>1882</v>
      </c>
      <c r="E1784" s="513" t="s">
        <v>134</v>
      </c>
      <c r="F1784" s="514">
        <v>25361.0</v>
      </c>
      <c r="G1784" s="514">
        <v>9569.0</v>
      </c>
      <c r="H1784" s="514">
        <v>37.73</v>
      </c>
      <c r="I1784" s="514">
        <v>4.02</v>
      </c>
      <c r="J1784" s="514">
        <v>3.66</v>
      </c>
      <c r="K1784" s="514">
        <v>1543330.0</v>
      </c>
      <c r="L1784" s="514">
        <v>3.8344276E7</v>
      </c>
      <c r="M1784" s="514">
        <v>60.8545</v>
      </c>
      <c r="N1784" s="6">
        <v>161.2844</v>
      </c>
    </row>
    <row r="1785">
      <c r="A1785" s="512" t="s">
        <v>2040</v>
      </c>
      <c r="B1785" s="512" t="s">
        <v>1867</v>
      </c>
      <c r="C1785" s="512" t="s">
        <v>1882</v>
      </c>
      <c r="D1785" s="512" t="s">
        <v>1882</v>
      </c>
      <c r="E1785" s="513" t="s">
        <v>40</v>
      </c>
      <c r="F1785" s="514">
        <v>25361.0</v>
      </c>
      <c r="G1785" s="514">
        <v>9371.0</v>
      </c>
      <c r="H1785" s="514">
        <v>36.95</v>
      </c>
      <c r="I1785" s="514">
        <v>3.26</v>
      </c>
      <c r="J1785" s="514">
        <v>2.84</v>
      </c>
      <c r="K1785" s="514">
        <v>1248220.0</v>
      </c>
      <c r="L1785" s="514">
        <v>3.8344276E7</v>
      </c>
      <c r="M1785" s="514">
        <v>49.2181</v>
      </c>
      <c r="N1785" s="6">
        <v>133.2003</v>
      </c>
    </row>
    <row r="1786">
      <c r="A1786" s="512" t="s">
        <v>2040</v>
      </c>
      <c r="B1786" s="512" t="s">
        <v>1867</v>
      </c>
      <c r="C1786" s="512" t="s">
        <v>1882</v>
      </c>
      <c r="D1786" s="512" t="s">
        <v>1882</v>
      </c>
      <c r="E1786" s="513" t="s">
        <v>310</v>
      </c>
      <c r="F1786" s="514">
        <v>25361.0</v>
      </c>
      <c r="G1786" s="514">
        <v>6020.0</v>
      </c>
      <c r="H1786" s="514">
        <v>23.74</v>
      </c>
      <c r="I1786" s="514">
        <v>2.75</v>
      </c>
      <c r="J1786" s="514">
        <v>2.24</v>
      </c>
      <c r="K1786" s="514">
        <v>1055100.0</v>
      </c>
      <c r="L1786" s="514">
        <v>3.8344276E7</v>
      </c>
      <c r="M1786" s="514">
        <v>41.6032</v>
      </c>
      <c r="N1786" s="6">
        <v>175.2658</v>
      </c>
    </row>
    <row r="1787">
      <c r="A1787" s="512" t="s">
        <v>2040</v>
      </c>
      <c r="B1787" s="512" t="s">
        <v>1867</v>
      </c>
      <c r="C1787" s="512" t="s">
        <v>1882</v>
      </c>
      <c r="D1787" s="512" t="s">
        <v>1882</v>
      </c>
      <c r="E1787" s="513" t="s">
        <v>312</v>
      </c>
      <c r="F1787" s="514">
        <v>25361.0</v>
      </c>
      <c r="G1787" s="514">
        <v>5830.0</v>
      </c>
      <c r="H1787" s="514">
        <v>22.99</v>
      </c>
      <c r="I1787" s="514">
        <v>2.67</v>
      </c>
      <c r="J1787" s="514">
        <v>2.11</v>
      </c>
      <c r="K1787" s="514">
        <v>1022850.0</v>
      </c>
      <c r="L1787" s="514">
        <v>3.8344276E7</v>
      </c>
      <c r="M1787" s="514">
        <v>40.3316</v>
      </c>
      <c r="N1787" s="6">
        <v>175.446</v>
      </c>
    </row>
    <row r="1788">
      <c r="A1788" s="512" t="s">
        <v>2040</v>
      </c>
      <c r="B1788" s="512" t="s">
        <v>1867</v>
      </c>
      <c r="C1788" s="512" t="s">
        <v>1882</v>
      </c>
      <c r="D1788" s="512" t="s">
        <v>1882</v>
      </c>
      <c r="E1788" s="513" t="s">
        <v>32</v>
      </c>
      <c r="F1788" s="514">
        <v>25361.0</v>
      </c>
      <c r="G1788" s="514">
        <v>5708.0</v>
      </c>
      <c r="H1788" s="514">
        <v>22.51</v>
      </c>
      <c r="I1788" s="514">
        <v>2.56</v>
      </c>
      <c r="J1788" s="514">
        <v>2.12</v>
      </c>
      <c r="K1788" s="514">
        <v>982170.0</v>
      </c>
      <c r="L1788" s="514">
        <v>3.8344276E7</v>
      </c>
      <c r="M1788" s="514">
        <v>38.7276</v>
      </c>
      <c r="N1788" s="6">
        <v>172.069</v>
      </c>
    </row>
    <row r="1789">
      <c r="A1789" s="512" t="s">
        <v>2040</v>
      </c>
      <c r="B1789" s="512" t="s">
        <v>1867</v>
      </c>
      <c r="C1789" s="512" t="s">
        <v>1882</v>
      </c>
      <c r="D1789" s="512" t="s">
        <v>1882</v>
      </c>
      <c r="E1789" s="513" t="s">
        <v>44</v>
      </c>
      <c r="F1789" s="514">
        <v>25361.0</v>
      </c>
      <c r="G1789" s="514">
        <v>15383.0</v>
      </c>
      <c r="H1789" s="514">
        <v>60.66</v>
      </c>
      <c r="I1789" s="514">
        <v>2.5</v>
      </c>
      <c r="J1789" s="514">
        <v>2.39</v>
      </c>
      <c r="K1789" s="514">
        <v>960410.0</v>
      </c>
      <c r="L1789" s="514">
        <v>3.8344276E7</v>
      </c>
      <c r="M1789" s="514">
        <v>37.8696</v>
      </c>
      <c r="N1789" s="6">
        <v>62.4332</v>
      </c>
    </row>
    <row r="1790">
      <c r="A1790" s="512" t="s">
        <v>2040</v>
      </c>
      <c r="B1790" s="512" t="s">
        <v>1867</v>
      </c>
      <c r="C1790" s="512" t="s">
        <v>1882</v>
      </c>
      <c r="D1790" s="512" t="s">
        <v>1882</v>
      </c>
      <c r="E1790" s="513" t="s">
        <v>43</v>
      </c>
      <c r="F1790" s="514">
        <v>25361.0</v>
      </c>
      <c r="G1790" s="514">
        <v>3761.0</v>
      </c>
      <c r="H1790" s="514">
        <v>14.83</v>
      </c>
      <c r="I1790" s="514">
        <v>2.12</v>
      </c>
      <c r="J1790" s="514">
        <v>1.58</v>
      </c>
      <c r="K1790" s="514">
        <v>814200.0</v>
      </c>
      <c r="L1790" s="514">
        <v>3.8344276E7</v>
      </c>
      <c r="M1790" s="514">
        <v>32.1044</v>
      </c>
      <c r="N1790" s="6">
        <v>216.485</v>
      </c>
    </row>
    <row r="1791">
      <c r="A1791" s="512" t="s">
        <v>2040</v>
      </c>
      <c r="B1791" s="512" t="s">
        <v>1867</v>
      </c>
      <c r="C1791" s="512" t="s">
        <v>1882</v>
      </c>
      <c r="D1791" s="512" t="s">
        <v>1882</v>
      </c>
      <c r="E1791" s="513" t="s">
        <v>367</v>
      </c>
      <c r="F1791" s="514">
        <v>25361.0</v>
      </c>
      <c r="G1791" s="514">
        <v>9272.0</v>
      </c>
      <c r="H1791" s="514">
        <v>36.56</v>
      </c>
      <c r="I1791" s="514">
        <v>1.66</v>
      </c>
      <c r="J1791" s="514">
        <v>1.5</v>
      </c>
      <c r="K1791" s="514">
        <v>635280.0</v>
      </c>
      <c r="L1791" s="514">
        <v>3.8344276E7</v>
      </c>
      <c r="M1791" s="514">
        <v>25.0495</v>
      </c>
      <c r="N1791" s="6">
        <v>68.516</v>
      </c>
    </row>
    <row r="1792">
      <c r="A1792" s="512" t="s">
        <v>2040</v>
      </c>
      <c r="B1792" s="512" t="s">
        <v>1867</v>
      </c>
      <c r="C1792" s="512" t="s">
        <v>1882</v>
      </c>
      <c r="D1792" s="512" t="s">
        <v>1882</v>
      </c>
      <c r="E1792" s="513" t="s">
        <v>375</v>
      </c>
      <c r="F1792" s="514">
        <v>25361.0</v>
      </c>
      <c r="G1792" s="514">
        <v>9847.0</v>
      </c>
      <c r="H1792" s="514">
        <v>38.83</v>
      </c>
      <c r="I1792" s="514">
        <v>1.48</v>
      </c>
      <c r="J1792" s="514">
        <v>1.41</v>
      </c>
      <c r="K1792" s="514">
        <v>565650.0</v>
      </c>
      <c r="L1792" s="514">
        <v>3.8344276E7</v>
      </c>
      <c r="M1792" s="514">
        <v>22.3039</v>
      </c>
      <c r="N1792" s="6">
        <v>57.4439</v>
      </c>
    </row>
    <row r="1793">
      <c r="A1793" s="512" t="s">
        <v>2040</v>
      </c>
      <c r="B1793" s="512" t="s">
        <v>1867</v>
      </c>
      <c r="C1793" s="512" t="s">
        <v>1882</v>
      </c>
      <c r="D1793" s="512" t="s">
        <v>1882</v>
      </c>
      <c r="E1793" s="513" t="s">
        <v>35</v>
      </c>
      <c r="F1793" s="514">
        <v>25361.0</v>
      </c>
      <c r="G1793" s="514">
        <v>6979.0</v>
      </c>
      <c r="H1793" s="514">
        <v>27.52</v>
      </c>
      <c r="I1793" s="514">
        <v>0.91</v>
      </c>
      <c r="J1793" s="514">
        <v>0.89</v>
      </c>
      <c r="K1793" s="514">
        <v>349820.0</v>
      </c>
      <c r="L1793" s="514">
        <v>3.8344276E7</v>
      </c>
      <c r="M1793" s="514">
        <v>13.7936</v>
      </c>
      <c r="N1793" s="6">
        <v>50.1247</v>
      </c>
    </row>
    <row r="1794">
      <c r="A1794" s="512" t="s">
        <v>2040</v>
      </c>
      <c r="B1794" s="512" t="s">
        <v>1867</v>
      </c>
      <c r="C1794" s="512" t="s">
        <v>1882</v>
      </c>
      <c r="D1794" s="512" t="s">
        <v>1882</v>
      </c>
      <c r="E1794" s="513" t="s">
        <v>311</v>
      </c>
      <c r="F1794" s="514">
        <v>25361.0</v>
      </c>
      <c r="G1794" s="514">
        <v>2013.0</v>
      </c>
      <c r="H1794" s="514">
        <v>7.94</v>
      </c>
      <c r="I1794" s="514">
        <v>0.71</v>
      </c>
      <c r="J1794" s="514">
        <v>0.59</v>
      </c>
      <c r="K1794" s="514">
        <v>273050.0</v>
      </c>
      <c r="L1794" s="514">
        <v>3.8344276E7</v>
      </c>
      <c r="M1794" s="514">
        <v>10.7665</v>
      </c>
      <c r="N1794" s="6">
        <v>135.6433</v>
      </c>
    </row>
    <row r="1795">
      <c r="A1795" s="512" t="s">
        <v>2040</v>
      </c>
      <c r="B1795" s="512" t="s">
        <v>1867</v>
      </c>
      <c r="C1795" s="512" t="s">
        <v>1882</v>
      </c>
      <c r="D1795" s="512" t="s">
        <v>1882</v>
      </c>
      <c r="E1795" s="513" t="s">
        <v>189</v>
      </c>
      <c r="F1795" s="514">
        <v>25361.0</v>
      </c>
      <c r="G1795" s="514">
        <v>4925.0</v>
      </c>
      <c r="H1795" s="514">
        <v>19.42</v>
      </c>
      <c r="I1795" s="514">
        <v>0.53</v>
      </c>
      <c r="J1795" s="514">
        <v>0.52</v>
      </c>
      <c r="K1795" s="514">
        <v>201925.0</v>
      </c>
      <c r="L1795" s="514">
        <v>3.8344276E7</v>
      </c>
      <c r="M1795" s="514">
        <v>7.962</v>
      </c>
      <c r="N1795" s="6">
        <v>41.0</v>
      </c>
    </row>
    <row r="1796">
      <c r="A1796" s="512" t="s">
        <v>2040</v>
      </c>
      <c r="B1796" s="512" t="s">
        <v>1867</v>
      </c>
      <c r="C1796" s="512" t="s">
        <v>69</v>
      </c>
      <c r="D1796" s="512" t="s">
        <v>574</v>
      </c>
      <c r="E1796" s="513" t="s">
        <v>379</v>
      </c>
      <c r="F1796" s="514">
        <v>25009.0</v>
      </c>
      <c r="G1796" s="514">
        <v>23744.0</v>
      </c>
      <c r="H1796" s="514">
        <v>94.94</v>
      </c>
      <c r="I1796" s="514">
        <v>48.27</v>
      </c>
      <c r="J1796" s="514">
        <v>43.81</v>
      </c>
      <c r="K1796" s="514">
        <v>222521.0</v>
      </c>
      <c r="L1796" s="514">
        <v>460948.0</v>
      </c>
      <c r="M1796" s="514">
        <v>8.8976</v>
      </c>
      <c r="N1796" s="6">
        <v>9.3717</v>
      </c>
    </row>
    <row r="1797">
      <c r="A1797" s="512" t="s">
        <v>2040</v>
      </c>
      <c r="B1797" s="512" t="s">
        <v>1867</v>
      </c>
      <c r="C1797" s="512" t="s">
        <v>69</v>
      </c>
      <c r="D1797" s="512" t="s">
        <v>574</v>
      </c>
      <c r="E1797" s="513" t="s">
        <v>380</v>
      </c>
      <c r="F1797" s="514">
        <v>25009.0</v>
      </c>
      <c r="G1797" s="514">
        <v>16693.0</v>
      </c>
      <c r="H1797" s="514">
        <v>66.75</v>
      </c>
      <c r="I1797" s="514">
        <v>14.87</v>
      </c>
      <c r="J1797" s="514">
        <v>16.86</v>
      </c>
      <c r="K1797" s="514">
        <v>68520.0</v>
      </c>
      <c r="L1797" s="514">
        <v>460948.0</v>
      </c>
      <c r="M1797" s="514">
        <v>2.7398</v>
      </c>
      <c r="N1797" s="6">
        <v>4.1047</v>
      </c>
    </row>
    <row r="1798">
      <c r="A1798" s="512" t="s">
        <v>2040</v>
      </c>
      <c r="B1798" s="512" t="s">
        <v>1867</v>
      </c>
      <c r="C1798" s="512" t="s">
        <v>69</v>
      </c>
      <c r="D1798" s="512" t="s">
        <v>574</v>
      </c>
      <c r="E1798" s="513" t="s">
        <v>377</v>
      </c>
      <c r="F1798" s="514">
        <v>25009.0</v>
      </c>
      <c r="G1798" s="514">
        <v>18387.0</v>
      </c>
      <c r="H1798" s="514">
        <v>73.52</v>
      </c>
      <c r="I1798" s="514">
        <v>8.57</v>
      </c>
      <c r="J1798" s="514">
        <v>9.69</v>
      </c>
      <c r="K1798" s="514">
        <v>39506.0</v>
      </c>
      <c r="L1798" s="514">
        <v>460948.0</v>
      </c>
      <c r="M1798" s="514">
        <v>1.5797</v>
      </c>
      <c r="N1798" s="6">
        <v>2.1486</v>
      </c>
    </row>
    <row r="1799">
      <c r="A1799" s="512" t="s">
        <v>2040</v>
      </c>
      <c r="B1799" s="512" t="s">
        <v>1867</v>
      </c>
      <c r="C1799" s="512" t="s">
        <v>69</v>
      </c>
      <c r="D1799" s="512" t="s">
        <v>574</v>
      </c>
      <c r="E1799" s="513" t="s">
        <v>374</v>
      </c>
      <c r="F1799" s="514">
        <v>25009.0</v>
      </c>
      <c r="G1799" s="514">
        <v>11030.0</v>
      </c>
      <c r="H1799" s="514">
        <v>44.1</v>
      </c>
      <c r="I1799" s="514">
        <v>7.27</v>
      </c>
      <c r="J1799" s="514">
        <v>8.23</v>
      </c>
      <c r="K1799" s="514">
        <v>33503.0</v>
      </c>
      <c r="L1799" s="514">
        <v>460948.0</v>
      </c>
      <c r="M1799" s="514">
        <v>1.3396</v>
      </c>
      <c r="N1799" s="6">
        <v>3.0374</v>
      </c>
    </row>
    <row r="1800">
      <c r="A1800" s="512" t="s">
        <v>2040</v>
      </c>
      <c r="B1800" s="512" t="s">
        <v>1867</v>
      </c>
      <c r="C1800" s="512" t="s">
        <v>69</v>
      </c>
      <c r="D1800" s="512" t="s">
        <v>574</v>
      </c>
      <c r="E1800" s="513" t="s">
        <v>49</v>
      </c>
      <c r="F1800" s="514">
        <v>25009.0</v>
      </c>
      <c r="G1800" s="514">
        <v>12801.0</v>
      </c>
      <c r="H1800" s="514">
        <v>51.19</v>
      </c>
      <c r="I1800" s="514">
        <v>5.85</v>
      </c>
      <c r="J1800" s="514">
        <v>5.65</v>
      </c>
      <c r="K1800" s="514">
        <v>26971.0</v>
      </c>
      <c r="L1800" s="514">
        <v>460948.0</v>
      </c>
      <c r="M1800" s="514">
        <v>1.0785</v>
      </c>
      <c r="N1800" s="6">
        <v>2.1069</v>
      </c>
    </row>
    <row r="1801">
      <c r="A1801" s="512" t="s">
        <v>2040</v>
      </c>
      <c r="B1801" s="512" t="s">
        <v>1867</v>
      </c>
      <c r="C1801" s="512" t="s">
        <v>69</v>
      </c>
      <c r="D1801" s="512" t="s">
        <v>574</v>
      </c>
      <c r="E1801" s="513" t="s">
        <v>44</v>
      </c>
      <c r="F1801" s="514">
        <v>25009.0</v>
      </c>
      <c r="G1801" s="514">
        <v>15511.0</v>
      </c>
      <c r="H1801" s="514">
        <v>62.02</v>
      </c>
      <c r="I1801" s="514">
        <v>5.2</v>
      </c>
      <c r="J1801" s="514">
        <v>6.23</v>
      </c>
      <c r="K1801" s="514">
        <v>23958.0</v>
      </c>
      <c r="L1801" s="514">
        <v>460948.0</v>
      </c>
      <c r="M1801" s="514">
        <v>0.958</v>
      </c>
      <c r="N1801" s="6">
        <v>1.5446</v>
      </c>
    </row>
    <row r="1802">
      <c r="A1802" s="512" t="s">
        <v>2040</v>
      </c>
      <c r="B1802" s="512" t="s">
        <v>1867</v>
      </c>
      <c r="C1802" s="512" t="s">
        <v>69</v>
      </c>
      <c r="D1802" s="512" t="s">
        <v>574</v>
      </c>
      <c r="E1802" s="513" t="s">
        <v>372</v>
      </c>
      <c r="F1802" s="514">
        <v>25009.0</v>
      </c>
      <c r="G1802" s="514">
        <v>8958.0</v>
      </c>
      <c r="H1802" s="514">
        <v>35.82</v>
      </c>
      <c r="I1802" s="514">
        <v>2.96</v>
      </c>
      <c r="J1802" s="514">
        <v>2.87</v>
      </c>
      <c r="K1802" s="514">
        <v>13640.0</v>
      </c>
      <c r="L1802" s="514">
        <v>460948.0</v>
      </c>
      <c r="M1802" s="514">
        <v>0.5454</v>
      </c>
      <c r="N1802" s="6">
        <v>1.5227</v>
      </c>
    </row>
    <row r="1803">
      <c r="A1803" s="512" t="s">
        <v>2040</v>
      </c>
      <c r="B1803" s="512" t="s">
        <v>1867</v>
      </c>
      <c r="C1803" s="512" t="s">
        <v>69</v>
      </c>
      <c r="D1803" s="512" t="s">
        <v>574</v>
      </c>
      <c r="E1803" s="513" t="s">
        <v>134</v>
      </c>
      <c r="F1803" s="514">
        <v>25009.0</v>
      </c>
      <c r="G1803" s="514">
        <v>6896.0</v>
      </c>
      <c r="H1803" s="514">
        <v>27.57</v>
      </c>
      <c r="I1803" s="514">
        <v>2.47</v>
      </c>
      <c r="J1803" s="514">
        <v>2.28</v>
      </c>
      <c r="K1803" s="514">
        <v>11398.0</v>
      </c>
      <c r="L1803" s="514">
        <v>460948.0</v>
      </c>
      <c r="M1803" s="514">
        <v>0.4558</v>
      </c>
      <c r="N1803" s="6">
        <v>1.6528</v>
      </c>
    </row>
    <row r="1804">
      <c r="A1804" s="512" t="s">
        <v>2040</v>
      </c>
      <c r="B1804" s="512" t="s">
        <v>1867</v>
      </c>
      <c r="C1804" s="512" t="s">
        <v>69</v>
      </c>
      <c r="D1804" s="512" t="s">
        <v>574</v>
      </c>
      <c r="E1804" s="513" t="s">
        <v>375</v>
      </c>
      <c r="F1804" s="514">
        <v>25009.0</v>
      </c>
      <c r="G1804" s="514">
        <v>7650.0</v>
      </c>
      <c r="H1804" s="514">
        <v>30.59</v>
      </c>
      <c r="I1804" s="514">
        <v>2.07</v>
      </c>
      <c r="J1804" s="514">
        <v>1.96</v>
      </c>
      <c r="K1804" s="514">
        <v>9522.0</v>
      </c>
      <c r="L1804" s="514">
        <v>460948.0</v>
      </c>
      <c r="M1804" s="514">
        <v>0.3807</v>
      </c>
      <c r="N1804" s="6">
        <v>1.2447</v>
      </c>
    </row>
    <row r="1805">
      <c r="A1805" s="512" t="s">
        <v>2040</v>
      </c>
      <c r="B1805" s="512" t="s">
        <v>1867</v>
      </c>
      <c r="C1805" s="512" t="s">
        <v>69</v>
      </c>
      <c r="D1805" s="512" t="s">
        <v>574</v>
      </c>
      <c r="E1805" s="513" t="s">
        <v>35</v>
      </c>
      <c r="F1805" s="514">
        <v>25009.0</v>
      </c>
      <c r="G1805" s="514">
        <v>4606.0</v>
      </c>
      <c r="H1805" s="514">
        <v>18.42</v>
      </c>
      <c r="I1805" s="514">
        <v>1.1</v>
      </c>
      <c r="J1805" s="514">
        <v>1.06</v>
      </c>
      <c r="K1805" s="514">
        <v>5048.0</v>
      </c>
      <c r="L1805" s="514">
        <v>460948.0</v>
      </c>
      <c r="M1805" s="514">
        <v>0.2018</v>
      </c>
      <c r="N1805" s="6">
        <v>1.096</v>
      </c>
    </row>
    <row r="1806">
      <c r="A1806" s="512" t="s">
        <v>2040</v>
      </c>
      <c r="B1806" s="512" t="s">
        <v>1867</v>
      </c>
      <c r="C1806" s="512" t="s">
        <v>69</v>
      </c>
      <c r="D1806" s="512" t="s">
        <v>574</v>
      </c>
      <c r="E1806" s="513" t="s">
        <v>189</v>
      </c>
      <c r="F1806" s="514">
        <v>25009.0</v>
      </c>
      <c r="G1806" s="514">
        <v>3525.0</v>
      </c>
      <c r="H1806" s="514">
        <v>14.09</v>
      </c>
      <c r="I1806" s="514">
        <v>0.78</v>
      </c>
      <c r="J1806" s="514">
        <v>0.73</v>
      </c>
      <c r="K1806" s="514">
        <v>3596.0</v>
      </c>
      <c r="L1806" s="514">
        <v>460948.0</v>
      </c>
      <c r="M1806" s="514">
        <v>0.1438</v>
      </c>
      <c r="N1806" s="6">
        <v>1.0201</v>
      </c>
    </row>
    <row r="1807">
      <c r="A1807" s="512" t="s">
        <v>2040</v>
      </c>
      <c r="B1807" s="512" t="s">
        <v>1867</v>
      </c>
      <c r="C1807" s="512" t="s">
        <v>69</v>
      </c>
      <c r="D1807" s="512" t="s">
        <v>574</v>
      </c>
      <c r="E1807" s="513" t="s">
        <v>42</v>
      </c>
      <c r="F1807" s="514">
        <v>25009.0</v>
      </c>
      <c r="G1807" s="514">
        <v>1260.0</v>
      </c>
      <c r="H1807" s="514">
        <v>5.04</v>
      </c>
      <c r="I1807" s="514">
        <v>0.3</v>
      </c>
      <c r="J1807" s="514">
        <v>0.34</v>
      </c>
      <c r="K1807" s="514">
        <v>1381.0</v>
      </c>
      <c r="L1807" s="514">
        <v>460948.0</v>
      </c>
      <c r="M1807" s="514">
        <v>0.0552</v>
      </c>
      <c r="N1807" s="6">
        <v>1.096</v>
      </c>
    </row>
    <row r="1808">
      <c r="A1808" s="512" t="s">
        <v>2040</v>
      </c>
      <c r="B1808" s="512" t="s">
        <v>1867</v>
      </c>
      <c r="C1808" s="512" t="s">
        <v>69</v>
      </c>
      <c r="D1808" s="512" t="s">
        <v>574</v>
      </c>
      <c r="E1808" s="513" t="s">
        <v>50</v>
      </c>
      <c r="F1808" s="514">
        <v>25009.0</v>
      </c>
      <c r="G1808" s="514">
        <v>855.0</v>
      </c>
      <c r="H1808" s="514">
        <v>3.42</v>
      </c>
      <c r="I1808" s="514">
        <v>0.2</v>
      </c>
      <c r="J1808" s="514">
        <v>0.17</v>
      </c>
      <c r="K1808" s="514">
        <v>928.0</v>
      </c>
      <c r="L1808" s="514">
        <v>460948.0</v>
      </c>
      <c r="M1808" s="514">
        <v>0.0371</v>
      </c>
      <c r="N1808" s="6">
        <v>1.0854</v>
      </c>
    </row>
    <row r="1809">
      <c r="A1809" s="512" t="s">
        <v>2040</v>
      </c>
      <c r="B1809" s="512" t="s">
        <v>1867</v>
      </c>
      <c r="C1809" s="512" t="s">
        <v>69</v>
      </c>
      <c r="D1809" s="512" t="s">
        <v>574</v>
      </c>
      <c r="E1809" s="513" t="s">
        <v>43</v>
      </c>
      <c r="F1809" s="514">
        <v>25009.0</v>
      </c>
      <c r="G1809" s="514">
        <v>422.0</v>
      </c>
      <c r="H1809" s="514">
        <v>1.69</v>
      </c>
      <c r="I1809" s="514">
        <v>0.1</v>
      </c>
      <c r="J1809" s="514">
        <v>0.11</v>
      </c>
      <c r="K1809" s="514">
        <v>438.0</v>
      </c>
      <c r="L1809" s="514">
        <v>460948.0</v>
      </c>
      <c r="M1809" s="514">
        <v>0.0175</v>
      </c>
      <c r="N1809" s="6">
        <v>1.0379</v>
      </c>
    </row>
    <row r="1810">
      <c r="A1810" s="512" t="s">
        <v>2040</v>
      </c>
      <c r="B1810" s="512" t="s">
        <v>1867</v>
      </c>
      <c r="C1810" s="512" t="s">
        <v>69</v>
      </c>
      <c r="D1810" s="512" t="s">
        <v>574</v>
      </c>
      <c r="E1810" s="513" t="s">
        <v>310</v>
      </c>
      <c r="F1810" s="514">
        <v>25009.0</v>
      </c>
      <c r="G1810" s="514">
        <v>1.0</v>
      </c>
      <c r="H1810" s="514">
        <v>0.0</v>
      </c>
      <c r="I1810" s="514">
        <v>0.0</v>
      </c>
      <c r="J1810" s="514">
        <v>0.0</v>
      </c>
      <c r="K1810" s="514">
        <v>3.0</v>
      </c>
      <c r="L1810" s="514">
        <v>460948.0</v>
      </c>
      <c r="M1810" s="514">
        <v>1.0E-4</v>
      </c>
      <c r="N1810" s="6">
        <v>3.0</v>
      </c>
    </row>
    <row r="1811">
      <c r="A1811" s="512" t="s">
        <v>2040</v>
      </c>
      <c r="B1811" s="512" t="s">
        <v>1867</v>
      </c>
      <c r="C1811" s="512" t="s">
        <v>69</v>
      </c>
      <c r="D1811" s="512" t="s">
        <v>574</v>
      </c>
      <c r="E1811" s="513" t="s">
        <v>32</v>
      </c>
      <c r="F1811" s="514">
        <v>25009.0</v>
      </c>
      <c r="G1811" s="514">
        <v>12.0</v>
      </c>
      <c r="H1811" s="514">
        <v>0.05</v>
      </c>
      <c r="I1811" s="514">
        <v>0.0</v>
      </c>
      <c r="J1811" s="514">
        <v>0.01</v>
      </c>
      <c r="K1811" s="514">
        <v>15.0</v>
      </c>
      <c r="L1811" s="514">
        <v>460948.0</v>
      </c>
      <c r="M1811" s="514">
        <v>6.0E-4</v>
      </c>
      <c r="N1811" s="6">
        <v>1.25</v>
      </c>
    </row>
    <row r="1812">
      <c r="A1812" s="512" t="s">
        <v>2040</v>
      </c>
      <c r="B1812" s="512" t="s">
        <v>1867</v>
      </c>
      <c r="C1812" s="512" t="s">
        <v>68</v>
      </c>
      <c r="D1812" s="512" t="s">
        <v>574</v>
      </c>
      <c r="E1812" s="513" t="s">
        <v>377</v>
      </c>
      <c r="F1812" s="514">
        <v>22770.0</v>
      </c>
      <c r="G1812" s="514">
        <v>17344.0</v>
      </c>
      <c r="H1812" s="514">
        <v>76.17</v>
      </c>
      <c r="I1812" s="514">
        <v>42.81</v>
      </c>
      <c r="J1812" s="514">
        <v>36.12</v>
      </c>
      <c r="K1812" s="514">
        <v>3469008.0</v>
      </c>
      <c r="L1812" s="514">
        <v>8103112.0</v>
      </c>
      <c r="M1812" s="514">
        <v>152.3499</v>
      </c>
      <c r="N1812" s="6">
        <v>200.012</v>
      </c>
    </row>
    <row r="1813">
      <c r="A1813" s="512" t="s">
        <v>2040</v>
      </c>
      <c r="B1813" s="512" t="s">
        <v>1867</v>
      </c>
      <c r="C1813" s="512" t="s">
        <v>68</v>
      </c>
      <c r="D1813" s="512" t="s">
        <v>574</v>
      </c>
      <c r="E1813" s="513" t="s">
        <v>50</v>
      </c>
      <c r="F1813" s="514">
        <v>22770.0</v>
      </c>
      <c r="G1813" s="514">
        <v>15664.0</v>
      </c>
      <c r="H1813" s="514">
        <v>68.79</v>
      </c>
      <c r="I1813" s="514">
        <v>23.58</v>
      </c>
      <c r="J1813" s="514">
        <v>30.42</v>
      </c>
      <c r="K1813" s="514">
        <v>1910770.0</v>
      </c>
      <c r="L1813" s="514">
        <v>8103112.0</v>
      </c>
      <c r="M1813" s="514">
        <v>83.9161</v>
      </c>
      <c r="N1813" s="6">
        <v>121.9848</v>
      </c>
    </row>
    <row r="1814">
      <c r="A1814" s="512" t="s">
        <v>2040</v>
      </c>
      <c r="B1814" s="512" t="s">
        <v>1867</v>
      </c>
      <c r="C1814" s="512" t="s">
        <v>68</v>
      </c>
      <c r="D1814" s="512" t="s">
        <v>574</v>
      </c>
      <c r="E1814" s="513" t="s">
        <v>43</v>
      </c>
      <c r="F1814" s="514">
        <v>22770.0</v>
      </c>
      <c r="G1814" s="514">
        <v>7666.0</v>
      </c>
      <c r="H1814" s="514">
        <v>33.67</v>
      </c>
      <c r="I1814" s="514">
        <v>21.41</v>
      </c>
      <c r="J1814" s="514">
        <v>14.69</v>
      </c>
      <c r="K1814" s="514">
        <v>1734970.0</v>
      </c>
      <c r="L1814" s="514">
        <v>8103112.0</v>
      </c>
      <c r="M1814" s="514">
        <v>76.1954</v>
      </c>
      <c r="N1814" s="6">
        <v>226.3201</v>
      </c>
    </row>
    <row r="1815">
      <c r="A1815" s="512" t="s">
        <v>2040</v>
      </c>
      <c r="B1815" s="512" t="s">
        <v>1867</v>
      </c>
      <c r="C1815" s="512" t="s">
        <v>68</v>
      </c>
      <c r="D1815" s="512" t="s">
        <v>574</v>
      </c>
      <c r="E1815" s="513" t="s">
        <v>49</v>
      </c>
      <c r="F1815" s="514">
        <v>22770.0</v>
      </c>
      <c r="G1815" s="514">
        <v>12680.0</v>
      </c>
      <c r="H1815" s="514">
        <v>55.69</v>
      </c>
      <c r="I1815" s="514">
        <v>6.57</v>
      </c>
      <c r="J1815" s="514">
        <v>12.93</v>
      </c>
      <c r="K1815" s="514">
        <v>532440.0</v>
      </c>
      <c r="L1815" s="514">
        <v>8103112.0</v>
      </c>
      <c r="M1815" s="514">
        <v>23.3834</v>
      </c>
      <c r="N1815" s="6">
        <v>41.9905</v>
      </c>
    </row>
    <row r="1816">
      <c r="A1816" s="512" t="s">
        <v>2040</v>
      </c>
      <c r="B1816" s="512" t="s">
        <v>1867</v>
      </c>
      <c r="C1816" s="512" t="s">
        <v>68</v>
      </c>
      <c r="D1816" s="512" t="s">
        <v>574</v>
      </c>
      <c r="E1816" s="513" t="s">
        <v>134</v>
      </c>
      <c r="F1816" s="514">
        <v>22770.0</v>
      </c>
      <c r="G1816" s="514">
        <v>4859.0</v>
      </c>
      <c r="H1816" s="514">
        <v>21.34</v>
      </c>
      <c r="I1816" s="514">
        <v>3.57</v>
      </c>
      <c r="J1816" s="514">
        <v>4.1</v>
      </c>
      <c r="K1816" s="514">
        <v>288940.0</v>
      </c>
      <c r="L1816" s="514">
        <v>8103112.0</v>
      </c>
      <c r="M1816" s="514">
        <v>12.6895</v>
      </c>
      <c r="N1816" s="6">
        <v>59.4649</v>
      </c>
    </row>
    <row r="1817">
      <c r="A1817" s="512" t="s">
        <v>2040</v>
      </c>
      <c r="B1817" s="512" t="s">
        <v>1867</v>
      </c>
      <c r="C1817" s="512" t="s">
        <v>68</v>
      </c>
      <c r="D1817" s="512" t="s">
        <v>574</v>
      </c>
      <c r="E1817" s="513" t="s">
        <v>380</v>
      </c>
      <c r="F1817" s="514">
        <v>22770.0</v>
      </c>
      <c r="G1817" s="514">
        <v>1135.0</v>
      </c>
      <c r="H1817" s="514">
        <v>4.98</v>
      </c>
      <c r="I1817" s="514">
        <v>2.06</v>
      </c>
      <c r="J1817" s="514">
        <v>1.74</v>
      </c>
      <c r="K1817" s="514">
        <v>166924.0</v>
      </c>
      <c r="L1817" s="514">
        <v>8103112.0</v>
      </c>
      <c r="M1817" s="514">
        <v>7.3309</v>
      </c>
      <c r="N1817" s="6">
        <v>147.0696</v>
      </c>
    </row>
    <row r="1818">
      <c r="A1818" s="512" t="s">
        <v>2040</v>
      </c>
      <c r="B1818" s="512" t="s">
        <v>1867</v>
      </c>
      <c r="C1818" s="512" t="s">
        <v>68</v>
      </c>
      <c r="D1818" s="512" t="s">
        <v>574</v>
      </c>
      <c r="E1818" s="513" t="s">
        <v>32</v>
      </c>
      <c r="F1818" s="514">
        <v>22770.0</v>
      </c>
      <c r="G1818" s="514">
        <v>4.0</v>
      </c>
      <c r="H1818" s="514">
        <v>0.02</v>
      </c>
      <c r="I1818" s="514">
        <v>0.0</v>
      </c>
      <c r="J1818" s="514">
        <v>0.01</v>
      </c>
      <c r="K1818" s="514">
        <v>60.0</v>
      </c>
      <c r="L1818" s="514">
        <v>8103112.0</v>
      </c>
      <c r="M1818" s="514">
        <v>0.0026</v>
      </c>
      <c r="N1818" s="6">
        <v>15.0</v>
      </c>
    </row>
    <row r="1819">
      <c r="A1819" s="512" t="s">
        <v>2040</v>
      </c>
      <c r="B1819" s="512" t="s">
        <v>1867</v>
      </c>
      <c r="C1819" s="512" t="s">
        <v>2035</v>
      </c>
      <c r="D1819" s="512" t="s">
        <v>2036</v>
      </c>
      <c r="E1819" s="513" t="s">
        <v>134</v>
      </c>
      <c r="F1819" s="514">
        <v>4141.0</v>
      </c>
      <c r="G1819" s="514">
        <v>4108.0</v>
      </c>
      <c r="H1819" s="514">
        <v>99.2</v>
      </c>
      <c r="I1819" s="514">
        <v>98.98</v>
      </c>
      <c r="J1819" s="514">
        <v>98.99</v>
      </c>
      <c r="K1819" s="514">
        <v>93100.0</v>
      </c>
      <c r="L1819" s="514">
        <v>94060.0</v>
      </c>
      <c r="M1819" s="514">
        <v>22.4825</v>
      </c>
      <c r="N1819" s="6">
        <v>22.6631</v>
      </c>
    </row>
    <row r="1820">
      <c r="A1820" s="512" t="s">
        <v>2040</v>
      </c>
      <c r="B1820" s="512" t="s">
        <v>1867</v>
      </c>
      <c r="C1820" s="512" t="s">
        <v>2035</v>
      </c>
      <c r="D1820" s="512" t="s">
        <v>2036</v>
      </c>
      <c r="E1820" s="513" t="s">
        <v>373</v>
      </c>
      <c r="F1820" s="514">
        <v>4141.0</v>
      </c>
      <c r="G1820" s="514">
        <v>49.0</v>
      </c>
      <c r="H1820" s="514">
        <v>1.18</v>
      </c>
      <c r="I1820" s="514">
        <v>1.02</v>
      </c>
      <c r="J1820" s="514">
        <v>1.01</v>
      </c>
      <c r="K1820" s="514">
        <v>960.0</v>
      </c>
      <c r="L1820" s="514">
        <v>94060.0</v>
      </c>
      <c r="M1820" s="514">
        <v>0.2318</v>
      </c>
      <c r="N1820" s="6">
        <v>19.5918</v>
      </c>
    </row>
    <row r="1821">
      <c r="A1821" s="512" t="s">
        <v>2040</v>
      </c>
      <c r="B1821" s="512" t="s">
        <v>1867</v>
      </c>
      <c r="C1821" s="512" t="s">
        <v>73</v>
      </c>
      <c r="D1821" s="512" t="s">
        <v>574</v>
      </c>
      <c r="E1821" s="513" t="s">
        <v>379</v>
      </c>
      <c r="F1821" s="514">
        <v>24870.0</v>
      </c>
      <c r="G1821" s="514">
        <v>23153.0</v>
      </c>
      <c r="H1821" s="514">
        <v>93.1</v>
      </c>
      <c r="I1821" s="514">
        <v>35.19</v>
      </c>
      <c r="J1821" s="514">
        <v>36.84</v>
      </c>
      <c r="K1821" s="514">
        <v>126996.0</v>
      </c>
      <c r="L1821" s="514">
        <v>360894.0</v>
      </c>
      <c r="M1821" s="514">
        <v>5.1064</v>
      </c>
      <c r="N1821" s="6">
        <v>5.4851</v>
      </c>
    </row>
    <row r="1822">
      <c r="A1822" s="512" t="s">
        <v>2040</v>
      </c>
      <c r="B1822" s="512" t="s">
        <v>1867</v>
      </c>
      <c r="C1822" s="512" t="s">
        <v>73</v>
      </c>
      <c r="D1822" s="512" t="s">
        <v>574</v>
      </c>
      <c r="E1822" s="513" t="s">
        <v>372</v>
      </c>
      <c r="F1822" s="514">
        <v>24870.0</v>
      </c>
      <c r="G1822" s="514">
        <v>16325.0</v>
      </c>
      <c r="H1822" s="514">
        <v>65.64</v>
      </c>
      <c r="I1822" s="514">
        <v>11.54</v>
      </c>
      <c r="J1822" s="514">
        <v>11.83</v>
      </c>
      <c r="K1822" s="514">
        <v>41641.0</v>
      </c>
      <c r="L1822" s="514">
        <v>360894.0</v>
      </c>
      <c r="M1822" s="514">
        <v>1.6743</v>
      </c>
      <c r="N1822" s="6">
        <v>2.5508</v>
      </c>
    </row>
    <row r="1823">
      <c r="A1823" s="512" t="s">
        <v>2040</v>
      </c>
      <c r="B1823" s="512" t="s">
        <v>1867</v>
      </c>
      <c r="C1823" s="512" t="s">
        <v>73</v>
      </c>
      <c r="D1823" s="512" t="s">
        <v>574</v>
      </c>
      <c r="E1823" s="513" t="s">
        <v>380</v>
      </c>
      <c r="F1823" s="514">
        <v>24870.0</v>
      </c>
      <c r="G1823" s="514">
        <v>14655.0</v>
      </c>
      <c r="H1823" s="514">
        <v>58.93</v>
      </c>
      <c r="I1823" s="514">
        <v>11.42</v>
      </c>
      <c r="J1823" s="514">
        <v>12.43</v>
      </c>
      <c r="K1823" s="514">
        <v>41213.0</v>
      </c>
      <c r="L1823" s="514">
        <v>360894.0</v>
      </c>
      <c r="M1823" s="514">
        <v>1.6571</v>
      </c>
      <c r="N1823" s="6">
        <v>2.8122</v>
      </c>
    </row>
    <row r="1824">
      <c r="A1824" s="512" t="s">
        <v>2040</v>
      </c>
      <c r="B1824" s="512" t="s">
        <v>1867</v>
      </c>
      <c r="C1824" s="512" t="s">
        <v>73</v>
      </c>
      <c r="D1824" s="512" t="s">
        <v>574</v>
      </c>
      <c r="E1824" s="513" t="s">
        <v>377</v>
      </c>
      <c r="F1824" s="514">
        <v>24870.0</v>
      </c>
      <c r="G1824" s="514">
        <v>10513.0</v>
      </c>
      <c r="H1824" s="514">
        <v>42.27</v>
      </c>
      <c r="I1824" s="514">
        <v>8.06</v>
      </c>
      <c r="J1824" s="514">
        <v>6.29</v>
      </c>
      <c r="K1824" s="514">
        <v>29080.0</v>
      </c>
      <c r="L1824" s="514">
        <v>360894.0</v>
      </c>
      <c r="M1824" s="514">
        <v>1.1693</v>
      </c>
      <c r="N1824" s="6">
        <v>2.7661</v>
      </c>
    </row>
    <row r="1825">
      <c r="A1825" s="512" t="s">
        <v>2040</v>
      </c>
      <c r="B1825" s="512" t="s">
        <v>1867</v>
      </c>
      <c r="C1825" s="512" t="s">
        <v>73</v>
      </c>
      <c r="D1825" s="512" t="s">
        <v>574</v>
      </c>
      <c r="E1825" s="513" t="s">
        <v>44</v>
      </c>
      <c r="F1825" s="514">
        <v>24870.0</v>
      </c>
      <c r="G1825" s="514">
        <v>12633.0</v>
      </c>
      <c r="H1825" s="514">
        <v>50.8</v>
      </c>
      <c r="I1825" s="514">
        <v>5.31</v>
      </c>
      <c r="J1825" s="514">
        <v>5.66</v>
      </c>
      <c r="K1825" s="514">
        <v>19151.0</v>
      </c>
      <c r="L1825" s="514">
        <v>360894.0</v>
      </c>
      <c r="M1825" s="514">
        <v>0.77</v>
      </c>
      <c r="N1825" s="6">
        <v>1.516</v>
      </c>
    </row>
    <row r="1826">
      <c r="A1826" s="512" t="s">
        <v>2040</v>
      </c>
      <c r="B1826" s="512" t="s">
        <v>1867</v>
      </c>
      <c r="C1826" s="512" t="s">
        <v>73</v>
      </c>
      <c r="D1826" s="512" t="s">
        <v>574</v>
      </c>
      <c r="E1826" s="513" t="s">
        <v>373</v>
      </c>
      <c r="F1826" s="514">
        <v>24870.0</v>
      </c>
      <c r="G1826" s="514">
        <v>9603.0</v>
      </c>
      <c r="H1826" s="514">
        <v>38.61</v>
      </c>
      <c r="I1826" s="514">
        <v>4.13</v>
      </c>
      <c r="J1826" s="514">
        <v>3.58</v>
      </c>
      <c r="K1826" s="514">
        <v>14902.0</v>
      </c>
      <c r="L1826" s="514">
        <v>360894.0</v>
      </c>
      <c r="M1826" s="514">
        <v>0.5992</v>
      </c>
      <c r="N1826" s="6">
        <v>1.5518</v>
      </c>
    </row>
    <row r="1827">
      <c r="A1827" s="512" t="s">
        <v>2040</v>
      </c>
      <c r="B1827" s="512" t="s">
        <v>1867</v>
      </c>
      <c r="C1827" s="512" t="s">
        <v>73</v>
      </c>
      <c r="D1827" s="512" t="s">
        <v>574</v>
      </c>
      <c r="E1827" s="513" t="s">
        <v>42</v>
      </c>
      <c r="F1827" s="514">
        <v>24870.0</v>
      </c>
      <c r="G1827" s="514">
        <v>8651.0</v>
      </c>
      <c r="H1827" s="514">
        <v>34.78</v>
      </c>
      <c r="I1827" s="514">
        <v>3.95</v>
      </c>
      <c r="J1827" s="514">
        <v>4.42</v>
      </c>
      <c r="K1827" s="514">
        <v>14250.0</v>
      </c>
      <c r="L1827" s="514">
        <v>360894.0</v>
      </c>
      <c r="M1827" s="514">
        <v>0.573</v>
      </c>
      <c r="N1827" s="6">
        <v>1.6472</v>
      </c>
    </row>
    <row r="1828">
      <c r="A1828" s="512" t="s">
        <v>2040</v>
      </c>
      <c r="B1828" s="512" t="s">
        <v>1867</v>
      </c>
      <c r="C1828" s="512" t="s">
        <v>73</v>
      </c>
      <c r="D1828" s="512" t="s">
        <v>574</v>
      </c>
      <c r="E1828" s="513" t="s">
        <v>367</v>
      </c>
      <c r="F1828" s="514">
        <v>24870.0</v>
      </c>
      <c r="G1828" s="514">
        <v>5616.0</v>
      </c>
      <c r="H1828" s="514">
        <v>22.58</v>
      </c>
      <c r="I1828" s="514">
        <v>3.93</v>
      </c>
      <c r="J1828" s="514">
        <v>3.0</v>
      </c>
      <c r="K1828" s="514">
        <v>14187.0</v>
      </c>
      <c r="L1828" s="514">
        <v>360894.0</v>
      </c>
      <c r="M1828" s="514">
        <v>0.5704</v>
      </c>
      <c r="N1828" s="6">
        <v>2.5262</v>
      </c>
    </row>
    <row r="1829">
      <c r="A1829" s="512" t="s">
        <v>2040</v>
      </c>
      <c r="B1829" s="512" t="s">
        <v>1867</v>
      </c>
      <c r="C1829" s="512" t="s">
        <v>73</v>
      </c>
      <c r="D1829" s="512" t="s">
        <v>574</v>
      </c>
      <c r="E1829" s="513" t="s">
        <v>134</v>
      </c>
      <c r="F1829" s="514">
        <v>24870.0</v>
      </c>
      <c r="G1829" s="514">
        <v>6720.0</v>
      </c>
      <c r="H1829" s="514">
        <v>27.02</v>
      </c>
      <c r="I1829" s="514">
        <v>3.84</v>
      </c>
      <c r="J1829" s="514">
        <v>4.26</v>
      </c>
      <c r="K1829" s="514">
        <v>13858.0</v>
      </c>
      <c r="L1829" s="514">
        <v>360894.0</v>
      </c>
      <c r="M1829" s="514">
        <v>0.5572</v>
      </c>
      <c r="N1829" s="6">
        <v>2.0622</v>
      </c>
    </row>
    <row r="1830">
      <c r="A1830" s="512" t="s">
        <v>2040</v>
      </c>
      <c r="B1830" s="512" t="s">
        <v>1867</v>
      </c>
      <c r="C1830" s="512" t="s">
        <v>73</v>
      </c>
      <c r="D1830" s="512" t="s">
        <v>574</v>
      </c>
      <c r="E1830" s="513" t="s">
        <v>50</v>
      </c>
      <c r="F1830" s="514">
        <v>24870.0</v>
      </c>
      <c r="G1830" s="514">
        <v>7205.0</v>
      </c>
      <c r="H1830" s="514">
        <v>28.97</v>
      </c>
      <c r="I1830" s="514">
        <v>2.83</v>
      </c>
      <c r="J1830" s="514">
        <v>2.99</v>
      </c>
      <c r="K1830" s="514">
        <v>10218.0</v>
      </c>
      <c r="L1830" s="514">
        <v>360894.0</v>
      </c>
      <c r="M1830" s="514">
        <v>0.4109</v>
      </c>
      <c r="N1830" s="6">
        <v>1.4182</v>
      </c>
    </row>
    <row r="1831">
      <c r="A1831" s="512" t="s">
        <v>2040</v>
      </c>
      <c r="B1831" s="512" t="s">
        <v>1867</v>
      </c>
      <c r="C1831" s="512" t="s">
        <v>73</v>
      </c>
      <c r="D1831" s="512" t="s">
        <v>574</v>
      </c>
      <c r="E1831" s="513" t="s">
        <v>40</v>
      </c>
      <c r="F1831" s="514">
        <v>24870.0</v>
      </c>
      <c r="G1831" s="514">
        <v>2553.0</v>
      </c>
      <c r="H1831" s="514">
        <v>10.27</v>
      </c>
      <c r="I1831" s="514">
        <v>2.06</v>
      </c>
      <c r="J1831" s="514">
        <v>1.51</v>
      </c>
      <c r="K1831" s="514">
        <v>7420.0</v>
      </c>
      <c r="L1831" s="514">
        <v>360894.0</v>
      </c>
      <c r="M1831" s="514">
        <v>0.2984</v>
      </c>
      <c r="N1831" s="6">
        <v>2.9064</v>
      </c>
    </row>
    <row r="1832">
      <c r="A1832" s="512" t="s">
        <v>2040</v>
      </c>
      <c r="B1832" s="512" t="s">
        <v>1867</v>
      </c>
      <c r="C1832" s="512" t="s">
        <v>73</v>
      </c>
      <c r="D1832" s="512" t="s">
        <v>574</v>
      </c>
      <c r="E1832" s="513" t="s">
        <v>312</v>
      </c>
      <c r="F1832" s="514">
        <v>24870.0</v>
      </c>
      <c r="G1832" s="514">
        <v>5561.0</v>
      </c>
      <c r="H1832" s="514">
        <v>22.36</v>
      </c>
      <c r="I1832" s="514">
        <v>1.95</v>
      </c>
      <c r="J1832" s="514">
        <v>1.78</v>
      </c>
      <c r="K1832" s="514">
        <v>7045.0</v>
      </c>
      <c r="L1832" s="514">
        <v>360894.0</v>
      </c>
      <c r="M1832" s="514">
        <v>0.2833</v>
      </c>
      <c r="N1832" s="6">
        <v>1.2669</v>
      </c>
    </row>
    <row r="1833">
      <c r="A1833" s="512" t="s">
        <v>2040</v>
      </c>
      <c r="B1833" s="512" t="s">
        <v>1867</v>
      </c>
      <c r="C1833" s="512" t="s">
        <v>73</v>
      </c>
      <c r="D1833" s="512" t="s">
        <v>574</v>
      </c>
      <c r="E1833" s="513" t="s">
        <v>310</v>
      </c>
      <c r="F1833" s="514">
        <v>24870.0</v>
      </c>
      <c r="G1833" s="514">
        <v>5248.0</v>
      </c>
      <c r="H1833" s="514">
        <v>21.1</v>
      </c>
      <c r="I1833" s="514">
        <v>1.8</v>
      </c>
      <c r="J1833" s="514">
        <v>1.76</v>
      </c>
      <c r="K1833" s="514">
        <v>6509.0</v>
      </c>
      <c r="L1833" s="514">
        <v>360894.0</v>
      </c>
      <c r="M1833" s="514">
        <v>0.2617</v>
      </c>
      <c r="N1833" s="6">
        <v>1.2403</v>
      </c>
    </row>
    <row r="1834">
      <c r="A1834" s="512" t="s">
        <v>2040</v>
      </c>
      <c r="B1834" s="512" t="s">
        <v>1867</v>
      </c>
      <c r="C1834" s="512" t="s">
        <v>73</v>
      </c>
      <c r="D1834" s="512" t="s">
        <v>574</v>
      </c>
      <c r="E1834" s="513" t="s">
        <v>32</v>
      </c>
      <c r="F1834" s="514">
        <v>24870.0</v>
      </c>
      <c r="G1834" s="514">
        <v>4762.0</v>
      </c>
      <c r="H1834" s="514">
        <v>19.15</v>
      </c>
      <c r="I1834" s="514">
        <v>1.58</v>
      </c>
      <c r="J1834" s="514">
        <v>1.59</v>
      </c>
      <c r="K1834" s="514">
        <v>5712.0</v>
      </c>
      <c r="L1834" s="514">
        <v>360894.0</v>
      </c>
      <c r="M1834" s="514">
        <v>0.2297</v>
      </c>
      <c r="N1834" s="6">
        <v>1.1995</v>
      </c>
    </row>
    <row r="1835">
      <c r="A1835" s="512" t="s">
        <v>2040</v>
      </c>
      <c r="B1835" s="512" t="s">
        <v>1867</v>
      </c>
      <c r="C1835" s="512" t="s">
        <v>73</v>
      </c>
      <c r="D1835" s="512" t="s">
        <v>574</v>
      </c>
      <c r="E1835" s="513" t="s">
        <v>43</v>
      </c>
      <c r="F1835" s="514">
        <v>24870.0</v>
      </c>
      <c r="G1835" s="514">
        <v>3188.0</v>
      </c>
      <c r="H1835" s="514">
        <v>12.82</v>
      </c>
      <c r="I1835" s="514">
        <v>1.01</v>
      </c>
      <c r="J1835" s="514">
        <v>0.99</v>
      </c>
      <c r="K1835" s="514">
        <v>3635.0</v>
      </c>
      <c r="L1835" s="514">
        <v>360894.0</v>
      </c>
      <c r="M1835" s="514">
        <v>0.1462</v>
      </c>
      <c r="N1835" s="6">
        <v>1.1402</v>
      </c>
    </row>
    <row r="1836">
      <c r="A1836" s="512" t="s">
        <v>2040</v>
      </c>
      <c r="B1836" s="512" t="s">
        <v>1867</v>
      </c>
      <c r="C1836" s="512" t="s">
        <v>73</v>
      </c>
      <c r="D1836" s="512" t="s">
        <v>574</v>
      </c>
      <c r="E1836" s="513" t="s">
        <v>35</v>
      </c>
      <c r="F1836" s="514">
        <v>24870.0</v>
      </c>
      <c r="G1836" s="514">
        <v>2551.0</v>
      </c>
      <c r="H1836" s="514">
        <v>10.26</v>
      </c>
      <c r="I1836" s="514">
        <v>0.77</v>
      </c>
      <c r="J1836" s="514">
        <v>0.49</v>
      </c>
      <c r="K1836" s="514">
        <v>2764.0</v>
      </c>
      <c r="L1836" s="514">
        <v>360894.0</v>
      </c>
      <c r="M1836" s="514">
        <v>0.1111</v>
      </c>
      <c r="N1836" s="6">
        <v>1.0835</v>
      </c>
    </row>
    <row r="1837">
      <c r="A1837" s="512" t="s">
        <v>2040</v>
      </c>
      <c r="B1837" s="512" t="s">
        <v>1867</v>
      </c>
      <c r="C1837" s="512" t="s">
        <v>73</v>
      </c>
      <c r="D1837" s="512" t="s">
        <v>574</v>
      </c>
      <c r="E1837" s="513" t="s">
        <v>311</v>
      </c>
      <c r="F1837" s="514">
        <v>24870.0</v>
      </c>
      <c r="G1837" s="514">
        <v>1671.0</v>
      </c>
      <c r="H1837" s="514">
        <v>6.72</v>
      </c>
      <c r="I1837" s="514">
        <v>0.47</v>
      </c>
      <c r="J1837" s="514">
        <v>0.51</v>
      </c>
      <c r="K1837" s="514">
        <v>1696.0</v>
      </c>
      <c r="L1837" s="514">
        <v>360894.0</v>
      </c>
      <c r="M1837" s="514">
        <v>0.0682</v>
      </c>
      <c r="N1837" s="6">
        <v>1.015</v>
      </c>
    </row>
    <row r="1838">
      <c r="A1838" s="512" t="s">
        <v>2040</v>
      </c>
      <c r="B1838" s="512" t="s">
        <v>1867</v>
      </c>
      <c r="C1838" s="512" t="s">
        <v>73</v>
      </c>
      <c r="D1838" s="512" t="s">
        <v>574</v>
      </c>
      <c r="E1838" s="513" t="s">
        <v>189</v>
      </c>
      <c r="F1838" s="514">
        <v>24870.0</v>
      </c>
      <c r="G1838" s="514">
        <v>598.0</v>
      </c>
      <c r="H1838" s="514">
        <v>2.4</v>
      </c>
      <c r="I1838" s="514">
        <v>0.17</v>
      </c>
      <c r="J1838" s="514">
        <v>0.07</v>
      </c>
      <c r="K1838" s="514">
        <v>617.0</v>
      </c>
      <c r="L1838" s="514">
        <v>360894.0</v>
      </c>
      <c r="M1838" s="514">
        <v>0.0248</v>
      </c>
      <c r="N1838" s="6">
        <v>1.0318</v>
      </c>
    </row>
    <row r="1839">
      <c r="A1839" s="512" t="s">
        <v>2040</v>
      </c>
      <c r="B1839" s="512" t="s">
        <v>1867</v>
      </c>
      <c r="C1839" s="512" t="s">
        <v>72</v>
      </c>
      <c r="D1839" s="512" t="s">
        <v>574</v>
      </c>
      <c r="E1839" s="513" t="s">
        <v>379</v>
      </c>
      <c r="F1839" s="514">
        <v>24705.0</v>
      </c>
      <c r="G1839" s="514">
        <v>21244.0</v>
      </c>
      <c r="H1839" s="514">
        <v>85.99</v>
      </c>
      <c r="I1839" s="514">
        <v>27.86</v>
      </c>
      <c r="J1839" s="514">
        <v>29.29</v>
      </c>
      <c r="K1839" s="514">
        <v>94688.0</v>
      </c>
      <c r="L1839" s="514">
        <v>339820.0</v>
      </c>
      <c r="M1839" s="514">
        <v>3.8327</v>
      </c>
      <c r="N1839" s="6">
        <v>4.4572</v>
      </c>
    </row>
    <row r="1840">
      <c r="A1840" s="512" t="s">
        <v>2040</v>
      </c>
      <c r="B1840" s="512" t="s">
        <v>1867</v>
      </c>
      <c r="C1840" s="512" t="s">
        <v>72</v>
      </c>
      <c r="D1840" s="512" t="s">
        <v>574</v>
      </c>
      <c r="E1840" s="513" t="s">
        <v>377</v>
      </c>
      <c r="F1840" s="514">
        <v>24705.0</v>
      </c>
      <c r="G1840" s="514">
        <v>9169.0</v>
      </c>
      <c r="H1840" s="514">
        <v>37.11</v>
      </c>
      <c r="I1840" s="514">
        <v>8.46</v>
      </c>
      <c r="J1840" s="514">
        <v>5.94</v>
      </c>
      <c r="K1840" s="514">
        <v>28738.0</v>
      </c>
      <c r="L1840" s="514">
        <v>339820.0</v>
      </c>
      <c r="M1840" s="514">
        <v>1.1632</v>
      </c>
      <c r="N1840" s="6">
        <v>3.1343</v>
      </c>
    </row>
    <row r="1841">
      <c r="A1841" s="512" t="s">
        <v>2040</v>
      </c>
      <c r="B1841" s="512" t="s">
        <v>1867</v>
      </c>
      <c r="C1841" s="512" t="s">
        <v>72</v>
      </c>
      <c r="D1841" s="512" t="s">
        <v>574</v>
      </c>
      <c r="E1841" s="513" t="s">
        <v>380</v>
      </c>
      <c r="F1841" s="514">
        <v>24705.0</v>
      </c>
      <c r="G1841" s="514">
        <v>10285.0</v>
      </c>
      <c r="H1841" s="514">
        <v>41.63</v>
      </c>
      <c r="I1841" s="514">
        <v>8.35</v>
      </c>
      <c r="J1841" s="514">
        <v>7.6</v>
      </c>
      <c r="K1841" s="514">
        <v>28390.0</v>
      </c>
      <c r="L1841" s="514">
        <v>339820.0</v>
      </c>
      <c r="M1841" s="514">
        <v>1.1492</v>
      </c>
      <c r="N1841" s="6">
        <v>2.7603</v>
      </c>
    </row>
    <row r="1842">
      <c r="A1842" s="512" t="s">
        <v>2040</v>
      </c>
      <c r="B1842" s="512" t="s">
        <v>1867</v>
      </c>
      <c r="C1842" s="512" t="s">
        <v>72</v>
      </c>
      <c r="D1842" s="512" t="s">
        <v>574</v>
      </c>
      <c r="E1842" s="513" t="s">
        <v>372</v>
      </c>
      <c r="F1842" s="514">
        <v>24705.0</v>
      </c>
      <c r="G1842" s="514">
        <v>13501.0</v>
      </c>
      <c r="H1842" s="514">
        <v>54.65</v>
      </c>
      <c r="I1842" s="514">
        <v>8.17</v>
      </c>
      <c r="J1842" s="514">
        <v>8.42</v>
      </c>
      <c r="K1842" s="514">
        <v>27779.0</v>
      </c>
      <c r="L1842" s="514">
        <v>339820.0</v>
      </c>
      <c r="M1842" s="514">
        <v>1.1244</v>
      </c>
      <c r="N1842" s="6">
        <v>2.0576</v>
      </c>
    </row>
    <row r="1843">
      <c r="A1843" s="512" t="s">
        <v>2040</v>
      </c>
      <c r="B1843" s="512" t="s">
        <v>1867</v>
      </c>
      <c r="C1843" s="512" t="s">
        <v>72</v>
      </c>
      <c r="D1843" s="512" t="s">
        <v>574</v>
      </c>
      <c r="E1843" s="513" t="s">
        <v>49</v>
      </c>
      <c r="F1843" s="514">
        <v>24705.0</v>
      </c>
      <c r="G1843" s="514">
        <v>12801.0</v>
      </c>
      <c r="H1843" s="514">
        <v>51.82</v>
      </c>
      <c r="I1843" s="514">
        <v>7.94</v>
      </c>
      <c r="J1843" s="514">
        <v>8.92</v>
      </c>
      <c r="K1843" s="514">
        <v>26971.0</v>
      </c>
      <c r="L1843" s="514">
        <v>339820.0</v>
      </c>
      <c r="M1843" s="514">
        <v>1.0917</v>
      </c>
      <c r="N1843" s="6">
        <v>2.1069</v>
      </c>
    </row>
    <row r="1844">
      <c r="A1844" s="512" t="s">
        <v>2040</v>
      </c>
      <c r="B1844" s="512" t="s">
        <v>1867</v>
      </c>
      <c r="C1844" s="512" t="s">
        <v>72</v>
      </c>
      <c r="D1844" s="512" t="s">
        <v>574</v>
      </c>
      <c r="E1844" s="513" t="s">
        <v>374</v>
      </c>
      <c r="F1844" s="514">
        <v>24705.0</v>
      </c>
      <c r="G1844" s="514">
        <v>9808.0</v>
      </c>
      <c r="H1844" s="514">
        <v>39.7</v>
      </c>
      <c r="I1844" s="514">
        <v>7.36</v>
      </c>
      <c r="J1844" s="514">
        <v>11.01</v>
      </c>
      <c r="K1844" s="514">
        <v>24995.0</v>
      </c>
      <c r="L1844" s="514">
        <v>339820.0</v>
      </c>
      <c r="M1844" s="514">
        <v>1.0117</v>
      </c>
      <c r="N1844" s="6">
        <v>2.5484</v>
      </c>
    </row>
    <row r="1845">
      <c r="A1845" s="512" t="s">
        <v>2040</v>
      </c>
      <c r="B1845" s="512" t="s">
        <v>1867</v>
      </c>
      <c r="C1845" s="512" t="s">
        <v>72</v>
      </c>
      <c r="D1845" s="512" t="s">
        <v>574</v>
      </c>
      <c r="E1845" s="513" t="s">
        <v>373</v>
      </c>
      <c r="F1845" s="514">
        <v>24705.0</v>
      </c>
      <c r="G1845" s="514">
        <v>11294.0</v>
      </c>
      <c r="H1845" s="514">
        <v>45.72</v>
      </c>
      <c r="I1845" s="514">
        <v>6.16</v>
      </c>
      <c r="J1845" s="514">
        <v>5.51</v>
      </c>
      <c r="K1845" s="514">
        <v>20936.0</v>
      </c>
      <c r="L1845" s="514">
        <v>339820.0</v>
      </c>
      <c r="M1845" s="514">
        <v>0.8474</v>
      </c>
      <c r="N1845" s="6">
        <v>1.8537</v>
      </c>
    </row>
    <row r="1846">
      <c r="A1846" s="512" t="s">
        <v>2040</v>
      </c>
      <c r="B1846" s="512" t="s">
        <v>1867</v>
      </c>
      <c r="C1846" s="512" t="s">
        <v>72</v>
      </c>
      <c r="D1846" s="512" t="s">
        <v>574</v>
      </c>
      <c r="E1846" s="513" t="s">
        <v>44</v>
      </c>
      <c r="F1846" s="514">
        <v>24705.0</v>
      </c>
      <c r="G1846" s="514">
        <v>10507.0</v>
      </c>
      <c r="H1846" s="514">
        <v>42.53</v>
      </c>
      <c r="I1846" s="514">
        <v>4.71</v>
      </c>
      <c r="J1846" s="514">
        <v>4.23</v>
      </c>
      <c r="K1846" s="514">
        <v>16004.0</v>
      </c>
      <c r="L1846" s="514">
        <v>339820.0</v>
      </c>
      <c r="M1846" s="514">
        <v>0.6478</v>
      </c>
      <c r="N1846" s="6">
        <v>1.5232</v>
      </c>
    </row>
    <row r="1847">
      <c r="A1847" s="512" t="s">
        <v>2040</v>
      </c>
      <c r="B1847" s="512" t="s">
        <v>1867</v>
      </c>
      <c r="C1847" s="512" t="s">
        <v>72</v>
      </c>
      <c r="D1847" s="512" t="s">
        <v>574</v>
      </c>
      <c r="E1847" s="513" t="s">
        <v>40</v>
      </c>
      <c r="F1847" s="514">
        <v>24705.0</v>
      </c>
      <c r="G1847" s="514">
        <v>7625.0</v>
      </c>
      <c r="H1847" s="514">
        <v>30.86</v>
      </c>
      <c r="I1847" s="514">
        <v>4.39</v>
      </c>
      <c r="J1847" s="514">
        <v>4.31</v>
      </c>
      <c r="K1847" s="514">
        <v>14910.0</v>
      </c>
      <c r="L1847" s="514">
        <v>339820.0</v>
      </c>
      <c r="M1847" s="514">
        <v>0.6035</v>
      </c>
      <c r="N1847" s="6">
        <v>1.9554</v>
      </c>
    </row>
    <row r="1848">
      <c r="A1848" s="512" t="s">
        <v>2040</v>
      </c>
      <c r="B1848" s="512" t="s">
        <v>1867</v>
      </c>
      <c r="C1848" s="512" t="s">
        <v>72</v>
      </c>
      <c r="D1848" s="512" t="s">
        <v>574</v>
      </c>
      <c r="E1848" s="513" t="s">
        <v>367</v>
      </c>
      <c r="F1848" s="514">
        <v>24705.0</v>
      </c>
      <c r="G1848" s="514">
        <v>5672.0</v>
      </c>
      <c r="H1848" s="514">
        <v>22.96</v>
      </c>
      <c r="I1848" s="514">
        <v>4.21</v>
      </c>
      <c r="J1848" s="514">
        <v>3.29</v>
      </c>
      <c r="K1848" s="514">
        <v>14292.0</v>
      </c>
      <c r="L1848" s="514">
        <v>339820.0</v>
      </c>
      <c r="M1848" s="514">
        <v>0.5785</v>
      </c>
      <c r="N1848" s="6">
        <v>2.5197</v>
      </c>
    </row>
    <row r="1849">
      <c r="A1849" s="512" t="s">
        <v>2040</v>
      </c>
      <c r="B1849" s="512" t="s">
        <v>1867</v>
      </c>
      <c r="C1849" s="512" t="s">
        <v>72</v>
      </c>
      <c r="D1849" s="512" t="s">
        <v>574</v>
      </c>
      <c r="E1849" s="513" t="s">
        <v>134</v>
      </c>
      <c r="F1849" s="514">
        <v>24705.0</v>
      </c>
      <c r="G1849" s="514">
        <v>4353.0</v>
      </c>
      <c r="H1849" s="514">
        <v>17.62</v>
      </c>
      <c r="I1849" s="514">
        <v>3.15</v>
      </c>
      <c r="J1849" s="514">
        <v>2.01</v>
      </c>
      <c r="K1849" s="514">
        <v>10695.0</v>
      </c>
      <c r="L1849" s="514">
        <v>339820.0</v>
      </c>
      <c r="M1849" s="514">
        <v>0.4329</v>
      </c>
      <c r="N1849" s="6">
        <v>2.4569</v>
      </c>
    </row>
    <row r="1850">
      <c r="A1850" s="512" t="s">
        <v>2040</v>
      </c>
      <c r="B1850" s="512" t="s">
        <v>1867</v>
      </c>
      <c r="C1850" s="512" t="s">
        <v>72</v>
      </c>
      <c r="D1850" s="512" t="s">
        <v>574</v>
      </c>
      <c r="E1850" s="513" t="s">
        <v>42</v>
      </c>
      <c r="F1850" s="514">
        <v>24705.0</v>
      </c>
      <c r="G1850" s="514">
        <v>5653.0</v>
      </c>
      <c r="H1850" s="514">
        <v>22.88</v>
      </c>
      <c r="I1850" s="514">
        <v>2.23</v>
      </c>
      <c r="J1850" s="514">
        <v>2.61</v>
      </c>
      <c r="K1850" s="514">
        <v>7576.0</v>
      </c>
      <c r="L1850" s="514">
        <v>339820.0</v>
      </c>
      <c r="M1850" s="514">
        <v>0.3067</v>
      </c>
      <c r="N1850" s="6">
        <v>1.3402</v>
      </c>
    </row>
    <row r="1851">
      <c r="A1851" s="512" t="s">
        <v>2040</v>
      </c>
      <c r="B1851" s="512" t="s">
        <v>1867</v>
      </c>
      <c r="C1851" s="512" t="s">
        <v>72</v>
      </c>
      <c r="D1851" s="512" t="s">
        <v>574</v>
      </c>
      <c r="E1851" s="513" t="s">
        <v>50</v>
      </c>
      <c r="F1851" s="514">
        <v>24705.0</v>
      </c>
      <c r="G1851" s="514">
        <v>5383.0</v>
      </c>
      <c r="H1851" s="514">
        <v>21.79</v>
      </c>
      <c r="I1851" s="514">
        <v>2.16</v>
      </c>
      <c r="J1851" s="514">
        <v>2.12</v>
      </c>
      <c r="K1851" s="514">
        <v>7356.0</v>
      </c>
      <c r="L1851" s="514">
        <v>339820.0</v>
      </c>
      <c r="M1851" s="514">
        <v>0.2978</v>
      </c>
      <c r="N1851" s="6">
        <v>1.3665</v>
      </c>
    </row>
    <row r="1852">
      <c r="A1852" s="512" t="s">
        <v>2040</v>
      </c>
      <c r="B1852" s="512" t="s">
        <v>1867</v>
      </c>
      <c r="C1852" s="512" t="s">
        <v>72</v>
      </c>
      <c r="D1852" s="512" t="s">
        <v>574</v>
      </c>
      <c r="E1852" s="513" t="s">
        <v>375</v>
      </c>
      <c r="F1852" s="514">
        <v>24705.0</v>
      </c>
      <c r="G1852" s="514">
        <v>3245.0</v>
      </c>
      <c r="H1852" s="514">
        <v>13.13</v>
      </c>
      <c r="I1852" s="514">
        <v>1.14</v>
      </c>
      <c r="J1852" s="514">
        <v>0.63</v>
      </c>
      <c r="K1852" s="514">
        <v>3874.0</v>
      </c>
      <c r="L1852" s="514">
        <v>339820.0</v>
      </c>
      <c r="M1852" s="514">
        <v>0.1568</v>
      </c>
      <c r="N1852" s="6">
        <v>1.1938</v>
      </c>
    </row>
    <row r="1853">
      <c r="A1853" s="512" t="s">
        <v>2040</v>
      </c>
      <c r="B1853" s="512" t="s">
        <v>1867</v>
      </c>
      <c r="C1853" s="512" t="s">
        <v>72</v>
      </c>
      <c r="D1853" s="512" t="s">
        <v>574</v>
      </c>
      <c r="E1853" s="513" t="s">
        <v>312</v>
      </c>
      <c r="F1853" s="514">
        <v>24705.0</v>
      </c>
      <c r="G1853" s="514">
        <v>3070.0</v>
      </c>
      <c r="H1853" s="514">
        <v>12.43</v>
      </c>
      <c r="I1853" s="514">
        <v>1.05</v>
      </c>
      <c r="J1853" s="514">
        <v>1.15</v>
      </c>
      <c r="K1853" s="514">
        <v>3565.0</v>
      </c>
      <c r="L1853" s="514">
        <v>339820.0</v>
      </c>
      <c r="M1853" s="514">
        <v>0.1443</v>
      </c>
      <c r="N1853" s="6">
        <v>1.1612</v>
      </c>
    </row>
    <row r="1854">
      <c r="A1854" s="512" t="s">
        <v>2040</v>
      </c>
      <c r="B1854" s="512" t="s">
        <v>1867</v>
      </c>
      <c r="C1854" s="512" t="s">
        <v>72</v>
      </c>
      <c r="D1854" s="512" t="s">
        <v>574</v>
      </c>
      <c r="E1854" s="513" t="s">
        <v>310</v>
      </c>
      <c r="F1854" s="514">
        <v>24705.0</v>
      </c>
      <c r="G1854" s="514">
        <v>2347.0</v>
      </c>
      <c r="H1854" s="514">
        <v>9.5</v>
      </c>
      <c r="I1854" s="514">
        <v>0.75</v>
      </c>
      <c r="J1854" s="514">
        <v>0.91</v>
      </c>
      <c r="K1854" s="514">
        <v>2533.0</v>
      </c>
      <c r="L1854" s="514">
        <v>339820.0</v>
      </c>
      <c r="M1854" s="514">
        <v>0.1025</v>
      </c>
      <c r="N1854" s="6">
        <v>1.0793</v>
      </c>
    </row>
    <row r="1855">
      <c r="A1855" s="512" t="s">
        <v>2040</v>
      </c>
      <c r="B1855" s="512" t="s">
        <v>1867</v>
      </c>
      <c r="C1855" s="512" t="s">
        <v>72</v>
      </c>
      <c r="D1855" s="512" t="s">
        <v>574</v>
      </c>
      <c r="E1855" s="513" t="s">
        <v>43</v>
      </c>
      <c r="F1855" s="514">
        <v>24705.0</v>
      </c>
      <c r="G1855" s="514">
        <v>2152.0</v>
      </c>
      <c r="H1855" s="514">
        <v>8.71</v>
      </c>
      <c r="I1855" s="514">
        <v>0.68</v>
      </c>
      <c r="J1855" s="514">
        <v>0.82</v>
      </c>
      <c r="K1855" s="514">
        <v>2324.0</v>
      </c>
      <c r="L1855" s="514">
        <v>339820.0</v>
      </c>
      <c r="M1855" s="514">
        <v>0.0941</v>
      </c>
      <c r="N1855" s="6">
        <v>1.0799</v>
      </c>
    </row>
    <row r="1856">
      <c r="A1856" s="512" t="s">
        <v>2040</v>
      </c>
      <c r="B1856" s="512" t="s">
        <v>1867</v>
      </c>
      <c r="C1856" s="512" t="s">
        <v>72</v>
      </c>
      <c r="D1856" s="512" t="s">
        <v>574</v>
      </c>
      <c r="E1856" s="513" t="s">
        <v>32</v>
      </c>
      <c r="F1856" s="514">
        <v>24705.0</v>
      </c>
      <c r="G1856" s="514">
        <v>2010.0</v>
      </c>
      <c r="H1856" s="514">
        <v>8.14</v>
      </c>
      <c r="I1856" s="514">
        <v>0.66</v>
      </c>
      <c r="J1856" s="514">
        <v>0.77</v>
      </c>
      <c r="K1856" s="514">
        <v>2238.0</v>
      </c>
      <c r="L1856" s="514">
        <v>339820.0</v>
      </c>
      <c r="M1856" s="514">
        <v>0.0906</v>
      </c>
      <c r="N1856" s="6">
        <v>1.1134</v>
      </c>
    </row>
    <row r="1857">
      <c r="A1857" s="512" t="s">
        <v>2040</v>
      </c>
      <c r="B1857" s="512" t="s">
        <v>1867</v>
      </c>
      <c r="C1857" s="512" t="s">
        <v>72</v>
      </c>
      <c r="D1857" s="512" t="s">
        <v>574</v>
      </c>
      <c r="E1857" s="513" t="s">
        <v>189</v>
      </c>
      <c r="F1857" s="514">
        <v>24705.0</v>
      </c>
      <c r="G1857" s="514">
        <v>1230.0</v>
      </c>
      <c r="H1857" s="514">
        <v>4.98</v>
      </c>
      <c r="I1857" s="514">
        <v>0.37</v>
      </c>
      <c r="J1857" s="514">
        <v>0.19</v>
      </c>
      <c r="K1857" s="514">
        <v>1259.0</v>
      </c>
      <c r="L1857" s="514">
        <v>339820.0</v>
      </c>
      <c r="M1857" s="514">
        <v>0.051</v>
      </c>
      <c r="N1857" s="6">
        <v>1.0236</v>
      </c>
    </row>
    <row r="1858">
      <c r="A1858" s="512" t="s">
        <v>2040</v>
      </c>
      <c r="B1858" s="512" t="s">
        <v>1867</v>
      </c>
      <c r="C1858" s="512" t="s">
        <v>72</v>
      </c>
      <c r="D1858" s="512" t="s">
        <v>574</v>
      </c>
      <c r="E1858" s="513" t="s">
        <v>311</v>
      </c>
      <c r="F1858" s="514">
        <v>24705.0</v>
      </c>
      <c r="G1858" s="514">
        <v>680.0</v>
      </c>
      <c r="H1858" s="514">
        <v>2.75</v>
      </c>
      <c r="I1858" s="514">
        <v>0.21</v>
      </c>
      <c r="J1858" s="514">
        <v>0.27</v>
      </c>
      <c r="K1858" s="514">
        <v>697.0</v>
      </c>
      <c r="L1858" s="514">
        <v>339820.0</v>
      </c>
      <c r="M1858" s="514">
        <v>0.0282</v>
      </c>
      <c r="N1858" s="6">
        <v>1.025</v>
      </c>
    </row>
    <row r="1859">
      <c r="A1859" s="512" t="s">
        <v>2040</v>
      </c>
      <c r="B1859" s="512" t="s">
        <v>1867</v>
      </c>
      <c r="C1859" s="512" t="s">
        <v>1883</v>
      </c>
      <c r="D1859" s="512" t="s">
        <v>2036</v>
      </c>
      <c r="E1859" s="513" t="s">
        <v>380</v>
      </c>
      <c r="F1859" s="514">
        <v>15713.0</v>
      </c>
      <c r="G1859" s="514">
        <v>6308.0</v>
      </c>
      <c r="H1859" s="514">
        <v>40.15</v>
      </c>
      <c r="I1859" s="514">
        <v>26.78</v>
      </c>
      <c r="J1859" s="514">
        <v>23.65</v>
      </c>
      <c r="K1859" s="514">
        <v>172405.0</v>
      </c>
      <c r="L1859" s="514">
        <v>643820.0</v>
      </c>
      <c r="M1859" s="514">
        <v>10.9721</v>
      </c>
      <c r="N1859" s="6">
        <v>27.3312</v>
      </c>
    </row>
    <row r="1860">
      <c r="A1860" s="512" t="s">
        <v>2040</v>
      </c>
      <c r="B1860" s="512" t="s">
        <v>1867</v>
      </c>
      <c r="C1860" s="512" t="s">
        <v>1883</v>
      </c>
      <c r="D1860" s="512" t="s">
        <v>2036</v>
      </c>
      <c r="E1860" s="513" t="s">
        <v>134</v>
      </c>
      <c r="F1860" s="514">
        <v>15713.0</v>
      </c>
      <c r="G1860" s="514">
        <v>6322.0</v>
      </c>
      <c r="H1860" s="514">
        <v>40.23</v>
      </c>
      <c r="I1860" s="514">
        <v>24.05</v>
      </c>
      <c r="J1860" s="514">
        <v>24.28</v>
      </c>
      <c r="K1860" s="514">
        <v>154830.0</v>
      </c>
      <c r="L1860" s="514">
        <v>643820.0</v>
      </c>
      <c r="M1860" s="514">
        <v>9.8536</v>
      </c>
      <c r="N1860" s="6">
        <v>24.4907</v>
      </c>
    </row>
    <row r="1861">
      <c r="A1861" s="512" t="s">
        <v>2040</v>
      </c>
      <c r="B1861" s="512" t="s">
        <v>1867</v>
      </c>
      <c r="C1861" s="512" t="s">
        <v>1883</v>
      </c>
      <c r="D1861" s="512" t="s">
        <v>2036</v>
      </c>
      <c r="E1861" s="513" t="s">
        <v>375</v>
      </c>
      <c r="F1861" s="514">
        <v>15713.0</v>
      </c>
      <c r="G1861" s="514">
        <v>8028.0</v>
      </c>
      <c r="H1861" s="514">
        <v>51.09</v>
      </c>
      <c r="I1861" s="514">
        <v>20.89</v>
      </c>
      <c r="J1861" s="514">
        <v>25.97</v>
      </c>
      <c r="K1861" s="514">
        <v>134505.0</v>
      </c>
      <c r="L1861" s="514">
        <v>643820.0</v>
      </c>
      <c r="M1861" s="514">
        <v>8.5601</v>
      </c>
      <c r="N1861" s="6">
        <v>16.7545</v>
      </c>
    </row>
    <row r="1862">
      <c r="A1862" s="512" t="s">
        <v>2040</v>
      </c>
      <c r="B1862" s="512" t="s">
        <v>1867</v>
      </c>
      <c r="C1862" s="512" t="s">
        <v>1883</v>
      </c>
      <c r="D1862" s="512" t="s">
        <v>2036</v>
      </c>
      <c r="E1862" s="513" t="s">
        <v>189</v>
      </c>
      <c r="F1862" s="514">
        <v>15713.0</v>
      </c>
      <c r="G1862" s="514">
        <v>4271.0</v>
      </c>
      <c r="H1862" s="514">
        <v>27.18</v>
      </c>
      <c r="I1862" s="514">
        <v>9.76</v>
      </c>
      <c r="J1862" s="514">
        <v>12.11</v>
      </c>
      <c r="K1862" s="514">
        <v>62860.0</v>
      </c>
      <c r="L1862" s="514">
        <v>643820.0</v>
      </c>
      <c r="M1862" s="514">
        <v>4.0005</v>
      </c>
      <c r="N1862" s="6">
        <v>14.7179</v>
      </c>
    </row>
    <row r="1863">
      <c r="A1863" s="512" t="s">
        <v>2040</v>
      </c>
      <c r="B1863" s="512" t="s">
        <v>1867</v>
      </c>
      <c r="C1863" s="512" t="s">
        <v>1883</v>
      </c>
      <c r="D1863" s="512" t="s">
        <v>2036</v>
      </c>
      <c r="E1863" s="513" t="s">
        <v>373</v>
      </c>
      <c r="F1863" s="514">
        <v>15713.0</v>
      </c>
      <c r="G1863" s="514">
        <v>2012.0</v>
      </c>
      <c r="H1863" s="514">
        <v>12.8</v>
      </c>
      <c r="I1863" s="514">
        <v>9.54</v>
      </c>
      <c r="J1863" s="514">
        <v>5.4</v>
      </c>
      <c r="K1863" s="514">
        <v>61410.0</v>
      </c>
      <c r="L1863" s="514">
        <v>643820.0</v>
      </c>
      <c r="M1863" s="514">
        <v>3.9082</v>
      </c>
      <c r="N1863" s="6">
        <v>30.5219</v>
      </c>
    </row>
    <row r="1864">
      <c r="A1864" s="512" t="s">
        <v>2040</v>
      </c>
      <c r="B1864" s="512" t="s">
        <v>1867</v>
      </c>
      <c r="C1864" s="512" t="s">
        <v>1883</v>
      </c>
      <c r="D1864" s="512" t="s">
        <v>2036</v>
      </c>
      <c r="E1864" s="513" t="s">
        <v>35</v>
      </c>
      <c r="F1864" s="514">
        <v>15713.0</v>
      </c>
      <c r="G1864" s="514">
        <v>3135.0</v>
      </c>
      <c r="H1864" s="514">
        <v>19.95</v>
      </c>
      <c r="I1864" s="514">
        <v>7.99</v>
      </c>
      <c r="J1864" s="514">
        <v>7.59</v>
      </c>
      <c r="K1864" s="514">
        <v>51465.0</v>
      </c>
      <c r="L1864" s="514">
        <v>643820.0</v>
      </c>
      <c r="M1864" s="514">
        <v>3.2753</v>
      </c>
      <c r="N1864" s="6">
        <v>16.4163</v>
      </c>
    </row>
    <row r="1865">
      <c r="A1865" s="512" t="s">
        <v>2040</v>
      </c>
      <c r="B1865" s="512" t="s">
        <v>1867</v>
      </c>
      <c r="C1865" s="512" t="s">
        <v>1883</v>
      </c>
      <c r="D1865" s="512" t="s">
        <v>2036</v>
      </c>
      <c r="E1865" s="513" t="s">
        <v>377</v>
      </c>
      <c r="F1865" s="514">
        <v>15713.0</v>
      </c>
      <c r="G1865" s="514">
        <v>198.0</v>
      </c>
      <c r="H1865" s="514">
        <v>1.26</v>
      </c>
      <c r="I1865" s="514">
        <v>0.99</v>
      </c>
      <c r="J1865" s="514">
        <v>1.02</v>
      </c>
      <c r="K1865" s="514">
        <v>6345.0</v>
      </c>
      <c r="L1865" s="514">
        <v>643820.0</v>
      </c>
      <c r="M1865" s="514">
        <v>0.4038</v>
      </c>
      <c r="N1865" s="6">
        <v>32.0455</v>
      </c>
    </row>
    <row r="1866">
      <c r="A1866" s="512" t="s">
        <v>2040</v>
      </c>
      <c r="B1866" s="512" t="s">
        <v>1867</v>
      </c>
      <c r="C1866" s="512" t="s">
        <v>1884</v>
      </c>
      <c r="D1866" s="512" t="s">
        <v>2036</v>
      </c>
      <c r="E1866" s="513" t="s">
        <v>380</v>
      </c>
      <c r="F1866" s="514">
        <v>21663.0</v>
      </c>
      <c r="G1866" s="514">
        <v>14369.0</v>
      </c>
      <c r="H1866" s="514">
        <v>66.33</v>
      </c>
      <c r="I1866" s="514">
        <v>36.93</v>
      </c>
      <c r="J1866" s="514">
        <v>39.67</v>
      </c>
      <c r="K1866" s="514">
        <v>494675.0</v>
      </c>
      <c r="L1866" s="514">
        <v>1339480.0</v>
      </c>
      <c r="M1866" s="514">
        <v>22.835</v>
      </c>
      <c r="N1866" s="6">
        <v>34.4265</v>
      </c>
    </row>
    <row r="1867">
      <c r="A1867" s="512" t="s">
        <v>2040</v>
      </c>
      <c r="B1867" s="512" t="s">
        <v>1867</v>
      </c>
      <c r="C1867" s="512" t="s">
        <v>1884</v>
      </c>
      <c r="D1867" s="512" t="s">
        <v>2036</v>
      </c>
      <c r="E1867" s="513" t="s">
        <v>134</v>
      </c>
      <c r="F1867" s="514">
        <v>21663.0</v>
      </c>
      <c r="G1867" s="514">
        <v>7323.0</v>
      </c>
      <c r="H1867" s="514">
        <v>33.8</v>
      </c>
      <c r="I1867" s="514">
        <v>16.78</v>
      </c>
      <c r="J1867" s="514">
        <v>13.03</v>
      </c>
      <c r="K1867" s="514">
        <v>224725.0</v>
      </c>
      <c r="L1867" s="514">
        <v>1339480.0</v>
      </c>
      <c r="M1867" s="514">
        <v>10.3737</v>
      </c>
      <c r="N1867" s="6">
        <v>30.6876</v>
      </c>
    </row>
    <row r="1868">
      <c r="A1868" s="512" t="s">
        <v>2040</v>
      </c>
      <c r="B1868" s="512" t="s">
        <v>1867</v>
      </c>
      <c r="C1868" s="512" t="s">
        <v>1884</v>
      </c>
      <c r="D1868" s="512" t="s">
        <v>2036</v>
      </c>
      <c r="E1868" s="513" t="s">
        <v>375</v>
      </c>
      <c r="F1868" s="514">
        <v>21663.0</v>
      </c>
      <c r="G1868" s="514">
        <v>11126.0</v>
      </c>
      <c r="H1868" s="514">
        <v>51.36</v>
      </c>
      <c r="I1868" s="514">
        <v>15.05</v>
      </c>
      <c r="J1868" s="514">
        <v>18.07</v>
      </c>
      <c r="K1868" s="514">
        <v>201615.0</v>
      </c>
      <c r="L1868" s="514">
        <v>1339480.0</v>
      </c>
      <c r="M1868" s="514">
        <v>9.3069</v>
      </c>
      <c r="N1868" s="6">
        <v>18.1211</v>
      </c>
    </row>
    <row r="1869">
      <c r="A1869" s="512" t="s">
        <v>2040</v>
      </c>
      <c r="B1869" s="512" t="s">
        <v>1867</v>
      </c>
      <c r="C1869" s="512" t="s">
        <v>1884</v>
      </c>
      <c r="D1869" s="512" t="s">
        <v>2036</v>
      </c>
      <c r="E1869" s="513" t="s">
        <v>373</v>
      </c>
      <c r="F1869" s="514">
        <v>21663.0</v>
      </c>
      <c r="G1869" s="514">
        <v>2292.0</v>
      </c>
      <c r="H1869" s="514">
        <v>10.58</v>
      </c>
      <c r="I1869" s="514">
        <v>10.41</v>
      </c>
      <c r="J1869" s="514">
        <v>4.55</v>
      </c>
      <c r="K1869" s="514">
        <v>139410.0</v>
      </c>
      <c r="L1869" s="514">
        <v>1339480.0</v>
      </c>
      <c r="M1869" s="514">
        <v>6.4354</v>
      </c>
      <c r="N1869" s="6">
        <v>60.8246</v>
      </c>
    </row>
    <row r="1870">
      <c r="A1870" s="512" t="s">
        <v>2040</v>
      </c>
      <c r="B1870" s="512" t="s">
        <v>1867</v>
      </c>
      <c r="C1870" s="512" t="s">
        <v>1884</v>
      </c>
      <c r="D1870" s="512" t="s">
        <v>2036</v>
      </c>
      <c r="E1870" s="513" t="s">
        <v>44</v>
      </c>
      <c r="F1870" s="514">
        <v>21663.0</v>
      </c>
      <c r="G1870" s="514">
        <v>8356.0</v>
      </c>
      <c r="H1870" s="514">
        <v>38.57</v>
      </c>
      <c r="I1870" s="514">
        <v>9.34</v>
      </c>
      <c r="J1870" s="514">
        <v>10.81</v>
      </c>
      <c r="K1870" s="514">
        <v>125130.0</v>
      </c>
      <c r="L1870" s="514">
        <v>1339480.0</v>
      </c>
      <c r="M1870" s="514">
        <v>5.7762</v>
      </c>
      <c r="N1870" s="6">
        <v>14.9749</v>
      </c>
    </row>
    <row r="1871">
      <c r="A1871" s="512" t="s">
        <v>2040</v>
      </c>
      <c r="B1871" s="512" t="s">
        <v>1867</v>
      </c>
      <c r="C1871" s="512" t="s">
        <v>1884</v>
      </c>
      <c r="D1871" s="512" t="s">
        <v>2036</v>
      </c>
      <c r="E1871" s="513" t="s">
        <v>189</v>
      </c>
      <c r="F1871" s="514">
        <v>21663.0</v>
      </c>
      <c r="G1871" s="514">
        <v>5360.0</v>
      </c>
      <c r="H1871" s="514">
        <v>24.74</v>
      </c>
      <c r="I1871" s="514">
        <v>5.81</v>
      </c>
      <c r="J1871" s="514">
        <v>7.69</v>
      </c>
      <c r="K1871" s="514">
        <v>77885.0</v>
      </c>
      <c r="L1871" s="514">
        <v>1339480.0</v>
      </c>
      <c r="M1871" s="514">
        <v>3.5953</v>
      </c>
      <c r="N1871" s="6">
        <v>14.5308</v>
      </c>
    </row>
    <row r="1872">
      <c r="A1872" s="512" t="s">
        <v>2040</v>
      </c>
      <c r="B1872" s="512" t="s">
        <v>1867</v>
      </c>
      <c r="C1872" s="512" t="s">
        <v>1884</v>
      </c>
      <c r="D1872" s="512" t="s">
        <v>2036</v>
      </c>
      <c r="E1872" s="513" t="s">
        <v>35</v>
      </c>
      <c r="F1872" s="514">
        <v>21663.0</v>
      </c>
      <c r="G1872" s="514">
        <v>4235.0</v>
      </c>
      <c r="H1872" s="514">
        <v>19.55</v>
      </c>
      <c r="I1872" s="514">
        <v>5.19</v>
      </c>
      <c r="J1872" s="514">
        <v>5.66</v>
      </c>
      <c r="K1872" s="514">
        <v>69540.0</v>
      </c>
      <c r="L1872" s="514">
        <v>1339480.0</v>
      </c>
      <c r="M1872" s="514">
        <v>3.2101</v>
      </c>
      <c r="N1872" s="6">
        <v>16.4203</v>
      </c>
    </row>
    <row r="1873">
      <c r="A1873" s="512" t="s">
        <v>2040</v>
      </c>
      <c r="B1873" s="512" t="s">
        <v>1867</v>
      </c>
      <c r="C1873" s="512" t="s">
        <v>1884</v>
      </c>
      <c r="D1873" s="512" t="s">
        <v>2036</v>
      </c>
      <c r="E1873" s="513" t="s">
        <v>377</v>
      </c>
      <c r="F1873" s="514">
        <v>21663.0</v>
      </c>
      <c r="G1873" s="514">
        <v>206.0</v>
      </c>
      <c r="H1873" s="514">
        <v>0.95</v>
      </c>
      <c r="I1873" s="514">
        <v>0.48</v>
      </c>
      <c r="J1873" s="514">
        <v>0.51</v>
      </c>
      <c r="K1873" s="514">
        <v>6460.0</v>
      </c>
      <c r="L1873" s="514">
        <v>1339480.0</v>
      </c>
      <c r="M1873" s="514">
        <v>0.2982</v>
      </c>
      <c r="N1873" s="6">
        <v>31.3592</v>
      </c>
    </row>
    <row r="1874">
      <c r="A1874" s="512" t="s">
        <v>2040</v>
      </c>
      <c r="B1874" s="512" t="s">
        <v>1867</v>
      </c>
      <c r="C1874" s="512" t="s">
        <v>1884</v>
      </c>
      <c r="D1874" s="512" t="s">
        <v>2036</v>
      </c>
      <c r="E1874" s="513" t="s">
        <v>40</v>
      </c>
      <c r="F1874" s="514">
        <v>21663.0</v>
      </c>
      <c r="G1874" s="514">
        <v>2.0</v>
      </c>
      <c r="H1874" s="514">
        <v>0.01</v>
      </c>
      <c r="I1874" s="514">
        <v>0.0</v>
      </c>
      <c r="J1874" s="514">
        <v>0.0</v>
      </c>
      <c r="K1874" s="514">
        <v>30.0</v>
      </c>
      <c r="L1874" s="514">
        <v>1339480.0</v>
      </c>
      <c r="M1874" s="514">
        <v>0.0014</v>
      </c>
      <c r="N1874" s="6">
        <v>15.0</v>
      </c>
    </row>
    <row r="1875">
      <c r="A1875" s="512" t="s">
        <v>2040</v>
      </c>
      <c r="B1875" s="512" t="s">
        <v>1867</v>
      </c>
      <c r="C1875" s="512" t="s">
        <v>1884</v>
      </c>
      <c r="D1875" s="512" t="s">
        <v>2036</v>
      </c>
      <c r="E1875" s="513" t="s">
        <v>374</v>
      </c>
      <c r="F1875" s="514">
        <v>21663.0</v>
      </c>
      <c r="G1875" s="514">
        <v>1.0</v>
      </c>
      <c r="H1875" s="514">
        <v>0.0</v>
      </c>
      <c r="I1875" s="514">
        <v>0.0</v>
      </c>
      <c r="J1875" s="514">
        <v>0.0</v>
      </c>
      <c r="K1875" s="514">
        <v>10.0</v>
      </c>
      <c r="L1875" s="514">
        <v>1339480.0</v>
      </c>
      <c r="M1875" s="514">
        <v>5.0E-4</v>
      </c>
      <c r="N1875" s="6">
        <v>10.0</v>
      </c>
    </row>
    <row r="1876">
      <c r="A1876" s="512" t="s">
        <v>2040</v>
      </c>
      <c r="B1876" s="512" t="s">
        <v>1867</v>
      </c>
      <c r="C1876" s="512" t="s">
        <v>1885</v>
      </c>
      <c r="D1876" s="512" t="s">
        <v>2036</v>
      </c>
      <c r="E1876" s="513" t="s">
        <v>380</v>
      </c>
      <c r="F1876" s="514">
        <v>22845.0</v>
      </c>
      <c r="G1876" s="514">
        <v>17588.0</v>
      </c>
      <c r="H1876" s="514">
        <v>76.99</v>
      </c>
      <c r="I1876" s="514">
        <v>37.64</v>
      </c>
      <c r="J1876" s="514">
        <v>44.12</v>
      </c>
      <c r="K1876" s="514">
        <v>618720.0</v>
      </c>
      <c r="L1876" s="514">
        <v>1643585.0</v>
      </c>
      <c r="M1876" s="514">
        <v>27.0834</v>
      </c>
      <c r="N1876" s="6">
        <v>35.1785</v>
      </c>
    </row>
    <row r="1877">
      <c r="A1877" s="512" t="s">
        <v>2040</v>
      </c>
      <c r="B1877" s="512" t="s">
        <v>1867</v>
      </c>
      <c r="C1877" s="512" t="s">
        <v>1885</v>
      </c>
      <c r="D1877" s="512" t="s">
        <v>2036</v>
      </c>
      <c r="E1877" s="513" t="s">
        <v>134</v>
      </c>
      <c r="F1877" s="514">
        <v>22845.0</v>
      </c>
      <c r="G1877" s="514">
        <v>6186.0</v>
      </c>
      <c r="H1877" s="514">
        <v>27.08</v>
      </c>
      <c r="I1877" s="514">
        <v>16.0</v>
      </c>
      <c r="J1877" s="514">
        <v>10.05</v>
      </c>
      <c r="K1877" s="514">
        <v>262905.0</v>
      </c>
      <c r="L1877" s="514">
        <v>1643585.0</v>
      </c>
      <c r="M1877" s="514">
        <v>11.5082</v>
      </c>
      <c r="N1877" s="6">
        <v>42.5</v>
      </c>
    </row>
    <row r="1878">
      <c r="A1878" s="512" t="s">
        <v>2040</v>
      </c>
      <c r="B1878" s="512" t="s">
        <v>1867</v>
      </c>
      <c r="C1878" s="512" t="s">
        <v>1885</v>
      </c>
      <c r="D1878" s="512" t="s">
        <v>2036</v>
      </c>
      <c r="E1878" s="513" t="s">
        <v>375</v>
      </c>
      <c r="F1878" s="514">
        <v>22845.0</v>
      </c>
      <c r="G1878" s="514">
        <v>11623.0</v>
      </c>
      <c r="H1878" s="514">
        <v>50.88</v>
      </c>
      <c r="I1878" s="514">
        <v>14.58</v>
      </c>
      <c r="J1878" s="514">
        <v>16.09</v>
      </c>
      <c r="K1878" s="514">
        <v>239640.0</v>
      </c>
      <c r="L1878" s="514">
        <v>1643585.0</v>
      </c>
      <c r="M1878" s="514">
        <v>10.4898</v>
      </c>
      <c r="N1878" s="6">
        <v>20.6177</v>
      </c>
    </row>
    <row r="1879">
      <c r="A1879" s="512" t="s">
        <v>2040</v>
      </c>
      <c r="B1879" s="512" t="s">
        <v>1867</v>
      </c>
      <c r="C1879" s="512" t="s">
        <v>1885</v>
      </c>
      <c r="D1879" s="512" t="s">
        <v>2036</v>
      </c>
      <c r="E1879" s="513" t="s">
        <v>373</v>
      </c>
      <c r="F1879" s="514">
        <v>22845.0</v>
      </c>
      <c r="G1879" s="514">
        <v>3066.0</v>
      </c>
      <c r="H1879" s="514">
        <v>13.42</v>
      </c>
      <c r="I1879" s="514">
        <v>11.32</v>
      </c>
      <c r="J1879" s="514">
        <v>6.29</v>
      </c>
      <c r="K1879" s="514">
        <v>185985.0</v>
      </c>
      <c r="L1879" s="514">
        <v>1643585.0</v>
      </c>
      <c r="M1879" s="514">
        <v>8.1412</v>
      </c>
      <c r="N1879" s="6">
        <v>60.6605</v>
      </c>
    </row>
    <row r="1880">
      <c r="A1880" s="512" t="s">
        <v>2040</v>
      </c>
      <c r="B1880" s="512" t="s">
        <v>1867</v>
      </c>
      <c r="C1880" s="512" t="s">
        <v>1885</v>
      </c>
      <c r="D1880" s="512" t="s">
        <v>2036</v>
      </c>
      <c r="E1880" s="513" t="s">
        <v>44</v>
      </c>
      <c r="F1880" s="514">
        <v>22845.0</v>
      </c>
      <c r="G1880" s="514">
        <v>10507.0</v>
      </c>
      <c r="H1880" s="514">
        <v>45.99</v>
      </c>
      <c r="I1880" s="514">
        <v>9.67</v>
      </c>
      <c r="J1880" s="514">
        <v>10.93</v>
      </c>
      <c r="K1880" s="514">
        <v>159000.0</v>
      </c>
      <c r="L1880" s="514">
        <v>1643585.0</v>
      </c>
      <c r="M1880" s="514">
        <v>6.9599</v>
      </c>
      <c r="N1880" s="6">
        <v>15.1328</v>
      </c>
    </row>
    <row r="1881">
      <c r="A1881" s="512" t="s">
        <v>2040</v>
      </c>
      <c r="B1881" s="512" t="s">
        <v>1867</v>
      </c>
      <c r="C1881" s="512" t="s">
        <v>1885</v>
      </c>
      <c r="D1881" s="512" t="s">
        <v>2036</v>
      </c>
      <c r="E1881" s="513" t="s">
        <v>189</v>
      </c>
      <c r="F1881" s="514">
        <v>22845.0</v>
      </c>
      <c r="G1881" s="514">
        <v>5510.0</v>
      </c>
      <c r="H1881" s="514">
        <v>24.12</v>
      </c>
      <c r="I1881" s="514">
        <v>5.46</v>
      </c>
      <c r="J1881" s="514">
        <v>6.58</v>
      </c>
      <c r="K1881" s="514">
        <v>89800.0</v>
      </c>
      <c r="L1881" s="514">
        <v>1643585.0</v>
      </c>
      <c r="M1881" s="514">
        <v>3.9308</v>
      </c>
      <c r="N1881" s="6">
        <v>16.2976</v>
      </c>
    </row>
    <row r="1882">
      <c r="A1882" s="512" t="s">
        <v>2040</v>
      </c>
      <c r="B1882" s="512" t="s">
        <v>1867</v>
      </c>
      <c r="C1882" s="512" t="s">
        <v>1885</v>
      </c>
      <c r="D1882" s="512" t="s">
        <v>2036</v>
      </c>
      <c r="E1882" s="513" t="s">
        <v>35</v>
      </c>
      <c r="F1882" s="514">
        <v>22845.0</v>
      </c>
      <c r="G1882" s="514">
        <v>4989.0</v>
      </c>
      <c r="H1882" s="514">
        <v>21.84</v>
      </c>
      <c r="I1882" s="514">
        <v>4.91</v>
      </c>
      <c r="J1882" s="514">
        <v>5.45</v>
      </c>
      <c r="K1882" s="514">
        <v>80745.0</v>
      </c>
      <c r="L1882" s="514">
        <v>1643585.0</v>
      </c>
      <c r="M1882" s="514">
        <v>3.5345</v>
      </c>
      <c r="N1882" s="6">
        <v>16.1846</v>
      </c>
    </row>
    <row r="1883">
      <c r="A1883" s="512" t="s">
        <v>2040</v>
      </c>
      <c r="B1883" s="512" t="s">
        <v>1867</v>
      </c>
      <c r="C1883" s="512" t="s">
        <v>1885</v>
      </c>
      <c r="D1883" s="512" t="s">
        <v>2036</v>
      </c>
      <c r="E1883" s="513" t="s">
        <v>377</v>
      </c>
      <c r="F1883" s="514">
        <v>22845.0</v>
      </c>
      <c r="G1883" s="514">
        <v>224.0</v>
      </c>
      <c r="H1883" s="514">
        <v>0.98</v>
      </c>
      <c r="I1883" s="514">
        <v>0.41</v>
      </c>
      <c r="J1883" s="514">
        <v>0.48</v>
      </c>
      <c r="K1883" s="514">
        <v>6750.0</v>
      </c>
      <c r="L1883" s="514">
        <v>1643585.0</v>
      </c>
      <c r="M1883" s="514">
        <v>0.2955</v>
      </c>
      <c r="N1883" s="6">
        <v>30.1339</v>
      </c>
    </row>
    <row r="1884">
      <c r="A1884" s="512" t="s">
        <v>2040</v>
      </c>
      <c r="B1884" s="512" t="s">
        <v>1867</v>
      </c>
      <c r="C1884" s="512" t="s">
        <v>1885</v>
      </c>
      <c r="D1884" s="512" t="s">
        <v>2036</v>
      </c>
      <c r="E1884" s="513" t="s">
        <v>40</v>
      </c>
      <c r="F1884" s="514">
        <v>22845.0</v>
      </c>
      <c r="G1884" s="514">
        <v>2.0</v>
      </c>
      <c r="H1884" s="514">
        <v>0.01</v>
      </c>
      <c r="I1884" s="514">
        <v>0.0</v>
      </c>
      <c r="J1884" s="514">
        <v>0.0</v>
      </c>
      <c r="K1884" s="514">
        <v>30.0</v>
      </c>
      <c r="L1884" s="514">
        <v>1643585.0</v>
      </c>
      <c r="M1884" s="514">
        <v>0.0013</v>
      </c>
      <c r="N1884" s="6">
        <v>15.0</v>
      </c>
    </row>
    <row r="1885">
      <c r="A1885" s="512" t="s">
        <v>2040</v>
      </c>
      <c r="B1885" s="512" t="s">
        <v>1867</v>
      </c>
      <c r="C1885" s="512" t="s">
        <v>1885</v>
      </c>
      <c r="D1885" s="512" t="s">
        <v>2036</v>
      </c>
      <c r="E1885" s="513" t="s">
        <v>382</v>
      </c>
      <c r="F1885" s="514">
        <v>22845.0</v>
      </c>
      <c r="G1885" s="514">
        <v>1.0</v>
      </c>
      <c r="H1885" s="514">
        <v>0.0</v>
      </c>
      <c r="I1885" s="514">
        <v>0.0</v>
      </c>
      <c r="J1885" s="514">
        <v>0.0</v>
      </c>
      <c r="K1885" s="514">
        <v>10.0</v>
      </c>
      <c r="L1885" s="514">
        <v>1643585.0</v>
      </c>
      <c r="M1885" s="514">
        <v>4.0E-4</v>
      </c>
      <c r="N1885" s="6">
        <v>10.0</v>
      </c>
    </row>
    <row r="1886">
      <c r="A1886" s="512" t="s">
        <v>2040</v>
      </c>
      <c r="B1886" s="512" t="s">
        <v>1867</v>
      </c>
      <c r="C1886" s="512" t="s">
        <v>75</v>
      </c>
      <c r="D1886" s="512" t="s">
        <v>2036</v>
      </c>
      <c r="E1886" s="513" t="s">
        <v>379</v>
      </c>
      <c r="F1886" s="514">
        <v>25352.0</v>
      </c>
      <c r="G1886" s="514">
        <v>25142.0</v>
      </c>
      <c r="H1886" s="514">
        <v>99.17</v>
      </c>
      <c r="I1886" s="514">
        <v>39.04</v>
      </c>
      <c r="J1886" s="514">
        <v>37.53</v>
      </c>
      <c r="K1886" s="514">
        <v>1.322886E7</v>
      </c>
      <c r="L1886" s="514">
        <v>3.3883299E7</v>
      </c>
      <c r="M1886" s="514">
        <v>521.8074</v>
      </c>
      <c r="N1886" s="6">
        <v>526.1658</v>
      </c>
    </row>
    <row r="1887">
      <c r="A1887" s="512" t="s">
        <v>2040</v>
      </c>
      <c r="B1887" s="512" t="s">
        <v>1867</v>
      </c>
      <c r="C1887" s="512" t="s">
        <v>75</v>
      </c>
      <c r="D1887" s="512" t="s">
        <v>2036</v>
      </c>
      <c r="E1887" s="513" t="s">
        <v>380</v>
      </c>
      <c r="F1887" s="514">
        <v>25352.0</v>
      </c>
      <c r="G1887" s="514">
        <v>17978.0</v>
      </c>
      <c r="H1887" s="514">
        <v>70.91</v>
      </c>
      <c r="I1887" s="514">
        <v>13.94</v>
      </c>
      <c r="J1887" s="514">
        <v>15.27</v>
      </c>
      <c r="K1887" s="514">
        <v>4723595.0</v>
      </c>
      <c r="L1887" s="514">
        <v>3.3883299E7</v>
      </c>
      <c r="M1887" s="514">
        <v>186.3204</v>
      </c>
      <c r="N1887" s="6">
        <v>262.7431</v>
      </c>
    </row>
    <row r="1888">
      <c r="A1888" s="512" t="s">
        <v>2040</v>
      </c>
      <c r="B1888" s="512" t="s">
        <v>1867</v>
      </c>
      <c r="C1888" s="512" t="s">
        <v>75</v>
      </c>
      <c r="D1888" s="512" t="s">
        <v>2036</v>
      </c>
      <c r="E1888" s="513" t="s">
        <v>49</v>
      </c>
      <c r="F1888" s="514">
        <v>25352.0</v>
      </c>
      <c r="G1888" s="514">
        <v>18715.0</v>
      </c>
      <c r="H1888" s="514">
        <v>73.82</v>
      </c>
      <c r="I1888" s="514">
        <v>10.1</v>
      </c>
      <c r="J1888" s="514">
        <v>11.18</v>
      </c>
      <c r="K1888" s="514">
        <v>3421520.0</v>
      </c>
      <c r="L1888" s="514">
        <v>3.3883299E7</v>
      </c>
      <c r="M1888" s="514">
        <v>134.9606</v>
      </c>
      <c r="N1888" s="6">
        <v>182.8223</v>
      </c>
    </row>
    <row r="1889">
      <c r="A1889" s="512" t="s">
        <v>2040</v>
      </c>
      <c r="B1889" s="512" t="s">
        <v>1867</v>
      </c>
      <c r="C1889" s="512" t="s">
        <v>75</v>
      </c>
      <c r="D1889" s="512" t="s">
        <v>2036</v>
      </c>
      <c r="E1889" s="513" t="s">
        <v>372</v>
      </c>
      <c r="F1889" s="514">
        <v>25352.0</v>
      </c>
      <c r="G1889" s="514">
        <v>17977.0</v>
      </c>
      <c r="H1889" s="514">
        <v>70.91</v>
      </c>
      <c r="I1889" s="514">
        <v>7.0</v>
      </c>
      <c r="J1889" s="514">
        <v>6.95</v>
      </c>
      <c r="K1889" s="514">
        <v>2373360.0</v>
      </c>
      <c r="L1889" s="514">
        <v>3.3883299E7</v>
      </c>
      <c r="M1889" s="514">
        <v>93.6163</v>
      </c>
      <c r="N1889" s="6">
        <v>132.022</v>
      </c>
    </row>
    <row r="1890">
      <c r="A1890" s="512" t="s">
        <v>2040</v>
      </c>
      <c r="B1890" s="512" t="s">
        <v>1867</v>
      </c>
      <c r="C1890" s="512" t="s">
        <v>75</v>
      </c>
      <c r="D1890" s="512" t="s">
        <v>2036</v>
      </c>
      <c r="E1890" s="513" t="s">
        <v>373</v>
      </c>
      <c r="F1890" s="514">
        <v>25352.0</v>
      </c>
      <c r="G1890" s="514">
        <v>18535.0</v>
      </c>
      <c r="H1890" s="514">
        <v>73.11</v>
      </c>
      <c r="I1890" s="514">
        <v>5.98</v>
      </c>
      <c r="J1890" s="514">
        <v>5.75</v>
      </c>
      <c r="K1890" s="514">
        <v>2025920.0</v>
      </c>
      <c r="L1890" s="514">
        <v>3.3883299E7</v>
      </c>
      <c r="M1890" s="514">
        <v>79.9116</v>
      </c>
      <c r="N1890" s="6">
        <v>109.3024</v>
      </c>
    </row>
    <row r="1891">
      <c r="A1891" s="512" t="s">
        <v>2040</v>
      </c>
      <c r="B1891" s="512" t="s">
        <v>1867</v>
      </c>
      <c r="C1891" s="512" t="s">
        <v>75</v>
      </c>
      <c r="D1891" s="512" t="s">
        <v>2036</v>
      </c>
      <c r="E1891" s="513" t="s">
        <v>44</v>
      </c>
      <c r="F1891" s="514">
        <v>25352.0</v>
      </c>
      <c r="G1891" s="514">
        <v>16275.0</v>
      </c>
      <c r="H1891" s="514">
        <v>64.2</v>
      </c>
      <c r="I1891" s="514">
        <v>5.94</v>
      </c>
      <c r="J1891" s="514">
        <v>7.6</v>
      </c>
      <c r="K1891" s="514">
        <v>2012010.0</v>
      </c>
      <c r="L1891" s="514">
        <v>3.3883299E7</v>
      </c>
      <c r="M1891" s="514">
        <v>79.363</v>
      </c>
      <c r="N1891" s="6">
        <v>123.6258</v>
      </c>
    </row>
    <row r="1892">
      <c r="A1892" s="512" t="s">
        <v>2040</v>
      </c>
      <c r="B1892" s="512" t="s">
        <v>1867</v>
      </c>
      <c r="C1892" s="512" t="s">
        <v>75</v>
      </c>
      <c r="D1892" s="512" t="s">
        <v>2036</v>
      </c>
      <c r="E1892" s="513" t="s">
        <v>377</v>
      </c>
      <c r="F1892" s="514">
        <v>25352.0</v>
      </c>
      <c r="G1892" s="514">
        <v>8432.0</v>
      </c>
      <c r="H1892" s="514">
        <v>33.26</v>
      </c>
      <c r="I1892" s="514">
        <v>5.29</v>
      </c>
      <c r="J1892" s="514">
        <v>2.73</v>
      </c>
      <c r="K1892" s="514">
        <v>1791089.0</v>
      </c>
      <c r="L1892" s="514">
        <v>3.3883299E7</v>
      </c>
      <c r="M1892" s="514">
        <v>70.6488</v>
      </c>
      <c r="N1892" s="6">
        <v>212.4157</v>
      </c>
    </row>
    <row r="1893">
      <c r="A1893" s="512" t="s">
        <v>2040</v>
      </c>
      <c r="B1893" s="512" t="s">
        <v>1867</v>
      </c>
      <c r="C1893" s="512" t="s">
        <v>75</v>
      </c>
      <c r="D1893" s="512" t="s">
        <v>2036</v>
      </c>
      <c r="E1893" s="513" t="s">
        <v>375</v>
      </c>
      <c r="F1893" s="514">
        <v>25352.0</v>
      </c>
      <c r="G1893" s="514">
        <v>10672.0</v>
      </c>
      <c r="H1893" s="514">
        <v>42.1</v>
      </c>
      <c r="I1893" s="514">
        <v>3.04</v>
      </c>
      <c r="J1893" s="514">
        <v>3.07</v>
      </c>
      <c r="K1893" s="514">
        <v>1030770.0</v>
      </c>
      <c r="L1893" s="514">
        <v>3.3883299E7</v>
      </c>
      <c r="M1893" s="514">
        <v>40.6583</v>
      </c>
      <c r="N1893" s="6">
        <v>96.5864</v>
      </c>
    </row>
    <row r="1894">
      <c r="A1894" s="512" t="s">
        <v>2040</v>
      </c>
      <c r="B1894" s="512" t="s">
        <v>1867</v>
      </c>
      <c r="C1894" s="512" t="s">
        <v>75</v>
      </c>
      <c r="D1894" s="512" t="s">
        <v>2036</v>
      </c>
      <c r="E1894" s="513" t="s">
        <v>374</v>
      </c>
      <c r="F1894" s="514">
        <v>25352.0</v>
      </c>
      <c r="G1894" s="514">
        <v>11845.0</v>
      </c>
      <c r="H1894" s="514">
        <v>46.72</v>
      </c>
      <c r="I1894" s="514">
        <v>2.96</v>
      </c>
      <c r="J1894" s="514">
        <v>2.94</v>
      </c>
      <c r="K1894" s="514">
        <v>1001650.0</v>
      </c>
      <c r="L1894" s="514">
        <v>3.3883299E7</v>
      </c>
      <c r="M1894" s="514">
        <v>39.5097</v>
      </c>
      <c r="N1894" s="6">
        <v>84.5631</v>
      </c>
    </row>
    <row r="1895">
      <c r="A1895" s="512" t="s">
        <v>2040</v>
      </c>
      <c r="B1895" s="512" t="s">
        <v>1867</v>
      </c>
      <c r="C1895" s="512" t="s">
        <v>75</v>
      </c>
      <c r="D1895" s="512" t="s">
        <v>2036</v>
      </c>
      <c r="E1895" s="513" t="s">
        <v>35</v>
      </c>
      <c r="F1895" s="514">
        <v>25352.0</v>
      </c>
      <c r="G1895" s="514">
        <v>7955.0</v>
      </c>
      <c r="H1895" s="514">
        <v>31.38</v>
      </c>
      <c r="I1895" s="514">
        <v>2.76</v>
      </c>
      <c r="J1895" s="514">
        <v>2.5</v>
      </c>
      <c r="K1895" s="514">
        <v>933840.0</v>
      </c>
      <c r="L1895" s="514">
        <v>3.3883299E7</v>
      </c>
      <c r="M1895" s="514">
        <v>36.835</v>
      </c>
      <c r="N1895" s="6">
        <v>117.3903</v>
      </c>
    </row>
    <row r="1896">
      <c r="A1896" s="512" t="s">
        <v>2040</v>
      </c>
      <c r="B1896" s="512" t="s">
        <v>1867</v>
      </c>
      <c r="C1896" s="512" t="s">
        <v>75</v>
      </c>
      <c r="D1896" s="512" t="s">
        <v>2036</v>
      </c>
      <c r="E1896" s="513" t="s">
        <v>189</v>
      </c>
      <c r="F1896" s="514">
        <v>25352.0</v>
      </c>
      <c r="G1896" s="514">
        <v>5255.0</v>
      </c>
      <c r="H1896" s="514">
        <v>20.73</v>
      </c>
      <c r="I1896" s="514">
        <v>1.13</v>
      </c>
      <c r="J1896" s="514">
        <v>1.12</v>
      </c>
      <c r="K1896" s="514">
        <v>382290.0</v>
      </c>
      <c r="L1896" s="514">
        <v>3.3883299E7</v>
      </c>
      <c r="M1896" s="514">
        <v>15.0793</v>
      </c>
      <c r="N1896" s="6">
        <v>72.7479</v>
      </c>
    </row>
    <row r="1897">
      <c r="A1897" s="512" t="s">
        <v>2040</v>
      </c>
      <c r="B1897" s="512" t="s">
        <v>1867</v>
      </c>
      <c r="C1897" s="512" t="s">
        <v>75</v>
      </c>
      <c r="D1897" s="512" t="s">
        <v>2036</v>
      </c>
      <c r="E1897" s="513" t="s">
        <v>43</v>
      </c>
      <c r="F1897" s="514">
        <v>25352.0</v>
      </c>
      <c r="G1897" s="514">
        <v>8741.0</v>
      </c>
      <c r="H1897" s="514">
        <v>34.48</v>
      </c>
      <c r="I1897" s="514">
        <v>0.96</v>
      </c>
      <c r="J1897" s="514">
        <v>1.31</v>
      </c>
      <c r="K1897" s="514">
        <v>326210.0</v>
      </c>
      <c r="L1897" s="514">
        <v>3.3883299E7</v>
      </c>
      <c r="M1897" s="514">
        <v>12.8672</v>
      </c>
      <c r="N1897" s="6">
        <v>37.3195</v>
      </c>
    </row>
    <row r="1898">
      <c r="A1898" s="512" t="s">
        <v>2040</v>
      </c>
      <c r="B1898" s="512" t="s">
        <v>1867</v>
      </c>
      <c r="C1898" s="512" t="s">
        <v>75</v>
      </c>
      <c r="D1898" s="512" t="s">
        <v>2036</v>
      </c>
      <c r="E1898" s="513" t="s">
        <v>32</v>
      </c>
      <c r="F1898" s="514">
        <v>25352.0</v>
      </c>
      <c r="G1898" s="514">
        <v>7542.0</v>
      </c>
      <c r="H1898" s="514">
        <v>29.75</v>
      </c>
      <c r="I1898" s="514">
        <v>0.95</v>
      </c>
      <c r="J1898" s="514">
        <v>1.2</v>
      </c>
      <c r="K1898" s="514">
        <v>321240.0</v>
      </c>
      <c r="L1898" s="514">
        <v>3.3883299E7</v>
      </c>
      <c r="M1898" s="514">
        <v>12.6712</v>
      </c>
      <c r="N1898" s="6">
        <v>42.5935</v>
      </c>
    </row>
    <row r="1899">
      <c r="A1899" s="512" t="s">
        <v>2040</v>
      </c>
      <c r="B1899" s="512" t="s">
        <v>1867</v>
      </c>
      <c r="C1899" s="512" t="s">
        <v>75</v>
      </c>
      <c r="D1899" s="512" t="s">
        <v>2036</v>
      </c>
      <c r="E1899" s="513" t="s">
        <v>367</v>
      </c>
      <c r="F1899" s="514">
        <v>25352.0</v>
      </c>
      <c r="G1899" s="514">
        <v>6348.0</v>
      </c>
      <c r="H1899" s="514">
        <v>25.04</v>
      </c>
      <c r="I1899" s="514">
        <v>0.63</v>
      </c>
      <c r="J1899" s="514">
        <v>0.55</v>
      </c>
      <c r="K1899" s="514">
        <v>211950.0</v>
      </c>
      <c r="L1899" s="514">
        <v>3.3883299E7</v>
      </c>
      <c r="M1899" s="514">
        <v>8.3603</v>
      </c>
      <c r="N1899" s="6">
        <v>33.3885</v>
      </c>
    </row>
    <row r="1900">
      <c r="A1900" s="512" t="s">
        <v>2040</v>
      </c>
      <c r="B1900" s="512" t="s">
        <v>1867</v>
      </c>
      <c r="C1900" s="512" t="s">
        <v>75</v>
      </c>
      <c r="D1900" s="512" t="s">
        <v>2036</v>
      </c>
      <c r="E1900" s="513" t="s">
        <v>134</v>
      </c>
      <c r="F1900" s="514">
        <v>25352.0</v>
      </c>
      <c r="G1900" s="514">
        <v>2229.0</v>
      </c>
      <c r="H1900" s="514">
        <v>8.79</v>
      </c>
      <c r="I1900" s="514">
        <v>0.24</v>
      </c>
      <c r="J1900" s="514">
        <v>0.22</v>
      </c>
      <c r="K1900" s="514">
        <v>82670.0</v>
      </c>
      <c r="L1900" s="514">
        <v>3.3883299E7</v>
      </c>
      <c r="M1900" s="514">
        <v>3.2609</v>
      </c>
      <c r="N1900" s="6">
        <v>37.0884</v>
      </c>
    </row>
    <row r="1901">
      <c r="A1901" s="512" t="s">
        <v>2040</v>
      </c>
      <c r="B1901" s="512" t="s">
        <v>1867</v>
      </c>
      <c r="C1901" s="512" t="s">
        <v>75</v>
      </c>
      <c r="D1901" s="512" t="s">
        <v>2036</v>
      </c>
      <c r="E1901" s="513" t="s">
        <v>50</v>
      </c>
      <c r="F1901" s="514">
        <v>25352.0</v>
      </c>
      <c r="G1901" s="514">
        <v>319.0</v>
      </c>
      <c r="H1901" s="514">
        <v>1.26</v>
      </c>
      <c r="I1901" s="514">
        <v>0.05</v>
      </c>
      <c r="J1901" s="514">
        <v>0.09</v>
      </c>
      <c r="K1901" s="514">
        <v>16280.0</v>
      </c>
      <c r="L1901" s="514">
        <v>3.3883299E7</v>
      </c>
      <c r="M1901" s="514">
        <v>0.6422</v>
      </c>
      <c r="N1901" s="6">
        <v>51.0345</v>
      </c>
    </row>
    <row r="1902">
      <c r="A1902" s="512" t="s">
        <v>2040</v>
      </c>
      <c r="B1902" s="512" t="s">
        <v>1867</v>
      </c>
      <c r="C1902" s="512" t="s">
        <v>75</v>
      </c>
      <c r="D1902" s="512" t="s">
        <v>2036</v>
      </c>
      <c r="E1902" s="513" t="s">
        <v>382</v>
      </c>
      <c r="F1902" s="514">
        <v>25352.0</v>
      </c>
      <c r="G1902" s="514">
        <v>3.0</v>
      </c>
      <c r="H1902" s="514">
        <v>0.01</v>
      </c>
      <c r="I1902" s="514">
        <v>0.0</v>
      </c>
      <c r="J1902" s="514">
        <v>0.0</v>
      </c>
      <c r="K1902" s="514">
        <v>45.0</v>
      </c>
      <c r="L1902" s="514">
        <v>3.3883299E7</v>
      </c>
      <c r="M1902" s="514">
        <v>0.0018</v>
      </c>
      <c r="N1902" s="6">
        <v>15.0</v>
      </c>
    </row>
    <row r="1903">
      <c r="A1903" s="512" t="s">
        <v>2041</v>
      </c>
      <c r="B1903" s="512" t="s">
        <v>163</v>
      </c>
      <c r="C1903" s="512" t="s">
        <v>71</v>
      </c>
      <c r="D1903" s="512" t="s">
        <v>574</v>
      </c>
      <c r="E1903" s="513" t="s">
        <v>379</v>
      </c>
      <c r="F1903" s="514">
        <v>9049.0</v>
      </c>
      <c r="G1903" s="514">
        <v>8963.0</v>
      </c>
      <c r="H1903" s="514">
        <v>99.05</v>
      </c>
      <c r="I1903" s="514">
        <v>55.67</v>
      </c>
      <c r="J1903" s="514">
        <v>48.14</v>
      </c>
      <c r="K1903" s="514">
        <v>76234.0</v>
      </c>
      <c r="L1903" s="514">
        <v>136945.0</v>
      </c>
      <c r="M1903" s="514">
        <v>8.4246</v>
      </c>
      <c r="N1903" s="6">
        <v>8.5054</v>
      </c>
    </row>
    <row r="1904">
      <c r="A1904" s="512" t="s">
        <v>2041</v>
      </c>
      <c r="B1904" s="512" t="s">
        <v>163</v>
      </c>
      <c r="C1904" s="512" t="s">
        <v>71</v>
      </c>
      <c r="D1904" s="512" t="s">
        <v>574</v>
      </c>
      <c r="E1904" s="513" t="s">
        <v>372</v>
      </c>
      <c r="F1904" s="514">
        <v>9049.0</v>
      </c>
      <c r="G1904" s="514">
        <v>7283.0</v>
      </c>
      <c r="H1904" s="514">
        <v>80.48</v>
      </c>
      <c r="I1904" s="514">
        <v>11.72</v>
      </c>
      <c r="J1904" s="514">
        <v>17.6</v>
      </c>
      <c r="K1904" s="514">
        <v>16047.0</v>
      </c>
      <c r="L1904" s="514">
        <v>136945.0</v>
      </c>
      <c r="M1904" s="514">
        <v>1.7733</v>
      </c>
      <c r="N1904" s="6">
        <v>2.2034</v>
      </c>
    </row>
    <row r="1905">
      <c r="A1905" s="512" t="s">
        <v>2041</v>
      </c>
      <c r="B1905" s="512" t="s">
        <v>163</v>
      </c>
      <c r="C1905" s="512" t="s">
        <v>71</v>
      </c>
      <c r="D1905" s="512" t="s">
        <v>574</v>
      </c>
      <c r="E1905" s="513" t="s">
        <v>377</v>
      </c>
      <c r="F1905" s="514">
        <v>9049.0</v>
      </c>
      <c r="G1905" s="514">
        <v>5169.0</v>
      </c>
      <c r="H1905" s="514">
        <v>57.12</v>
      </c>
      <c r="I1905" s="514">
        <v>6.98</v>
      </c>
      <c r="J1905" s="514">
        <v>7.28</v>
      </c>
      <c r="K1905" s="514">
        <v>9565.0</v>
      </c>
      <c r="L1905" s="514">
        <v>136945.0</v>
      </c>
      <c r="M1905" s="514">
        <v>1.057</v>
      </c>
      <c r="N1905" s="6">
        <v>1.8505</v>
      </c>
    </row>
    <row r="1906">
      <c r="A1906" s="512" t="s">
        <v>2041</v>
      </c>
      <c r="B1906" s="512" t="s">
        <v>163</v>
      </c>
      <c r="C1906" s="512" t="s">
        <v>71</v>
      </c>
      <c r="D1906" s="512" t="s">
        <v>574</v>
      </c>
      <c r="E1906" s="513" t="s">
        <v>380</v>
      </c>
      <c r="F1906" s="514">
        <v>9049.0</v>
      </c>
      <c r="G1906" s="514">
        <v>5414.0</v>
      </c>
      <c r="H1906" s="514">
        <v>59.83</v>
      </c>
      <c r="I1906" s="514">
        <v>6.9</v>
      </c>
      <c r="J1906" s="514">
        <v>10.3</v>
      </c>
      <c r="K1906" s="514">
        <v>9446.0</v>
      </c>
      <c r="L1906" s="514">
        <v>136945.0</v>
      </c>
      <c r="M1906" s="514">
        <v>1.0439</v>
      </c>
      <c r="N1906" s="6">
        <v>1.7447</v>
      </c>
    </row>
    <row r="1907">
      <c r="A1907" s="512" t="s">
        <v>2041</v>
      </c>
      <c r="B1907" s="512" t="s">
        <v>163</v>
      </c>
      <c r="C1907" s="512" t="s">
        <v>71</v>
      </c>
      <c r="D1907" s="512" t="s">
        <v>574</v>
      </c>
      <c r="E1907" s="513" t="s">
        <v>49</v>
      </c>
      <c r="F1907" s="514">
        <v>9049.0</v>
      </c>
      <c r="G1907" s="514">
        <v>3768.0</v>
      </c>
      <c r="H1907" s="514">
        <v>41.64</v>
      </c>
      <c r="I1907" s="514">
        <v>5.89</v>
      </c>
      <c r="J1907" s="514">
        <v>5.12</v>
      </c>
      <c r="K1907" s="514">
        <v>8068.0</v>
      </c>
      <c r="L1907" s="514">
        <v>136945.0</v>
      </c>
      <c r="M1907" s="514">
        <v>0.8916</v>
      </c>
      <c r="N1907" s="6">
        <v>2.1412</v>
      </c>
    </row>
    <row r="1908">
      <c r="A1908" s="512" t="s">
        <v>2041</v>
      </c>
      <c r="B1908" s="512" t="s">
        <v>163</v>
      </c>
      <c r="C1908" s="512" t="s">
        <v>71</v>
      </c>
      <c r="D1908" s="512" t="s">
        <v>574</v>
      </c>
      <c r="E1908" s="513" t="s">
        <v>44</v>
      </c>
      <c r="F1908" s="514">
        <v>9049.0</v>
      </c>
      <c r="G1908" s="514">
        <v>4393.0</v>
      </c>
      <c r="H1908" s="514">
        <v>48.55</v>
      </c>
      <c r="I1908" s="514">
        <v>4.37</v>
      </c>
      <c r="J1908" s="514">
        <v>4.92</v>
      </c>
      <c r="K1908" s="514">
        <v>5981.0</v>
      </c>
      <c r="L1908" s="514">
        <v>136945.0</v>
      </c>
      <c r="M1908" s="514">
        <v>0.661</v>
      </c>
      <c r="N1908" s="6">
        <v>1.3615</v>
      </c>
    </row>
    <row r="1909">
      <c r="A1909" s="512" t="s">
        <v>2041</v>
      </c>
      <c r="B1909" s="512" t="s">
        <v>163</v>
      </c>
      <c r="C1909" s="512" t="s">
        <v>71</v>
      </c>
      <c r="D1909" s="512" t="s">
        <v>574</v>
      </c>
      <c r="E1909" s="513" t="s">
        <v>134</v>
      </c>
      <c r="F1909" s="514">
        <v>9049.0</v>
      </c>
      <c r="G1909" s="514">
        <v>1440.0</v>
      </c>
      <c r="H1909" s="514">
        <v>15.91</v>
      </c>
      <c r="I1909" s="514">
        <v>2.97</v>
      </c>
      <c r="J1909" s="514">
        <v>1.75</v>
      </c>
      <c r="K1909" s="514">
        <v>4073.0</v>
      </c>
      <c r="L1909" s="514">
        <v>136945.0</v>
      </c>
      <c r="M1909" s="514">
        <v>0.4501</v>
      </c>
      <c r="N1909" s="6">
        <v>2.8285</v>
      </c>
    </row>
    <row r="1910">
      <c r="A1910" s="512" t="s">
        <v>2041</v>
      </c>
      <c r="B1910" s="512" t="s">
        <v>163</v>
      </c>
      <c r="C1910" s="512" t="s">
        <v>71</v>
      </c>
      <c r="D1910" s="512" t="s">
        <v>574</v>
      </c>
      <c r="E1910" s="513" t="s">
        <v>42</v>
      </c>
      <c r="F1910" s="514">
        <v>9049.0</v>
      </c>
      <c r="G1910" s="514">
        <v>1563.0</v>
      </c>
      <c r="H1910" s="514">
        <v>17.27</v>
      </c>
      <c r="I1910" s="514">
        <v>1.66</v>
      </c>
      <c r="J1910" s="514">
        <v>1.28</v>
      </c>
      <c r="K1910" s="514">
        <v>2269.0</v>
      </c>
      <c r="L1910" s="514">
        <v>136945.0</v>
      </c>
      <c r="M1910" s="514">
        <v>0.2507</v>
      </c>
      <c r="N1910" s="6">
        <v>1.4517</v>
      </c>
    </row>
    <row r="1911">
      <c r="A1911" s="512" t="s">
        <v>2041</v>
      </c>
      <c r="B1911" s="512" t="s">
        <v>163</v>
      </c>
      <c r="C1911" s="512" t="s">
        <v>71</v>
      </c>
      <c r="D1911" s="512" t="s">
        <v>574</v>
      </c>
      <c r="E1911" s="513" t="s">
        <v>375</v>
      </c>
      <c r="F1911" s="514">
        <v>9049.0</v>
      </c>
      <c r="G1911" s="514">
        <v>1889.0</v>
      </c>
      <c r="H1911" s="514">
        <v>20.88</v>
      </c>
      <c r="I1911" s="514">
        <v>1.56</v>
      </c>
      <c r="J1911" s="514">
        <v>1.52</v>
      </c>
      <c r="K1911" s="514">
        <v>2139.0</v>
      </c>
      <c r="L1911" s="514">
        <v>136945.0</v>
      </c>
      <c r="M1911" s="514">
        <v>0.2364</v>
      </c>
      <c r="N1911" s="6">
        <v>1.1323</v>
      </c>
    </row>
    <row r="1912">
      <c r="A1912" s="512" t="s">
        <v>2041</v>
      </c>
      <c r="B1912" s="512" t="s">
        <v>163</v>
      </c>
      <c r="C1912" s="512" t="s">
        <v>71</v>
      </c>
      <c r="D1912" s="512" t="s">
        <v>574</v>
      </c>
      <c r="E1912" s="513" t="s">
        <v>35</v>
      </c>
      <c r="F1912" s="514">
        <v>9049.0</v>
      </c>
      <c r="G1912" s="514">
        <v>1094.0</v>
      </c>
      <c r="H1912" s="514">
        <v>12.09</v>
      </c>
      <c r="I1912" s="514">
        <v>0.85</v>
      </c>
      <c r="J1912" s="514">
        <v>0.88</v>
      </c>
      <c r="K1912" s="514">
        <v>1165.0</v>
      </c>
      <c r="L1912" s="514">
        <v>136945.0</v>
      </c>
      <c r="M1912" s="514">
        <v>0.1287</v>
      </c>
      <c r="N1912" s="6">
        <v>1.0649</v>
      </c>
    </row>
    <row r="1913">
      <c r="A1913" s="512" t="s">
        <v>2041</v>
      </c>
      <c r="B1913" s="512" t="s">
        <v>163</v>
      </c>
      <c r="C1913" s="512" t="s">
        <v>71</v>
      </c>
      <c r="D1913" s="512" t="s">
        <v>574</v>
      </c>
      <c r="E1913" s="513" t="s">
        <v>50</v>
      </c>
      <c r="F1913" s="514">
        <v>9049.0</v>
      </c>
      <c r="G1913" s="514">
        <v>952.0</v>
      </c>
      <c r="H1913" s="514">
        <v>10.52</v>
      </c>
      <c r="I1913" s="514">
        <v>0.83</v>
      </c>
      <c r="J1913" s="514">
        <v>0.78</v>
      </c>
      <c r="K1913" s="514">
        <v>1134.0</v>
      </c>
      <c r="L1913" s="514">
        <v>136945.0</v>
      </c>
      <c r="M1913" s="514">
        <v>0.1253</v>
      </c>
      <c r="N1913" s="6">
        <v>1.1912</v>
      </c>
    </row>
    <row r="1914">
      <c r="A1914" s="512" t="s">
        <v>2041</v>
      </c>
      <c r="B1914" s="512" t="s">
        <v>163</v>
      </c>
      <c r="C1914" s="512" t="s">
        <v>71</v>
      </c>
      <c r="D1914" s="512" t="s">
        <v>574</v>
      </c>
      <c r="E1914" s="513" t="s">
        <v>189</v>
      </c>
      <c r="F1914" s="514">
        <v>9049.0</v>
      </c>
      <c r="G1914" s="514">
        <v>747.0</v>
      </c>
      <c r="H1914" s="514">
        <v>8.26</v>
      </c>
      <c r="I1914" s="514">
        <v>0.55</v>
      </c>
      <c r="J1914" s="514">
        <v>0.37</v>
      </c>
      <c r="K1914" s="514">
        <v>760.0</v>
      </c>
      <c r="L1914" s="514">
        <v>136945.0</v>
      </c>
      <c r="M1914" s="514">
        <v>0.084</v>
      </c>
      <c r="N1914" s="6">
        <v>1.0174</v>
      </c>
    </row>
    <row r="1915">
      <c r="A1915" s="512" t="s">
        <v>2041</v>
      </c>
      <c r="B1915" s="512" t="s">
        <v>163</v>
      </c>
      <c r="C1915" s="512" t="s">
        <v>71</v>
      </c>
      <c r="D1915" s="512" t="s">
        <v>574</v>
      </c>
      <c r="E1915" s="513" t="s">
        <v>43</v>
      </c>
      <c r="F1915" s="514">
        <v>9049.0</v>
      </c>
      <c r="G1915" s="514">
        <v>46.0</v>
      </c>
      <c r="H1915" s="514">
        <v>0.51</v>
      </c>
      <c r="I1915" s="514">
        <v>0.04</v>
      </c>
      <c r="J1915" s="514">
        <v>0.04</v>
      </c>
      <c r="K1915" s="514">
        <v>49.0</v>
      </c>
      <c r="L1915" s="514">
        <v>136945.0</v>
      </c>
      <c r="M1915" s="514">
        <v>0.0054</v>
      </c>
      <c r="N1915" s="6">
        <v>1.0652</v>
      </c>
    </row>
    <row r="1916">
      <c r="A1916" s="512" t="s">
        <v>2041</v>
      </c>
      <c r="B1916" s="512" t="s">
        <v>163</v>
      </c>
      <c r="C1916" s="512" t="s">
        <v>71</v>
      </c>
      <c r="D1916" s="512" t="s">
        <v>574</v>
      </c>
      <c r="E1916" s="513" t="s">
        <v>367</v>
      </c>
      <c r="F1916" s="514">
        <v>9049.0</v>
      </c>
      <c r="G1916" s="514">
        <v>13.0</v>
      </c>
      <c r="H1916" s="514">
        <v>0.14</v>
      </c>
      <c r="I1916" s="514">
        <v>0.01</v>
      </c>
      <c r="J1916" s="514">
        <v>0.01</v>
      </c>
      <c r="K1916" s="514">
        <v>13.0</v>
      </c>
      <c r="L1916" s="514">
        <v>136945.0</v>
      </c>
      <c r="M1916" s="514">
        <v>0.0014</v>
      </c>
      <c r="N1916" s="6">
        <v>1.0</v>
      </c>
    </row>
    <row r="1917">
      <c r="A1917" s="512" t="s">
        <v>2041</v>
      </c>
      <c r="B1917" s="512" t="s">
        <v>163</v>
      </c>
      <c r="C1917" s="512" t="s">
        <v>71</v>
      </c>
      <c r="D1917" s="512" t="s">
        <v>574</v>
      </c>
      <c r="E1917" s="513" t="s">
        <v>374</v>
      </c>
      <c r="F1917" s="514">
        <v>9049.0</v>
      </c>
      <c r="G1917" s="514">
        <v>1.0</v>
      </c>
      <c r="H1917" s="514">
        <v>0.01</v>
      </c>
      <c r="I1917" s="514">
        <v>0.0</v>
      </c>
      <c r="J1917" s="514">
        <v>0.0</v>
      </c>
      <c r="K1917" s="514">
        <v>2.0</v>
      </c>
      <c r="L1917" s="514">
        <v>136945.0</v>
      </c>
      <c r="M1917" s="514">
        <v>2.0E-4</v>
      </c>
      <c r="N1917" s="6">
        <v>2.0</v>
      </c>
    </row>
    <row r="1918">
      <c r="A1918" s="512" t="s">
        <v>2041</v>
      </c>
      <c r="B1918" s="512" t="s">
        <v>163</v>
      </c>
      <c r="C1918" s="512" t="s">
        <v>70</v>
      </c>
      <c r="D1918" s="512" t="s">
        <v>574</v>
      </c>
      <c r="E1918" s="513" t="s">
        <v>379</v>
      </c>
      <c r="F1918" s="514">
        <v>9075.0</v>
      </c>
      <c r="G1918" s="514">
        <v>9050.0</v>
      </c>
      <c r="H1918" s="514">
        <v>99.72</v>
      </c>
      <c r="I1918" s="514">
        <v>62.13</v>
      </c>
      <c r="J1918" s="514">
        <v>56.7</v>
      </c>
      <c r="K1918" s="514">
        <v>142902.0</v>
      </c>
      <c r="L1918" s="514">
        <v>230007.0</v>
      </c>
      <c r="M1918" s="514">
        <v>15.7468</v>
      </c>
      <c r="N1918" s="6">
        <v>15.7903</v>
      </c>
    </row>
    <row r="1919">
      <c r="A1919" s="512" t="s">
        <v>2041</v>
      </c>
      <c r="B1919" s="512" t="s">
        <v>163</v>
      </c>
      <c r="C1919" s="512" t="s">
        <v>70</v>
      </c>
      <c r="D1919" s="512" t="s">
        <v>574</v>
      </c>
      <c r="E1919" s="513" t="s">
        <v>380</v>
      </c>
      <c r="F1919" s="514">
        <v>9075.0</v>
      </c>
      <c r="G1919" s="514">
        <v>6323.0</v>
      </c>
      <c r="H1919" s="514">
        <v>69.67</v>
      </c>
      <c r="I1919" s="514">
        <v>11.24</v>
      </c>
      <c r="J1919" s="514">
        <v>15.2</v>
      </c>
      <c r="K1919" s="514">
        <v>25863.0</v>
      </c>
      <c r="L1919" s="514">
        <v>230007.0</v>
      </c>
      <c r="M1919" s="514">
        <v>2.8499</v>
      </c>
      <c r="N1919" s="6">
        <v>4.0903</v>
      </c>
    </row>
    <row r="1920">
      <c r="A1920" s="512" t="s">
        <v>2041</v>
      </c>
      <c r="B1920" s="512" t="s">
        <v>163</v>
      </c>
      <c r="C1920" s="512" t="s">
        <v>70</v>
      </c>
      <c r="D1920" s="512" t="s">
        <v>574</v>
      </c>
      <c r="E1920" s="513" t="s">
        <v>372</v>
      </c>
      <c r="F1920" s="514">
        <v>9075.0</v>
      </c>
      <c r="G1920" s="514">
        <v>6676.0</v>
      </c>
      <c r="H1920" s="514">
        <v>73.56</v>
      </c>
      <c r="I1920" s="514">
        <v>9.07</v>
      </c>
      <c r="J1920" s="514">
        <v>10.19</v>
      </c>
      <c r="K1920" s="514">
        <v>20865.0</v>
      </c>
      <c r="L1920" s="514">
        <v>230007.0</v>
      </c>
      <c r="M1920" s="514">
        <v>2.2992</v>
      </c>
      <c r="N1920" s="6">
        <v>3.1254</v>
      </c>
    </row>
    <row r="1921">
      <c r="A1921" s="512" t="s">
        <v>2041</v>
      </c>
      <c r="B1921" s="512" t="s">
        <v>163</v>
      </c>
      <c r="C1921" s="512" t="s">
        <v>70</v>
      </c>
      <c r="D1921" s="512" t="s">
        <v>574</v>
      </c>
      <c r="E1921" s="513" t="s">
        <v>377</v>
      </c>
      <c r="F1921" s="514">
        <v>9075.0</v>
      </c>
      <c r="G1921" s="514">
        <v>5190.0</v>
      </c>
      <c r="H1921" s="514">
        <v>57.19</v>
      </c>
      <c r="I1921" s="514">
        <v>4.2</v>
      </c>
      <c r="J1921" s="514">
        <v>4.01</v>
      </c>
      <c r="K1921" s="514">
        <v>9660.0</v>
      </c>
      <c r="L1921" s="514">
        <v>230007.0</v>
      </c>
      <c r="M1921" s="514">
        <v>1.0645</v>
      </c>
      <c r="N1921" s="6">
        <v>1.8613</v>
      </c>
    </row>
    <row r="1922">
      <c r="A1922" s="512" t="s">
        <v>2041</v>
      </c>
      <c r="B1922" s="512" t="s">
        <v>163</v>
      </c>
      <c r="C1922" s="512" t="s">
        <v>70</v>
      </c>
      <c r="D1922" s="512" t="s">
        <v>574</v>
      </c>
      <c r="E1922" s="513" t="s">
        <v>49</v>
      </c>
      <c r="F1922" s="514">
        <v>9075.0</v>
      </c>
      <c r="G1922" s="514">
        <v>3768.0</v>
      </c>
      <c r="H1922" s="514">
        <v>41.52</v>
      </c>
      <c r="I1922" s="514">
        <v>3.51</v>
      </c>
      <c r="J1922" s="514">
        <v>2.93</v>
      </c>
      <c r="K1922" s="514">
        <v>8068.0</v>
      </c>
      <c r="L1922" s="514">
        <v>230007.0</v>
      </c>
      <c r="M1922" s="514">
        <v>0.889</v>
      </c>
      <c r="N1922" s="6">
        <v>2.1412</v>
      </c>
    </row>
    <row r="1923">
      <c r="A1923" s="512" t="s">
        <v>2041</v>
      </c>
      <c r="B1923" s="512" t="s">
        <v>163</v>
      </c>
      <c r="C1923" s="512" t="s">
        <v>70</v>
      </c>
      <c r="D1923" s="512" t="s">
        <v>574</v>
      </c>
      <c r="E1923" s="513" t="s">
        <v>374</v>
      </c>
      <c r="F1923" s="514">
        <v>9075.0</v>
      </c>
      <c r="G1923" s="514">
        <v>2910.0</v>
      </c>
      <c r="H1923" s="514">
        <v>32.07</v>
      </c>
      <c r="I1923" s="514">
        <v>2.92</v>
      </c>
      <c r="J1923" s="514">
        <v>4.07</v>
      </c>
      <c r="K1923" s="514">
        <v>6725.0</v>
      </c>
      <c r="L1923" s="514">
        <v>230007.0</v>
      </c>
      <c r="M1923" s="514">
        <v>0.741</v>
      </c>
      <c r="N1923" s="6">
        <v>2.311</v>
      </c>
    </row>
    <row r="1924">
      <c r="A1924" s="512" t="s">
        <v>2041</v>
      </c>
      <c r="B1924" s="512" t="s">
        <v>163</v>
      </c>
      <c r="C1924" s="512" t="s">
        <v>70</v>
      </c>
      <c r="D1924" s="512" t="s">
        <v>574</v>
      </c>
      <c r="E1924" s="513" t="s">
        <v>44</v>
      </c>
      <c r="F1924" s="514">
        <v>9075.0</v>
      </c>
      <c r="G1924" s="514">
        <v>4450.0</v>
      </c>
      <c r="H1924" s="514">
        <v>49.04</v>
      </c>
      <c r="I1924" s="514">
        <v>2.64</v>
      </c>
      <c r="J1924" s="514">
        <v>2.76</v>
      </c>
      <c r="K1924" s="514">
        <v>6077.0</v>
      </c>
      <c r="L1924" s="514">
        <v>230007.0</v>
      </c>
      <c r="M1924" s="514">
        <v>0.6696</v>
      </c>
      <c r="N1924" s="6">
        <v>1.3656</v>
      </c>
    </row>
    <row r="1925">
      <c r="A1925" s="512" t="s">
        <v>2041</v>
      </c>
      <c r="B1925" s="512" t="s">
        <v>163</v>
      </c>
      <c r="C1925" s="512" t="s">
        <v>70</v>
      </c>
      <c r="D1925" s="512" t="s">
        <v>574</v>
      </c>
      <c r="E1925" s="513" t="s">
        <v>375</v>
      </c>
      <c r="F1925" s="514">
        <v>9075.0</v>
      </c>
      <c r="G1925" s="514">
        <v>2953.0</v>
      </c>
      <c r="H1925" s="514">
        <v>32.54</v>
      </c>
      <c r="I1925" s="514">
        <v>1.52</v>
      </c>
      <c r="J1925" s="514">
        <v>1.71</v>
      </c>
      <c r="K1925" s="514">
        <v>3501.0</v>
      </c>
      <c r="L1925" s="514">
        <v>230007.0</v>
      </c>
      <c r="M1925" s="514">
        <v>0.3858</v>
      </c>
      <c r="N1925" s="6">
        <v>1.1856</v>
      </c>
    </row>
    <row r="1926">
      <c r="A1926" s="512" t="s">
        <v>2041</v>
      </c>
      <c r="B1926" s="512" t="s">
        <v>163</v>
      </c>
      <c r="C1926" s="512" t="s">
        <v>70</v>
      </c>
      <c r="D1926" s="512" t="s">
        <v>574</v>
      </c>
      <c r="E1926" s="513" t="s">
        <v>134</v>
      </c>
      <c r="F1926" s="514">
        <v>9075.0</v>
      </c>
      <c r="G1926" s="514">
        <v>1157.0</v>
      </c>
      <c r="H1926" s="514">
        <v>12.75</v>
      </c>
      <c r="I1926" s="514">
        <v>1.13</v>
      </c>
      <c r="J1926" s="514">
        <v>0.71</v>
      </c>
      <c r="K1926" s="514">
        <v>2602.0</v>
      </c>
      <c r="L1926" s="514">
        <v>230007.0</v>
      </c>
      <c r="M1926" s="514">
        <v>0.2867</v>
      </c>
      <c r="N1926" s="6">
        <v>2.2489</v>
      </c>
    </row>
    <row r="1927">
      <c r="A1927" s="512" t="s">
        <v>2041</v>
      </c>
      <c r="B1927" s="512" t="s">
        <v>163</v>
      </c>
      <c r="C1927" s="512" t="s">
        <v>70</v>
      </c>
      <c r="D1927" s="512" t="s">
        <v>574</v>
      </c>
      <c r="E1927" s="513" t="s">
        <v>35</v>
      </c>
      <c r="F1927" s="514">
        <v>9075.0</v>
      </c>
      <c r="G1927" s="514">
        <v>1423.0</v>
      </c>
      <c r="H1927" s="514">
        <v>15.68</v>
      </c>
      <c r="I1927" s="514">
        <v>0.64</v>
      </c>
      <c r="J1927" s="514">
        <v>0.67</v>
      </c>
      <c r="K1927" s="514">
        <v>1465.0</v>
      </c>
      <c r="L1927" s="514">
        <v>230007.0</v>
      </c>
      <c r="M1927" s="514">
        <v>0.1614</v>
      </c>
      <c r="N1927" s="6">
        <v>1.0295</v>
      </c>
    </row>
    <row r="1928">
      <c r="A1928" s="512" t="s">
        <v>2041</v>
      </c>
      <c r="B1928" s="512" t="s">
        <v>163</v>
      </c>
      <c r="C1928" s="512" t="s">
        <v>70</v>
      </c>
      <c r="D1928" s="512" t="s">
        <v>574</v>
      </c>
      <c r="E1928" s="513" t="s">
        <v>189</v>
      </c>
      <c r="F1928" s="514">
        <v>9075.0</v>
      </c>
      <c r="G1928" s="514">
        <v>1272.0</v>
      </c>
      <c r="H1928" s="514">
        <v>14.02</v>
      </c>
      <c r="I1928" s="514">
        <v>0.56</v>
      </c>
      <c r="J1928" s="514">
        <v>0.62</v>
      </c>
      <c r="K1928" s="514">
        <v>1298.0</v>
      </c>
      <c r="L1928" s="514">
        <v>230007.0</v>
      </c>
      <c r="M1928" s="514">
        <v>0.143</v>
      </c>
      <c r="N1928" s="6">
        <v>1.0204</v>
      </c>
    </row>
    <row r="1929">
      <c r="A1929" s="512" t="s">
        <v>2041</v>
      </c>
      <c r="B1929" s="512" t="s">
        <v>163</v>
      </c>
      <c r="C1929" s="512" t="s">
        <v>70</v>
      </c>
      <c r="D1929" s="512" t="s">
        <v>574</v>
      </c>
      <c r="E1929" s="513" t="s">
        <v>50</v>
      </c>
      <c r="F1929" s="514">
        <v>9075.0</v>
      </c>
      <c r="G1929" s="514">
        <v>456.0</v>
      </c>
      <c r="H1929" s="514">
        <v>5.02</v>
      </c>
      <c r="I1929" s="514">
        <v>0.22</v>
      </c>
      <c r="J1929" s="514">
        <v>0.2</v>
      </c>
      <c r="K1929" s="514">
        <v>498.0</v>
      </c>
      <c r="L1929" s="514">
        <v>230007.0</v>
      </c>
      <c r="M1929" s="514">
        <v>0.0549</v>
      </c>
      <c r="N1929" s="6">
        <v>1.0921</v>
      </c>
    </row>
    <row r="1930">
      <c r="A1930" s="512" t="s">
        <v>2041</v>
      </c>
      <c r="B1930" s="512" t="s">
        <v>163</v>
      </c>
      <c r="C1930" s="512" t="s">
        <v>70</v>
      </c>
      <c r="D1930" s="512" t="s">
        <v>574</v>
      </c>
      <c r="E1930" s="513" t="s">
        <v>42</v>
      </c>
      <c r="F1930" s="514">
        <v>9075.0</v>
      </c>
      <c r="G1930" s="514">
        <v>373.0</v>
      </c>
      <c r="H1930" s="514">
        <v>4.11</v>
      </c>
      <c r="I1930" s="514">
        <v>0.17</v>
      </c>
      <c r="J1930" s="514">
        <v>0.19</v>
      </c>
      <c r="K1930" s="514">
        <v>402.0</v>
      </c>
      <c r="L1930" s="514">
        <v>230007.0</v>
      </c>
      <c r="M1930" s="514">
        <v>0.0443</v>
      </c>
      <c r="N1930" s="6">
        <v>1.0777</v>
      </c>
    </row>
    <row r="1931">
      <c r="A1931" s="512" t="s">
        <v>2041</v>
      </c>
      <c r="B1931" s="512" t="s">
        <v>163</v>
      </c>
      <c r="C1931" s="512" t="s">
        <v>70</v>
      </c>
      <c r="D1931" s="512" t="s">
        <v>574</v>
      </c>
      <c r="E1931" s="513" t="s">
        <v>43</v>
      </c>
      <c r="F1931" s="514">
        <v>9075.0</v>
      </c>
      <c r="G1931" s="514">
        <v>56.0</v>
      </c>
      <c r="H1931" s="514">
        <v>0.62</v>
      </c>
      <c r="I1931" s="514">
        <v>0.03</v>
      </c>
      <c r="J1931" s="514">
        <v>0.03</v>
      </c>
      <c r="K1931" s="514">
        <v>60.0</v>
      </c>
      <c r="L1931" s="514">
        <v>230007.0</v>
      </c>
      <c r="M1931" s="514">
        <v>0.0066</v>
      </c>
      <c r="N1931" s="6">
        <v>1.0714</v>
      </c>
    </row>
    <row r="1932">
      <c r="A1932" s="512" t="s">
        <v>2041</v>
      </c>
      <c r="B1932" s="512" t="s">
        <v>163</v>
      </c>
      <c r="C1932" s="512" t="s">
        <v>70</v>
      </c>
      <c r="D1932" s="512" t="s">
        <v>574</v>
      </c>
      <c r="E1932" s="513" t="s">
        <v>367</v>
      </c>
      <c r="F1932" s="514">
        <v>9075.0</v>
      </c>
      <c r="G1932" s="514">
        <v>17.0</v>
      </c>
      <c r="H1932" s="514">
        <v>0.19</v>
      </c>
      <c r="I1932" s="514">
        <v>0.01</v>
      </c>
      <c r="J1932" s="514">
        <v>0.01</v>
      </c>
      <c r="K1932" s="514">
        <v>18.0</v>
      </c>
      <c r="L1932" s="514">
        <v>230007.0</v>
      </c>
      <c r="M1932" s="514">
        <v>0.002</v>
      </c>
      <c r="N1932" s="6">
        <v>1.0588</v>
      </c>
    </row>
    <row r="1933">
      <c r="A1933" s="512" t="s">
        <v>2041</v>
      </c>
      <c r="B1933" s="512" t="s">
        <v>163</v>
      </c>
      <c r="C1933" s="512" t="s">
        <v>70</v>
      </c>
      <c r="D1933" s="512" t="s">
        <v>574</v>
      </c>
      <c r="E1933" s="513" t="s">
        <v>32</v>
      </c>
      <c r="F1933" s="514">
        <v>9075.0</v>
      </c>
      <c r="G1933" s="514">
        <v>2.0</v>
      </c>
      <c r="H1933" s="514">
        <v>0.02</v>
      </c>
      <c r="I1933" s="514">
        <v>0.0</v>
      </c>
      <c r="J1933" s="514">
        <v>0.0</v>
      </c>
      <c r="K1933" s="514">
        <v>3.0</v>
      </c>
      <c r="L1933" s="514">
        <v>230007.0</v>
      </c>
      <c r="M1933" s="514">
        <v>3.0E-4</v>
      </c>
      <c r="N1933" s="6">
        <v>1.5</v>
      </c>
    </row>
    <row r="1934">
      <c r="A1934" s="512" t="s">
        <v>2041</v>
      </c>
      <c r="B1934" s="512" t="s">
        <v>163</v>
      </c>
      <c r="C1934" s="512" t="s">
        <v>74</v>
      </c>
      <c r="D1934" s="512" t="s">
        <v>574</v>
      </c>
      <c r="E1934" s="513" t="s">
        <v>379</v>
      </c>
      <c r="F1934" s="514">
        <v>9056.0</v>
      </c>
      <c r="G1934" s="514">
        <v>9020.0</v>
      </c>
      <c r="H1934" s="514">
        <v>99.6</v>
      </c>
      <c r="I1934" s="514">
        <v>49.36</v>
      </c>
      <c r="J1934" s="514">
        <v>53.67</v>
      </c>
      <c r="K1934" s="514">
        <v>58475.0</v>
      </c>
      <c r="L1934" s="514">
        <v>118455.0</v>
      </c>
      <c r="M1934" s="514">
        <v>6.457</v>
      </c>
      <c r="N1934" s="6">
        <v>6.4828</v>
      </c>
    </row>
    <row r="1935">
      <c r="A1935" s="512" t="s">
        <v>2041</v>
      </c>
      <c r="B1935" s="512" t="s">
        <v>163</v>
      </c>
      <c r="C1935" s="512" t="s">
        <v>74</v>
      </c>
      <c r="D1935" s="512" t="s">
        <v>574</v>
      </c>
      <c r="E1935" s="513" t="s">
        <v>372</v>
      </c>
      <c r="F1935" s="514">
        <v>9056.0</v>
      </c>
      <c r="G1935" s="514">
        <v>6210.0</v>
      </c>
      <c r="H1935" s="514">
        <v>68.57</v>
      </c>
      <c r="I1935" s="514">
        <v>11.93</v>
      </c>
      <c r="J1935" s="514">
        <v>13.98</v>
      </c>
      <c r="K1935" s="514">
        <v>14136.0</v>
      </c>
      <c r="L1935" s="514">
        <v>118455.0</v>
      </c>
      <c r="M1935" s="514">
        <v>1.561</v>
      </c>
      <c r="N1935" s="6">
        <v>2.2763</v>
      </c>
    </row>
    <row r="1936">
      <c r="A1936" s="512" t="s">
        <v>2041</v>
      </c>
      <c r="B1936" s="512" t="s">
        <v>163</v>
      </c>
      <c r="C1936" s="512" t="s">
        <v>74</v>
      </c>
      <c r="D1936" s="512" t="s">
        <v>574</v>
      </c>
      <c r="E1936" s="513" t="s">
        <v>134</v>
      </c>
      <c r="F1936" s="514">
        <v>9056.0</v>
      </c>
      <c r="G1936" s="514">
        <v>1936.0</v>
      </c>
      <c r="H1936" s="514">
        <v>21.38</v>
      </c>
      <c r="I1936" s="514">
        <v>6.5</v>
      </c>
      <c r="J1936" s="514">
        <v>3.73</v>
      </c>
      <c r="K1936" s="514">
        <v>7697.0</v>
      </c>
      <c r="L1936" s="514">
        <v>118455.0</v>
      </c>
      <c r="M1936" s="514">
        <v>0.8499</v>
      </c>
      <c r="N1936" s="6">
        <v>3.9757</v>
      </c>
    </row>
    <row r="1937">
      <c r="A1937" s="512" t="s">
        <v>2041</v>
      </c>
      <c r="B1937" s="512" t="s">
        <v>163</v>
      </c>
      <c r="C1937" s="512" t="s">
        <v>74</v>
      </c>
      <c r="D1937" s="512" t="s">
        <v>574</v>
      </c>
      <c r="E1937" s="513" t="s">
        <v>44</v>
      </c>
      <c r="F1937" s="514">
        <v>9056.0</v>
      </c>
      <c r="G1937" s="514">
        <v>4145.0</v>
      </c>
      <c r="H1937" s="514">
        <v>45.77</v>
      </c>
      <c r="I1937" s="514">
        <v>4.76</v>
      </c>
      <c r="J1937" s="514">
        <v>6.0</v>
      </c>
      <c r="K1937" s="514">
        <v>5643.0</v>
      </c>
      <c r="L1937" s="514">
        <v>118455.0</v>
      </c>
      <c r="M1937" s="514">
        <v>0.6231</v>
      </c>
      <c r="N1937" s="6">
        <v>1.3614</v>
      </c>
    </row>
    <row r="1938">
      <c r="A1938" s="512" t="s">
        <v>2041</v>
      </c>
      <c r="B1938" s="512" t="s">
        <v>163</v>
      </c>
      <c r="C1938" s="512" t="s">
        <v>74</v>
      </c>
      <c r="D1938" s="512" t="s">
        <v>574</v>
      </c>
      <c r="E1938" s="513" t="s">
        <v>377</v>
      </c>
      <c r="F1938" s="514">
        <v>9056.0</v>
      </c>
      <c r="G1938" s="514">
        <v>2795.0</v>
      </c>
      <c r="H1938" s="514">
        <v>30.86</v>
      </c>
      <c r="I1938" s="514">
        <v>4.56</v>
      </c>
      <c r="J1938" s="514">
        <v>3.62</v>
      </c>
      <c r="K1938" s="514">
        <v>5401.0</v>
      </c>
      <c r="L1938" s="514">
        <v>118455.0</v>
      </c>
      <c r="M1938" s="514">
        <v>0.5964</v>
      </c>
      <c r="N1938" s="6">
        <v>1.9324</v>
      </c>
    </row>
    <row r="1939">
      <c r="A1939" s="512" t="s">
        <v>2041</v>
      </c>
      <c r="B1939" s="512" t="s">
        <v>163</v>
      </c>
      <c r="C1939" s="512" t="s">
        <v>74</v>
      </c>
      <c r="D1939" s="512" t="s">
        <v>574</v>
      </c>
      <c r="E1939" s="513" t="s">
        <v>42</v>
      </c>
      <c r="F1939" s="514">
        <v>9056.0</v>
      </c>
      <c r="G1939" s="514">
        <v>2129.0</v>
      </c>
      <c r="H1939" s="514">
        <v>23.51</v>
      </c>
      <c r="I1939" s="514">
        <v>4.25</v>
      </c>
      <c r="J1939" s="514">
        <v>3.31</v>
      </c>
      <c r="K1939" s="514">
        <v>5034.0</v>
      </c>
      <c r="L1939" s="514">
        <v>118455.0</v>
      </c>
      <c r="M1939" s="514">
        <v>0.5559</v>
      </c>
      <c r="N1939" s="6">
        <v>2.3645</v>
      </c>
    </row>
    <row r="1940">
      <c r="A1940" s="512" t="s">
        <v>2041</v>
      </c>
      <c r="B1940" s="512" t="s">
        <v>163</v>
      </c>
      <c r="C1940" s="512" t="s">
        <v>74</v>
      </c>
      <c r="D1940" s="512" t="s">
        <v>574</v>
      </c>
      <c r="E1940" s="513" t="s">
        <v>50</v>
      </c>
      <c r="F1940" s="514">
        <v>9056.0</v>
      </c>
      <c r="G1940" s="514">
        <v>3160.0</v>
      </c>
      <c r="H1940" s="514">
        <v>34.89</v>
      </c>
      <c r="I1940" s="514">
        <v>4.19</v>
      </c>
      <c r="J1940" s="514">
        <v>4.4</v>
      </c>
      <c r="K1940" s="514">
        <v>4967.0</v>
      </c>
      <c r="L1940" s="514">
        <v>118455.0</v>
      </c>
      <c r="M1940" s="514">
        <v>0.5485</v>
      </c>
      <c r="N1940" s="6">
        <v>1.5718</v>
      </c>
    </row>
    <row r="1941">
      <c r="A1941" s="512" t="s">
        <v>2041</v>
      </c>
      <c r="B1941" s="512" t="s">
        <v>163</v>
      </c>
      <c r="C1941" s="512" t="s">
        <v>74</v>
      </c>
      <c r="D1941" s="512" t="s">
        <v>574</v>
      </c>
      <c r="E1941" s="513" t="s">
        <v>367</v>
      </c>
      <c r="F1941" s="514">
        <v>9056.0</v>
      </c>
      <c r="G1941" s="514">
        <v>1175.0</v>
      </c>
      <c r="H1941" s="514">
        <v>12.97</v>
      </c>
      <c r="I1941" s="514">
        <v>2.3</v>
      </c>
      <c r="J1941" s="514">
        <v>1.52</v>
      </c>
      <c r="K1941" s="514">
        <v>2723.0</v>
      </c>
      <c r="L1941" s="514">
        <v>118455.0</v>
      </c>
      <c r="M1941" s="514">
        <v>0.3007</v>
      </c>
      <c r="N1941" s="6">
        <v>2.3174</v>
      </c>
    </row>
    <row r="1942">
      <c r="A1942" s="512" t="s">
        <v>2041</v>
      </c>
      <c r="B1942" s="512" t="s">
        <v>163</v>
      </c>
      <c r="C1942" s="512" t="s">
        <v>74</v>
      </c>
      <c r="D1942" s="512" t="s">
        <v>574</v>
      </c>
      <c r="E1942" s="513" t="s">
        <v>310</v>
      </c>
      <c r="F1942" s="514">
        <v>9056.0</v>
      </c>
      <c r="G1942" s="514">
        <v>1686.0</v>
      </c>
      <c r="H1942" s="514">
        <v>18.62</v>
      </c>
      <c r="I1942" s="514">
        <v>1.86</v>
      </c>
      <c r="J1942" s="514">
        <v>1.76</v>
      </c>
      <c r="K1942" s="514">
        <v>2199.0</v>
      </c>
      <c r="L1942" s="514">
        <v>118455.0</v>
      </c>
      <c r="M1942" s="514">
        <v>0.2428</v>
      </c>
      <c r="N1942" s="6">
        <v>1.3043</v>
      </c>
    </row>
    <row r="1943">
      <c r="A1943" s="512" t="s">
        <v>2041</v>
      </c>
      <c r="B1943" s="512" t="s">
        <v>163</v>
      </c>
      <c r="C1943" s="512" t="s">
        <v>74</v>
      </c>
      <c r="D1943" s="512" t="s">
        <v>574</v>
      </c>
      <c r="E1943" s="513" t="s">
        <v>375</v>
      </c>
      <c r="F1943" s="514">
        <v>9056.0</v>
      </c>
      <c r="G1943" s="514">
        <v>1889.0</v>
      </c>
      <c r="H1943" s="514">
        <v>20.86</v>
      </c>
      <c r="I1943" s="514">
        <v>1.81</v>
      </c>
      <c r="J1943" s="514">
        <v>1.76</v>
      </c>
      <c r="K1943" s="514">
        <v>2139.0</v>
      </c>
      <c r="L1943" s="514">
        <v>118455.0</v>
      </c>
      <c r="M1943" s="514">
        <v>0.2362</v>
      </c>
      <c r="N1943" s="6">
        <v>1.1323</v>
      </c>
    </row>
    <row r="1944">
      <c r="A1944" s="512" t="s">
        <v>2041</v>
      </c>
      <c r="B1944" s="512" t="s">
        <v>163</v>
      </c>
      <c r="C1944" s="512" t="s">
        <v>74</v>
      </c>
      <c r="D1944" s="512" t="s">
        <v>574</v>
      </c>
      <c r="E1944" s="513" t="s">
        <v>32</v>
      </c>
      <c r="F1944" s="514">
        <v>9056.0</v>
      </c>
      <c r="G1944" s="514">
        <v>1614.0</v>
      </c>
      <c r="H1944" s="514">
        <v>17.82</v>
      </c>
      <c r="I1944" s="514">
        <v>1.72</v>
      </c>
      <c r="J1944" s="514">
        <v>1.77</v>
      </c>
      <c r="K1944" s="514">
        <v>2043.0</v>
      </c>
      <c r="L1944" s="514">
        <v>118455.0</v>
      </c>
      <c r="M1944" s="514">
        <v>0.2256</v>
      </c>
      <c r="N1944" s="6">
        <v>1.2658</v>
      </c>
    </row>
    <row r="1945">
      <c r="A1945" s="512" t="s">
        <v>2041</v>
      </c>
      <c r="B1945" s="512" t="s">
        <v>163</v>
      </c>
      <c r="C1945" s="512" t="s">
        <v>74</v>
      </c>
      <c r="D1945" s="512" t="s">
        <v>574</v>
      </c>
      <c r="E1945" s="513" t="s">
        <v>312</v>
      </c>
      <c r="F1945" s="514">
        <v>9056.0</v>
      </c>
      <c r="G1945" s="514">
        <v>1548.0</v>
      </c>
      <c r="H1945" s="514">
        <v>17.09</v>
      </c>
      <c r="I1945" s="514">
        <v>1.72</v>
      </c>
      <c r="J1945" s="514">
        <v>1.51</v>
      </c>
      <c r="K1945" s="514">
        <v>2035.0</v>
      </c>
      <c r="L1945" s="514">
        <v>118455.0</v>
      </c>
      <c r="M1945" s="514">
        <v>0.2247</v>
      </c>
      <c r="N1945" s="6">
        <v>1.3146</v>
      </c>
    </row>
    <row r="1946">
      <c r="A1946" s="512" t="s">
        <v>2041</v>
      </c>
      <c r="B1946" s="512" t="s">
        <v>163</v>
      </c>
      <c r="C1946" s="512" t="s">
        <v>74</v>
      </c>
      <c r="D1946" s="512" t="s">
        <v>574</v>
      </c>
      <c r="E1946" s="513" t="s">
        <v>374</v>
      </c>
      <c r="F1946" s="514">
        <v>9056.0</v>
      </c>
      <c r="G1946" s="514">
        <v>563.0</v>
      </c>
      <c r="H1946" s="514">
        <v>6.22</v>
      </c>
      <c r="I1946" s="514">
        <v>1.71</v>
      </c>
      <c r="J1946" s="514">
        <v>0.66</v>
      </c>
      <c r="K1946" s="514">
        <v>2026.0</v>
      </c>
      <c r="L1946" s="514">
        <v>118455.0</v>
      </c>
      <c r="M1946" s="514">
        <v>0.2237</v>
      </c>
      <c r="N1946" s="6">
        <v>3.5986</v>
      </c>
    </row>
    <row r="1947">
      <c r="A1947" s="512" t="s">
        <v>2041</v>
      </c>
      <c r="B1947" s="512" t="s">
        <v>163</v>
      </c>
      <c r="C1947" s="512" t="s">
        <v>74</v>
      </c>
      <c r="D1947" s="512" t="s">
        <v>574</v>
      </c>
      <c r="E1947" s="513" t="s">
        <v>40</v>
      </c>
      <c r="F1947" s="514">
        <v>9056.0</v>
      </c>
      <c r="G1947" s="514">
        <v>887.0</v>
      </c>
      <c r="H1947" s="514">
        <v>9.79</v>
      </c>
      <c r="I1947" s="514">
        <v>1.1</v>
      </c>
      <c r="J1947" s="514">
        <v>0.89</v>
      </c>
      <c r="K1947" s="514">
        <v>1306.0</v>
      </c>
      <c r="L1947" s="514">
        <v>118455.0</v>
      </c>
      <c r="M1947" s="514">
        <v>0.1442</v>
      </c>
      <c r="N1947" s="6">
        <v>1.4724</v>
      </c>
    </row>
    <row r="1948">
      <c r="A1948" s="512" t="s">
        <v>2041</v>
      </c>
      <c r="B1948" s="512" t="s">
        <v>163</v>
      </c>
      <c r="C1948" s="512" t="s">
        <v>74</v>
      </c>
      <c r="D1948" s="512" t="s">
        <v>574</v>
      </c>
      <c r="E1948" s="513" t="s">
        <v>43</v>
      </c>
      <c r="F1948" s="514">
        <v>9056.0</v>
      </c>
      <c r="G1948" s="514">
        <v>696.0</v>
      </c>
      <c r="H1948" s="514">
        <v>7.69</v>
      </c>
      <c r="I1948" s="514">
        <v>0.73</v>
      </c>
      <c r="J1948" s="514">
        <v>0.37</v>
      </c>
      <c r="K1948" s="514">
        <v>869.0</v>
      </c>
      <c r="L1948" s="514">
        <v>118455.0</v>
      </c>
      <c r="M1948" s="514">
        <v>0.096</v>
      </c>
      <c r="N1948" s="6">
        <v>1.2486</v>
      </c>
    </row>
    <row r="1949">
      <c r="A1949" s="512" t="s">
        <v>2041</v>
      </c>
      <c r="B1949" s="512" t="s">
        <v>163</v>
      </c>
      <c r="C1949" s="512" t="s">
        <v>74</v>
      </c>
      <c r="D1949" s="512" t="s">
        <v>574</v>
      </c>
      <c r="E1949" s="513" t="s">
        <v>189</v>
      </c>
      <c r="F1949" s="514">
        <v>9056.0</v>
      </c>
      <c r="G1949" s="514">
        <v>747.0</v>
      </c>
      <c r="H1949" s="514">
        <v>8.25</v>
      </c>
      <c r="I1949" s="514">
        <v>0.64</v>
      </c>
      <c r="J1949" s="514">
        <v>0.4</v>
      </c>
      <c r="K1949" s="514">
        <v>760.0</v>
      </c>
      <c r="L1949" s="514">
        <v>118455.0</v>
      </c>
      <c r="M1949" s="514">
        <v>0.0839</v>
      </c>
      <c r="N1949" s="6">
        <v>1.0174</v>
      </c>
    </row>
    <row r="1950">
      <c r="A1950" s="512" t="s">
        <v>2041</v>
      </c>
      <c r="B1950" s="512" t="s">
        <v>163</v>
      </c>
      <c r="C1950" s="512" t="s">
        <v>74</v>
      </c>
      <c r="D1950" s="512" t="s">
        <v>574</v>
      </c>
      <c r="E1950" s="513" t="s">
        <v>311</v>
      </c>
      <c r="F1950" s="514">
        <v>9056.0</v>
      </c>
      <c r="G1950" s="514">
        <v>574.0</v>
      </c>
      <c r="H1950" s="514">
        <v>6.34</v>
      </c>
      <c r="I1950" s="514">
        <v>0.5</v>
      </c>
      <c r="J1950" s="514">
        <v>0.5</v>
      </c>
      <c r="K1950" s="514">
        <v>587.0</v>
      </c>
      <c r="L1950" s="514">
        <v>118455.0</v>
      </c>
      <c r="M1950" s="514">
        <v>0.0648</v>
      </c>
      <c r="N1950" s="6">
        <v>1.0226</v>
      </c>
    </row>
    <row r="1951">
      <c r="A1951" s="512" t="s">
        <v>2041</v>
      </c>
      <c r="B1951" s="512" t="s">
        <v>163</v>
      </c>
      <c r="C1951" s="512" t="s">
        <v>74</v>
      </c>
      <c r="D1951" s="512" t="s">
        <v>574</v>
      </c>
      <c r="E1951" s="513" t="s">
        <v>373</v>
      </c>
      <c r="F1951" s="514">
        <v>9056.0</v>
      </c>
      <c r="G1951" s="514">
        <v>409.0</v>
      </c>
      <c r="H1951" s="514">
        <v>4.52</v>
      </c>
      <c r="I1951" s="514">
        <v>0.35</v>
      </c>
      <c r="J1951" s="514">
        <v>0.15</v>
      </c>
      <c r="K1951" s="514">
        <v>415.0</v>
      </c>
      <c r="L1951" s="514">
        <v>118455.0</v>
      </c>
      <c r="M1951" s="514">
        <v>0.0458</v>
      </c>
      <c r="N1951" s="6">
        <v>1.0147</v>
      </c>
    </row>
    <row r="1952">
      <c r="A1952" s="512" t="s">
        <v>2041</v>
      </c>
      <c r="B1952" s="512" t="s">
        <v>163</v>
      </c>
      <c r="C1952" s="512" t="s">
        <v>1882</v>
      </c>
      <c r="D1952" s="512" t="s">
        <v>1882</v>
      </c>
      <c r="E1952" s="513" t="s">
        <v>379</v>
      </c>
      <c r="F1952" s="514">
        <v>9096.0</v>
      </c>
      <c r="G1952" s="514">
        <v>9088.0</v>
      </c>
      <c r="H1952" s="514">
        <v>99.91</v>
      </c>
      <c r="I1952" s="514">
        <v>30.82</v>
      </c>
      <c r="J1952" s="514">
        <v>31.82</v>
      </c>
      <c r="K1952" s="514">
        <v>5980725.0</v>
      </c>
      <c r="L1952" s="514">
        <v>1.94026E7</v>
      </c>
      <c r="M1952" s="514">
        <v>657.5115</v>
      </c>
      <c r="N1952" s="6">
        <v>658.0903</v>
      </c>
    </row>
    <row r="1953">
      <c r="A1953" s="512" t="s">
        <v>2041</v>
      </c>
      <c r="B1953" s="512" t="s">
        <v>163</v>
      </c>
      <c r="C1953" s="512" t="s">
        <v>1882</v>
      </c>
      <c r="D1953" s="512" t="s">
        <v>1882</v>
      </c>
      <c r="E1953" s="513" t="s">
        <v>372</v>
      </c>
      <c r="F1953" s="514">
        <v>9096.0</v>
      </c>
      <c r="G1953" s="514">
        <v>9025.0</v>
      </c>
      <c r="H1953" s="514">
        <v>99.22</v>
      </c>
      <c r="I1953" s="514">
        <v>19.44</v>
      </c>
      <c r="J1953" s="514">
        <v>25.86</v>
      </c>
      <c r="K1953" s="514">
        <v>3770980.0</v>
      </c>
      <c r="L1953" s="514">
        <v>1.94026E7</v>
      </c>
      <c r="M1953" s="514">
        <v>414.5756</v>
      </c>
      <c r="N1953" s="6">
        <v>417.8371</v>
      </c>
    </row>
    <row r="1954">
      <c r="A1954" s="512" t="s">
        <v>2041</v>
      </c>
      <c r="B1954" s="512" t="s">
        <v>163</v>
      </c>
      <c r="C1954" s="512" t="s">
        <v>1882</v>
      </c>
      <c r="D1954" s="512" t="s">
        <v>1882</v>
      </c>
      <c r="E1954" s="513" t="s">
        <v>374</v>
      </c>
      <c r="F1954" s="514">
        <v>9096.0</v>
      </c>
      <c r="G1954" s="514">
        <v>3849.0</v>
      </c>
      <c r="H1954" s="514">
        <v>42.32</v>
      </c>
      <c r="I1954" s="514">
        <v>9.46</v>
      </c>
      <c r="J1954" s="514">
        <v>5.99</v>
      </c>
      <c r="K1954" s="514">
        <v>1835035.0</v>
      </c>
      <c r="L1954" s="514">
        <v>1.94026E7</v>
      </c>
      <c r="M1954" s="514">
        <v>201.7409</v>
      </c>
      <c r="N1954" s="6">
        <v>476.7563</v>
      </c>
    </row>
    <row r="1955">
      <c r="A1955" s="512" t="s">
        <v>2041</v>
      </c>
      <c r="B1955" s="512" t="s">
        <v>163</v>
      </c>
      <c r="C1955" s="512" t="s">
        <v>1882</v>
      </c>
      <c r="D1955" s="512" t="s">
        <v>1882</v>
      </c>
      <c r="E1955" s="513" t="s">
        <v>377</v>
      </c>
      <c r="F1955" s="514">
        <v>9096.0</v>
      </c>
      <c r="G1955" s="514">
        <v>4936.0</v>
      </c>
      <c r="H1955" s="514">
        <v>54.27</v>
      </c>
      <c r="I1955" s="514">
        <v>5.41</v>
      </c>
      <c r="J1955" s="514">
        <v>5.1</v>
      </c>
      <c r="K1955" s="514">
        <v>1050360.0</v>
      </c>
      <c r="L1955" s="514">
        <v>1.94026E7</v>
      </c>
      <c r="M1955" s="514">
        <v>115.4749</v>
      </c>
      <c r="N1955" s="6">
        <v>212.7958</v>
      </c>
    </row>
    <row r="1956">
      <c r="A1956" s="512" t="s">
        <v>2041</v>
      </c>
      <c r="B1956" s="512" t="s">
        <v>163</v>
      </c>
      <c r="C1956" s="512" t="s">
        <v>1882</v>
      </c>
      <c r="D1956" s="512" t="s">
        <v>1882</v>
      </c>
      <c r="E1956" s="513" t="s">
        <v>380</v>
      </c>
      <c r="F1956" s="514">
        <v>9096.0</v>
      </c>
      <c r="G1956" s="514">
        <v>6487.0</v>
      </c>
      <c r="H1956" s="514">
        <v>71.32</v>
      </c>
      <c r="I1956" s="514">
        <v>4.06</v>
      </c>
      <c r="J1956" s="514">
        <v>5.3</v>
      </c>
      <c r="K1956" s="514">
        <v>786840.0</v>
      </c>
      <c r="L1956" s="514">
        <v>1.94026E7</v>
      </c>
      <c r="M1956" s="514">
        <v>86.504</v>
      </c>
      <c r="N1956" s="6">
        <v>121.2949</v>
      </c>
    </row>
    <row r="1957">
      <c r="A1957" s="512" t="s">
        <v>2041</v>
      </c>
      <c r="B1957" s="512" t="s">
        <v>163</v>
      </c>
      <c r="C1957" s="512" t="s">
        <v>1882</v>
      </c>
      <c r="D1957" s="512" t="s">
        <v>1882</v>
      </c>
      <c r="E1957" s="513" t="s">
        <v>134</v>
      </c>
      <c r="F1957" s="514">
        <v>9096.0</v>
      </c>
      <c r="G1957" s="514">
        <v>2072.0</v>
      </c>
      <c r="H1957" s="514">
        <v>22.78</v>
      </c>
      <c r="I1957" s="514">
        <v>4.01</v>
      </c>
      <c r="J1957" s="514">
        <v>2.19</v>
      </c>
      <c r="K1957" s="514">
        <v>778700.0</v>
      </c>
      <c r="L1957" s="514">
        <v>1.94026E7</v>
      </c>
      <c r="M1957" s="514">
        <v>85.6091</v>
      </c>
      <c r="N1957" s="6">
        <v>375.8205</v>
      </c>
    </row>
    <row r="1958">
      <c r="A1958" s="512" t="s">
        <v>2041</v>
      </c>
      <c r="B1958" s="512" t="s">
        <v>163</v>
      </c>
      <c r="C1958" s="512" t="s">
        <v>1882</v>
      </c>
      <c r="D1958" s="512" t="s">
        <v>1882</v>
      </c>
      <c r="E1958" s="513" t="s">
        <v>50</v>
      </c>
      <c r="F1958" s="514">
        <v>9096.0</v>
      </c>
      <c r="G1958" s="514">
        <v>5061.0</v>
      </c>
      <c r="H1958" s="514">
        <v>55.64</v>
      </c>
      <c r="I1958" s="514">
        <v>3.65</v>
      </c>
      <c r="J1958" s="514">
        <v>3.66</v>
      </c>
      <c r="K1958" s="514">
        <v>708500.0</v>
      </c>
      <c r="L1958" s="514">
        <v>1.94026E7</v>
      </c>
      <c r="M1958" s="514">
        <v>77.8914</v>
      </c>
      <c r="N1958" s="6">
        <v>139.9921</v>
      </c>
    </row>
    <row r="1959">
      <c r="A1959" s="512" t="s">
        <v>2041</v>
      </c>
      <c r="B1959" s="512" t="s">
        <v>163</v>
      </c>
      <c r="C1959" s="512" t="s">
        <v>1882</v>
      </c>
      <c r="D1959" s="512" t="s">
        <v>1882</v>
      </c>
      <c r="E1959" s="513" t="s">
        <v>373</v>
      </c>
      <c r="F1959" s="514">
        <v>9096.0</v>
      </c>
      <c r="G1959" s="514">
        <v>5472.0</v>
      </c>
      <c r="H1959" s="514">
        <v>60.16</v>
      </c>
      <c r="I1959" s="514">
        <v>2.78</v>
      </c>
      <c r="J1959" s="514">
        <v>2.02</v>
      </c>
      <c r="K1959" s="514">
        <v>539305.0</v>
      </c>
      <c r="L1959" s="514">
        <v>1.94026E7</v>
      </c>
      <c r="M1959" s="514">
        <v>59.2903</v>
      </c>
      <c r="N1959" s="6">
        <v>98.5572</v>
      </c>
    </row>
    <row r="1960">
      <c r="A1960" s="512" t="s">
        <v>2041</v>
      </c>
      <c r="B1960" s="512" t="s">
        <v>163</v>
      </c>
      <c r="C1960" s="512" t="s">
        <v>1882</v>
      </c>
      <c r="D1960" s="512" t="s">
        <v>1882</v>
      </c>
      <c r="E1960" s="513" t="s">
        <v>310</v>
      </c>
      <c r="F1960" s="514">
        <v>9096.0</v>
      </c>
      <c r="G1960" s="514">
        <v>2354.0</v>
      </c>
      <c r="H1960" s="514">
        <v>25.88</v>
      </c>
      <c r="I1960" s="514">
        <v>2.71</v>
      </c>
      <c r="J1960" s="514">
        <v>2.35</v>
      </c>
      <c r="K1960" s="514">
        <v>525400.0</v>
      </c>
      <c r="L1960" s="514">
        <v>1.94026E7</v>
      </c>
      <c r="M1960" s="514">
        <v>57.7617</v>
      </c>
      <c r="N1960" s="6">
        <v>223.1946</v>
      </c>
    </row>
    <row r="1961">
      <c r="A1961" s="512" t="s">
        <v>2041</v>
      </c>
      <c r="B1961" s="512" t="s">
        <v>163</v>
      </c>
      <c r="C1961" s="512" t="s">
        <v>1882</v>
      </c>
      <c r="D1961" s="512" t="s">
        <v>1882</v>
      </c>
      <c r="E1961" s="513" t="s">
        <v>312</v>
      </c>
      <c r="F1961" s="514">
        <v>9096.0</v>
      </c>
      <c r="G1961" s="514">
        <v>2437.0</v>
      </c>
      <c r="H1961" s="514">
        <v>26.79</v>
      </c>
      <c r="I1961" s="514">
        <v>2.7</v>
      </c>
      <c r="J1961" s="514">
        <v>2.35</v>
      </c>
      <c r="K1961" s="514">
        <v>523550.0</v>
      </c>
      <c r="L1961" s="514">
        <v>1.94026E7</v>
      </c>
      <c r="M1961" s="514">
        <v>57.5583</v>
      </c>
      <c r="N1961" s="6">
        <v>214.8338</v>
      </c>
    </row>
    <row r="1962">
      <c r="A1962" s="512" t="s">
        <v>2041</v>
      </c>
      <c r="B1962" s="512" t="s">
        <v>163</v>
      </c>
      <c r="C1962" s="512" t="s">
        <v>1882</v>
      </c>
      <c r="D1962" s="512" t="s">
        <v>1882</v>
      </c>
      <c r="E1962" s="513" t="s">
        <v>32</v>
      </c>
      <c r="F1962" s="514">
        <v>9096.0</v>
      </c>
      <c r="G1962" s="514">
        <v>2238.0</v>
      </c>
      <c r="H1962" s="514">
        <v>24.6</v>
      </c>
      <c r="I1962" s="514">
        <v>2.51</v>
      </c>
      <c r="J1962" s="514">
        <v>2.32</v>
      </c>
      <c r="K1962" s="514">
        <v>486200.0</v>
      </c>
      <c r="L1962" s="514">
        <v>1.94026E7</v>
      </c>
      <c r="M1962" s="514">
        <v>53.4521</v>
      </c>
      <c r="N1962" s="6">
        <v>217.2475</v>
      </c>
    </row>
    <row r="1963">
      <c r="A1963" s="512" t="s">
        <v>2041</v>
      </c>
      <c r="B1963" s="512" t="s">
        <v>163</v>
      </c>
      <c r="C1963" s="512" t="s">
        <v>1882</v>
      </c>
      <c r="D1963" s="512" t="s">
        <v>1882</v>
      </c>
      <c r="E1963" s="513" t="s">
        <v>42</v>
      </c>
      <c r="F1963" s="514">
        <v>9096.0</v>
      </c>
      <c r="G1963" s="514">
        <v>2145.0</v>
      </c>
      <c r="H1963" s="514">
        <v>23.58</v>
      </c>
      <c r="I1963" s="514">
        <v>2.02</v>
      </c>
      <c r="J1963" s="514">
        <v>1.68</v>
      </c>
      <c r="K1963" s="514">
        <v>392015.0</v>
      </c>
      <c r="L1963" s="514">
        <v>1.94026E7</v>
      </c>
      <c r="M1963" s="514">
        <v>43.0975</v>
      </c>
      <c r="N1963" s="6">
        <v>182.7576</v>
      </c>
    </row>
    <row r="1964">
      <c r="A1964" s="512" t="s">
        <v>2041</v>
      </c>
      <c r="B1964" s="512" t="s">
        <v>163</v>
      </c>
      <c r="C1964" s="512" t="s">
        <v>1882</v>
      </c>
      <c r="D1964" s="512" t="s">
        <v>1882</v>
      </c>
      <c r="E1964" s="513" t="s">
        <v>43</v>
      </c>
      <c r="F1964" s="514">
        <v>9096.0</v>
      </c>
      <c r="G1964" s="514">
        <v>1240.0</v>
      </c>
      <c r="H1964" s="514">
        <v>13.63</v>
      </c>
      <c r="I1964" s="514">
        <v>1.98</v>
      </c>
      <c r="J1964" s="514">
        <v>1.03</v>
      </c>
      <c r="K1964" s="514">
        <v>383375.0</v>
      </c>
      <c r="L1964" s="514">
        <v>1.94026E7</v>
      </c>
      <c r="M1964" s="514">
        <v>42.1476</v>
      </c>
      <c r="N1964" s="6">
        <v>309.1734</v>
      </c>
    </row>
    <row r="1965">
      <c r="A1965" s="512" t="s">
        <v>2041</v>
      </c>
      <c r="B1965" s="512" t="s">
        <v>163</v>
      </c>
      <c r="C1965" s="512" t="s">
        <v>1882</v>
      </c>
      <c r="D1965" s="512" t="s">
        <v>1882</v>
      </c>
      <c r="E1965" s="513" t="s">
        <v>40</v>
      </c>
      <c r="F1965" s="514">
        <v>9096.0</v>
      </c>
      <c r="G1965" s="514">
        <v>2098.0</v>
      </c>
      <c r="H1965" s="514">
        <v>23.07</v>
      </c>
      <c r="I1965" s="514">
        <v>1.93</v>
      </c>
      <c r="J1965" s="514">
        <v>1.46</v>
      </c>
      <c r="K1965" s="514">
        <v>373630.0</v>
      </c>
      <c r="L1965" s="514">
        <v>1.94026E7</v>
      </c>
      <c r="M1965" s="514">
        <v>41.0763</v>
      </c>
      <c r="N1965" s="6">
        <v>178.0887</v>
      </c>
    </row>
    <row r="1966">
      <c r="A1966" s="512" t="s">
        <v>2041</v>
      </c>
      <c r="B1966" s="512" t="s">
        <v>163</v>
      </c>
      <c r="C1966" s="512" t="s">
        <v>1882</v>
      </c>
      <c r="D1966" s="512" t="s">
        <v>1882</v>
      </c>
      <c r="E1966" s="513" t="s">
        <v>44</v>
      </c>
      <c r="F1966" s="514">
        <v>9096.0</v>
      </c>
      <c r="G1966" s="514">
        <v>5070.0</v>
      </c>
      <c r="H1966" s="514">
        <v>55.74</v>
      </c>
      <c r="I1966" s="514">
        <v>1.93</v>
      </c>
      <c r="J1966" s="514">
        <v>2.4</v>
      </c>
      <c r="K1966" s="514">
        <v>373580.0</v>
      </c>
      <c r="L1966" s="514">
        <v>1.94026E7</v>
      </c>
      <c r="M1966" s="514">
        <v>41.0708</v>
      </c>
      <c r="N1966" s="6">
        <v>73.6844</v>
      </c>
    </row>
    <row r="1967">
      <c r="A1967" s="512" t="s">
        <v>2041</v>
      </c>
      <c r="B1967" s="512" t="s">
        <v>163</v>
      </c>
      <c r="C1967" s="512" t="s">
        <v>1882</v>
      </c>
      <c r="D1967" s="512" t="s">
        <v>1882</v>
      </c>
      <c r="E1967" s="513" t="s">
        <v>367</v>
      </c>
      <c r="F1967" s="514">
        <v>9096.0</v>
      </c>
      <c r="G1967" s="514">
        <v>3159.0</v>
      </c>
      <c r="H1967" s="514">
        <v>34.73</v>
      </c>
      <c r="I1967" s="514">
        <v>1.35</v>
      </c>
      <c r="J1967" s="514">
        <v>1.0</v>
      </c>
      <c r="K1967" s="514">
        <v>262180.0</v>
      </c>
      <c r="L1967" s="514">
        <v>1.94026E7</v>
      </c>
      <c r="M1967" s="514">
        <v>28.8237</v>
      </c>
      <c r="N1967" s="6">
        <v>82.9946</v>
      </c>
    </row>
    <row r="1968">
      <c r="A1968" s="512" t="s">
        <v>2041</v>
      </c>
      <c r="B1968" s="512" t="s">
        <v>163</v>
      </c>
      <c r="C1968" s="512" t="s">
        <v>1882</v>
      </c>
      <c r="D1968" s="512" t="s">
        <v>1882</v>
      </c>
      <c r="E1968" s="513" t="s">
        <v>375</v>
      </c>
      <c r="F1968" s="514">
        <v>9096.0</v>
      </c>
      <c r="G1968" s="514">
        <v>3361.0</v>
      </c>
      <c r="H1968" s="514">
        <v>36.95</v>
      </c>
      <c r="I1968" s="514">
        <v>1.34</v>
      </c>
      <c r="J1968" s="514">
        <v>1.49</v>
      </c>
      <c r="K1968" s="514">
        <v>260825.0</v>
      </c>
      <c r="L1968" s="514">
        <v>1.94026E7</v>
      </c>
      <c r="M1968" s="514">
        <v>28.6747</v>
      </c>
      <c r="N1968" s="6">
        <v>77.6034</v>
      </c>
    </row>
    <row r="1969">
      <c r="A1969" s="512" t="s">
        <v>2041</v>
      </c>
      <c r="B1969" s="512" t="s">
        <v>163</v>
      </c>
      <c r="C1969" s="512" t="s">
        <v>1882</v>
      </c>
      <c r="D1969" s="512" t="s">
        <v>1882</v>
      </c>
      <c r="E1969" s="513" t="s">
        <v>311</v>
      </c>
      <c r="F1969" s="514">
        <v>9096.0</v>
      </c>
      <c r="G1969" s="514">
        <v>851.0</v>
      </c>
      <c r="H1969" s="514">
        <v>9.36</v>
      </c>
      <c r="I1969" s="514">
        <v>0.73</v>
      </c>
      <c r="J1969" s="514">
        <v>0.69</v>
      </c>
      <c r="K1969" s="514">
        <v>142150.0</v>
      </c>
      <c r="L1969" s="514">
        <v>1.94026E7</v>
      </c>
      <c r="M1969" s="514">
        <v>15.6277</v>
      </c>
      <c r="N1969" s="6">
        <v>167.0388</v>
      </c>
    </row>
    <row r="1970">
      <c r="A1970" s="512" t="s">
        <v>2041</v>
      </c>
      <c r="B1970" s="512" t="s">
        <v>163</v>
      </c>
      <c r="C1970" s="512" t="s">
        <v>1882</v>
      </c>
      <c r="D1970" s="512" t="s">
        <v>1882</v>
      </c>
      <c r="E1970" s="513" t="s">
        <v>35</v>
      </c>
      <c r="F1970" s="514">
        <v>9096.0</v>
      </c>
      <c r="G1970" s="514">
        <v>1919.0</v>
      </c>
      <c r="H1970" s="514">
        <v>21.1</v>
      </c>
      <c r="I1970" s="514">
        <v>0.67</v>
      </c>
      <c r="J1970" s="514">
        <v>0.78</v>
      </c>
      <c r="K1970" s="514">
        <v>129725.0</v>
      </c>
      <c r="L1970" s="514">
        <v>1.94026E7</v>
      </c>
      <c r="M1970" s="514">
        <v>14.2618</v>
      </c>
      <c r="N1970" s="6">
        <v>67.6003</v>
      </c>
    </row>
    <row r="1971">
      <c r="A1971" s="512" t="s">
        <v>2041</v>
      </c>
      <c r="B1971" s="512" t="s">
        <v>163</v>
      </c>
      <c r="C1971" s="512" t="s">
        <v>1882</v>
      </c>
      <c r="D1971" s="512" t="s">
        <v>1882</v>
      </c>
      <c r="E1971" s="513" t="s">
        <v>189</v>
      </c>
      <c r="F1971" s="514">
        <v>9096.0</v>
      </c>
      <c r="G1971" s="514">
        <v>1543.0</v>
      </c>
      <c r="H1971" s="514">
        <v>16.96</v>
      </c>
      <c r="I1971" s="514">
        <v>0.51</v>
      </c>
      <c r="J1971" s="514">
        <v>0.52</v>
      </c>
      <c r="K1971" s="514">
        <v>99525.0</v>
      </c>
      <c r="L1971" s="514">
        <v>1.94026E7</v>
      </c>
      <c r="M1971" s="514">
        <v>10.9416</v>
      </c>
      <c r="N1971" s="6">
        <v>64.501</v>
      </c>
    </row>
    <row r="1972">
      <c r="A1972" s="512" t="s">
        <v>2041</v>
      </c>
      <c r="B1972" s="512" t="s">
        <v>163</v>
      </c>
      <c r="C1972" s="512" t="s">
        <v>69</v>
      </c>
      <c r="D1972" s="512" t="s">
        <v>574</v>
      </c>
      <c r="E1972" s="513" t="s">
        <v>379</v>
      </c>
      <c r="F1972" s="514">
        <v>9057.0</v>
      </c>
      <c r="G1972" s="514">
        <v>9006.0</v>
      </c>
      <c r="H1972" s="514">
        <v>99.44</v>
      </c>
      <c r="I1972" s="514">
        <v>64.53</v>
      </c>
      <c r="J1972" s="514">
        <v>60.01</v>
      </c>
      <c r="K1972" s="514">
        <v>142666.0</v>
      </c>
      <c r="L1972" s="514">
        <v>221086.0</v>
      </c>
      <c r="M1972" s="514">
        <v>15.752</v>
      </c>
      <c r="N1972" s="6">
        <v>15.8412</v>
      </c>
    </row>
    <row r="1973">
      <c r="A1973" s="512" t="s">
        <v>2041</v>
      </c>
      <c r="B1973" s="512" t="s">
        <v>163</v>
      </c>
      <c r="C1973" s="512" t="s">
        <v>69</v>
      </c>
      <c r="D1973" s="512" t="s">
        <v>574</v>
      </c>
      <c r="E1973" s="513" t="s">
        <v>380</v>
      </c>
      <c r="F1973" s="514">
        <v>9057.0</v>
      </c>
      <c r="G1973" s="514">
        <v>5641.0</v>
      </c>
      <c r="H1973" s="514">
        <v>62.28</v>
      </c>
      <c r="I1973" s="514">
        <v>9.67</v>
      </c>
      <c r="J1973" s="514">
        <v>13.21</v>
      </c>
      <c r="K1973" s="514">
        <v>21369.0</v>
      </c>
      <c r="L1973" s="514">
        <v>221086.0</v>
      </c>
      <c r="M1973" s="514">
        <v>2.3594</v>
      </c>
      <c r="N1973" s="6">
        <v>3.7882</v>
      </c>
    </row>
    <row r="1974">
      <c r="A1974" s="512" t="s">
        <v>2041</v>
      </c>
      <c r="B1974" s="512" t="s">
        <v>163</v>
      </c>
      <c r="C1974" s="512" t="s">
        <v>69</v>
      </c>
      <c r="D1974" s="512" t="s">
        <v>574</v>
      </c>
      <c r="E1974" s="513" t="s">
        <v>372</v>
      </c>
      <c r="F1974" s="514">
        <v>9057.0</v>
      </c>
      <c r="G1974" s="514">
        <v>6359.0</v>
      </c>
      <c r="H1974" s="514">
        <v>70.21</v>
      </c>
      <c r="I1974" s="514">
        <v>5.79</v>
      </c>
      <c r="J1974" s="514">
        <v>6.66</v>
      </c>
      <c r="K1974" s="514">
        <v>12805.0</v>
      </c>
      <c r="L1974" s="514">
        <v>221086.0</v>
      </c>
      <c r="M1974" s="514">
        <v>1.4138</v>
      </c>
      <c r="N1974" s="6">
        <v>2.0137</v>
      </c>
    </row>
    <row r="1975">
      <c r="A1975" s="512" t="s">
        <v>2041</v>
      </c>
      <c r="B1975" s="512" t="s">
        <v>163</v>
      </c>
      <c r="C1975" s="512" t="s">
        <v>69</v>
      </c>
      <c r="D1975" s="512" t="s">
        <v>574</v>
      </c>
      <c r="E1975" s="513" t="s">
        <v>374</v>
      </c>
      <c r="F1975" s="514">
        <v>9057.0</v>
      </c>
      <c r="G1975" s="514">
        <v>3665.0</v>
      </c>
      <c r="H1975" s="514">
        <v>40.47</v>
      </c>
      <c r="I1975" s="514">
        <v>4.7</v>
      </c>
      <c r="J1975" s="514">
        <v>5.47</v>
      </c>
      <c r="K1975" s="514">
        <v>10396.0</v>
      </c>
      <c r="L1975" s="514">
        <v>221086.0</v>
      </c>
      <c r="M1975" s="514">
        <v>1.1478</v>
      </c>
      <c r="N1975" s="6">
        <v>2.8366</v>
      </c>
    </row>
    <row r="1976">
      <c r="A1976" s="512" t="s">
        <v>2041</v>
      </c>
      <c r="B1976" s="512" t="s">
        <v>163</v>
      </c>
      <c r="C1976" s="512" t="s">
        <v>69</v>
      </c>
      <c r="D1976" s="512" t="s">
        <v>574</v>
      </c>
      <c r="E1976" s="513" t="s">
        <v>377</v>
      </c>
      <c r="F1976" s="514">
        <v>9057.0</v>
      </c>
      <c r="G1976" s="514">
        <v>5200.0</v>
      </c>
      <c r="H1976" s="514">
        <v>57.41</v>
      </c>
      <c r="I1976" s="514">
        <v>4.4</v>
      </c>
      <c r="J1976" s="514">
        <v>4.21</v>
      </c>
      <c r="K1976" s="514">
        <v>9726.0</v>
      </c>
      <c r="L1976" s="514">
        <v>221086.0</v>
      </c>
      <c r="M1976" s="514">
        <v>1.0739</v>
      </c>
      <c r="N1976" s="6">
        <v>1.8704</v>
      </c>
    </row>
    <row r="1977">
      <c r="A1977" s="512" t="s">
        <v>2041</v>
      </c>
      <c r="B1977" s="512" t="s">
        <v>163</v>
      </c>
      <c r="C1977" s="512" t="s">
        <v>69</v>
      </c>
      <c r="D1977" s="512" t="s">
        <v>574</v>
      </c>
      <c r="E1977" s="513" t="s">
        <v>49</v>
      </c>
      <c r="F1977" s="514">
        <v>9057.0</v>
      </c>
      <c r="G1977" s="514">
        <v>3768.0</v>
      </c>
      <c r="H1977" s="514">
        <v>41.6</v>
      </c>
      <c r="I1977" s="514">
        <v>3.65</v>
      </c>
      <c r="J1977" s="514">
        <v>3.07</v>
      </c>
      <c r="K1977" s="514">
        <v>8068.0</v>
      </c>
      <c r="L1977" s="514">
        <v>221086.0</v>
      </c>
      <c r="M1977" s="514">
        <v>0.8908</v>
      </c>
      <c r="N1977" s="6">
        <v>2.1412</v>
      </c>
    </row>
    <row r="1978">
      <c r="A1978" s="512" t="s">
        <v>2041</v>
      </c>
      <c r="B1978" s="512" t="s">
        <v>163</v>
      </c>
      <c r="C1978" s="512" t="s">
        <v>69</v>
      </c>
      <c r="D1978" s="512" t="s">
        <v>574</v>
      </c>
      <c r="E1978" s="513" t="s">
        <v>44</v>
      </c>
      <c r="F1978" s="514">
        <v>9057.0</v>
      </c>
      <c r="G1978" s="514">
        <v>4553.0</v>
      </c>
      <c r="H1978" s="514">
        <v>50.27</v>
      </c>
      <c r="I1978" s="514">
        <v>2.84</v>
      </c>
      <c r="J1978" s="514">
        <v>3.08</v>
      </c>
      <c r="K1978" s="514">
        <v>6270.0</v>
      </c>
      <c r="L1978" s="514">
        <v>221086.0</v>
      </c>
      <c r="M1978" s="514">
        <v>0.6923</v>
      </c>
      <c r="N1978" s="6">
        <v>1.3771</v>
      </c>
    </row>
    <row r="1979">
      <c r="A1979" s="512" t="s">
        <v>2041</v>
      </c>
      <c r="B1979" s="512" t="s">
        <v>163</v>
      </c>
      <c r="C1979" s="512" t="s">
        <v>69</v>
      </c>
      <c r="D1979" s="512" t="s">
        <v>574</v>
      </c>
      <c r="E1979" s="513" t="s">
        <v>134</v>
      </c>
      <c r="F1979" s="514">
        <v>9057.0</v>
      </c>
      <c r="G1979" s="514">
        <v>1599.0</v>
      </c>
      <c r="H1979" s="514">
        <v>17.65</v>
      </c>
      <c r="I1979" s="514">
        <v>1.55</v>
      </c>
      <c r="J1979" s="514">
        <v>1.11</v>
      </c>
      <c r="K1979" s="514">
        <v>3422.0</v>
      </c>
      <c r="L1979" s="514">
        <v>221086.0</v>
      </c>
      <c r="M1979" s="514">
        <v>0.3778</v>
      </c>
      <c r="N1979" s="6">
        <v>2.1401</v>
      </c>
    </row>
    <row r="1980">
      <c r="A1980" s="512" t="s">
        <v>2041</v>
      </c>
      <c r="B1980" s="512" t="s">
        <v>163</v>
      </c>
      <c r="C1980" s="512" t="s">
        <v>69</v>
      </c>
      <c r="D1980" s="512" t="s">
        <v>574</v>
      </c>
      <c r="E1980" s="513" t="s">
        <v>375</v>
      </c>
      <c r="F1980" s="514">
        <v>9057.0</v>
      </c>
      <c r="G1980" s="514">
        <v>2743.0</v>
      </c>
      <c r="H1980" s="514">
        <v>30.29</v>
      </c>
      <c r="I1980" s="514">
        <v>1.47</v>
      </c>
      <c r="J1980" s="514">
        <v>1.61</v>
      </c>
      <c r="K1980" s="514">
        <v>3240.0</v>
      </c>
      <c r="L1980" s="514">
        <v>221086.0</v>
      </c>
      <c r="M1980" s="514">
        <v>0.3577</v>
      </c>
      <c r="N1980" s="6">
        <v>1.1812</v>
      </c>
    </row>
    <row r="1981">
      <c r="A1981" s="512" t="s">
        <v>2041</v>
      </c>
      <c r="B1981" s="512" t="s">
        <v>163</v>
      </c>
      <c r="C1981" s="512" t="s">
        <v>69</v>
      </c>
      <c r="D1981" s="512" t="s">
        <v>574</v>
      </c>
      <c r="E1981" s="513" t="s">
        <v>35</v>
      </c>
      <c r="F1981" s="514">
        <v>9057.0</v>
      </c>
      <c r="G1981" s="514">
        <v>1386.0</v>
      </c>
      <c r="H1981" s="514">
        <v>15.3</v>
      </c>
      <c r="I1981" s="514">
        <v>0.65</v>
      </c>
      <c r="J1981" s="514">
        <v>0.73</v>
      </c>
      <c r="K1981" s="514">
        <v>1445.0</v>
      </c>
      <c r="L1981" s="514">
        <v>221086.0</v>
      </c>
      <c r="M1981" s="514">
        <v>0.1595</v>
      </c>
      <c r="N1981" s="6">
        <v>1.0426</v>
      </c>
    </row>
    <row r="1982">
      <c r="A1982" s="512" t="s">
        <v>2041</v>
      </c>
      <c r="B1982" s="512" t="s">
        <v>163</v>
      </c>
      <c r="C1982" s="512" t="s">
        <v>69</v>
      </c>
      <c r="D1982" s="512" t="s">
        <v>574</v>
      </c>
      <c r="E1982" s="513" t="s">
        <v>189</v>
      </c>
      <c r="F1982" s="514">
        <v>9057.0</v>
      </c>
      <c r="G1982" s="514">
        <v>1227.0</v>
      </c>
      <c r="H1982" s="514">
        <v>13.55</v>
      </c>
      <c r="I1982" s="514">
        <v>0.57</v>
      </c>
      <c r="J1982" s="514">
        <v>0.6</v>
      </c>
      <c r="K1982" s="514">
        <v>1250.0</v>
      </c>
      <c r="L1982" s="514">
        <v>221086.0</v>
      </c>
      <c r="M1982" s="514">
        <v>0.138</v>
      </c>
      <c r="N1982" s="6">
        <v>1.0187</v>
      </c>
    </row>
    <row r="1983">
      <c r="A1983" s="512" t="s">
        <v>2041</v>
      </c>
      <c r="B1983" s="512" t="s">
        <v>163</v>
      </c>
      <c r="C1983" s="512" t="s">
        <v>69</v>
      </c>
      <c r="D1983" s="512" t="s">
        <v>574</v>
      </c>
      <c r="E1983" s="513" t="s">
        <v>50</v>
      </c>
      <c r="F1983" s="514">
        <v>9057.0</v>
      </c>
      <c r="G1983" s="514">
        <v>194.0</v>
      </c>
      <c r="H1983" s="514">
        <v>2.14</v>
      </c>
      <c r="I1983" s="514">
        <v>0.09</v>
      </c>
      <c r="J1983" s="514">
        <v>0.09</v>
      </c>
      <c r="K1983" s="514">
        <v>200.0</v>
      </c>
      <c r="L1983" s="514">
        <v>221086.0</v>
      </c>
      <c r="M1983" s="514">
        <v>0.0221</v>
      </c>
      <c r="N1983" s="6">
        <v>1.0309</v>
      </c>
    </row>
    <row r="1984">
      <c r="A1984" s="512" t="s">
        <v>2041</v>
      </c>
      <c r="B1984" s="512" t="s">
        <v>163</v>
      </c>
      <c r="C1984" s="512" t="s">
        <v>69</v>
      </c>
      <c r="D1984" s="512" t="s">
        <v>574</v>
      </c>
      <c r="E1984" s="513" t="s">
        <v>42</v>
      </c>
      <c r="F1984" s="514">
        <v>9057.0</v>
      </c>
      <c r="G1984" s="514">
        <v>158.0</v>
      </c>
      <c r="H1984" s="514">
        <v>1.74</v>
      </c>
      <c r="I1984" s="514">
        <v>0.07</v>
      </c>
      <c r="J1984" s="514">
        <v>0.1</v>
      </c>
      <c r="K1984" s="514">
        <v>160.0</v>
      </c>
      <c r="L1984" s="514">
        <v>221086.0</v>
      </c>
      <c r="M1984" s="514">
        <v>0.0177</v>
      </c>
      <c r="N1984" s="6">
        <v>1.0127</v>
      </c>
    </row>
    <row r="1985">
      <c r="A1985" s="512" t="s">
        <v>2041</v>
      </c>
      <c r="B1985" s="512" t="s">
        <v>163</v>
      </c>
      <c r="C1985" s="512" t="s">
        <v>69</v>
      </c>
      <c r="D1985" s="512" t="s">
        <v>574</v>
      </c>
      <c r="E1985" s="513" t="s">
        <v>43</v>
      </c>
      <c r="F1985" s="514">
        <v>9057.0</v>
      </c>
      <c r="G1985" s="514">
        <v>30.0</v>
      </c>
      <c r="H1985" s="514">
        <v>0.33</v>
      </c>
      <c r="I1985" s="514">
        <v>0.01</v>
      </c>
      <c r="J1985" s="514">
        <v>0.01</v>
      </c>
      <c r="K1985" s="514">
        <v>30.0</v>
      </c>
      <c r="L1985" s="514">
        <v>221086.0</v>
      </c>
      <c r="M1985" s="514">
        <v>0.0033</v>
      </c>
      <c r="N1985" s="6">
        <v>1.0</v>
      </c>
    </row>
    <row r="1986">
      <c r="A1986" s="512" t="s">
        <v>2041</v>
      </c>
      <c r="B1986" s="512" t="s">
        <v>163</v>
      </c>
      <c r="C1986" s="512" t="s">
        <v>69</v>
      </c>
      <c r="D1986" s="512" t="s">
        <v>574</v>
      </c>
      <c r="E1986" s="513" t="s">
        <v>367</v>
      </c>
      <c r="F1986" s="514">
        <v>9057.0</v>
      </c>
      <c r="G1986" s="514">
        <v>31.0</v>
      </c>
      <c r="H1986" s="514">
        <v>0.34</v>
      </c>
      <c r="I1986" s="514">
        <v>0.01</v>
      </c>
      <c r="J1986" s="514">
        <v>0.02</v>
      </c>
      <c r="K1986" s="514">
        <v>31.0</v>
      </c>
      <c r="L1986" s="514">
        <v>221086.0</v>
      </c>
      <c r="M1986" s="514">
        <v>0.0034</v>
      </c>
      <c r="N1986" s="6">
        <v>1.0</v>
      </c>
    </row>
    <row r="1987">
      <c r="A1987" s="512" t="s">
        <v>2041</v>
      </c>
      <c r="B1987" s="512" t="s">
        <v>163</v>
      </c>
      <c r="C1987" s="512" t="s">
        <v>69</v>
      </c>
      <c r="D1987" s="512" t="s">
        <v>574</v>
      </c>
      <c r="E1987" s="513" t="s">
        <v>310</v>
      </c>
      <c r="F1987" s="514">
        <v>9057.0</v>
      </c>
      <c r="G1987" s="514">
        <v>1.0</v>
      </c>
      <c r="H1987" s="514">
        <v>0.01</v>
      </c>
      <c r="I1987" s="514">
        <v>0.0</v>
      </c>
      <c r="J1987" s="514">
        <v>0.0</v>
      </c>
      <c r="K1987" s="514">
        <v>1.0</v>
      </c>
      <c r="L1987" s="514">
        <v>221086.0</v>
      </c>
      <c r="M1987" s="514">
        <v>1.0E-4</v>
      </c>
      <c r="N1987" s="6">
        <v>1.0</v>
      </c>
    </row>
    <row r="1988">
      <c r="A1988" s="512" t="s">
        <v>2041</v>
      </c>
      <c r="B1988" s="512" t="s">
        <v>163</v>
      </c>
      <c r="C1988" s="512" t="s">
        <v>69</v>
      </c>
      <c r="D1988" s="512" t="s">
        <v>574</v>
      </c>
      <c r="E1988" s="513" t="s">
        <v>32</v>
      </c>
      <c r="F1988" s="514">
        <v>9057.0</v>
      </c>
      <c r="G1988" s="514">
        <v>5.0</v>
      </c>
      <c r="H1988" s="514">
        <v>0.06</v>
      </c>
      <c r="I1988" s="514">
        <v>0.0</v>
      </c>
      <c r="J1988" s="514">
        <v>0.0</v>
      </c>
      <c r="K1988" s="514">
        <v>7.0</v>
      </c>
      <c r="L1988" s="514">
        <v>221086.0</v>
      </c>
      <c r="M1988" s="514">
        <v>8.0E-4</v>
      </c>
      <c r="N1988" s="6">
        <v>1.4</v>
      </c>
    </row>
    <row r="1989">
      <c r="A1989" s="512" t="s">
        <v>2041</v>
      </c>
      <c r="B1989" s="512" t="s">
        <v>163</v>
      </c>
      <c r="C1989" s="512" t="s">
        <v>68</v>
      </c>
      <c r="D1989" s="512" t="s">
        <v>574</v>
      </c>
      <c r="E1989" s="513" t="s">
        <v>50</v>
      </c>
      <c r="F1989" s="514">
        <v>7536.0</v>
      </c>
      <c r="G1989" s="514">
        <v>5551.0</v>
      </c>
      <c r="H1989" s="514">
        <v>73.66</v>
      </c>
      <c r="I1989" s="514">
        <v>33.03</v>
      </c>
      <c r="J1989" s="514">
        <v>42.4</v>
      </c>
      <c r="K1989" s="514">
        <v>593735.0</v>
      </c>
      <c r="L1989" s="514">
        <v>1797819.0</v>
      </c>
      <c r="M1989" s="514">
        <v>78.7865</v>
      </c>
      <c r="N1989" s="6">
        <v>106.96</v>
      </c>
    </row>
    <row r="1990">
      <c r="A1990" s="512" t="s">
        <v>2041</v>
      </c>
      <c r="B1990" s="512" t="s">
        <v>163</v>
      </c>
      <c r="C1990" s="512" t="s">
        <v>68</v>
      </c>
      <c r="D1990" s="512" t="s">
        <v>574</v>
      </c>
      <c r="E1990" s="513" t="s">
        <v>43</v>
      </c>
      <c r="F1990" s="514">
        <v>7536.0</v>
      </c>
      <c r="G1990" s="514">
        <v>1568.0</v>
      </c>
      <c r="H1990" s="514">
        <v>20.81</v>
      </c>
      <c r="I1990" s="514">
        <v>32.37</v>
      </c>
      <c r="J1990" s="514">
        <v>10.86</v>
      </c>
      <c r="K1990" s="514">
        <v>581915.0</v>
      </c>
      <c r="L1990" s="514">
        <v>1797819.0</v>
      </c>
      <c r="M1990" s="514">
        <v>77.218</v>
      </c>
      <c r="N1990" s="6">
        <v>371.1193</v>
      </c>
    </row>
    <row r="1991">
      <c r="A1991" s="512" t="s">
        <v>2041</v>
      </c>
      <c r="B1991" s="512" t="s">
        <v>163</v>
      </c>
      <c r="C1991" s="512" t="s">
        <v>68</v>
      </c>
      <c r="D1991" s="512" t="s">
        <v>574</v>
      </c>
      <c r="E1991" s="513" t="s">
        <v>377</v>
      </c>
      <c r="F1991" s="514">
        <v>7536.0</v>
      </c>
      <c r="G1991" s="514">
        <v>4806.0</v>
      </c>
      <c r="H1991" s="514">
        <v>63.77</v>
      </c>
      <c r="I1991" s="514">
        <v>15.09</v>
      </c>
      <c r="J1991" s="514">
        <v>26.76</v>
      </c>
      <c r="K1991" s="514">
        <v>271300.0</v>
      </c>
      <c r="L1991" s="514">
        <v>1797819.0</v>
      </c>
      <c r="M1991" s="514">
        <v>36.0005</v>
      </c>
      <c r="N1991" s="6">
        <v>56.4503</v>
      </c>
    </row>
    <row r="1992">
      <c r="A1992" s="512" t="s">
        <v>2041</v>
      </c>
      <c r="B1992" s="512" t="s">
        <v>163</v>
      </c>
      <c r="C1992" s="512" t="s">
        <v>68</v>
      </c>
      <c r="D1992" s="512" t="s">
        <v>574</v>
      </c>
      <c r="E1992" s="513" t="s">
        <v>134</v>
      </c>
      <c r="F1992" s="514">
        <v>7536.0</v>
      </c>
      <c r="G1992" s="514">
        <v>1475.0</v>
      </c>
      <c r="H1992" s="514">
        <v>19.57</v>
      </c>
      <c r="I1992" s="514">
        <v>9.41</v>
      </c>
      <c r="J1992" s="514">
        <v>4.86</v>
      </c>
      <c r="K1992" s="514">
        <v>169240.0</v>
      </c>
      <c r="L1992" s="514">
        <v>1797819.0</v>
      </c>
      <c r="M1992" s="514">
        <v>22.4575</v>
      </c>
      <c r="N1992" s="6">
        <v>114.739</v>
      </c>
    </row>
    <row r="1993">
      <c r="A1993" s="512" t="s">
        <v>2041</v>
      </c>
      <c r="B1993" s="512" t="s">
        <v>163</v>
      </c>
      <c r="C1993" s="512" t="s">
        <v>68</v>
      </c>
      <c r="D1993" s="512" t="s">
        <v>574</v>
      </c>
      <c r="E1993" s="513" t="s">
        <v>49</v>
      </c>
      <c r="F1993" s="514">
        <v>7536.0</v>
      </c>
      <c r="G1993" s="514">
        <v>3750.0</v>
      </c>
      <c r="H1993" s="514">
        <v>49.76</v>
      </c>
      <c r="I1993" s="514">
        <v>8.93</v>
      </c>
      <c r="J1993" s="514">
        <v>14.32</v>
      </c>
      <c r="K1993" s="514">
        <v>160540.0</v>
      </c>
      <c r="L1993" s="514">
        <v>1797819.0</v>
      </c>
      <c r="M1993" s="514">
        <v>21.3031</v>
      </c>
      <c r="N1993" s="6">
        <v>42.8107</v>
      </c>
    </row>
    <row r="1994">
      <c r="A1994" s="512" t="s">
        <v>2041</v>
      </c>
      <c r="B1994" s="512" t="s">
        <v>163</v>
      </c>
      <c r="C1994" s="512" t="s">
        <v>68</v>
      </c>
      <c r="D1994" s="512" t="s">
        <v>574</v>
      </c>
      <c r="E1994" s="513" t="s">
        <v>380</v>
      </c>
      <c r="F1994" s="514">
        <v>7536.0</v>
      </c>
      <c r="G1994" s="514">
        <v>200.0</v>
      </c>
      <c r="H1994" s="514">
        <v>2.65</v>
      </c>
      <c r="I1994" s="514">
        <v>1.17</v>
      </c>
      <c r="J1994" s="514">
        <v>0.79</v>
      </c>
      <c r="K1994" s="514">
        <v>21059.0</v>
      </c>
      <c r="L1994" s="514">
        <v>1797819.0</v>
      </c>
      <c r="M1994" s="514">
        <v>2.7945</v>
      </c>
      <c r="N1994" s="6">
        <v>105.295</v>
      </c>
    </row>
    <row r="1995">
      <c r="A1995" s="512" t="s">
        <v>2041</v>
      </c>
      <c r="B1995" s="512" t="s">
        <v>163</v>
      </c>
      <c r="C1995" s="512" t="s">
        <v>68</v>
      </c>
      <c r="D1995" s="512" t="s">
        <v>574</v>
      </c>
      <c r="E1995" s="513" t="s">
        <v>32</v>
      </c>
      <c r="F1995" s="514">
        <v>7536.0</v>
      </c>
      <c r="G1995" s="514">
        <v>2.0</v>
      </c>
      <c r="H1995" s="514">
        <v>0.03</v>
      </c>
      <c r="I1995" s="514">
        <v>0.0</v>
      </c>
      <c r="J1995" s="514">
        <v>0.01</v>
      </c>
      <c r="K1995" s="514">
        <v>30.0</v>
      </c>
      <c r="L1995" s="514">
        <v>1797819.0</v>
      </c>
      <c r="M1995" s="514">
        <v>0.004</v>
      </c>
      <c r="N1995" s="6">
        <v>15.0</v>
      </c>
    </row>
    <row r="1996">
      <c r="A1996" s="512" t="s">
        <v>2041</v>
      </c>
      <c r="B1996" s="512" t="s">
        <v>163</v>
      </c>
      <c r="C1996" s="512" t="s">
        <v>2035</v>
      </c>
      <c r="D1996" s="512" t="s">
        <v>2036</v>
      </c>
      <c r="E1996" s="513" t="s">
        <v>134</v>
      </c>
      <c r="F1996" s="514">
        <v>1067.0</v>
      </c>
      <c r="G1996" s="514">
        <v>1056.0</v>
      </c>
      <c r="H1996" s="514">
        <v>98.97</v>
      </c>
      <c r="I1996" s="514">
        <v>99.5</v>
      </c>
      <c r="J1996" s="514">
        <v>98.88</v>
      </c>
      <c r="K1996" s="514">
        <v>53270.0</v>
      </c>
      <c r="L1996" s="514">
        <v>53540.0</v>
      </c>
      <c r="M1996" s="514">
        <v>49.925</v>
      </c>
      <c r="N1996" s="6">
        <v>50.4451</v>
      </c>
    </row>
    <row r="1997">
      <c r="A1997" s="512" t="s">
        <v>2041</v>
      </c>
      <c r="B1997" s="512" t="s">
        <v>163</v>
      </c>
      <c r="C1997" s="512" t="s">
        <v>2035</v>
      </c>
      <c r="D1997" s="512" t="s">
        <v>2036</v>
      </c>
      <c r="E1997" s="513" t="s">
        <v>373</v>
      </c>
      <c r="F1997" s="514">
        <v>1067.0</v>
      </c>
      <c r="G1997" s="514">
        <v>13.0</v>
      </c>
      <c r="H1997" s="514">
        <v>1.22</v>
      </c>
      <c r="I1997" s="514">
        <v>0.5</v>
      </c>
      <c r="J1997" s="514">
        <v>1.12</v>
      </c>
      <c r="K1997" s="514">
        <v>270.0</v>
      </c>
      <c r="L1997" s="514">
        <v>53540.0</v>
      </c>
      <c r="M1997" s="514">
        <v>0.253</v>
      </c>
      <c r="N1997" s="6">
        <v>20.7692</v>
      </c>
    </row>
    <row r="1998">
      <c r="A1998" s="512" t="s">
        <v>2041</v>
      </c>
      <c r="B1998" s="512" t="s">
        <v>163</v>
      </c>
      <c r="C1998" s="512" t="s">
        <v>73</v>
      </c>
      <c r="D1998" s="512" t="s">
        <v>574</v>
      </c>
      <c r="E1998" s="513" t="s">
        <v>379</v>
      </c>
      <c r="F1998" s="514">
        <v>9072.0</v>
      </c>
      <c r="G1998" s="514">
        <v>8866.0</v>
      </c>
      <c r="H1998" s="514">
        <v>97.73</v>
      </c>
      <c r="I1998" s="514">
        <v>45.96</v>
      </c>
      <c r="J1998" s="514">
        <v>42.77</v>
      </c>
      <c r="K1998" s="514">
        <v>79469.0</v>
      </c>
      <c r="L1998" s="514">
        <v>172895.0</v>
      </c>
      <c r="M1998" s="514">
        <v>8.7598</v>
      </c>
      <c r="N1998" s="6">
        <v>8.9633</v>
      </c>
    </row>
    <row r="1999">
      <c r="A1999" s="512" t="s">
        <v>2041</v>
      </c>
      <c r="B1999" s="512" t="s">
        <v>163</v>
      </c>
      <c r="C1999" s="512" t="s">
        <v>73</v>
      </c>
      <c r="D1999" s="512" t="s">
        <v>574</v>
      </c>
      <c r="E1999" s="513" t="s">
        <v>372</v>
      </c>
      <c r="F1999" s="514">
        <v>9072.0</v>
      </c>
      <c r="G1999" s="514">
        <v>8585.0</v>
      </c>
      <c r="H1999" s="514">
        <v>94.63</v>
      </c>
      <c r="I1999" s="514">
        <v>23.33</v>
      </c>
      <c r="J1999" s="514">
        <v>29.3</v>
      </c>
      <c r="K1999" s="514">
        <v>40329.0</v>
      </c>
      <c r="L1999" s="514">
        <v>172895.0</v>
      </c>
      <c r="M1999" s="514">
        <v>4.4454</v>
      </c>
      <c r="N1999" s="6">
        <v>4.6976</v>
      </c>
    </row>
    <row r="2000">
      <c r="A2000" s="512" t="s">
        <v>2041</v>
      </c>
      <c r="B2000" s="512" t="s">
        <v>163</v>
      </c>
      <c r="C2000" s="512" t="s">
        <v>73</v>
      </c>
      <c r="D2000" s="512" t="s">
        <v>574</v>
      </c>
      <c r="E2000" s="513" t="s">
        <v>380</v>
      </c>
      <c r="F2000" s="513">
        <v>9072.0</v>
      </c>
      <c r="G2000" s="513">
        <v>5214.0</v>
      </c>
      <c r="H2000" s="513">
        <v>57.47</v>
      </c>
      <c r="I2000" s="513">
        <v>5.11</v>
      </c>
      <c r="J2000" s="513">
        <v>6.88</v>
      </c>
      <c r="K2000" s="513">
        <v>8828.0</v>
      </c>
      <c r="L2000" s="513">
        <v>172895.0</v>
      </c>
      <c r="M2000" s="513">
        <v>0.9731</v>
      </c>
      <c r="N2000" s="6">
        <v>1.6931</v>
      </c>
    </row>
    <row r="2001">
      <c r="A2001" s="512" t="s">
        <v>2041</v>
      </c>
      <c r="B2001" s="512" t="s">
        <v>163</v>
      </c>
      <c r="C2001" s="512" t="s">
        <v>73</v>
      </c>
      <c r="D2001" s="512" t="s">
        <v>574</v>
      </c>
      <c r="E2001" s="513" t="s">
        <v>134</v>
      </c>
      <c r="F2001" s="513">
        <v>9072.0</v>
      </c>
      <c r="G2001" s="513">
        <v>1786.0</v>
      </c>
      <c r="H2001" s="513">
        <v>19.69</v>
      </c>
      <c r="I2001" s="513">
        <v>4.05</v>
      </c>
      <c r="J2001" s="513">
        <v>2.54</v>
      </c>
      <c r="K2001" s="513">
        <v>6995.0</v>
      </c>
      <c r="L2001" s="513">
        <v>172895.0</v>
      </c>
      <c r="M2001" s="513">
        <v>0.7711</v>
      </c>
      <c r="N2001" s="6">
        <v>3.9166</v>
      </c>
    </row>
    <row r="2002">
      <c r="A2002" s="512" t="s">
        <v>2041</v>
      </c>
      <c r="B2002" s="512" t="s">
        <v>163</v>
      </c>
      <c r="C2002" s="512" t="s">
        <v>73</v>
      </c>
      <c r="D2002" s="512" t="s">
        <v>574</v>
      </c>
      <c r="E2002" s="513" t="s">
        <v>377</v>
      </c>
      <c r="F2002" s="513">
        <v>9072.0</v>
      </c>
      <c r="G2002" s="513">
        <v>3043.0</v>
      </c>
      <c r="H2002" s="513">
        <v>33.54</v>
      </c>
      <c r="I2002" s="513">
        <v>3.61</v>
      </c>
      <c r="J2002" s="513">
        <v>3.29</v>
      </c>
      <c r="K2002" s="513">
        <v>6237.0</v>
      </c>
      <c r="L2002" s="513">
        <v>172895.0</v>
      </c>
      <c r="M2002" s="513">
        <v>0.6875</v>
      </c>
      <c r="N2002" s="6">
        <v>2.0496</v>
      </c>
    </row>
    <row r="2003">
      <c r="A2003" s="512" t="s">
        <v>2041</v>
      </c>
      <c r="B2003" s="512" t="s">
        <v>163</v>
      </c>
      <c r="C2003" s="512" t="s">
        <v>73</v>
      </c>
      <c r="D2003" s="512" t="s">
        <v>574</v>
      </c>
      <c r="E2003" s="513" t="s">
        <v>44</v>
      </c>
      <c r="F2003" s="513">
        <v>9072.0</v>
      </c>
      <c r="G2003" s="513">
        <v>4393.0</v>
      </c>
      <c r="H2003" s="513">
        <v>48.42</v>
      </c>
      <c r="I2003" s="513">
        <v>3.46</v>
      </c>
      <c r="J2003" s="513">
        <v>3.86</v>
      </c>
      <c r="K2003" s="513">
        <v>5981.0</v>
      </c>
      <c r="L2003" s="513">
        <v>172895.0</v>
      </c>
      <c r="M2003" s="513">
        <v>0.6593</v>
      </c>
      <c r="N2003" s="6">
        <v>1.3615</v>
      </c>
    </row>
    <row r="2004">
      <c r="A2004" s="512" t="s">
        <v>2041</v>
      </c>
      <c r="B2004" s="512" t="s">
        <v>163</v>
      </c>
      <c r="C2004" s="512" t="s">
        <v>73</v>
      </c>
      <c r="D2004" s="512" t="s">
        <v>574</v>
      </c>
      <c r="E2004" s="513" t="s">
        <v>367</v>
      </c>
      <c r="F2004" s="513">
        <v>9072.0</v>
      </c>
      <c r="G2004" s="513">
        <v>1859.0</v>
      </c>
      <c r="H2004" s="513">
        <v>20.49</v>
      </c>
      <c r="I2004" s="513">
        <v>3.35</v>
      </c>
      <c r="J2004" s="513">
        <v>2.08</v>
      </c>
      <c r="K2004" s="513">
        <v>5799.0</v>
      </c>
      <c r="L2004" s="513">
        <v>172895.0</v>
      </c>
      <c r="M2004" s="513">
        <v>0.6392</v>
      </c>
      <c r="N2004" s="6">
        <v>3.1194</v>
      </c>
    </row>
    <row r="2005">
      <c r="A2005" s="512" t="s">
        <v>2041</v>
      </c>
      <c r="B2005" s="512" t="s">
        <v>163</v>
      </c>
      <c r="C2005" s="512" t="s">
        <v>73</v>
      </c>
      <c r="D2005" s="512" t="s">
        <v>574</v>
      </c>
      <c r="E2005" s="513" t="s">
        <v>373</v>
      </c>
      <c r="F2005" s="513">
        <v>9072.0</v>
      </c>
      <c r="G2005" s="513">
        <v>2231.0</v>
      </c>
      <c r="H2005" s="513">
        <v>24.59</v>
      </c>
      <c r="I2005" s="513">
        <v>2.02</v>
      </c>
      <c r="J2005" s="513">
        <v>1.17</v>
      </c>
      <c r="K2005" s="513">
        <v>3487.0</v>
      </c>
      <c r="L2005" s="513">
        <v>172895.0</v>
      </c>
      <c r="M2005" s="513">
        <v>0.3844</v>
      </c>
      <c r="N2005" s="6">
        <v>1.563</v>
      </c>
    </row>
    <row r="2006">
      <c r="A2006" s="512" t="s">
        <v>2041</v>
      </c>
      <c r="B2006" s="512" t="s">
        <v>163</v>
      </c>
      <c r="C2006" s="512" t="s">
        <v>73</v>
      </c>
      <c r="D2006" s="512" t="s">
        <v>574</v>
      </c>
      <c r="E2006" s="513" t="s">
        <v>50</v>
      </c>
      <c r="F2006" s="513">
        <v>9072.0</v>
      </c>
      <c r="G2006" s="513">
        <v>2113.0</v>
      </c>
      <c r="H2006" s="513">
        <v>23.29</v>
      </c>
      <c r="I2006" s="513">
        <v>1.86</v>
      </c>
      <c r="J2006" s="513">
        <v>1.66</v>
      </c>
      <c r="K2006" s="513">
        <v>3213.0</v>
      </c>
      <c r="L2006" s="513">
        <v>172895.0</v>
      </c>
      <c r="M2006" s="513">
        <v>0.3542</v>
      </c>
      <c r="N2006" s="6">
        <v>1.5206</v>
      </c>
    </row>
    <row r="2007">
      <c r="A2007" s="512" t="s">
        <v>2041</v>
      </c>
      <c r="B2007" s="512" t="s">
        <v>163</v>
      </c>
      <c r="C2007" s="512" t="s">
        <v>73</v>
      </c>
      <c r="D2007" s="512" t="s">
        <v>574</v>
      </c>
      <c r="E2007" s="513" t="s">
        <v>42</v>
      </c>
      <c r="F2007" s="513">
        <v>9072.0</v>
      </c>
      <c r="G2007" s="513">
        <v>1840.0</v>
      </c>
      <c r="H2007" s="513">
        <v>20.28</v>
      </c>
      <c r="I2007" s="513">
        <v>1.63</v>
      </c>
      <c r="J2007" s="513">
        <v>1.53</v>
      </c>
      <c r="K2007" s="513">
        <v>2826.0</v>
      </c>
      <c r="L2007" s="513">
        <v>172895.0</v>
      </c>
      <c r="M2007" s="513">
        <v>0.3115</v>
      </c>
      <c r="N2007" s="6">
        <v>1.5359</v>
      </c>
    </row>
    <row r="2008">
      <c r="A2008" s="512" t="s">
        <v>2041</v>
      </c>
      <c r="B2008" s="512" t="s">
        <v>163</v>
      </c>
      <c r="C2008" s="512" t="s">
        <v>73</v>
      </c>
      <c r="D2008" s="512" t="s">
        <v>574</v>
      </c>
      <c r="E2008" s="513" t="s">
        <v>40</v>
      </c>
      <c r="F2008" s="513">
        <v>9072.0</v>
      </c>
      <c r="G2008" s="513">
        <v>829.0</v>
      </c>
      <c r="H2008" s="513">
        <v>9.14</v>
      </c>
      <c r="I2008" s="513">
        <v>1.34</v>
      </c>
      <c r="J2008" s="513">
        <v>0.86</v>
      </c>
      <c r="K2008" s="513">
        <v>2318.0</v>
      </c>
      <c r="L2008" s="513">
        <v>172895.0</v>
      </c>
      <c r="M2008" s="513">
        <v>0.2555</v>
      </c>
      <c r="N2008" s="6">
        <v>2.7961</v>
      </c>
    </row>
    <row r="2009">
      <c r="A2009" s="512" t="s">
        <v>2041</v>
      </c>
      <c r="B2009" s="512" t="s">
        <v>163</v>
      </c>
      <c r="C2009" s="512" t="s">
        <v>73</v>
      </c>
      <c r="D2009" s="512" t="s">
        <v>574</v>
      </c>
      <c r="E2009" s="513" t="s">
        <v>312</v>
      </c>
      <c r="F2009" s="513">
        <v>9072.0</v>
      </c>
      <c r="G2009" s="513">
        <v>1525.0</v>
      </c>
      <c r="H2009" s="513">
        <v>16.81</v>
      </c>
      <c r="I2009" s="513">
        <v>1.09</v>
      </c>
      <c r="J2009" s="513">
        <v>1.01</v>
      </c>
      <c r="K2009" s="513">
        <v>1880.0</v>
      </c>
      <c r="L2009" s="513">
        <v>172895.0</v>
      </c>
      <c r="M2009" s="513">
        <v>0.2072</v>
      </c>
      <c r="N2009" s="6">
        <v>1.2328</v>
      </c>
    </row>
    <row r="2010">
      <c r="A2010" s="512" t="s">
        <v>2041</v>
      </c>
      <c r="B2010" s="512" t="s">
        <v>163</v>
      </c>
      <c r="C2010" s="512" t="s">
        <v>73</v>
      </c>
      <c r="D2010" s="512" t="s">
        <v>574</v>
      </c>
      <c r="E2010" s="513" t="s">
        <v>35</v>
      </c>
      <c r="F2010" s="513">
        <v>9072.0</v>
      </c>
      <c r="G2010" s="513">
        <v>1201.0</v>
      </c>
      <c r="H2010" s="513">
        <v>13.24</v>
      </c>
      <c r="I2010" s="513">
        <v>0.73</v>
      </c>
      <c r="J2010" s="513">
        <v>0.74</v>
      </c>
      <c r="K2010" s="513">
        <v>1256.0</v>
      </c>
      <c r="L2010" s="513">
        <v>172895.0</v>
      </c>
      <c r="M2010" s="513">
        <v>0.1384</v>
      </c>
      <c r="N2010" s="6">
        <v>1.0458</v>
      </c>
    </row>
    <row r="2011">
      <c r="A2011" s="512" t="s">
        <v>2041</v>
      </c>
      <c r="B2011" s="512" t="s">
        <v>163</v>
      </c>
      <c r="C2011" s="512" t="s">
        <v>73</v>
      </c>
      <c r="D2011" s="512" t="s">
        <v>574</v>
      </c>
      <c r="E2011" s="513" t="s">
        <v>310</v>
      </c>
      <c r="F2011" s="513">
        <v>9072.0</v>
      </c>
      <c r="G2011" s="513">
        <v>1095.0</v>
      </c>
      <c r="H2011" s="513">
        <v>12.07</v>
      </c>
      <c r="I2011" s="513">
        <v>0.73</v>
      </c>
      <c r="J2011" s="513">
        <v>0.75</v>
      </c>
      <c r="K2011" s="513">
        <v>1257.0</v>
      </c>
      <c r="L2011" s="513">
        <v>172895.0</v>
      </c>
      <c r="M2011" s="513">
        <v>0.1386</v>
      </c>
      <c r="N2011" s="6">
        <v>1.1479</v>
      </c>
    </row>
    <row r="2012">
      <c r="A2012" s="512" t="s">
        <v>2041</v>
      </c>
      <c r="B2012" s="512" t="s">
        <v>163</v>
      </c>
      <c r="C2012" s="512" t="s">
        <v>73</v>
      </c>
      <c r="D2012" s="512" t="s">
        <v>574</v>
      </c>
      <c r="E2012" s="513" t="s">
        <v>32</v>
      </c>
      <c r="F2012" s="513">
        <v>9072.0</v>
      </c>
      <c r="G2012" s="513">
        <v>978.0</v>
      </c>
      <c r="H2012" s="513">
        <v>10.78</v>
      </c>
      <c r="I2012" s="513">
        <v>0.64</v>
      </c>
      <c r="J2012" s="513">
        <v>0.71</v>
      </c>
      <c r="K2012" s="513">
        <v>1115.0</v>
      </c>
      <c r="L2012" s="513">
        <v>172895.0</v>
      </c>
      <c r="M2012" s="513">
        <v>0.1229</v>
      </c>
      <c r="N2012" s="6">
        <v>1.1401</v>
      </c>
    </row>
    <row r="2013">
      <c r="A2013" s="512" t="s">
        <v>2041</v>
      </c>
      <c r="B2013" s="512" t="s">
        <v>163</v>
      </c>
      <c r="C2013" s="512" t="s">
        <v>73</v>
      </c>
      <c r="D2013" s="512" t="s">
        <v>574</v>
      </c>
      <c r="E2013" s="513" t="s">
        <v>43</v>
      </c>
      <c r="F2013" s="513">
        <v>9072.0</v>
      </c>
      <c r="G2013" s="513">
        <v>710.0</v>
      </c>
      <c r="H2013" s="513">
        <v>7.83</v>
      </c>
      <c r="I2013" s="513">
        <v>0.45</v>
      </c>
      <c r="J2013" s="513">
        <v>0.33</v>
      </c>
      <c r="K2013" s="513">
        <v>779.0</v>
      </c>
      <c r="L2013" s="513">
        <v>172895.0</v>
      </c>
      <c r="M2013" s="513">
        <v>0.0859</v>
      </c>
      <c r="N2013" s="6">
        <v>1.0972</v>
      </c>
    </row>
    <row r="2014">
      <c r="A2014" s="512" t="s">
        <v>2041</v>
      </c>
      <c r="B2014" s="512" t="s">
        <v>163</v>
      </c>
      <c r="C2014" s="512" t="s">
        <v>73</v>
      </c>
      <c r="D2014" s="512" t="s">
        <v>574</v>
      </c>
      <c r="E2014" s="513" t="s">
        <v>189</v>
      </c>
      <c r="F2014" s="513">
        <v>9072.0</v>
      </c>
      <c r="G2014" s="513">
        <v>748.0</v>
      </c>
      <c r="H2014" s="513">
        <v>8.25</v>
      </c>
      <c r="I2014" s="513">
        <v>0.44</v>
      </c>
      <c r="J2014" s="513">
        <v>0.27</v>
      </c>
      <c r="K2014" s="513">
        <v>759.0</v>
      </c>
      <c r="L2014" s="513">
        <v>172895.0</v>
      </c>
      <c r="M2014" s="513">
        <v>0.0837</v>
      </c>
      <c r="N2014" s="6">
        <v>1.0147</v>
      </c>
    </row>
    <row r="2015">
      <c r="A2015" s="512" t="s">
        <v>2041</v>
      </c>
      <c r="B2015" s="512" t="s">
        <v>163</v>
      </c>
      <c r="C2015" s="512" t="s">
        <v>73</v>
      </c>
      <c r="D2015" s="512" t="s">
        <v>574</v>
      </c>
      <c r="E2015" s="513" t="s">
        <v>311</v>
      </c>
      <c r="F2015" s="513">
        <v>9072.0</v>
      </c>
      <c r="G2015" s="513">
        <v>354.0</v>
      </c>
      <c r="H2015" s="513">
        <v>3.9</v>
      </c>
      <c r="I2015" s="513">
        <v>0.21</v>
      </c>
      <c r="J2015" s="513">
        <v>0.25</v>
      </c>
      <c r="K2015" s="513">
        <v>365.0</v>
      </c>
      <c r="L2015" s="513">
        <v>172895.0</v>
      </c>
      <c r="M2015" s="513">
        <v>0.0402</v>
      </c>
      <c r="N2015" s="6">
        <v>1.0311</v>
      </c>
    </row>
    <row r="2016">
      <c r="A2016" s="512" t="s">
        <v>2041</v>
      </c>
      <c r="B2016" s="512" t="s">
        <v>163</v>
      </c>
      <c r="C2016" s="512" t="s">
        <v>73</v>
      </c>
      <c r="D2016" s="512" t="s">
        <v>574</v>
      </c>
      <c r="E2016" s="513" t="s">
        <v>374</v>
      </c>
      <c r="F2016" s="513">
        <v>9072.0</v>
      </c>
      <c r="G2016" s="513">
        <v>2.0</v>
      </c>
      <c r="H2016" s="513">
        <v>0.02</v>
      </c>
      <c r="I2016" s="513">
        <v>0.0</v>
      </c>
      <c r="J2016" s="513">
        <v>0.0</v>
      </c>
      <c r="K2016" s="513">
        <v>2.0</v>
      </c>
      <c r="L2016" s="513">
        <v>172895.0</v>
      </c>
      <c r="M2016" s="513">
        <v>2.0E-4</v>
      </c>
      <c r="N2016" s="6">
        <v>1.0</v>
      </c>
    </row>
    <row r="2017">
      <c r="A2017" s="512" t="s">
        <v>2041</v>
      </c>
      <c r="B2017" s="512" t="s">
        <v>163</v>
      </c>
      <c r="C2017" s="512" t="s">
        <v>72</v>
      </c>
      <c r="D2017" s="512" t="s">
        <v>574</v>
      </c>
      <c r="E2017" s="513" t="s">
        <v>379</v>
      </c>
      <c r="F2017" s="513">
        <v>9046.0</v>
      </c>
      <c r="G2017" s="513">
        <v>8783.0</v>
      </c>
      <c r="H2017" s="513">
        <v>97.09</v>
      </c>
      <c r="I2017" s="513">
        <v>40.12</v>
      </c>
      <c r="J2017" s="513">
        <v>38.28</v>
      </c>
      <c r="K2017" s="513">
        <v>61184.0</v>
      </c>
      <c r="L2017" s="513">
        <v>152507.0</v>
      </c>
      <c r="M2017" s="513">
        <v>6.7637</v>
      </c>
      <c r="N2017" s="6">
        <v>6.9662</v>
      </c>
    </row>
    <row r="2018">
      <c r="A2018" s="512" t="s">
        <v>2041</v>
      </c>
      <c r="B2018" s="512" t="s">
        <v>163</v>
      </c>
      <c r="C2018" s="512" t="s">
        <v>72</v>
      </c>
      <c r="D2018" s="512" t="s">
        <v>574</v>
      </c>
      <c r="E2018" s="513" t="s">
        <v>372</v>
      </c>
      <c r="F2018" s="513">
        <v>9046.0</v>
      </c>
      <c r="G2018" s="513">
        <v>8104.0</v>
      </c>
      <c r="H2018" s="513">
        <v>89.59</v>
      </c>
      <c r="I2018" s="513">
        <v>19.65</v>
      </c>
      <c r="J2018" s="513">
        <v>24.28</v>
      </c>
      <c r="K2018" s="513">
        <v>29973.0</v>
      </c>
      <c r="L2018" s="513">
        <v>152507.0</v>
      </c>
      <c r="M2018" s="513">
        <v>3.3134</v>
      </c>
      <c r="N2018" s="6">
        <v>3.6985</v>
      </c>
    </row>
    <row r="2019">
      <c r="A2019" s="512" t="s">
        <v>2041</v>
      </c>
      <c r="B2019" s="512" t="s">
        <v>163</v>
      </c>
      <c r="C2019" s="512" t="s">
        <v>72</v>
      </c>
      <c r="D2019" s="512" t="s">
        <v>574</v>
      </c>
      <c r="E2019" s="513" t="s">
        <v>134</v>
      </c>
      <c r="F2019" s="513">
        <v>9046.0</v>
      </c>
      <c r="G2019" s="513">
        <v>1642.0</v>
      </c>
      <c r="H2019" s="513">
        <v>18.15</v>
      </c>
      <c r="I2019" s="513">
        <v>5.76</v>
      </c>
      <c r="J2019" s="513">
        <v>2.75</v>
      </c>
      <c r="K2019" s="513">
        <v>8781.0</v>
      </c>
      <c r="L2019" s="513">
        <v>152507.0</v>
      </c>
      <c r="M2019" s="513">
        <v>0.9707</v>
      </c>
      <c r="N2019" s="6">
        <v>5.3477</v>
      </c>
    </row>
    <row r="2020">
      <c r="A2020" s="512" t="s">
        <v>2041</v>
      </c>
      <c r="B2020" s="512" t="s">
        <v>163</v>
      </c>
      <c r="C2020" s="512" t="s">
        <v>72</v>
      </c>
      <c r="D2020" s="512" t="s">
        <v>574</v>
      </c>
      <c r="E2020" s="513" t="s">
        <v>374</v>
      </c>
      <c r="F2020" s="513">
        <v>9046.0</v>
      </c>
      <c r="G2020" s="513">
        <v>3452.0</v>
      </c>
      <c r="H2020" s="513">
        <v>38.16</v>
      </c>
      <c r="I2020" s="513">
        <v>5.74</v>
      </c>
      <c r="J2020" s="513">
        <v>7.5</v>
      </c>
      <c r="K2020" s="513">
        <v>8750.0</v>
      </c>
      <c r="L2020" s="513">
        <v>152507.0</v>
      </c>
      <c r="M2020" s="513">
        <v>0.9673</v>
      </c>
      <c r="N2020" s="6">
        <v>2.5348</v>
      </c>
    </row>
    <row r="2021">
      <c r="A2021" s="512" t="s">
        <v>2041</v>
      </c>
      <c r="B2021" s="512" t="s">
        <v>163</v>
      </c>
      <c r="C2021" s="512" t="s">
        <v>72</v>
      </c>
      <c r="D2021" s="512" t="s">
        <v>574</v>
      </c>
      <c r="E2021" s="513" t="s">
        <v>49</v>
      </c>
      <c r="F2021" s="513">
        <v>9046.0</v>
      </c>
      <c r="G2021" s="513">
        <v>3768.0</v>
      </c>
      <c r="H2021" s="513">
        <v>41.65</v>
      </c>
      <c r="I2021" s="513">
        <v>5.29</v>
      </c>
      <c r="J2021" s="513">
        <v>4.62</v>
      </c>
      <c r="K2021" s="513">
        <v>8068.0</v>
      </c>
      <c r="L2021" s="513">
        <v>152507.0</v>
      </c>
      <c r="M2021" s="513">
        <v>0.8919</v>
      </c>
      <c r="N2021" s="6">
        <v>2.1412</v>
      </c>
    </row>
    <row r="2022">
      <c r="A2022" s="512" t="s">
        <v>2041</v>
      </c>
      <c r="B2022" s="512" t="s">
        <v>163</v>
      </c>
      <c r="C2022" s="512" t="s">
        <v>72</v>
      </c>
      <c r="D2022" s="512" t="s">
        <v>574</v>
      </c>
      <c r="E2022" s="513" t="s">
        <v>373</v>
      </c>
      <c r="F2022" s="513">
        <v>9046.0</v>
      </c>
      <c r="G2022" s="513">
        <v>4723.0</v>
      </c>
      <c r="H2022" s="513">
        <v>52.21</v>
      </c>
      <c r="I2022" s="513">
        <v>4.51</v>
      </c>
      <c r="J2022" s="513">
        <v>5.29</v>
      </c>
      <c r="K2022" s="513">
        <v>6873.0</v>
      </c>
      <c r="L2022" s="513">
        <v>152507.0</v>
      </c>
      <c r="M2022" s="513">
        <v>0.7598</v>
      </c>
      <c r="N2022" s="6">
        <v>1.4552</v>
      </c>
    </row>
    <row r="2023">
      <c r="A2023" s="512" t="s">
        <v>2041</v>
      </c>
      <c r="B2023" s="512" t="s">
        <v>163</v>
      </c>
      <c r="C2023" s="512" t="s">
        <v>72</v>
      </c>
      <c r="D2023" s="512" t="s">
        <v>574</v>
      </c>
      <c r="E2023" s="513" t="s">
        <v>44</v>
      </c>
      <c r="F2023" s="513">
        <v>9046.0</v>
      </c>
      <c r="G2023" s="513">
        <v>4287.0</v>
      </c>
      <c r="H2023" s="513">
        <v>47.39</v>
      </c>
      <c r="I2023" s="513">
        <v>3.81</v>
      </c>
      <c r="J2023" s="513">
        <v>4.21</v>
      </c>
      <c r="K2023" s="513">
        <v>5806.0</v>
      </c>
      <c r="L2023" s="513">
        <v>152507.0</v>
      </c>
      <c r="M2023" s="513">
        <v>0.6418</v>
      </c>
      <c r="N2023" s="6">
        <v>1.3543</v>
      </c>
    </row>
    <row r="2024">
      <c r="A2024" s="512" t="s">
        <v>2041</v>
      </c>
      <c r="B2024" s="512" t="s">
        <v>163</v>
      </c>
      <c r="C2024" s="512" t="s">
        <v>72</v>
      </c>
      <c r="D2024" s="512" t="s">
        <v>574</v>
      </c>
      <c r="E2024" s="513" t="s">
        <v>367</v>
      </c>
      <c r="F2024" s="513">
        <v>9046.0</v>
      </c>
      <c r="G2024" s="513">
        <v>1801.0</v>
      </c>
      <c r="H2024" s="513">
        <v>19.91</v>
      </c>
      <c r="I2024" s="513">
        <v>3.75</v>
      </c>
      <c r="J2024" s="513">
        <v>2.32</v>
      </c>
      <c r="K2024" s="513">
        <v>5714.0</v>
      </c>
      <c r="L2024" s="513">
        <v>152507.0</v>
      </c>
      <c r="M2024" s="513">
        <v>0.6317</v>
      </c>
      <c r="N2024" s="6">
        <v>3.1727</v>
      </c>
    </row>
    <row r="2025">
      <c r="A2025" s="512" t="s">
        <v>2041</v>
      </c>
      <c r="B2025" s="512" t="s">
        <v>163</v>
      </c>
      <c r="C2025" s="512" t="s">
        <v>72</v>
      </c>
      <c r="D2025" s="512" t="s">
        <v>574</v>
      </c>
      <c r="E2025" s="513" t="s">
        <v>380</v>
      </c>
      <c r="F2025" s="513">
        <v>9046.0</v>
      </c>
      <c r="G2025" s="513">
        <v>3128.0</v>
      </c>
      <c r="H2025" s="513">
        <v>34.58</v>
      </c>
      <c r="I2025" s="513">
        <v>2.39</v>
      </c>
      <c r="J2025" s="513">
        <v>2.85</v>
      </c>
      <c r="K2025" s="513">
        <v>3652.0</v>
      </c>
      <c r="L2025" s="513">
        <v>152507.0</v>
      </c>
      <c r="M2025" s="513">
        <v>0.4037</v>
      </c>
      <c r="N2025" s="6">
        <v>1.1675</v>
      </c>
    </row>
    <row r="2026">
      <c r="A2026" s="512" t="s">
        <v>2041</v>
      </c>
      <c r="B2026" s="512" t="s">
        <v>163</v>
      </c>
      <c r="C2026" s="512" t="s">
        <v>72</v>
      </c>
      <c r="D2026" s="512" t="s">
        <v>574</v>
      </c>
      <c r="E2026" s="513" t="s">
        <v>40</v>
      </c>
      <c r="F2026" s="513">
        <v>9046.0</v>
      </c>
      <c r="G2026" s="513">
        <v>1459.0</v>
      </c>
      <c r="H2026" s="513">
        <v>16.13</v>
      </c>
      <c r="I2026" s="513">
        <v>2.14</v>
      </c>
      <c r="J2026" s="513">
        <v>1.66</v>
      </c>
      <c r="K2026" s="513">
        <v>3270.0</v>
      </c>
      <c r="L2026" s="513">
        <v>152507.0</v>
      </c>
      <c r="M2026" s="513">
        <v>0.3615</v>
      </c>
      <c r="N2026" s="6">
        <v>2.2413</v>
      </c>
    </row>
    <row r="2027">
      <c r="A2027" s="512" t="s">
        <v>2041</v>
      </c>
      <c r="B2027" s="512" t="s">
        <v>163</v>
      </c>
      <c r="C2027" s="512" t="s">
        <v>72</v>
      </c>
      <c r="D2027" s="512" t="s">
        <v>574</v>
      </c>
      <c r="E2027" s="513" t="s">
        <v>377</v>
      </c>
      <c r="F2027" s="513">
        <v>9046.0</v>
      </c>
      <c r="G2027" s="513">
        <v>1834.0</v>
      </c>
      <c r="H2027" s="513">
        <v>20.27</v>
      </c>
      <c r="I2027" s="513">
        <v>1.99</v>
      </c>
      <c r="J2027" s="513">
        <v>1.32</v>
      </c>
      <c r="K2027" s="513">
        <v>3034.0</v>
      </c>
      <c r="L2027" s="513">
        <v>152507.0</v>
      </c>
      <c r="M2027" s="513">
        <v>0.3354</v>
      </c>
      <c r="N2027" s="6">
        <v>1.6543</v>
      </c>
    </row>
    <row r="2028">
      <c r="A2028" s="512" t="s">
        <v>2041</v>
      </c>
      <c r="B2028" s="512" t="s">
        <v>163</v>
      </c>
      <c r="C2028" s="512" t="s">
        <v>72</v>
      </c>
      <c r="D2028" s="512" t="s">
        <v>574</v>
      </c>
      <c r="E2028" s="513" t="s">
        <v>375</v>
      </c>
      <c r="F2028" s="513">
        <v>9046.0</v>
      </c>
      <c r="G2028" s="513">
        <v>2147.0</v>
      </c>
      <c r="H2028" s="513">
        <v>23.73</v>
      </c>
      <c r="I2028" s="513">
        <v>1.6</v>
      </c>
      <c r="J2028" s="513">
        <v>1.7</v>
      </c>
      <c r="K2028" s="513">
        <v>2444.0</v>
      </c>
      <c r="L2028" s="513">
        <v>152507.0</v>
      </c>
      <c r="M2028" s="513">
        <v>0.2702</v>
      </c>
      <c r="N2028" s="6">
        <v>1.1383</v>
      </c>
    </row>
    <row r="2029">
      <c r="A2029" s="512" t="s">
        <v>2041</v>
      </c>
      <c r="B2029" s="512" t="s">
        <v>163</v>
      </c>
      <c r="C2029" s="512" t="s">
        <v>72</v>
      </c>
      <c r="D2029" s="512" t="s">
        <v>574</v>
      </c>
      <c r="E2029" s="513" t="s">
        <v>50</v>
      </c>
      <c r="F2029" s="513">
        <v>9046.0</v>
      </c>
      <c r="G2029" s="513">
        <v>1540.0</v>
      </c>
      <c r="H2029" s="513">
        <v>17.02</v>
      </c>
      <c r="I2029" s="513">
        <v>1.34</v>
      </c>
      <c r="J2029" s="513">
        <v>1.27</v>
      </c>
      <c r="K2029" s="513">
        <v>2046.0</v>
      </c>
      <c r="L2029" s="513">
        <v>152507.0</v>
      </c>
      <c r="M2029" s="513">
        <v>0.2262</v>
      </c>
      <c r="N2029" s="6">
        <v>1.3286</v>
      </c>
    </row>
    <row r="2030">
      <c r="A2030" s="512" t="s">
        <v>2041</v>
      </c>
      <c r="B2030" s="512" t="s">
        <v>163</v>
      </c>
      <c r="C2030" s="512" t="s">
        <v>72</v>
      </c>
      <c r="D2030" s="512" t="s">
        <v>574</v>
      </c>
      <c r="E2030" s="513" t="s">
        <v>42</v>
      </c>
      <c r="F2030" s="513">
        <v>9046.0</v>
      </c>
      <c r="G2030" s="513">
        <v>813.0</v>
      </c>
      <c r="H2030" s="513">
        <v>8.99</v>
      </c>
      <c r="I2030" s="513">
        <v>0.63</v>
      </c>
      <c r="J2030" s="513">
        <v>0.64</v>
      </c>
      <c r="K2030" s="513">
        <v>962.0</v>
      </c>
      <c r="L2030" s="513">
        <v>152507.0</v>
      </c>
      <c r="M2030" s="513">
        <v>0.1063</v>
      </c>
      <c r="N2030" s="6">
        <v>1.1833</v>
      </c>
    </row>
    <row r="2031">
      <c r="A2031" s="512" t="s">
        <v>2041</v>
      </c>
      <c r="B2031" s="512" t="s">
        <v>163</v>
      </c>
      <c r="C2031" s="512" t="s">
        <v>72</v>
      </c>
      <c r="D2031" s="512" t="s">
        <v>574</v>
      </c>
      <c r="E2031" s="513" t="s">
        <v>189</v>
      </c>
      <c r="F2031" s="513">
        <v>9046.0</v>
      </c>
      <c r="G2031" s="513">
        <v>954.0</v>
      </c>
      <c r="H2031" s="513">
        <v>10.55</v>
      </c>
      <c r="I2031" s="513">
        <v>0.63</v>
      </c>
      <c r="J2031" s="513">
        <v>0.55</v>
      </c>
      <c r="K2031" s="513">
        <v>968.0</v>
      </c>
      <c r="L2031" s="513">
        <v>152507.0</v>
      </c>
      <c r="M2031" s="513">
        <v>0.107</v>
      </c>
      <c r="N2031" s="6">
        <v>1.0147</v>
      </c>
    </row>
    <row r="2032">
      <c r="A2032" s="512" t="s">
        <v>2041</v>
      </c>
      <c r="B2032" s="512" t="s">
        <v>163</v>
      </c>
      <c r="C2032" s="512" t="s">
        <v>72</v>
      </c>
      <c r="D2032" s="512" t="s">
        <v>574</v>
      </c>
      <c r="E2032" s="513" t="s">
        <v>312</v>
      </c>
      <c r="F2032" s="513">
        <v>9046.0</v>
      </c>
      <c r="G2032" s="513">
        <v>375.0</v>
      </c>
      <c r="H2032" s="513">
        <v>4.15</v>
      </c>
      <c r="I2032" s="513">
        <v>0.26</v>
      </c>
      <c r="J2032" s="513">
        <v>0.29</v>
      </c>
      <c r="K2032" s="513">
        <v>400.0</v>
      </c>
      <c r="L2032" s="513">
        <v>152507.0</v>
      </c>
      <c r="M2032" s="513">
        <v>0.0442</v>
      </c>
      <c r="N2032" s="6">
        <v>1.0667</v>
      </c>
    </row>
    <row r="2033">
      <c r="A2033" s="512" t="s">
        <v>2041</v>
      </c>
      <c r="B2033" s="512" t="s">
        <v>163</v>
      </c>
      <c r="C2033" s="512" t="s">
        <v>72</v>
      </c>
      <c r="D2033" s="512" t="s">
        <v>574</v>
      </c>
      <c r="E2033" s="513" t="s">
        <v>43</v>
      </c>
      <c r="F2033" s="513">
        <v>9046.0</v>
      </c>
      <c r="G2033" s="513">
        <v>186.0</v>
      </c>
      <c r="H2033" s="513">
        <v>2.06</v>
      </c>
      <c r="I2033" s="513">
        <v>0.13</v>
      </c>
      <c r="J2033" s="513">
        <v>0.15</v>
      </c>
      <c r="K2033" s="513">
        <v>196.0</v>
      </c>
      <c r="L2033" s="513">
        <v>152507.0</v>
      </c>
      <c r="M2033" s="513">
        <v>0.0217</v>
      </c>
      <c r="N2033" s="6">
        <v>1.0538</v>
      </c>
    </row>
    <row r="2034">
      <c r="A2034" s="512" t="s">
        <v>2041</v>
      </c>
      <c r="B2034" s="512" t="s">
        <v>163</v>
      </c>
      <c r="C2034" s="512" t="s">
        <v>72</v>
      </c>
      <c r="D2034" s="512" t="s">
        <v>574</v>
      </c>
      <c r="E2034" s="513" t="s">
        <v>310</v>
      </c>
      <c r="F2034" s="513">
        <v>9046.0</v>
      </c>
      <c r="G2034" s="513">
        <v>186.0</v>
      </c>
      <c r="H2034" s="513">
        <v>2.06</v>
      </c>
      <c r="I2034" s="513">
        <v>0.13</v>
      </c>
      <c r="J2034" s="513">
        <v>0.16</v>
      </c>
      <c r="K2034" s="513">
        <v>198.0</v>
      </c>
      <c r="L2034" s="513">
        <v>152507.0</v>
      </c>
      <c r="M2034" s="513">
        <v>0.0219</v>
      </c>
      <c r="N2034" s="6">
        <v>1.0645</v>
      </c>
    </row>
    <row r="2035">
      <c r="A2035" s="512" t="s">
        <v>2041</v>
      </c>
      <c r="B2035" s="512" t="s">
        <v>163</v>
      </c>
      <c r="C2035" s="512" t="s">
        <v>72</v>
      </c>
      <c r="D2035" s="512" t="s">
        <v>574</v>
      </c>
      <c r="E2035" s="513" t="s">
        <v>32</v>
      </c>
      <c r="F2035" s="513">
        <v>9046.0</v>
      </c>
      <c r="G2035" s="513">
        <v>127.0</v>
      </c>
      <c r="H2035" s="513">
        <v>1.4</v>
      </c>
      <c r="I2035" s="513">
        <v>0.08</v>
      </c>
      <c r="J2035" s="513">
        <v>0.11</v>
      </c>
      <c r="K2035" s="513">
        <v>128.0</v>
      </c>
      <c r="L2035" s="513">
        <v>152507.0</v>
      </c>
      <c r="M2035" s="513">
        <v>0.0141</v>
      </c>
      <c r="N2035" s="6">
        <v>1.0079</v>
      </c>
    </row>
    <row r="2036">
      <c r="A2036" s="512" t="s">
        <v>2041</v>
      </c>
      <c r="B2036" s="512" t="s">
        <v>163</v>
      </c>
      <c r="C2036" s="512" t="s">
        <v>72</v>
      </c>
      <c r="D2036" s="512" t="s">
        <v>574</v>
      </c>
      <c r="E2036" s="513" t="s">
        <v>311</v>
      </c>
      <c r="F2036" s="513">
        <v>9046.0</v>
      </c>
      <c r="G2036" s="513">
        <v>54.0</v>
      </c>
      <c r="H2036" s="513">
        <v>0.6</v>
      </c>
      <c r="I2036" s="513">
        <v>0.04</v>
      </c>
      <c r="J2036" s="513">
        <v>0.05</v>
      </c>
      <c r="K2036" s="513">
        <v>58.0</v>
      </c>
      <c r="L2036" s="513">
        <v>152507.0</v>
      </c>
      <c r="M2036" s="513">
        <v>0.0064</v>
      </c>
      <c r="N2036" s="6">
        <v>1.0741</v>
      </c>
    </row>
    <row r="2037">
      <c r="A2037" s="512" t="s">
        <v>2041</v>
      </c>
      <c r="B2037" s="512" t="s">
        <v>163</v>
      </c>
      <c r="C2037" s="512" t="s">
        <v>72</v>
      </c>
      <c r="D2037" s="512" t="s">
        <v>574</v>
      </c>
      <c r="E2037" s="513" t="s">
        <v>383</v>
      </c>
      <c r="F2037" s="513">
        <v>9046.0</v>
      </c>
      <c r="G2037" s="513">
        <v>1.0</v>
      </c>
      <c r="H2037" s="513">
        <v>0.01</v>
      </c>
      <c r="I2037" s="513">
        <v>0.0</v>
      </c>
      <c r="J2037" s="513">
        <v>0.0</v>
      </c>
      <c r="K2037" s="513">
        <v>2.0</v>
      </c>
      <c r="L2037" s="513">
        <v>152507.0</v>
      </c>
      <c r="M2037" s="513">
        <v>2.0E-4</v>
      </c>
      <c r="N2037" s="6">
        <v>2.0</v>
      </c>
    </row>
    <row r="2038">
      <c r="A2038" s="512" t="s">
        <v>2041</v>
      </c>
      <c r="B2038" s="512" t="s">
        <v>163</v>
      </c>
      <c r="C2038" s="512" t="s">
        <v>1883</v>
      </c>
      <c r="D2038" s="512" t="s">
        <v>2036</v>
      </c>
      <c r="E2038" s="513" t="s">
        <v>375</v>
      </c>
      <c r="F2038" s="513">
        <v>5105.0</v>
      </c>
      <c r="G2038" s="513">
        <v>3103.0</v>
      </c>
      <c r="H2038" s="513">
        <v>60.78</v>
      </c>
      <c r="I2038" s="513">
        <v>40.27</v>
      </c>
      <c r="J2038" s="513">
        <v>46.59</v>
      </c>
      <c r="K2038" s="513">
        <v>64470.0</v>
      </c>
      <c r="L2038" s="513">
        <v>160085.0</v>
      </c>
      <c r="M2038" s="513">
        <v>12.6288</v>
      </c>
      <c r="N2038" s="6">
        <v>20.7767</v>
      </c>
    </row>
    <row r="2039">
      <c r="A2039" s="512" t="s">
        <v>2041</v>
      </c>
      <c r="B2039" s="512" t="s">
        <v>163</v>
      </c>
      <c r="C2039" s="512" t="s">
        <v>1883</v>
      </c>
      <c r="D2039" s="512" t="s">
        <v>2036</v>
      </c>
      <c r="E2039" s="513" t="s">
        <v>134</v>
      </c>
      <c r="F2039" s="513">
        <v>5105.0</v>
      </c>
      <c r="G2039" s="513">
        <v>1246.0</v>
      </c>
      <c r="H2039" s="513">
        <v>24.41</v>
      </c>
      <c r="I2039" s="513">
        <v>19.86</v>
      </c>
      <c r="J2039" s="513">
        <v>13.93</v>
      </c>
      <c r="K2039" s="513">
        <v>31790.0</v>
      </c>
      <c r="L2039" s="513">
        <v>160085.0</v>
      </c>
      <c r="M2039" s="513">
        <v>6.2272</v>
      </c>
      <c r="N2039" s="6">
        <v>25.5136</v>
      </c>
    </row>
    <row r="2040">
      <c r="A2040" s="512" t="s">
        <v>2041</v>
      </c>
      <c r="B2040" s="512" t="s">
        <v>163</v>
      </c>
      <c r="C2040" s="512" t="s">
        <v>1883</v>
      </c>
      <c r="D2040" s="512" t="s">
        <v>2036</v>
      </c>
      <c r="E2040" s="513" t="s">
        <v>189</v>
      </c>
      <c r="F2040" s="513">
        <v>5105.0</v>
      </c>
      <c r="G2040" s="513">
        <v>1473.0</v>
      </c>
      <c r="H2040" s="513">
        <v>28.85</v>
      </c>
      <c r="I2040" s="513">
        <v>17.99</v>
      </c>
      <c r="J2040" s="513">
        <v>19.44</v>
      </c>
      <c r="K2040" s="513">
        <v>28800.0</v>
      </c>
      <c r="L2040" s="513">
        <v>160085.0</v>
      </c>
      <c r="M2040" s="513">
        <v>5.6415</v>
      </c>
      <c r="N2040" s="6">
        <v>19.5519</v>
      </c>
    </row>
    <row r="2041">
      <c r="A2041" s="512" t="s">
        <v>2041</v>
      </c>
      <c r="B2041" s="512" t="s">
        <v>163</v>
      </c>
      <c r="C2041" s="512" t="s">
        <v>1883</v>
      </c>
      <c r="D2041" s="512" t="s">
        <v>2036</v>
      </c>
      <c r="E2041" s="513" t="s">
        <v>35</v>
      </c>
      <c r="F2041" s="513">
        <v>5105.0</v>
      </c>
      <c r="G2041" s="513">
        <v>1254.0</v>
      </c>
      <c r="H2041" s="513">
        <v>24.56</v>
      </c>
      <c r="I2041" s="513">
        <v>12.22</v>
      </c>
      <c r="J2041" s="513">
        <v>15.56</v>
      </c>
      <c r="K2041" s="513">
        <v>19560.0</v>
      </c>
      <c r="L2041" s="513">
        <v>160085.0</v>
      </c>
      <c r="M2041" s="513">
        <v>3.8315</v>
      </c>
      <c r="N2041" s="6">
        <v>15.5981</v>
      </c>
    </row>
    <row r="2042">
      <c r="A2042" s="512" t="s">
        <v>2041</v>
      </c>
      <c r="B2042" s="512" t="s">
        <v>163</v>
      </c>
      <c r="C2042" s="512" t="s">
        <v>1883</v>
      </c>
      <c r="D2042" s="512" t="s">
        <v>2036</v>
      </c>
      <c r="E2042" s="513" t="s">
        <v>373</v>
      </c>
      <c r="F2042" s="513">
        <v>5105.0</v>
      </c>
      <c r="G2042" s="513">
        <v>471.0</v>
      </c>
      <c r="H2042" s="513">
        <v>9.23</v>
      </c>
      <c r="I2042" s="513">
        <v>8.9</v>
      </c>
      <c r="J2042" s="513">
        <v>3.81</v>
      </c>
      <c r="K2042" s="513">
        <v>14250.0</v>
      </c>
      <c r="L2042" s="513">
        <v>160085.0</v>
      </c>
      <c r="M2042" s="513">
        <v>2.7914</v>
      </c>
      <c r="N2042" s="6">
        <v>30.2548</v>
      </c>
    </row>
    <row r="2043">
      <c r="A2043" s="512" t="s">
        <v>2041</v>
      </c>
      <c r="B2043" s="512" t="s">
        <v>163</v>
      </c>
      <c r="C2043" s="512" t="s">
        <v>1883</v>
      </c>
      <c r="D2043" s="512" t="s">
        <v>2036</v>
      </c>
      <c r="E2043" s="513" t="s">
        <v>377</v>
      </c>
      <c r="F2043" s="513">
        <v>5105.0</v>
      </c>
      <c r="G2043" s="513">
        <v>30.0</v>
      </c>
      <c r="H2043" s="513">
        <v>0.59</v>
      </c>
      <c r="I2043" s="513">
        <v>0.54</v>
      </c>
      <c r="J2043" s="513">
        <v>0.39</v>
      </c>
      <c r="K2043" s="513">
        <v>865.0</v>
      </c>
      <c r="L2043" s="513">
        <v>160085.0</v>
      </c>
      <c r="M2043" s="513">
        <v>0.1694</v>
      </c>
      <c r="N2043" s="6">
        <v>28.8333</v>
      </c>
    </row>
    <row r="2044">
      <c r="A2044" s="512" t="s">
        <v>2041</v>
      </c>
      <c r="B2044" s="512" t="s">
        <v>163</v>
      </c>
      <c r="C2044" s="512" t="s">
        <v>1883</v>
      </c>
      <c r="D2044" s="512" t="s">
        <v>2036</v>
      </c>
      <c r="E2044" s="513" t="s">
        <v>380</v>
      </c>
      <c r="F2044" s="513">
        <v>5105.0</v>
      </c>
      <c r="G2044" s="513">
        <v>25.0</v>
      </c>
      <c r="H2044" s="513">
        <v>0.49</v>
      </c>
      <c r="I2044" s="513">
        <v>0.21</v>
      </c>
      <c r="J2044" s="513">
        <v>0.27</v>
      </c>
      <c r="K2044" s="513">
        <v>340.0</v>
      </c>
      <c r="L2044" s="513">
        <v>160085.0</v>
      </c>
      <c r="M2044" s="513">
        <v>0.0666</v>
      </c>
      <c r="N2044" s="6">
        <v>13.6</v>
      </c>
    </row>
    <row r="2045">
      <c r="A2045" s="512" t="s">
        <v>2041</v>
      </c>
      <c r="B2045" s="512" t="s">
        <v>163</v>
      </c>
      <c r="C2045" s="512" t="s">
        <v>1883</v>
      </c>
      <c r="D2045" s="512" t="s">
        <v>2036</v>
      </c>
      <c r="E2045" s="513" t="s">
        <v>54</v>
      </c>
      <c r="F2045" s="513">
        <v>5105.0</v>
      </c>
      <c r="G2045" s="513">
        <v>1.0</v>
      </c>
      <c r="H2045" s="513">
        <v>0.02</v>
      </c>
      <c r="I2045" s="513">
        <v>0.01</v>
      </c>
      <c r="J2045" s="513">
        <v>0.02</v>
      </c>
      <c r="K2045" s="513">
        <v>10.0</v>
      </c>
      <c r="L2045" s="513">
        <v>160085.0</v>
      </c>
      <c r="M2045" s="513">
        <v>0.002</v>
      </c>
      <c r="N2045" s="6">
        <v>10.0</v>
      </c>
    </row>
    <row r="2046">
      <c r="A2046" s="512" t="s">
        <v>2041</v>
      </c>
      <c r="B2046" s="512" t="s">
        <v>163</v>
      </c>
      <c r="C2046" s="512" t="s">
        <v>1884</v>
      </c>
      <c r="D2046" s="512" t="s">
        <v>2036</v>
      </c>
      <c r="E2046" s="513" t="s">
        <v>134</v>
      </c>
      <c r="F2046" s="513">
        <v>7677.0</v>
      </c>
      <c r="G2046" s="513">
        <v>1729.0</v>
      </c>
      <c r="H2046" s="513">
        <v>22.52</v>
      </c>
      <c r="I2046" s="513">
        <v>28.29</v>
      </c>
      <c r="J2046" s="513">
        <v>11.05</v>
      </c>
      <c r="K2046" s="513">
        <v>112490.0</v>
      </c>
      <c r="L2046" s="513">
        <v>397600.0</v>
      </c>
      <c r="M2046" s="513">
        <v>14.6529</v>
      </c>
      <c r="N2046" s="6">
        <v>65.0607</v>
      </c>
    </row>
    <row r="2047">
      <c r="A2047" s="512" t="s">
        <v>2041</v>
      </c>
      <c r="B2047" s="512" t="s">
        <v>163</v>
      </c>
      <c r="C2047" s="512" t="s">
        <v>1884</v>
      </c>
      <c r="D2047" s="512" t="s">
        <v>2036</v>
      </c>
      <c r="E2047" s="513" t="s">
        <v>375</v>
      </c>
      <c r="F2047" s="513">
        <v>7677.0</v>
      </c>
      <c r="G2047" s="513">
        <v>3460.0</v>
      </c>
      <c r="H2047" s="513">
        <v>45.07</v>
      </c>
      <c r="I2047" s="513">
        <v>18.54</v>
      </c>
      <c r="J2047" s="513">
        <v>21.9</v>
      </c>
      <c r="K2047" s="513">
        <v>73725.0</v>
      </c>
      <c r="L2047" s="513">
        <v>397600.0</v>
      </c>
      <c r="M2047" s="513">
        <v>9.6034</v>
      </c>
      <c r="N2047" s="6">
        <v>21.3078</v>
      </c>
    </row>
    <row r="2048">
      <c r="A2048" s="512" t="s">
        <v>2041</v>
      </c>
      <c r="B2048" s="512" t="s">
        <v>163</v>
      </c>
      <c r="C2048" s="512" t="s">
        <v>1884</v>
      </c>
      <c r="D2048" s="512" t="s">
        <v>2036</v>
      </c>
      <c r="E2048" s="513" t="s">
        <v>380</v>
      </c>
      <c r="F2048" s="513">
        <v>7677.0</v>
      </c>
      <c r="G2048" s="513">
        <v>3902.0</v>
      </c>
      <c r="H2048" s="513">
        <v>50.83</v>
      </c>
      <c r="I2048" s="513">
        <v>17.52</v>
      </c>
      <c r="J2048" s="513">
        <v>24.0</v>
      </c>
      <c r="K2048" s="513">
        <v>69645.0</v>
      </c>
      <c r="L2048" s="513">
        <v>397600.0</v>
      </c>
      <c r="M2048" s="513">
        <v>9.0719</v>
      </c>
      <c r="N2048" s="6">
        <v>17.8485</v>
      </c>
    </row>
    <row r="2049">
      <c r="A2049" s="512" t="s">
        <v>2041</v>
      </c>
      <c r="B2049" s="512" t="s">
        <v>163</v>
      </c>
      <c r="C2049" s="512" t="s">
        <v>1884</v>
      </c>
      <c r="D2049" s="512" t="s">
        <v>2036</v>
      </c>
      <c r="E2049" s="513" t="s">
        <v>44</v>
      </c>
      <c r="F2049" s="513">
        <v>7677.0</v>
      </c>
      <c r="G2049" s="513">
        <v>4145.0</v>
      </c>
      <c r="H2049" s="513">
        <v>53.99</v>
      </c>
      <c r="I2049" s="513">
        <v>13.99</v>
      </c>
      <c r="J2049" s="513">
        <v>22.98</v>
      </c>
      <c r="K2049" s="513">
        <v>55610.0</v>
      </c>
      <c r="L2049" s="513">
        <v>397600.0</v>
      </c>
      <c r="M2049" s="513">
        <v>7.2437</v>
      </c>
      <c r="N2049" s="6">
        <v>13.4162</v>
      </c>
    </row>
    <row r="2050">
      <c r="A2050" s="512" t="s">
        <v>2041</v>
      </c>
      <c r="B2050" s="512" t="s">
        <v>163</v>
      </c>
      <c r="C2050" s="512" t="s">
        <v>1884</v>
      </c>
      <c r="D2050" s="512" t="s">
        <v>2036</v>
      </c>
      <c r="E2050" s="513" t="s">
        <v>373</v>
      </c>
      <c r="F2050" s="513">
        <v>7677.0</v>
      </c>
      <c r="G2050" s="513">
        <v>552.0</v>
      </c>
      <c r="H2050" s="513">
        <v>7.19</v>
      </c>
      <c r="I2050" s="513">
        <v>8.5</v>
      </c>
      <c r="J2050" s="513">
        <v>2.72</v>
      </c>
      <c r="K2050" s="513">
        <v>33780.0</v>
      </c>
      <c r="L2050" s="513">
        <v>397600.0</v>
      </c>
      <c r="M2050" s="513">
        <v>4.4002</v>
      </c>
      <c r="N2050" s="6">
        <v>61.1957</v>
      </c>
    </row>
    <row r="2051">
      <c r="A2051" s="512" t="s">
        <v>2041</v>
      </c>
      <c r="B2051" s="512" t="s">
        <v>163</v>
      </c>
      <c r="C2051" s="512" t="s">
        <v>1884</v>
      </c>
      <c r="D2051" s="512" t="s">
        <v>2036</v>
      </c>
      <c r="E2051" s="513" t="s">
        <v>189</v>
      </c>
      <c r="F2051" s="513">
        <v>7677.0</v>
      </c>
      <c r="G2051" s="513">
        <v>1555.0</v>
      </c>
      <c r="H2051" s="513">
        <v>20.26</v>
      </c>
      <c r="I2051" s="513">
        <v>7.54</v>
      </c>
      <c r="J2051" s="513">
        <v>9.43</v>
      </c>
      <c r="K2051" s="513">
        <v>29980.0</v>
      </c>
      <c r="L2051" s="513">
        <v>397600.0</v>
      </c>
      <c r="M2051" s="513">
        <v>3.9052</v>
      </c>
      <c r="N2051" s="6">
        <v>19.2797</v>
      </c>
    </row>
    <row r="2052">
      <c r="A2052" s="512" t="s">
        <v>2041</v>
      </c>
      <c r="B2052" s="512" t="s">
        <v>163</v>
      </c>
      <c r="C2052" s="512" t="s">
        <v>1884</v>
      </c>
      <c r="D2052" s="512" t="s">
        <v>2036</v>
      </c>
      <c r="E2052" s="513" t="s">
        <v>35</v>
      </c>
      <c r="F2052" s="513">
        <v>7677.0</v>
      </c>
      <c r="G2052" s="513">
        <v>1375.0</v>
      </c>
      <c r="H2052" s="513">
        <v>17.91</v>
      </c>
      <c r="I2052" s="513">
        <v>5.39</v>
      </c>
      <c r="J2052" s="513">
        <v>7.73</v>
      </c>
      <c r="K2052" s="513">
        <v>21435.0</v>
      </c>
      <c r="L2052" s="513">
        <v>397600.0</v>
      </c>
      <c r="M2052" s="513">
        <v>2.7921</v>
      </c>
      <c r="N2052" s="6">
        <v>15.5891</v>
      </c>
    </row>
    <row r="2053">
      <c r="A2053" s="512" t="s">
        <v>2041</v>
      </c>
      <c r="B2053" s="512" t="s">
        <v>163</v>
      </c>
      <c r="C2053" s="512" t="s">
        <v>1884</v>
      </c>
      <c r="D2053" s="512" t="s">
        <v>2036</v>
      </c>
      <c r="E2053" s="513" t="s">
        <v>377</v>
      </c>
      <c r="F2053" s="513">
        <v>7677.0</v>
      </c>
      <c r="G2053" s="513">
        <v>33.0</v>
      </c>
      <c r="H2053" s="513">
        <v>0.43</v>
      </c>
      <c r="I2053" s="513">
        <v>0.23</v>
      </c>
      <c r="J2053" s="513">
        <v>0.18</v>
      </c>
      <c r="K2053" s="513">
        <v>915.0</v>
      </c>
      <c r="L2053" s="513">
        <v>397600.0</v>
      </c>
      <c r="M2053" s="513">
        <v>0.1192</v>
      </c>
      <c r="N2053" s="6">
        <v>27.7273</v>
      </c>
    </row>
    <row r="2054">
      <c r="A2054" s="512" t="s">
        <v>2041</v>
      </c>
      <c r="B2054" s="512" t="s">
        <v>163</v>
      </c>
      <c r="C2054" s="512" t="s">
        <v>1884</v>
      </c>
      <c r="D2054" s="512" t="s">
        <v>2036</v>
      </c>
      <c r="E2054" s="513" t="s">
        <v>383</v>
      </c>
      <c r="F2054" s="513">
        <v>7677.0</v>
      </c>
      <c r="G2054" s="513">
        <v>1.0</v>
      </c>
      <c r="H2054" s="513">
        <v>0.01</v>
      </c>
      <c r="I2054" s="513">
        <v>0.0</v>
      </c>
      <c r="J2054" s="513">
        <v>0.0</v>
      </c>
      <c r="K2054" s="513">
        <v>10.0</v>
      </c>
      <c r="L2054" s="513">
        <v>397600.0</v>
      </c>
      <c r="M2054" s="513">
        <v>0.0013</v>
      </c>
      <c r="N2054" s="6">
        <v>10.0</v>
      </c>
    </row>
    <row r="2055">
      <c r="A2055" s="512" t="s">
        <v>2041</v>
      </c>
      <c r="B2055" s="512" t="s">
        <v>163</v>
      </c>
      <c r="C2055" s="512" t="s">
        <v>1884</v>
      </c>
      <c r="D2055" s="512" t="s">
        <v>2036</v>
      </c>
      <c r="E2055" s="513" t="s">
        <v>374</v>
      </c>
      <c r="F2055" s="513">
        <v>7677.0</v>
      </c>
      <c r="G2055" s="513">
        <v>1.0</v>
      </c>
      <c r="H2055" s="513">
        <v>0.01</v>
      </c>
      <c r="I2055" s="513">
        <v>0.0</v>
      </c>
      <c r="J2055" s="513">
        <v>0.0</v>
      </c>
      <c r="K2055" s="513">
        <v>10.0</v>
      </c>
      <c r="L2055" s="513">
        <v>397600.0</v>
      </c>
      <c r="M2055" s="513">
        <v>0.0013</v>
      </c>
      <c r="N2055" s="6">
        <v>10.0</v>
      </c>
    </row>
    <row r="2056">
      <c r="A2056" s="512" t="s">
        <v>2041</v>
      </c>
      <c r="B2056" s="512" t="s">
        <v>163</v>
      </c>
      <c r="C2056" s="512" t="s">
        <v>1885</v>
      </c>
      <c r="D2056" s="512" t="s">
        <v>2036</v>
      </c>
      <c r="E2056" s="513" t="s">
        <v>134</v>
      </c>
      <c r="F2056" s="513">
        <v>8054.0</v>
      </c>
      <c r="G2056" s="513">
        <v>1687.0</v>
      </c>
      <c r="H2056" s="513">
        <v>20.95</v>
      </c>
      <c r="I2056" s="513">
        <v>29.29</v>
      </c>
      <c r="J2056" s="513">
        <v>10.93</v>
      </c>
      <c r="K2056" s="513">
        <v>165300.0</v>
      </c>
      <c r="L2056" s="513">
        <v>564405.0</v>
      </c>
      <c r="M2056" s="513">
        <v>20.524</v>
      </c>
      <c r="N2056" s="6">
        <v>97.9846</v>
      </c>
    </row>
    <row r="2057">
      <c r="A2057" s="512" t="s">
        <v>2041</v>
      </c>
      <c r="B2057" s="512" t="s">
        <v>163</v>
      </c>
      <c r="C2057" s="512" t="s">
        <v>1885</v>
      </c>
      <c r="D2057" s="512" t="s">
        <v>2036</v>
      </c>
      <c r="E2057" s="513" t="s">
        <v>380</v>
      </c>
      <c r="F2057" s="513">
        <v>8054.0</v>
      </c>
      <c r="G2057" s="513">
        <v>5853.0</v>
      </c>
      <c r="H2057" s="513">
        <v>72.67</v>
      </c>
      <c r="I2057" s="513">
        <v>28.02</v>
      </c>
      <c r="J2057" s="513">
        <v>41.27</v>
      </c>
      <c r="K2057" s="513">
        <v>158155.0</v>
      </c>
      <c r="L2057" s="513">
        <v>564405.0</v>
      </c>
      <c r="M2057" s="513">
        <v>19.6368</v>
      </c>
      <c r="N2057" s="6">
        <v>27.0212</v>
      </c>
    </row>
    <row r="2058">
      <c r="A2058" s="512" t="s">
        <v>2041</v>
      </c>
      <c r="B2058" s="512" t="s">
        <v>163</v>
      </c>
      <c r="C2058" s="512" t="s">
        <v>1885</v>
      </c>
      <c r="D2058" s="512" t="s">
        <v>2036</v>
      </c>
      <c r="E2058" s="513" t="s">
        <v>375</v>
      </c>
      <c r="F2058" s="513">
        <v>8054.0</v>
      </c>
      <c r="G2058" s="513">
        <v>3339.0</v>
      </c>
      <c r="H2058" s="513">
        <v>41.46</v>
      </c>
      <c r="I2058" s="513">
        <v>14.12</v>
      </c>
      <c r="J2058" s="513">
        <v>15.85</v>
      </c>
      <c r="K2058" s="513">
        <v>79710.0</v>
      </c>
      <c r="L2058" s="513">
        <v>564405.0</v>
      </c>
      <c r="M2058" s="513">
        <v>9.8969</v>
      </c>
      <c r="N2058" s="6">
        <v>23.8724</v>
      </c>
    </row>
    <row r="2059">
      <c r="A2059" s="512" t="s">
        <v>2041</v>
      </c>
      <c r="B2059" s="512" t="s">
        <v>163</v>
      </c>
      <c r="C2059" s="512" t="s">
        <v>1885</v>
      </c>
      <c r="D2059" s="512" t="s">
        <v>2036</v>
      </c>
      <c r="E2059" s="513" t="s">
        <v>44</v>
      </c>
      <c r="F2059" s="513">
        <v>8054.0</v>
      </c>
      <c r="G2059" s="513">
        <v>4287.0</v>
      </c>
      <c r="H2059" s="513">
        <v>53.23</v>
      </c>
      <c r="I2059" s="513">
        <v>10.16</v>
      </c>
      <c r="J2059" s="513">
        <v>15.78</v>
      </c>
      <c r="K2059" s="513">
        <v>57320.0</v>
      </c>
      <c r="L2059" s="513">
        <v>564405.0</v>
      </c>
      <c r="M2059" s="513">
        <v>7.117</v>
      </c>
      <c r="N2059" s="6">
        <v>13.3707</v>
      </c>
    </row>
    <row r="2060">
      <c r="A2060" s="512" t="s">
        <v>2041</v>
      </c>
      <c r="B2060" s="512" t="s">
        <v>163</v>
      </c>
      <c r="C2060" s="512" t="s">
        <v>1885</v>
      </c>
      <c r="D2060" s="512" t="s">
        <v>2036</v>
      </c>
      <c r="E2060" s="513" t="s">
        <v>373</v>
      </c>
      <c r="F2060" s="513">
        <v>8054.0</v>
      </c>
      <c r="G2060" s="513">
        <v>827.0</v>
      </c>
      <c r="H2060" s="513">
        <v>10.27</v>
      </c>
      <c r="I2060" s="513">
        <v>8.94</v>
      </c>
      <c r="J2060" s="513">
        <v>3.92</v>
      </c>
      <c r="K2060" s="513">
        <v>50460.0</v>
      </c>
      <c r="L2060" s="513">
        <v>564405.0</v>
      </c>
      <c r="M2060" s="513">
        <v>6.2652</v>
      </c>
      <c r="N2060" s="6">
        <v>61.0157</v>
      </c>
    </row>
    <row r="2061">
      <c r="A2061" s="512" t="s">
        <v>2041</v>
      </c>
      <c r="B2061" s="512" t="s">
        <v>163</v>
      </c>
      <c r="C2061" s="512" t="s">
        <v>1885</v>
      </c>
      <c r="D2061" s="512" t="s">
        <v>2036</v>
      </c>
      <c r="E2061" s="513" t="s">
        <v>189</v>
      </c>
      <c r="F2061" s="513">
        <v>8054.0</v>
      </c>
      <c r="G2061" s="513">
        <v>1487.0</v>
      </c>
      <c r="H2061" s="513">
        <v>18.46</v>
      </c>
      <c r="I2061" s="513">
        <v>5.5</v>
      </c>
      <c r="J2061" s="513">
        <v>6.82</v>
      </c>
      <c r="K2061" s="513">
        <v>31035.0</v>
      </c>
      <c r="L2061" s="513">
        <v>564405.0</v>
      </c>
      <c r="M2061" s="513">
        <v>3.8534</v>
      </c>
      <c r="N2061" s="6">
        <v>20.8709</v>
      </c>
    </row>
    <row r="2062">
      <c r="A2062" s="512" t="s">
        <v>2041</v>
      </c>
      <c r="B2062" s="512" t="s">
        <v>163</v>
      </c>
      <c r="C2062" s="512" t="s">
        <v>1885</v>
      </c>
      <c r="D2062" s="512" t="s">
        <v>2036</v>
      </c>
      <c r="E2062" s="513" t="s">
        <v>35</v>
      </c>
      <c r="F2062" s="513">
        <v>8054.0</v>
      </c>
      <c r="G2062" s="513">
        <v>1379.0</v>
      </c>
      <c r="H2062" s="513">
        <v>17.12</v>
      </c>
      <c r="I2062" s="513">
        <v>3.8</v>
      </c>
      <c r="J2062" s="513">
        <v>5.25</v>
      </c>
      <c r="K2062" s="513">
        <v>21435.0</v>
      </c>
      <c r="L2062" s="513">
        <v>564405.0</v>
      </c>
      <c r="M2062" s="513">
        <v>2.6614</v>
      </c>
      <c r="N2062" s="6">
        <v>15.5439</v>
      </c>
    </row>
    <row r="2063">
      <c r="A2063" s="512" t="s">
        <v>2041</v>
      </c>
      <c r="B2063" s="512" t="s">
        <v>163</v>
      </c>
      <c r="C2063" s="512" t="s">
        <v>1885</v>
      </c>
      <c r="D2063" s="512" t="s">
        <v>2036</v>
      </c>
      <c r="E2063" s="513" t="s">
        <v>377</v>
      </c>
      <c r="F2063" s="513">
        <v>8054.0</v>
      </c>
      <c r="G2063" s="513">
        <v>36.0</v>
      </c>
      <c r="H2063" s="513">
        <v>0.45</v>
      </c>
      <c r="I2063" s="513">
        <v>0.17</v>
      </c>
      <c r="J2063" s="513">
        <v>0.17</v>
      </c>
      <c r="K2063" s="513">
        <v>960.0</v>
      </c>
      <c r="L2063" s="513">
        <v>564405.0</v>
      </c>
      <c r="M2063" s="513">
        <v>0.1192</v>
      </c>
      <c r="N2063" s="6">
        <v>26.6667</v>
      </c>
    </row>
    <row r="2064">
      <c r="A2064" s="512" t="s">
        <v>2041</v>
      </c>
      <c r="B2064" s="512" t="s">
        <v>163</v>
      </c>
      <c r="C2064" s="512" t="s">
        <v>1885</v>
      </c>
      <c r="D2064" s="512" t="s">
        <v>2036</v>
      </c>
      <c r="E2064" s="513" t="s">
        <v>374</v>
      </c>
      <c r="F2064" s="513">
        <v>8054.0</v>
      </c>
      <c r="G2064" s="513">
        <v>1.0</v>
      </c>
      <c r="H2064" s="513">
        <v>0.01</v>
      </c>
      <c r="I2064" s="513">
        <v>0.01</v>
      </c>
      <c r="J2064" s="513">
        <v>0.0</v>
      </c>
      <c r="K2064" s="513">
        <v>30.0</v>
      </c>
      <c r="L2064" s="513">
        <v>564405.0</v>
      </c>
      <c r="M2064" s="513">
        <v>0.0037</v>
      </c>
      <c r="N2064" s="6">
        <v>30.0</v>
      </c>
    </row>
    <row r="2065">
      <c r="A2065" s="512" t="s">
        <v>2041</v>
      </c>
      <c r="B2065" s="512" t="s">
        <v>163</v>
      </c>
      <c r="C2065" s="512" t="s">
        <v>75</v>
      </c>
      <c r="D2065" s="512" t="s">
        <v>2036</v>
      </c>
      <c r="E2065" s="513" t="s">
        <v>379</v>
      </c>
      <c r="F2065" s="513">
        <v>9086.0</v>
      </c>
      <c r="G2065" s="513">
        <v>9072.0</v>
      </c>
      <c r="H2065" s="513">
        <v>99.85</v>
      </c>
      <c r="I2065" s="513">
        <v>54.77</v>
      </c>
      <c r="J2065" s="513">
        <v>49.3</v>
      </c>
      <c r="K2065" s="513">
        <v>8111100.0</v>
      </c>
      <c r="L2065" s="513">
        <v>1.4809839E7</v>
      </c>
      <c r="M2065" s="513">
        <v>892.7031</v>
      </c>
      <c r="N2065" s="6">
        <v>894.0807</v>
      </c>
    </row>
    <row r="2066">
      <c r="A2066" s="512" t="s">
        <v>2041</v>
      </c>
      <c r="B2066" s="512" t="s">
        <v>163</v>
      </c>
      <c r="C2066" s="512" t="s">
        <v>75</v>
      </c>
      <c r="D2066" s="512" t="s">
        <v>2036</v>
      </c>
      <c r="E2066" s="513" t="s">
        <v>372</v>
      </c>
      <c r="F2066" s="513">
        <v>9086.0</v>
      </c>
      <c r="G2066" s="513">
        <v>8778.0</v>
      </c>
      <c r="H2066" s="513">
        <v>96.61</v>
      </c>
      <c r="I2066" s="513">
        <v>15.61</v>
      </c>
      <c r="J2066" s="513">
        <v>19.55</v>
      </c>
      <c r="K2066" s="513">
        <v>2311650.0</v>
      </c>
      <c r="L2066" s="513">
        <v>1.4809839E7</v>
      </c>
      <c r="M2066" s="513">
        <v>254.4189</v>
      </c>
      <c r="N2066" s="6">
        <v>263.3459</v>
      </c>
    </row>
    <row r="2067">
      <c r="A2067" s="512" t="s">
        <v>2041</v>
      </c>
      <c r="B2067" s="512" t="s">
        <v>163</v>
      </c>
      <c r="C2067" s="512" t="s">
        <v>75</v>
      </c>
      <c r="D2067" s="512" t="s">
        <v>2036</v>
      </c>
      <c r="E2067" s="513" t="s">
        <v>49</v>
      </c>
      <c r="F2067" s="513">
        <v>9086.0</v>
      </c>
      <c r="G2067" s="513">
        <v>6248.0</v>
      </c>
      <c r="H2067" s="513">
        <v>68.77</v>
      </c>
      <c r="I2067" s="513">
        <v>6.1</v>
      </c>
      <c r="J2067" s="513">
        <v>6.39</v>
      </c>
      <c r="K2067" s="513">
        <v>904000.0</v>
      </c>
      <c r="L2067" s="513">
        <v>1.4809839E7</v>
      </c>
      <c r="M2067" s="513">
        <v>99.4937</v>
      </c>
      <c r="N2067" s="6">
        <v>144.6863</v>
      </c>
    </row>
    <row r="2068">
      <c r="A2068" s="512" t="s">
        <v>2041</v>
      </c>
      <c r="B2068" s="512" t="s">
        <v>163</v>
      </c>
      <c r="C2068" s="512" t="s">
        <v>75</v>
      </c>
      <c r="D2068" s="512" t="s">
        <v>2036</v>
      </c>
      <c r="E2068" s="513" t="s">
        <v>380</v>
      </c>
      <c r="F2068" s="513">
        <v>9086.0</v>
      </c>
      <c r="G2068" s="513">
        <v>5617.0</v>
      </c>
      <c r="H2068" s="513">
        <v>61.82</v>
      </c>
      <c r="I2068" s="513">
        <v>4.7</v>
      </c>
      <c r="J2068" s="513">
        <v>6.74</v>
      </c>
      <c r="K2068" s="513">
        <v>695695.0</v>
      </c>
      <c r="L2068" s="513">
        <v>1.4809839E7</v>
      </c>
      <c r="M2068" s="513">
        <v>76.5678</v>
      </c>
      <c r="N2068" s="6">
        <v>123.8553</v>
      </c>
    </row>
    <row r="2069">
      <c r="A2069" s="512" t="s">
        <v>2041</v>
      </c>
      <c r="B2069" s="512" t="s">
        <v>163</v>
      </c>
      <c r="C2069" s="512" t="s">
        <v>75</v>
      </c>
      <c r="D2069" s="512" t="s">
        <v>2036</v>
      </c>
      <c r="E2069" s="513" t="s">
        <v>44</v>
      </c>
      <c r="F2069" s="513">
        <v>9086.0</v>
      </c>
      <c r="G2069" s="513">
        <v>4794.0</v>
      </c>
      <c r="H2069" s="513">
        <v>52.76</v>
      </c>
      <c r="I2069" s="513">
        <v>3.75</v>
      </c>
      <c r="J2069" s="513">
        <v>4.36</v>
      </c>
      <c r="K2069" s="513">
        <v>555630.0</v>
      </c>
      <c r="L2069" s="513">
        <v>1.4809839E7</v>
      </c>
      <c r="M2069" s="513">
        <v>61.1523</v>
      </c>
      <c r="N2069" s="6">
        <v>115.9011</v>
      </c>
    </row>
    <row r="2070">
      <c r="A2070" s="512" t="s">
        <v>2041</v>
      </c>
      <c r="B2070" s="512" t="s">
        <v>163</v>
      </c>
      <c r="C2070" s="512" t="s">
        <v>75</v>
      </c>
      <c r="D2070" s="512" t="s">
        <v>2036</v>
      </c>
      <c r="E2070" s="513" t="s">
        <v>373</v>
      </c>
      <c r="F2070" s="513">
        <v>9086.0</v>
      </c>
      <c r="G2070" s="513">
        <v>6267.0</v>
      </c>
      <c r="H2070" s="513">
        <v>68.97</v>
      </c>
      <c r="I2070" s="513">
        <v>3.34</v>
      </c>
      <c r="J2070" s="513">
        <v>2.58</v>
      </c>
      <c r="K2070" s="513">
        <v>494850.0</v>
      </c>
      <c r="L2070" s="513">
        <v>1.4809839E7</v>
      </c>
      <c r="M2070" s="513">
        <v>54.4629</v>
      </c>
      <c r="N2070" s="6">
        <v>78.9612</v>
      </c>
    </row>
    <row r="2071">
      <c r="A2071" s="512" t="s">
        <v>2041</v>
      </c>
      <c r="B2071" s="512" t="s">
        <v>163</v>
      </c>
      <c r="C2071" s="512" t="s">
        <v>75</v>
      </c>
      <c r="D2071" s="512" t="s">
        <v>2036</v>
      </c>
      <c r="E2071" s="513" t="s">
        <v>375</v>
      </c>
      <c r="F2071" s="513">
        <v>9086.0</v>
      </c>
      <c r="G2071" s="513">
        <v>3403.0</v>
      </c>
      <c r="H2071" s="513">
        <v>37.45</v>
      </c>
      <c r="I2071" s="513">
        <v>2.85</v>
      </c>
      <c r="J2071" s="513">
        <v>3.12</v>
      </c>
      <c r="K2071" s="513">
        <v>421950.0</v>
      </c>
      <c r="L2071" s="513">
        <v>1.4809839E7</v>
      </c>
      <c r="M2071" s="513">
        <v>46.4396</v>
      </c>
      <c r="N2071" s="6">
        <v>123.9935</v>
      </c>
    </row>
    <row r="2072">
      <c r="A2072" s="512" t="s">
        <v>2041</v>
      </c>
      <c r="B2072" s="512" t="s">
        <v>163</v>
      </c>
      <c r="C2072" s="512" t="s">
        <v>75</v>
      </c>
      <c r="D2072" s="512" t="s">
        <v>2036</v>
      </c>
      <c r="E2072" s="513" t="s">
        <v>374</v>
      </c>
      <c r="F2072" s="513">
        <v>9086.0</v>
      </c>
      <c r="G2072" s="513">
        <v>3852.0</v>
      </c>
      <c r="H2072" s="513">
        <v>42.39</v>
      </c>
      <c r="I2072" s="513">
        <v>2.55</v>
      </c>
      <c r="J2072" s="513">
        <v>1.81</v>
      </c>
      <c r="K2072" s="513">
        <v>377730.0</v>
      </c>
      <c r="L2072" s="513">
        <v>1.4809839E7</v>
      </c>
      <c r="M2072" s="513">
        <v>41.5727</v>
      </c>
      <c r="N2072" s="6">
        <v>98.0607</v>
      </c>
    </row>
    <row r="2073">
      <c r="A2073" s="512" t="s">
        <v>2041</v>
      </c>
      <c r="B2073" s="512" t="s">
        <v>163</v>
      </c>
      <c r="C2073" s="512" t="s">
        <v>75</v>
      </c>
      <c r="D2073" s="512" t="s">
        <v>2036</v>
      </c>
      <c r="E2073" s="513" t="s">
        <v>35</v>
      </c>
      <c r="F2073" s="513">
        <v>9086.0</v>
      </c>
      <c r="G2073" s="513">
        <v>2056.0</v>
      </c>
      <c r="H2073" s="513">
        <v>22.63</v>
      </c>
      <c r="I2073" s="513">
        <v>2.35</v>
      </c>
      <c r="J2073" s="513">
        <v>2.39</v>
      </c>
      <c r="K2073" s="513">
        <v>347700.0</v>
      </c>
      <c r="L2073" s="513">
        <v>1.4809839E7</v>
      </c>
      <c r="M2073" s="513">
        <v>38.2677</v>
      </c>
      <c r="N2073" s="6">
        <v>169.1148</v>
      </c>
    </row>
    <row r="2074">
      <c r="A2074" s="512" t="s">
        <v>2041</v>
      </c>
      <c r="B2074" s="512" t="s">
        <v>163</v>
      </c>
      <c r="C2074" s="512" t="s">
        <v>75</v>
      </c>
      <c r="D2074" s="512" t="s">
        <v>2036</v>
      </c>
      <c r="E2074" s="513" t="s">
        <v>189</v>
      </c>
      <c r="F2074" s="513">
        <v>9086.0</v>
      </c>
      <c r="G2074" s="513">
        <v>1531.0</v>
      </c>
      <c r="H2074" s="513">
        <v>16.85</v>
      </c>
      <c r="I2074" s="513">
        <v>1.11</v>
      </c>
      <c r="J2074" s="513">
        <v>1.1</v>
      </c>
      <c r="K2074" s="513">
        <v>163995.0</v>
      </c>
      <c r="L2074" s="513">
        <v>1.4809839E7</v>
      </c>
      <c r="M2074" s="513">
        <v>18.0492</v>
      </c>
      <c r="N2074" s="6">
        <v>107.1163</v>
      </c>
    </row>
    <row r="2075">
      <c r="A2075" s="512" t="s">
        <v>2041</v>
      </c>
      <c r="B2075" s="512" t="s">
        <v>163</v>
      </c>
      <c r="C2075" s="512" t="s">
        <v>75</v>
      </c>
      <c r="D2075" s="512" t="s">
        <v>2036</v>
      </c>
      <c r="E2075" s="513" t="s">
        <v>43</v>
      </c>
      <c r="F2075" s="513">
        <v>9086.0</v>
      </c>
      <c r="G2075" s="513">
        <v>3184.0</v>
      </c>
      <c r="H2075" s="513">
        <v>35.04</v>
      </c>
      <c r="I2075" s="513">
        <v>0.75</v>
      </c>
      <c r="J2075" s="513">
        <v>0.91</v>
      </c>
      <c r="K2075" s="513">
        <v>111720.0</v>
      </c>
      <c r="L2075" s="513">
        <v>1.4809839E7</v>
      </c>
      <c r="M2075" s="513">
        <v>12.2958</v>
      </c>
      <c r="N2075" s="6">
        <v>35.0879</v>
      </c>
    </row>
    <row r="2076">
      <c r="A2076" s="512" t="s">
        <v>2041</v>
      </c>
      <c r="B2076" s="512" t="s">
        <v>163</v>
      </c>
      <c r="C2076" s="512" t="s">
        <v>75</v>
      </c>
      <c r="D2076" s="512" t="s">
        <v>2036</v>
      </c>
      <c r="E2076" s="513" t="s">
        <v>377</v>
      </c>
      <c r="F2076" s="513">
        <v>9086.0</v>
      </c>
      <c r="G2076" s="513">
        <v>1834.0</v>
      </c>
      <c r="H2076" s="513">
        <v>20.18</v>
      </c>
      <c r="I2076" s="513">
        <v>0.62</v>
      </c>
      <c r="J2076" s="513">
        <v>0.43</v>
      </c>
      <c r="K2076" s="513">
        <v>92454.0</v>
      </c>
      <c r="L2076" s="513">
        <v>1.4809839E7</v>
      </c>
      <c r="M2076" s="513">
        <v>10.1754</v>
      </c>
      <c r="N2076" s="6">
        <v>50.4111</v>
      </c>
    </row>
    <row r="2077">
      <c r="A2077" s="512" t="s">
        <v>2041</v>
      </c>
      <c r="B2077" s="512" t="s">
        <v>163</v>
      </c>
      <c r="C2077" s="512" t="s">
        <v>75</v>
      </c>
      <c r="D2077" s="512" t="s">
        <v>2036</v>
      </c>
      <c r="E2077" s="513" t="s">
        <v>367</v>
      </c>
      <c r="F2077" s="513">
        <v>9086.0</v>
      </c>
      <c r="G2077" s="513">
        <v>2184.0</v>
      </c>
      <c r="H2077" s="513">
        <v>24.04</v>
      </c>
      <c r="I2077" s="513">
        <v>0.61</v>
      </c>
      <c r="J2077" s="513">
        <v>0.44</v>
      </c>
      <c r="K2077" s="513">
        <v>89940.0</v>
      </c>
      <c r="L2077" s="513">
        <v>1.4809839E7</v>
      </c>
      <c r="M2077" s="513">
        <v>9.8987</v>
      </c>
      <c r="N2077" s="6">
        <v>41.1813</v>
      </c>
    </row>
    <row r="2078">
      <c r="A2078" s="512" t="s">
        <v>2041</v>
      </c>
      <c r="B2078" s="512" t="s">
        <v>163</v>
      </c>
      <c r="C2078" s="512" t="s">
        <v>75</v>
      </c>
      <c r="D2078" s="512" t="s">
        <v>2036</v>
      </c>
      <c r="E2078" s="513" t="s">
        <v>32</v>
      </c>
      <c r="F2078" s="513">
        <v>9086.0</v>
      </c>
      <c r="G2078" s="513">
        <v>1873.0</v>
      </c>
      <c r="H2078" s="513">
        <v>20.61</v>
      </c>
      <c r="I2078" s="513">
        <v>0.48</v>
      </c>
      <c r="J2078" s="513">
        <v>0.57</v>
      </c>
      <c r="K2078" s="513">
        <v>71270.0</v>
      </c>
      <c r="L2078" s="513">
        <v>1.4809839E7</v>
      </c>
      <c r="M2078" s="513">
        <v>7.8439</v>
      </c>
      <c r="N2078" s="6">
        <v>38.0513</v>
      </c>
    </row>
    <row r="2079">
      <c r="A2079" s="512" t="s">
        <v>2041</v>
      </c>
      <c r="B2079" s="512" t="s">
        <v>163</v>
      </c>
      <c r="C2079" s="512" t="s">
        <v>75</v>
      </c>
      <c r="D2079" s="512" t="s">
        <v>2036</v>
      </c>
      <c r="E2079" s="513" t="s">
        <v>134</v>
      </c>
      <c r="F2079" s="513">
        <v>9086.0</v>
      </c>
      <c r="G2079" s="513">
        <v>882.0</v>
      </c>
      <c r="H2079" s="513">
        <v>9.71</v>
      </c>
      <c r="I2079" s="513">
        <v>0.37</v>
      </c>
      <c r="J2079" s="513">
        <v>0.24</v>
      </c>
      <c r="K2079" s="513">
        <v>55460.0</v>
      </c>
      <c r="L2079" s="513">
        <v>1.4809839E7</v>
      </c>
      <c r="M2079" s="513">
        <v>6.1039</v>
      </c>
      <c r="N2079" s="6">
        <v>62.8798</v>
      </c>
    </row>
    <row r="2080">
      <c r="A2080" s="512" t="s">
        <v>2041</v>
      </c>
      <c r="B2080" s="512" t="s">
        <v>163</v>
      </c>
      <c r="C2080" s="512" t="s">
        <v>75</v>
      </c>
      <c r="D2080" s="512" t="s">
        <v>2036</v>
      </c>
      <c r="E2080" s="513" t="s">
        <v>50</v>
      </c>
      <c r="F2080" s="513">
        <v>9086.0</v>
      </c>
      <c r="G2080" s="513">
        <v>90.0</v>
      </c>
      <c r="H2080" s="513">
        <v>0.99</v>
      </c>
      <c r="I2080" s="513">
        <v>0.03</v>
      </c>
      <c r="J2080" s="513">
        <v>0.06</v>
      </c>
      <c r="K2080" s="513">
        <v>4675.0</v>
      </c>
      <c r="L2080" s="513">
        <v>1.4809839E7</v>
      </c>
      <c r="M2080" s="513">
        <v>0.5145</v>
      </c>
      <c r="N2080" s="6">
        <v>51.9444</v>
      </c>
    </row>
    <row r="2081">
      <c r="A2081" s="512" t="s">
        <v>2041</v>
      </c>
      <c r="B2081" s="512" t="s">
        <v>163</v>
      </c>
      <c r="C2081" s="512" t="s">
        <v>75</v>
      </c>
      <c r="D2081" s="512" t="s">
        <v>2036</v>
      </c>
      <c r="E2081" s="513" t="s">
        <v>42</v>
      </c>
      <c r="F2081" s="513">
        <v>9086.0</v>
      </c>
      <c r="G2081" s="513">
        <v>1.0</v>
      </c>
      <c r="H2081" s="513">
        <v>0.01</v>
      </c>
      <c r="I2081" s="513">
        <v>0.0</v>
      </c>
      <c r="J2081" s="513">
        <v>0.0</v>
      </c>
      <c r="K2081" s="513">
        <v>20.0</v>
      </c>
      <c r="L2081" s="513">
        <v>1.4809839E7</v>
      </c>
      <c r="M2081" s="513">
        <v>0.0022</v>
      </c>
      <c r="N2081" s="6">
        <v>20.0</v>
      </c>
    </row>
    <row r="2082">
      <c r="A2082" s="512" t="s">
        <v>2041</v>
      </c>
      <c r="B2082" s="512" t="s">
        <v>1867</v>
      </c>
      <c r="C2082" s="512" t="s">
        <v>71</v>
      </c>
      <c r="D2082" s="512" t="s">
        <v>574</v>
      </c>
      <c r="E2082" s="513" t="s">
        <v>379</v>
      </c>
      <c r="F2082" s="513">
        <v>4472.0</v>
      </c>
      <c r="G2082" s="513">
        <v>4447.0</v>
      </c>
      <c r="H2082" s="513">
        <v>99.44</v>
      </c>
      <c r="I2082" s="513">
        <v>49.26</v>
      </c>
      <c r="J2082" s="513">
        <v>44.95</v>
      </c>
      <c r="K2082" s="513">
        <v>37272.0</v>
      </c>
      <c r="L2082" s="513">
        <v>75657.0</v>
      </c>
      <c r="M2082" s="513">
        <v>8.3345</v>
      </c>
      <c r="N2082" s="6">
        <v>8.3814</v>
      </c>
    </row>
    <row r="2083">
      <c r="A2083" s="512" t="s">
        <v>2041</v>
      </c>
      <c r="B2083" s="512" t="s">
        <v>1867</v>
      </c>
      <c r="C2083" s="512" t="s">
        <v>71</v>
      </c>
      <c r="D2083" s="512" t="s">
        <v>574</v>
      </c>
      <c r="E2083" s="513" t="s">
        <v>380</v>
      </c>
      <c r="F2083" s="513">
        <v>4472.0</v>
      </c>
      <c r="G2083" s="513">
        <v>3130.0</v>
      </c>
      <c r="H2083" s="513">
        <v>69.99</v>
      </c>
      <c r="I2083" s="513">
        <v>14.43</v>
      </c>
      <c r="J2083" s="513">
        <v>16.36</v>
      </c>
      <c r="K2083" s="513">
        <v>10917.0</v>
      </c>
      <c r="L2083" s="513">
        <v>75657.0</v>
      </c>
      <c r="M2083" s="513">
        <v>2.4412</v>
      </c>
      <c r="N2083" s="6">
        <v>3.4879</v>
      </c>
    </row>
    <row r="2084">
      <c r="A2084" s="512" t="s">
        <v>2041</v>
      </c>
      <c r="B2084" s="512" t="s">
        <v>1867</v>
      </c>
      <c r="C2084" s="512" t="s">
        <v>71</v>
      </c>
      <c r="D2084" s="512" t="s">
        <v>574</v>
      </c>
      <c r="E2084" s="513" t="s">
        <v>377</v>
      </c>
      <c r="F2084" s="513">
        <v>4472.0</v>
      </c>
      <c r="G2084" s="513">
        <v>3188.0</v>
      </c>
      <c r="H2084" s="513">
        <v>71.29</v>
      </c>
      <c r="I2084" s="513">
        <v>10.14</v>
      </c>
      <c r="J2084" s="513">
        <v>10.42</v>
      </c>
      <c r="K2084" s="513">
        <v>7675.0</v>
      </c>
      <c r="L2084" s="513">
        <v>75657.0</v>
      </c>
      <c r="M2084" s="513">
        <v>1.7162</v>
      </c>
      <c r="N2084" s="6">
        <v>2.4075</v>
      </c>
    </row>
    <row r="2085">
      <c r="A2085" s="512" t="s">
        <v>2041</v>
      </c>
      <c r="B2085" s="512" t="s">
        <v>1867</v>
      </c>
      <c r="C2085" s="512" t="s">
        <v>71</v>
      </c>
      <c r="D2085" s="512" t="s">
        <v>574</v>
      </c>
      <c r="E2085" s="513" t="s">
        <v>372</v>
      </c>
      <c r="F2085" s="513">
        <v>4472.0</v>
      </c>
      <c r="G2085" s="513">
        <v>2899.0</v>
      </c>
      <c r="H2085" s="513">
        <v>64.83</v>
      </c>
      <c r="I2085" s="513">
        <v>7.91</v>
      </c>
      <c r="J2085" s="513">
        <v>9.78</v>
      </c>
      <c r="K2085" s="513">
        <v>5982.0</v>
      </c>
      <c r="L2085" s="513">
        <v>75657.0</v>
      </c>
      <c r="M2085" s="513">
        <v>1.3377</v>
      </c>
      <c r="N2085" s="6">
        <v>2.0635</v>
      </c>
    </row>
    <row r="2086">
      <c r="A2086" s="512" t="s">
        <v>2041</v>
      </c>
      <c r="B2086" s="512" t="s">
        <v>1867</v>
      </c>
      <c r="C2086" s="512" t="s">
        <v>71</v>
      </c>
      <c r="D2086" s="512" t="s">
        <v>574</v>
      </c>
      <c r="E2086" s="513" t="s">
        <v>49</v>
      </c>
      <c r="F2086" s="513">
        <v>4472.0</v>
      </c>
      <c r="G2086" s="513">
        <v>2366.0</v>
      </c>
      <c r="H2086" s="513">
        <v>52.91</v>
      </c>
      <c r="I2086" s="513">
        <v>6.0</v>
      </c>
      <c r="J2086" s="513">
        <v>6.03</v>
      </c>
      <c r="K2086" s="513">
        <v>4536.0</v>
      </c>
      <c r="L2086" s="513">
        <v>75657.0</v>
      </c>
      <c r="M2086" s="513">
        <v>1.0143</v>
      </c>
      <c r="N2086" s="6">
        <v>1.9172</v>
      </c>
    </row>
    <row r="2087">
      <c r="A2087" s="512" t="s">
        <v>2041</v>
      </c>
      <c r="B2087" s="512" t="s">
        <v>1867</v>
      </c>
      <c r="C2087" s="512" t="s">
        <v>71</v>
      </c>
      <c r="D2087" s="512" t="s">
        <v>574</v>
      </c>
      <c r="E2087" s="513" t="s">
        <v>44</v>
      </c>
      <c r="F2087" s="513">
        <v>4472.0</v>
      </c>
      <c r="G2087" s="513">
        <v>2445.0</v>
      </c>
      <c r="H2087" s="513">
        <v>54.67</v>
      </c>
      <c r="I2087" s="513">
        <v>4.14</v>
      </c>
      <c r="J2087" s="513">
        <v>4.96</v>
      </c>
      <c r="K2087" s="513">
        <v>3131.0</v>
      </c>
      <c r="L2087" s="513">
        <v>75657.0</v>
      </c>
      <c r="M2087" s="513">
        <v>0.7001</v>
      </c>
      <c r="N2087" s="6">
        <v>1.2806</v>
      </c>
    </row>
    <row r="2088">
      <c r="A2088" s="512" t="s">
        <v>2041</v>
      </c>
      <c r="B2088" s="512" t="s">
        <v>1867</v>
      </c>
      <c r="C2088" s="512" t="s">
        <v>71</v>
      </c>
      <c r="D2088" s="512" t="s">
        <v>574</v>
      </c>
      <c r="E2088" s="513" t="s">
        <v>134</v>
      </c>
      <c r="F2088" s="513">
        <v>4472.0</v>
      </c>
      <c r="G2088" s="513">
        <v>926.0</v>
      </c>
      <c r="H2088" s="513">
        <v>20.71</v>
      </c>
      <c r="I2088" s="513">
        <v>2.88</v>
      </c>
      <c r="J2088" s="513">
        <v>2.28</v>
      </c>
      <c r="K2088" s="513">
        <v>2182.0</v>
      </c>
      <c r="L2088" s="513">
        <v>75657.0</v>
      </c>
      <c r="M2088" s="513">
        <v>0.4879</v>
      </c>
      <c r="N2088" s="6">
        <v>2.3564</v>
      </c>
    </row>
    <row r="2089">
      <c r="A2089" s="512" t="s">
        <v>2041</v>
      </c>
      <c r="B2089" s="512" t="s">
        <v>1867</v>
      </c>
      <c r="C2089" s="512" t="s">
        <v>71</v>
      </c>
      <c r="D2089" s="512" t="s">
        <v>574</v>
      </c>
      <c r="E2089" s="513" t="s">
        <v>42</v>
      </c>
      <c r="F2089" s="513">
        <v>4472.0</v>
      </c>
      <c r="G2089" s="513">
        <v>1057.0</v>
      </c>
      <c r="H2089" s="513">
        <v>23.64</v>
      </c>
      <c r="I2089" s="513">
        <v>1.82</v>
      </c>
      <c r="J2089" s="513">
        <v>1.86</v>
      </c>
      <c r="K2089" s="513">
        <v>1379.0</v>
      </c>
      <c r="L2089" s="513">
        <v>75657.0</v>
      </c>
      <c r="M2089" s="513">
        <v>0.3084</v>
      </c>
      <c r="N2089" s="6">
        <v>1.3046</v>
      </c>
    </row>
    <row r="2090">
      <c r="A2090" s="512" t="s">
        <v>2041</v>
      </c>
      <c r="B2090" s="512" t="s">
        <v>1867</v>
      </c>
      <c r="C2090" s="512" t="s">
        <v>71</v>
      </c>
      <c r="D2090" s="512" t="s">
        <v>574</v>
      </c>
      <c r="E2090" s="513" t="s">
        <v>375</v>
      </c>
      <c r="F2090" s="513">
        <v>4472.0</v>
      </c>
      <c r="G2090" s="513">
        <v>962.0</v>
      </c>
      <c r="H2090" s="513">
        <v>21.51</v>
      </c>
      <c r="I2090" s="513">
        <v>1.39</v>
      </c>
      <c r="J2090" s="513">
        <v>1.3</v>
      </c>
      <c r="K2090" s="513">
        <v>1054.0</v>
      </c>
      <c r="L2090" s="513">
        <v>75657.0</v>
      </c>
      <c r="M2090" s="513">
        <v>0.2357</v>
      </c>
      <c r="N2090" s="6">
        <v>1.0956</v>
      </c>
    </row>
    <row r="2091">
      <c r="A2091" s="512" t="s">
        <v>2041</v>
      </c>
      <c r="B2091" s="512" t="s">
        <v>1867</v>
      </c>
      <c r="C2091" s="512" t="s">
        <v>71</v>
      </c>
      <c r="D2091" s="512" t="s">
        <v>574</v>
      </c>
      <c r="E2091" s="513" t="s">
        <v>35</v>
      </c>
      <c r="F2091" s="513">
        <v>4472.0</v>
      </c>
      <c r="G2091" s="513">
        <v>598.0</v>
      </c>
      <c r="H2091" s="513">
        <v>13.37</v>
      </c>
      <c r="I2091" s="513">
        <v>0.82</v>
      </c>
      <c r="J2091" s="513">
        <v>0.94</v>
      </c>
      <c r="K2091" s="513">
        <v>621.0</v>
      </c>
      <c r="L2091" s="513">
        <v>75657.0</v>
      </c>
      <c r="M2091" s="513">
        <v>0.1389</v>
      </c>
      <c r="N2091" s="6">
        <v>1.0385</v>
      </c>
    </row>
    <row r="2092">
      <c r="A2092" s="512" t="s">
        <v>2041</v>
      </c>
      <c r="B2092" s="512" t="s">
        <v>1867</v>
      </c>
      <c r="C2092" s="512" t="s">
        <v>71</v>
      </c>
      <c r="D2092" s="512" t="s">
        <v>574</v>
      </c>
      <c r="E2092" s="513" t="s">
        <v>50</v>
      </c>
      <c r="F2092" s="513">
        <v>4472.0</v>
      </c>
      <c r="G2092" s="513">
        <v>442.0</v>
      </c>
      <c r="H2092" s="513">
        <v>9.88</v>
      </c>
      <c r="I2092" s="513">
        <v>0.68</v>
      </c>
      <c r="J2092" s="513">
        <v>0.69</v>
      </c>
      <c r="K2092" s="513">
        <v>513.0</v>
      </c>
      <c r="L2092" s="513">
        <v>75657.0</v>
      </c>
      <c r="M2092" s="513">
        <v>0.1147</v>
      </c>
      <c r="N2092" s="6">
        <v>1.1606</v>
      </c>
    </row>
    <row r="2093">
      <c r="A2093" s="512" t="s">
        <v>2041</v>
      </c>
      <c r="B2093" s="512" t="s">
        <v>1867</v>
      </c>
      <c r="C2093" s="512" t="s">
        <v>71</v>
      </c>
      <c r="D2093" s="512" t="s">
        <v>574</v>
      </c>
      <c r="E2093" s="513" t="s">
        <v>189</v>
      </c>
      <c r="F2093" s="513">
        <v>4472.0</v>
      </c>
      <c r="G2093" s="513">
        <v>352.0</v>
      </c>
      <c r="H2093" s="513">
        <v>7.87</v>
      </c>
      <c r="I2093" s="513">
        <v>0.47</v>
      </c>
      <c r="J2093" s="513">
        <v>0.38</v>
      </c>
      <c r="K2093" s="513">
        <v>356.0</v>
      </c>
      <c r="L2093" s="513">
        <v>75657.0</v>
      </c>
      <c r="M2093" s="513">
        <v>0.0796</v>
      </c>
      <c r="N2093" s="6">
        <v>1.0114</v>
      </c>
    </row>
    <row r="2094">
      <c r="A2094" s="512" t="s">
        <v>2041</v>
      </c>
      <c r="B2094" s="512" t="s">
        <v>1867</v>
      </c>
      <c r="C2094" s="512" t="s">
        <v>71</v>
      </c>
      <c r="D2094" s="512" t="s">
        <v>574</v>
      </c>
      <c r="E2094" s="513" t="s">
        <v>43</v>
      </c>
      <c r="F2094" s="513">
        <v>4472.0</v>
      </c>
      <c r="G2094" s="513">
        <v>36.0</v>
      </c>
      <c r="H2094" s="513">
        <v>0.81</v>
      </c>
      <c r="I2094" s="513">
        <v>0.05</v>
      </c>
      <c r="J2094" s="513">
        <v>0.07</v>
      </c>
      <c r="K2094" s="513">
        <v>36.0</v>
      </c>
      <c r="L2094" s="513">
        <v>75657.0</v>
      </c>
      <c r="M2094" s="513">
        <v>0.0081</v>
      </c>
      <c r="N2094" s="6">
        <v>1.0</v>
      </c>
    </row>
    <row r="2095">
      <c r="A2095" s="512" t="s">
        <v>2041</v>
      </c>
      <c r="B2095" s="512" t="s">
        <v>1867</v>
      </c>
      <c r="C2095" s="512" t="s">
        <v>71</v>
      </c>
      <c r="D2095" s="512" t="s">
        <v>574</v>
      </c>
      <c r="E2095" s="513" t="s">
        <v>367</v>
      </c>
      <c r="F2095" s="513">
        <v>4472.0</v>
      </c>
      <c r="G2095" s="513">
        <v>2.0</v>
      </c>
      <c r="H2095" s="513">
        <v>0.04</v>
      </c>
      <c r="I2095" s="513">
        <v>0.0</v>
      </c>
      <c r="J2095" s="513">
        <v>0.01</v>
      </c>
      <c r="K2095" s="513">
        <v>2.0</v>
      </c>
      <c r="L2095" s="513">
        <v>75657.0</v>
      </c>
      <c r="M2095" s="513">
        <v>4.0E-4</v>
      </c>
      <c r="N2095" s="6">
        <v>1.0</v>
      </c>
    </row>
    <row r="2096">
      <c r="A2096" s="512" t="s">
        <v>2041</v>
      </c>
      <c r="B2096" s="512" t="s">
        <v>1867</v>
      </c>
      <c r="C2096" s="512" t="s">
        <v>71</v>
      </c>
      <c r="D2096" s="512" t="s">
        <v>574</v>
      </c>
      <c r="E2096" s="513" t="s">
        <v>312</v>
      </c>
      <c r="F2096" s="513">
        <v>4472.0</v>
      </c>
      <c r="G2096" s="513">
        <v>1.0</v>
      </c>
      <c r="H2096" s="513">
        <v>0.02</v>
      </c>
      <c r="I2096" s="513">
        <v>0.0</v>
      </c>
      <c r="J2096" s="513">
        <v>0.0</v>
      </c>
      <c r="K2096" s="513">
        <v>1.0</v>
      </c>
      <c r="L2096" s="513">
        <v>75657.0</v>
      </c>
      <c r="M2096" s="513">
        <v>2.0E-4</v>
      </c>
      <c r="N2096" s="6">
        <v>1.0</v>
      </c>
    </row>
    <row r="2097">
      <c r="A2097" s="512" t="s">
        <v>2041</v>
      </c>
      <c r="B2097" s="512" t="s">
        <v>1867</v>
      </c>
      <c r="C2097" s="512" t="s">
        <v>70</v>
      </c>
      <c r="D2097" s="512" t="s">
        <v>574</v>
      </c>
      <c r="E2097" s="513" t="s">
        <v>379</v>
      </c>
      <c r="F2097" s="513">
        <v>4481.0</v>
      </c>
      <c r="G2097" s="513">
        <v>4473.0</v>
      </c>
      <c r="H2097" s="513">
        <v>99.82</v>
      </c>
      <c r="I2097" s="513">
        <v>57.92</v>
      </c>
      <c r="J2097" s="513">
        <v>53.87</v>
      </c>
      <c r="K2097" s="513">
        <v>68692.0</v>
      </c>
      <c r="L2097" s="513">
        <v>118604.0</v>
      </c>
      <c r="M2097" s="513">
        <v>15.3296</v>
      </c>
      <c r="N2097" s="6">
        <v>15.357</v>
      </c>
    </row>
    <row r="2098">
      <c r="A2098" s="512" t="s">
        <v>2041</v>
      </c>
      <c r="B2098" s="512" t="s">
        <v>1867</v>
      </c>
      <c r="C2098" s="512" t="s">
        <v>70</v>
      </c>
      <c r="D2098" s="512" t="s">
        <v>574</v>
      </c>
      <c r="E2098" s="513" t="s">
        <v>380</v>
      </c>
      <c r="F2098" s="513">
        <v>4481.0</v>
      </c>
      <c r="G2098" s="513">
        <v>3479.0</v>
      </c>
      <c r="H2098" s="513">
        <v>77.64</v>
      </c>
      <c r="I2098" s="513">
        <v>14.74</v>
      </c>
      <c r="J2098" s="513">
        <v>18.19</v>
      </c>
      <c r="K2098" s="513">
        <v>17485.0</v>
      </c>
      <c r="L2098" s="513">
        <v>118604.0</v>
      </c>
      <c r="M2098" s="513">
        <v>3.902</v>
      </c>
      <c r="N2098" s="6">
        <v>5.0259</v>
      </c>
    </row>
    <row r="2099">
      <c r="A2099" s="512" t="s">
        <v>2041</v>
      </c>
      <c r="B2099" s="512" t="s">
        <v>1867</v>
      </c>
      <c r="C2099" s="512" t="s">
        <v>70</v>
      </c>
      <c r="D2099" s="512" t="s">
        <v>574</v>
      </c>
      <c r="E2099" s="513" t="s">
        <v>372</v>
      </c>
      <c r="F2099" s="513">
        <v>4481.0</v>
      </c>
      <c r="G2099" s="513">
        <v>2848.0</v>
      </c>
      <c r="H2099" s="513">
        <v>63.56</v>
      </c>
      <c r="I2099" s="513">
        <v>6.7</v>
      </c>
      <c r="J2099" s="513">
        <v>6.63</v>
      </c>
      <c r="K2099" s="513">
        <v>7950.0</v>
      </c>
      <c r="L2099" s="513">
        <v>118604.0</v>
      </c>
      <c r="M2099" s="513">
        <v>1.7742</v>
      </c>
      <c r="N2099" s="6">
        <v>2.7914</v>
      </c>
    </row>
    <row r="2100">
      <c r="A2100" s="512" t="s">
        <v>2041</v>
      </c>
      <c r="B2100" s="512" t="s">
        <v>1867</v>
      </c>
      <c r="C2100" s="512" t="s">
        <v>70</v>
      </c>
      <c r="D2100" s="512" t="s">
        <v>574</v>
      </c>
      <c r="E2100" s="513" t="s">
        <v>377</v>
      </c>
      <c r="F2100" s="513">
        <v>4481.0</v>
      </c>
      <c r="G2100" s="513">
        <v>3190.0</v>
      </c>
      <c r="H2100" s="513">
        <v>71.19</v>
      </c>
      <c r="I2100" s="513">
        <v>6.49</v>
      </c>
      <c r="J2100" s="513">
        <v>6.15</v>
      </c>
      <c r="K2100" s="513">
        <v>7699.0</v>
      </c>
      <c r="L2100" s="513">
        <v>118604.0</v>
      </c>
      <c r="M2100" s="513">
        <v>1.7181</v>
      </c>
      <c r="N2100" s="6">
        <v>2.4135</v>
      </c>
    </row>
    <row r="2101">
      <c r="A2101" s="512" t="s">
        <v>2041</v>
      </c>
      <c r="B2101" s="512" t="s">
        <v>1867</v>
      </c>
      <c r="C2101" s="512" t="s">
        <v>70</v>
      </c>
      <c r="D2101" s="512" t="s">
        <v>574</v>
      </c>
      <c r="E2101" s="513" t="s">
        <v>49</v>
      </c>
      <c r="F2101" s="513">
        <v>4481.0</v>
      </c>
      <c r="G2101" s="513">
        <v>2366.0</v>
      </c>
      <c r="H2101" s="513">
        <v>52.8</v>
      </c>
      <c r="I2101" s="513">
        <v>3.82</v>
      </c>
      <c r="J2101" s="513">
        <v>3.65</v>
      </c>
      <c r="K2101" s="513">
        <v>4536.0</v>
      </c>
      <c r="L2101" s="513">
        <v>118604.0</v>
      </c>
      <c r="M2101" s="513">
        <v>1.0123</v>
      </c>
      <c r="N2101" s="6">
        <v>1.9172</v>
      </c>
    </row>
    <row r="2102">
      <c r="A2102" s="512" t="s">
        <v>2041</v>
      </c>
      <c r="B2102" s="512" t="s">
        <v>1867</v>
      </c>
      <c r="C2102" s="512" t="s">
        <v>70</v>
      </c>
      <c r="D2102" s="512" t="s">
        <v>574</v>
      </c>
      <c r="E2102" s="513" t="s">
        <v>374</v>
      </c>
      <c r="F2102" s="513">
        <v>4481.0</v>
      </c>
      <c r="G2102" s="513">
        <v>1576.0</v>
      </c>
      <c r="H2102" s="513">
        <v>35.17</v>
      </c>
      <c r="I2102" s="513">
        <v>3.44</v>
      </c>
      <c r="J2102" s="513">
        <v>3.96</v>
      </c>
      <c r="K2102" s="513">
        <v>4081.0</v>
      </c>
      <c r="L2102" s="513">
        <v>118604.0</v>
      </c>
      <c r="M2102" s="513">
        <v>0.9107</v>
      </c>
      <c r="N2102" s="6">
        <v>2.5895</v>
      </c>
    </row>
    <row r="2103">
      <c r="A2103" s="512" t="s">
        <v>2041</v>
      </c>
      <c r="B2103" s="512" t="s">
        <v>1867</v>
      </c>
      <c r="C2103" s="512" t="s">
        <v>70</v>
      </c>
      <c r="D2103" s="512" t="s">
        <v>574</v>
      </c>
      <c r="E2103" s="513" t="s">
        <v>44</v>
      </c>
      <c r="F2103" s="513">
        <v>4481.0</v>
      </c>
      <c r="G2103" s="513">
        <v>2510.0</v>
      </c>
      <c r="H2103" s="513">
        <v>56.01</v>
      </c>
      <c r="I2103" s="513">
        <v>2.74</v>
      </c>
      <c r="J2103" s="513">
        <v>3.05</v>
      </c>
      <c r="K2103" s="513">
        <v>3247.0</v>
      </c>
      <c r="L2103" s="513">
        <v>118604.0</v>
      </c>
      <c r="M2103" s="513">
        <v>0.7246</v>
      </c>
      <c r="N2103" s="6">
        <v>1.2936</v>
      </c>
    </row>
    <row r="2104">
      <c r="A2104" s="512" t="s">
        <v>2041</v>
      </c>
      <c r="B2104" s="512" t="s">
        <v>1867</v>
      </c>
      <c r="C2104" s="512" t="s">
        <v>70</v>
      </c>
      <c r="D2104" s="512" t="s">
        <v>574</v>
      </c>
      <c r="E2104" s="513" t="s">
        <v>375</v>
      </c>
      <c r="F2104" s="513">
        <v>4481.0</v>
      </c>
      <c r="G2104" s="513">
        <v>1638.0</v>
      </c>
      <c r="H2104" s="513">
        <v>36.55</v>
      </c>
      <c r="I2104" s="513">
        <v>1.57</v>
      </c>
      <c r="J2104" s="513">
        <v>1.82</v>
      </c>
      <c r="K2104" s="513">
        <v>1860.0</v>
      </c>
      <c r="L2104" s="513">
        <v>118604.0</v>
      </c>
      <c r="M2104" s="513">
        <v>0.4151</v>
      </c>
      <c r="N2104" s="6">
        <v>1.1355</v>
      </c>
    </row>
    <row r="2105">
      <c r="A2105" s="512" t="s">
        <v>2041</v>
      </c>
      <c r="B2105" s="512" t="s">
        <v>1867</v>
      </c>
      <c r="C2105" s="512" t="s">
        <v>70</v>
      </c>
      <c r="D2105" s="512" t="s">
        <v>574</v>
      </c>
      <c r="E2105" s="513" t="s">
        <v>134</v>
      </c>
      <c r="F2105" s="513">
        <v>4481.0</v>
      </c>
      <c r="G2105" s="513">
        <v>634.0</v>
      </c>
      <c r="H2105" s="513">
        <v>14.15</v>
      </c>
      <c r="I2105" s="513">
        <v>0.9</v>
      </c>
      <c r="J2105" s="513">
        <v>0.78</v>
      </c>
      <c r="K2105" s="513">
        <v>1070.0</v>
      </c>
      <c r="L2105" s="513">
        <v>118604.0</v>
      </c>
      <c r="M2105" s="513">
        <v>0.2388</v>
      </c>
      <c r="N2105" s="6">
        <v>1.6877</v>
      </c>
    </row>
    <row r="2106">
      <c r="A2106" s="512" t="s">
        <v>2041</v>
      </c>
      <c r="B2106" s="512" t="s">
        <v>1867</v>
      </c>
      <c r="C2106" s="512" t="s">
        <v>70</v>
      </c>
      <c r="D2106" s="512" t="s">
        <v>574</v>
      </c>
      <c r="E2106" s="513" t="s">
        <v>35</v>
      </c>
      <c r="F2106" s="513">
        <v>4481.0</v>
      </c>
      <c r="G2106" s="513">
        <v>767.0</v>
      </c>
      <c r="H2106" s="513">
        <v>17.12</v>
      </c>
      <c r="I2106" s="513">
        <v>0.66</v>
      </c>
      <c r="J2106" s="513">
        <v>0.79</v>
      </c>
      <c r="K2106" s="513">
        <v>779.0</v>
      </c>
      <c r="L2106" s="513">
        <v>118604.0</v>
      </c>
      <c r="M2106" s="513">
        <v>0.1738</v>
      </c>
      <c r="N2106" s="6">
        <v>1.0156</v>
      </c>
    </row>
    <row r="2107">
      <c r="A2107" s="512" t="s">
        <v>2041</v>
      </c>
      <c r="B2107" s="512" t="s">
        <v>1867</v>
      </c>
      <c r="C2107" s="512" t="s">
        <v>70</v>
      </c>
      <c r="D2107" s="512" t="s">
        <v>574</v>
      </c>
      <c r="E2107" s="513" t="s">
        <v>189</v>
      </c>
      <c r="F2107" s="513">
        <v>4481.0</v>
      </c>
      <c r="G2107" s="513">
        <v>692.0</v>
      </c>
      <c r="H2107" s="513">
        <v>15.44</v>
      </c>
      <c r="I2107" s="513">
        <v>0.59</v>
      </c>
      <c r="J2107" s="513">
        <v>0.7</v>
      </c>
      <c r="K2107" s="513">
        <v>699.0</v>
      </c>
      <c r="L2107" s="513">
        <v>118604.0</v>
      </c>
      <c r="M2107" s="513">
        <v>0.156</v>
      </c>
      <c r="N2107" s="6">
        <v>1.0101</v>
      </c>
    </row>
    <row r="2108">
      <c r="A2108" s="512" t="s">
        <v>2041</v>
      </c>
      <c r="B2108" s="512" t="s">
        <v>1867</v>
      </c>
      <c r="C2108" s="512" t="s">
        <v>70</v>
      </c>
      <c r="D2108" s="512" t="s">
        <v>574</v>
      </c>
      <c r="E2108" s="513" t="s">
        <v>42</v>
      </c>
      <c r="F2108" s="513">
        <v>4481.0</v>
      </c>
      <c r="G2108" s="513">
        <v>224.0</v>
      </c>
      <c r="H2108" s="513">
        <v>5.0</v>
      </c>
      <c r="I2108" s="513">
        <v>0.2</v>
      </c>
      <c r="J2108" s="513">
        <v>0.22</v>
      </c>
      <c r="K2108" s="513">
        <v>237.0</v>
      </c>
      <c r="L2108" s="513">
        <v>118604.0</v>
      </c>
      <c r="M2108" s="513">
        <v>0.0529</v>
      </c>
      <c r="N2108" s="6">
        <v>1.058</v>
      </c>
    </row>
    <row r="2109">
      <c r="A2109" s="512" t="s">
        <v>2041</v>
      </c>
      <c r="B2109" s="512" t="s">
        <v>1867</v>
      </c>
      <c r="C2109" s="512" t="s">
        <v>70</v>
      </c>
      <c r="D2109" s="512" t="s">
        <v>574</v>
      </c>
      <c r="E2109" s="513" t="s">
        <v>50</v>
      </c>
      <c r="F2109" s="513">
        <v>4481.0</v>
      </c>
      <c r="G2109" s="513">
        <v>204.0</v>
      </c>
      <c r="H2109" s="513">
        <v>4.55</v>
      </c>
      <c r="I2109" s="513">
        <v>0.19</v>
      </c>
      <c r="J2109" s="513">
        <v>0.16</v>
      </c>
      <c r="K2109" s="513">
        <v>231.0</v>
      </c>
      <c r="L2109" s="513">
        <v>118604.0</v>
      </c>
      <c r="M2109" s="513">
        <v>0.0516</v>
      </c>
      <c r="N2109" s="6">
        <v>1.1324</v>
      </c>
    </row>
    <row r="2110">
      <c r="A2110" s="512" t="s">
        <v>2041</v>
      </c>
      <c r="B2110" s="512" t="s">
        <v>1867</v>
      </c>
      <c r="C2110" s="512" t="s">
        <v>70</v>
      </c>
      <c r="D2110" s="512" t="s">
        <v>574</v>
      </c>
      <c r="E2110" s="513" t="s">
        <v>43</v>
      </c>
      <c r="F2110" s="513">
        <v>4481.0</v>
      </c>
      <c r="G2110" s="513">
        <v>28.0</v>
      </c>
      <c r="H2110" s="513">
        <v>0.62</v>
      </c>
      <c r="I2110" s="513">
        <v>0.02</v>
      </c>
      <c r="J2110" s="513">
        <v>0.03</v>
      </c>
      <c r="K2110" s="513">
        <v>29.0</v>
      </c>
      <c r="L2110" s="513">
        <v>118604.0</v>
      </c>
      <c r="M2110" s="513">
        <v>0.0065</v>
      </c>
      <c r="N2110" s="6">
        <v>1.0357</v>
      </c>
    </row>
    <row r="2111">
      <c r="A2111" s="512" t="s">
        <v>2041</v>
      </c>
      <c r="B2111" s="512" t="s">
        <v>1867</v>
      </c>
      <c r="C2111" s="512" t="s">
        <v>70</v>
      </c>
      <c r="D2111" s="512" t="s">
        <v>574</v>
      </c>
      <c r="E2111" s="513" t="s">
        <v>367</v>
      </c>
      <c r="F2111" s="513">
        <v>4481.0</v>
      </c>
      <c r="G2111" s="513">
        <v>7.0</v>
      </c>
      <c r="H2111" s="513">
        <v>0.16</v>
      </c>
      <c r="I2111" s="513">
        <v>0.01</v>
      </c>
      <c r="J2111" s="513">
        <v>0.01</v>
      </c>
      <c r="K2111" s="513">
        <v>7.0</v>
      </c>
      <c r="L2111" s="513">
        <v>118604.0</v>
      </c>
      <c r="M2111" s="513">
        <v>0.0016</v>
      </c>
      <c r="N2111" s="6">
        <v>1.0</v>
      </c>
    </row>
    <row r="2112">
      <c r="A2112" s="512" t="s">
        <v>2041</v>
      </c>
      <c r="B2112" s="512" t="s">
        <v>1867</v>
      </c>
      <c r="C2112" s="512" t="s">
        <v>70</v>
      </c>
      <c r="D2112" s="512" t="s">
        <v>574</v>
      </c>
      <c r="E2112" s="513" t="s">
        <v>32</v>
      </c>
      <c r="F2112" s="513">
        <v>4481.0</v>
      </c>
      <c r="G2112" s="513">
        <v>2.0</v>
      </c>
      <c r="H2112" s="513">
        <v>0.04</v>
      </c>
      <c r="I2112" s="513">
        <v>0.0</v>
      </c>
      <c r="J2112" s="513">
        <v>0.0</v>
      </c>
      <c r="K2112" s="513">
        <v>2.0</v>
      </c>
      <c r="L2112" s="513">
        <v>118604.0</v>
      </c>
      <c r="M2112" s="513">
        <v>4.0E-4</v>
      </c>
      <c r="N2112" s="6">
        <v>1.0</v>
      </c>
    </row>
    <row r="2113">
      <c r="A2113" s="512" t="s">
        <v>2041</v>
      </c>
      <c r="B2113" s="512" t="s">
        <v>1867</v>
      </c>
      <c r="C2113" s="512" t="s">
        <v>74</v>
      </c>
      <c r="D2113" s="512" t="s">
        <v>574</v>
      </c>
      <c r="E2113" s="513" t="s">
        <v>379</v>
      </c>
      <c r="F2113" s="513">
        <v>4475.0</v>
      </c>
      <c r="G2113" s="513">
        <v>4453.0</v>
      </c>
      <c r="H2113" s="513">
        <v>99.51</v>
      </c>
      <c r="I2113" s="513">
        <v>44.54</v>
      </c>
      <c r="J2113" s="513">
        <v>47.83</v>
      </c>
      <c r="K2113" s="513">
        <v>28442.0</v>
      </c>
      <c r="L2113" s="513">
        <v>63853.0</v>
      </c>
      <c r="M2113" s="513">
        <v>6.3558</v>
      </c>
      <c r="N2113" s="6">
        <v>6.3872</v>
      </c>
    </row>
    <row r="2114">
      <c r="A2114" s="512" t="s">
        <v>2041</v>
      </c>
      <c r="B2114" s="512" t="s">
        <v>1867</v>
      </c>
      <c r="C2114" s="512" t="s">
        <v>74</v>
      </c>
      <c r="D2114" s="512" t="s">
        <v>574</v>
      </c>
      <c r="E2114" s="513" t="s">
        <v>372</v>
      </c>
      <c r="F2114" s="513">
        <v>4475.0</v>
      </c>
      <c r="G2114" s="513">
        <v>2861.0</v>
      </c>
      <c r="H2114" s="513">
        <v>63.93</v>
      </c>
      <c r="I2114" s="513">
        <v>9.83</v>
      </c>
      <c r="J2114" s="513">
        <v>10.55</v>
      </c>
      <c r="K2114" s="513">
        <v>6278.0</v>
      </c>
      <c r="L2114" s="513">
        <v>63853.0</v>
      </c>
      <c r="M2114" s="513">
        <v>1.4029</v>
      </c>
      <c r="N2114" s="6">
        <v>2.1943</v>
      </c>
    </row>
    <row r="2115">
      <c r="A2115" s="512" t="s">
        <v>2041</v>
      </c>
      <c r="B2115" s="512" t="s">
        <v>1867</v>
      </c>
      <c r="C2115" s="512" t="s">
        <v>74</v>
      </c>
      <c r="D2115" s="512" t="s">
        <v>574</v>
      </c>
      <c r="E2115" s="513" t="s">
        <v>134</v>
      </c>
      <c r="F2115" s="513">
        <v>4475.0</v>
      </c>
      <c r="G2115" s="513">
        <v>1352.0</v>
      </c>
      <c r="H2115" s="513">
        <v>30.21</v>
      </c>
      <c r="I2115" s="513">
        <v>7.51</v>
      </c>
      <c r="J2115" s="513">
        <v>5.85</v>
      </c>
      <c r="K2115" s="513">
        <v>4794.0</v>
      </c>
      <c r="L2115" s="513">
        <v>63853.0</v>
      </c>
      <c r="M2115" s="513">
        <v>1.0713</v>
      </c>
      <c r="N2115" s="6">
        <v>3.5459</v>
      </c>
    </row>
    <row r="2116">
      <c r="A2116" s="512" t="s">
        <v>2041</v>
      </c>
      <c r="B2116" s="512" t="s">
        <v>1867</v>
      </c>
      <c r="C2116" s="512" t="s">
        <v>74</v>
      </c>
      <c r="D2116" s="512" t="s">
        <v>574</v>
      </c>
      <c r="E2116" s="513" t="s">
        <v>377</v>
      </c>
      <c r="F2116" s="513">
        <v>4475.0</v>
      </c>
      <c r="G2116" s="513">
        <v>1808.0</v>
      </c>
      <c r="H2116" s="513">
        <v>40.4</v>
      </c>
      <c r="I2116" s="513">
        <v>6.53</v>
      </c>
      <c r="J2116" s="513">
        <v>4.85</v>
      </c>
      <c r="K2116" s="513">
        <v>4172.0</v>
      </c>
      <c r="L2116" s="513">
        <v>63853.0</v>
      </c>
      <c r="M2116" s="513">
        <v>0.9323</v>
      </c>
      <c r="N2116" s="6">
        <v>2.3075</v>
      </c>
    </row>
    <row r="2117">
      <c r="A2117" s="512" t="s">
        <v>2041</v>
      </c>
      <c r="B2117" s="512" t="s">
        <v>1867</v>
      </c>
      <c r="C2117" s="512" t="s">
        <v>74</v>
      </c>
      <c r="D2117" s="512" t="s">
        <v>574</v>
      </c>
      <c r="E2117" s="513" t="s">
        <v>380</v>
      </c>
      <c r="F2117" s="513">
        <v>4475.0</v>
      </c>
      <c r="G2117" s="513">
        <v>1228.0</v>
      </c>
      <c r="H2117" s="513">
        <v>27.44</v>
      </c>
      <c r="I2117" s="513">
        <v>6.33</v>
      </c>
      <c r="J2117" s="513">
        <v>6.5</v>
      </c>
      <c r="K2117" s="513">
        <v>4044.0</v>
      </c>
      <c r="L2117" s="513">
        <v>63853.0</v>
      </c>
      <c r="M2117" s="513">
        <v>0.9037</v>
      </c>
      <c r="N2117" s="6">
        <v>3.2932</v>
      </c>
    </row>
    <row r="2118">
      <c r="A2118" s="512" t="s">
        <v>2041</v>
      </c>
      <c r="B2118" s="512" t="s">
        <v>1867</v>
      </c>
      <c r="C2118" s="512" t="s">
        <v>74</v>
      </c>
      <c r="D2118" s="512" t="s">
        <v>574</v>
      </c>
      <c r="E2118" s="513" t="s">
        <v>42</v>
      </c>
      <c r="F2118" s="513">
        <v>4475.0</v>
      </c>
      <c r="G2118" s="513">
        <v>1386.0</v>
      </c>
      <c r="H2118" s="513">
        <v>30.97</v>
      </c>
      <c r="I2118" s="513">
        <v>4.65</v>
      </c>
      <c r="J2118" s="513">
        <v>4.47</v>
      </c>
      <c r="K2118" s="513">
        <v>2972.0</v>
      </c>
      <c r="L2118" s="513">
        <v>63853.0</v>
      </c>
      <c r="M2118" s="513">
        <v>0.6641</v>
      </c>
      <c r="N2118" s="6">
        <v>2.1443</v>
      </c>
    </row>
    <row r="2119">
      <c r="A2119" s="512" t="s">
        <v>2041</v>
      </c>
      <c r="B2119" s="512" t="s">
        <v>1867</v>
      </c>
      <c r="C2119" s="512" t="s">
        <v>74</v>
      </c>
      <c r="D2119" s="512" t="s">
        <v>574</v>
      </c>
      <c r="E2119" s="513" t="s">
        <v>44</v>
      </c>
      <c r="F2119" s="513">
        <v>4475.0</v>
      </c>
      <c r="G2119" s="513">
        <v>2245.0</v>
      </c>
      <c r="H2119" s="513">
        <v>50.17</v>
      </c>
      <c r="I2119" s="513">
        <v>4.5</v>
      </c>
      <c r="J2119" s="513">
        <v>5.64</v>
      </c>
      <c r="K2119" s="513">
        <v>2874.0</v>
      </c>
      <c r="L2119" s="513">
        <v>63853.0</v>
      </c>
      <c r="M2119" s="513">
        <v>0.6422</v>
      </c>
      <c r="N2119" s="6">
        <v>1.2802</v>
      </c>
    </row>
    <row r="2120">
      <c r="A2120" s="512" t="s">
        <v>2041</v>
      </c>
      <c r="B2120" s="512" t="s">
        <v>1867</v>
      </c>
      <c r="C2120" s="512" t="s">
        <v>74</v>
      </c>
      <c r="D2120" s="512" t="s">
        <v>574</v>
      </c>
      <c r="E2120" s="513" t="s">
        <v>50</v>
      </c>
      <c r="F2120" s="513">
        <v>4475.0</v>
      </c>
      <c r="G2120" s="513">
        <v>1735.0</v>
      </c>
      <c r="H2120" s="513">
        <v>38.77</v>
      </c>
      <c r="I2120" s="513">
        <v>4.24</v>
      </c>
      <c r="J2120" s="513">
        <v>4.46</v>
      </c>
      <c r="K2120" s="513">
        <v>2709.0</v>
      </c>
      <c r="L2120" s="513">
        <v>63853.0</v>
      </c>
      <c r="M2120" s="513">
        <v>0.6054</v>
      </c>
      <c r="N2120" s="6">
        <v>1.5614</v>
      </c>
    </row>
    <row r="2121">
      <c r="A2121" s="512" t="s">
        <v>2041</v>
      </c>
      <c r="B2121" s="512" t="s">
        <v>1867</v>
      </c>
      <c r="C2121" s="512" t="s">
        <v>74</v>
      </c>
      <c r="D2121" s="512" t="s">
        <v>574</v>
      </c>
      <c r="E2121" s="513" t="s">
        <v>367</v>
      </c>
      <c r="F2121" s="513">
        <v>4475.0</v>
      </c>
      <c r="G2121" s="513">
        <v>653.0</v>
      </c>
      <c r="H2121" s="513">
        <v>14.59</v>
      </c>
      <c r="I2121" s="513">
        <v>1.81</v>
      </c>
      <c r="J2121" s="513">
        <v>1.46</v>
      </c>
      <c r="K2121" s="513">
        <v>1155.0</v>
      </c>
      <c r="L2121" s="513">
        <v>63853.0</v>
      </c>
      <c r="M2121" s="513">
        <v>0.2581</v>
      </c>
      <c r="N2121" s="6">
        <v>1.7688</v>
      </c>
    </row>
    <row r="2122">
      <c r="A2122" s="512" t="s">
        <v>2041</v>
      </c>
      <c r="B2122" s="512" t="s">
        <v>1867</v>
      </c>
      <c r="C2122" s="512" t="s">
        <v>74</v>
      </c>
      <c r="D2122" s="512" t="s">
        <v>574</v>
      </c>
      <c r="E2122" s="513" t="s">
        <v>375</v>
      </c>
      <c r="F2122" s="513">
        <v>4475.0</v>
      </c>
      <c r="G2122" s="513">
        <v>962.0</v>
      </c>
      <c r="H2122" s="513">
        <v>21.5</v>
      </c>
      <c r="I2122" s="513">
        <v>1.65</v>
      </c>
      <c r="J2122" s="513">
        <v>1.49</v>
      </c>
      <c r="K2122" s="513">
        <v>1054.0</v>
      </c>
      <c r="L2122" s="513">
        <v>63853.0</v>
      </c>
      <c r="M2122" s="513">
        <v>0.2355</v>
      </c>
      <c r="N2122" s="6">
        <v>1.0956</v>
      </c>
    </row>
    <row r="2123">
      <c r="A2123" s="512" t="s">
        <v>2041</v>
      </c>
      <c r="B2123" s="512" t="s">
        <v>1867</v>
      </c>
      <c r="C2123" s="512" t="s">
        <v>74</v>
      </c>
      <c r="D2123" s="512" t="s">
        <v>574</v>
      </c>
      <c r="E2123" s="513" t="s">
        <v>310</v>
      </c>
      <c r="F2123" s="513">
        <v>4475.0</v>
      </c>
      <c r="G2123" s="513">
        <v>832.0</v>
      </c>
      <c r="H2123" s="513">
        <v>18.59</v>
      </c>
      <c r="I2123" s="513">
        <v>1.56</v>
      </c>
      <c r="J2123" s="513">
        <v>1.36</v>
      </c>
      <c r="K2123" s="513">
        <v>995.0</v>
      </c>
      <c r="L2123" s="513">
        <v>63853.0</v>
      </c>
      <c r="M2123" s="513">
        <v>0.2223</v>
      </c>
      <c r="N2123" s="6">
        <v>1.1959</v>
      </c>
    </row>
    <row r="2124">
      <c r="A2124" s="512" t="s">
        <v>2041</v>
      </c>
      <c r="B2124" s="512" t="s">
        <v>1867</v>
      </c>
      <c r="C2124" s="512" t="s">
        <v>74</v>
      </c>
      <c r="D2124" s="512" t="s">
        <v>574</v>
      </c>
      <c r="E2124" s="513" t="s">
        <v>312</v>
      </c>
      <c r="F2124" s="513">
        <v>4475.0</v>
      </c>
      <c r="G2124" s="513">
        <v>778.0</v>
      </c>
      <c r="H2124" s="513">
        <v>17.39</v>
      </c>
      <c r="I2124" s="513">
        <v>1.46</v>
      </c>
      <c r="J2124" s="513">
        <v>1.29</v>
      </c>
      <c r="K2124" s="513">
        <v>931.0</v>
      </c>
      <c r="L2124" s="513">
        <v>63853.0</v>
      </c>
      <c r="M2124" s="513">
        <v>0.208</v>
      </c>
      <c r="N2124" s="6">
        <v>1.1967</v>
      </c>
    </row>
    <row r="2125">
      <c r="A2125" s="512" t="s">
        <v>2041</v>
      </c>
      <c r="B2125" s="512" t="s">
        <v>1867</v>
      </c>
      <c r="C2125" s="512" t="s">
        <v>74</v>
      </c>
      <c r="D2125" s="512" t="s">
        <v>574</v>
      </c>
      <c r="E2125" s="513" t="s">
        <v>32</v>
      </c>
      <c r="F2125" s="513">
        <v>4475.0</v>
      </c>
      <c r="G2125" s="513">
        <v>778.0</v>
      </c>
      <c r="H2125" s="513">
        <v>17.39</v>
      </c>
      <c r="I2125" s="513">
        <v>1.4</v>
      </c>
      <c r="J2125" s="513">
        <v>1.34</v>
      </c>
      <c r="K2125" s="513">
        <v>895.0</v>
      </c>
      <c r="L2125" s="513">
        <v>63853.0</v>
      </c>
      <c r="M2125" s="513">
        <v>0.2</v>
      </c>
      <c r="N2125" s="6">
        <v>1.1504</v>
      </c>
    </row>
    <row r="2126">
      <c r="A2126" s="512" t="s">
        <v>2041</v>
      </c>
      <c r="B2126" s="512" t="s">
        <v>1867</v>
      </c>
      <c r="C2126" s="512" t="s">
        <v>74</v>
      </c>
      <c r="D2126" s="512" t="s">
        <v>574</v>
      </c>
      <c r="E2126" s="513" t="s">
        <v>374</v>
      </c>
      <c r="F2126" s="513">
        <v>4475.0</v>
      </c>
      <c r="G2126" s="513">
        <v>272.0</v>
      </c>
      <c r="H2126" s="513">
        <v>6.08</v>
      </c>
      <c r="I2126" s="513">
        <v>1.05</v>
      </c>
      <c r="J2126" s="513">
        <v>0.56</v>
      </c>
      <c r="K2126" s="513">
        <v>672.0</v>
      </c>
      <c r="L2126" s="513">
        <v>63853.0</v>
      </c>
      <c r="M2126" s="513">
        <v>0.1502</v>
      </c>
      <c r="N2126" s="6">
        <v>2.4706</v>
      </c>
    </row>
    <row r="2127">
      <c r="A2127" s="512" t="s">
        <v>2041</v>
      </c>
      <c r="B2127" s="512" t="s">
        <v>1867</v>
      </c>
      <c r="C2127" s="512" t="s">
        <v>74</v>
      </c>
      <c r="D2127" s="512" t="s">
        <v>574</v>
      </c>
      <c r="E2127" s="513" t="s">
        <v>40</v>
      </c>
      <c r="F2127" s="513">
        <v>4475.0</v>
      </c>
      <c r="G2127" s="513">
        <v>480.0</v>
      </c>
      <c r="H2127" s="513">
        <v>10.73</v>
      </c>
      <c r="I2127" s="513">
        <v>1.02</v>
      </c>
      <c r="J2127" s="513">
        <v>0.93</v>
      </c>
      <c r="K2127" s="513">
        <v>654.0</v>
      </c>
      <c r="L2127" s="513">
        <v>63853.0</v>
      </c>
      <c r="M2127" s="513">
        <v>0.1461</v>
      </c>
      <c r="N2127" s="6">
        <v>1.3625</v>
      </c>
    </row>
    <row r="2128">
      <c r="A2128" s="512" t="s">
        <v>2041</v>
      </c>
      <c r="B2128" s="512" t="s">
        <v>1867</v>
      </c>
      <c r="C2128" s="512" t="s">
        <v>74</v>
      </c>
      <c r="D2128" s="512" t="s">
        <v>574</v>
      </c>
      <c r="E2128" s="513" t="s">
        <v>43</v>
      </c>
      <c r="F2128" s="513">
        <v>4475.0</v>
      </c>
      <c r="G2128" s="513">
        <v>363.0</v>
      </c>
      <c r="H2128" s="513">
        <v>8.11</v>
      </c>
      <c r="I2128" s="513">
        <v>0.63</v>
      </c>
      <c r="J2128" s="513">
        <v>0.44</v>
      </c>
      <c r="K2128" s="513">
        <v>401.0</v>
      </c>
      <c r="L2128" s="513">
        <v>63853.0</v>
      </c>
      <c r="M2128" s="513">
        <v>0.0896</v>
      </c>
      <c r="N2128" s="6">
        <v>1.1047</v>
      </c>
    </row>
    <row r="2129">
      <c r="A2129" s="512" t="s">
        <v>2041</v>
      </c>
      <c r="B2129" s="512" t="s">
        <v>1867</v>
      </c>
      <c r="C2129" s="512" t="s">
        <v>74</v>
      </c>
      <c r="D2129" s="512" t="s">
        <v>574</v>
      </c>
      <c r="E2129" s="513" t="s">
        <v>189</v>
      </c>
      <c r="F2129" s="513">
        <v>4475.0</v>
      </c>
      <c r="G2129" s="513">
        <v>352.0</v>
      </c>
      <c r="H2129" s="513">
        <v>7.87</v>
      </c>
      <c r="I2129" s="513">
        <v>0.56</v>
      </c>
      <c r="J2129" s="513">
        <v>0.44</v>
      </c>
      <c r="K2129" s="513">
        <v>356.0</v>
      </c>
      <c r="L2129" s="513">
        <v>63853.0</v>
      </c>
      <c r="M2129" s="513">
        <v>0.0796</v>
      </c>
      <c r="N2129" s="6">
        <v>1.0114</v>
      </c>
    </row>
    <row r="2130">
      <c r="A2130" s="512" t="s">
        <v>2041</v>
      </c>
      <c r="B2130" s="512" t="s">
        <v>1867</v>
      </c>
      <c r="C2130" s="512" t="s">
        <v>74</v>
      </c>
      <c r="D2130" s="512" t="s">
        <v>574</v>
      </c>
      <c r="E2130" s="513" t="s">
        <v>311</v>
      </c>
      <c r="F2130" s="513">
        <v>4475.0</v>
      </c>
      <c r="G2130" s="513">
        <v>274.0</v>
      </c>
      <c r="H2130" s="513">
        <v>6.12</v>
      </c>
      <c r="I2130" s="513">
        <v>0.44</v>
      </c>
      <c r="J2130" s="513">
        <v>0.38</v>
      </c>
      <c r="K2130" s="513">
        <v>280.0</v>
      </c>
      <c r="L2130" s="513">
        <v>63853.0</v>
      </c>
      <c r="M2130" s="513">
        <v>0.0626</v>
      </c>
      <c r="N2130" s="6">
        <v>1.0219</v>
      </c>
    </row>
    <row r="2131">
      <c r="A2131" s="512" t="s">
        <v>2041</v>
      </c>
      <c r="B2131" s="512" t="s">
        <v>1867</v>
      </c>
      <c r="C2131" s="512" t="s">
        <v>74</v>
      </c>
      <c r="D2131" s="512" t="s">
        <v>574</v>
      </c>
      <c r="E2131" s="513" t="s">
        <v>373</v>
      </c>
      <c r="F2131" s="513">
        <v>4475.0</v>
      </c>
      <c r="G2131" s="513">
        <v>172.0</v>
      </c>
      <c r="H2131" s="513">
        <v>3.84</v>
      </c>
      <c r="I2131" s="513">
        <v>0.27</v>
      </c>
      <c r="J2131" s="513">
        <v>0.16</v>
      </c>
      <c r="K2131" s="513">
        <v>175.0</v>
      </c>
      <c r="L2131" s="513">
        <v>63853.0</v>
      </c>
      <c r="M2131" s="513">
        <v>0.0391</v>
      </c>
      <c r="N2131" s="6">
        <v>1.0174</v>
      </c>
    </row>
    <row r="2132">
      <c r="A2132" s="512" t="s">
        <v>2041</v>
      </c>
      <c r="B2132" s="512" t="s">
        <v>1867</v>
      </c>
      <c r="C2132" s="512" t="s">
        <v>1882</v>
      </c>
      <c r="D2132" s="512" t="s">
        <v>1882</v>
      </c>
      <c r="E2132" s="513" t="s">
        <v>379</v>
      </c>
      <c r="F2132" s="513">
        <v>4489.0</v>
      </c>
      <c r="G2132" s="513">
        <v>4483.0</v>
      </c>
      <c r="H2132" s="513">
        <v>99.87</v>
      </c>
      <c r="I2132" s="513">
        <v>30.11</v>
      </c>
      <c r="J2132" s="513">
        <v>30.65</v>
      </c>
      <c r="K2132" s="513">
        <v>2859705.0</v>
      </c>
      <c r="L2132" s="513">
        <v>9498570.0</v>
      </c>
      <c r="M2132" s="513">
        <v>637.0472</v>
      </c>
      <c r="N2132" s="6">
        <v>637.8998</v>
      </c>
    </row>
    <row r="2133">
      <c r="A2133" s="512" t="s">
        <v>2041</v>
      </c>
      <c r="B2133" s="512" t="s">
        <v>1867</v>
      </c>
      <c r="C2133" s="512" t="s">
        <v>1882</v>
      </c>
      <c r="D2133" s="512" t="s">
        <v>1882</v>
      </c>
      <c r="E2133" s="513" t="s">
        <v>372</v>
      </c>
      <c r="F2133" s="513">
        <v>4489.0</v>
      </c>
      <c r="G2133" s="513">
        <v>4424.0</v>
      </c>
      <c r="H2133" s="513">
        <v>98.55</v>
      </c>
      <c r="I2133" s="513">
        <v>16.31</v>
      </c>
      <c r="J2133" s="513">
        <v>18.25</v>
      </c>
      <c r="K2133" s="513">
        <v>1549185.0</v>
      </c>
      <c r="L2133" s="513">
        <v>9498570.0</v>
      </c>
      <c r="M2133" s="513">
        <v>345.1069</v>
      </c>
      <c r="N2133" s="6">
        <v>350.1774</v>
      </c>
    </row>
    <row r="2134">
      <c r="A2134" s="512" t="s">
        <v>2041</v>
      </c>
      <c r="B2134" s="512" t="s">
        <v>1867</v>
      </c>
      <c r="C2134" s="512" t="s">
        <v>1882</v>
      </c>
      <c r="D2134" s="512" t="s">
        <v>1882</v>
      </c>
      <c r="E2134" s="513" t="s">
        <v>374</v>
      </c>
      <c r="F2134" s="513">
        <v>4489.0</v>
      </c>
      <c r="G2134" s="513">
        <v>2022.0</v>
      </c>
      <c r="H2134" s="513">
        <v>45.04</v>
      </c>
      <c r="I2134" s="513">
        <v>7.93</v>
      </c>
      <c r="J2134" s="513">
        <v>6.73</v>
      </c>
      <c r="K2134" s="513">
        <v>753645.0</v>
      </c>
      <c r="L2134" s="513">
        <v>9498570.0</v>
      </c>
      <c r="M2134" s="513">
        <v>167.8871</v>
      </c>
      <c r="N2134" s="6">
        <v>372.7226</v>
      </c>
    </row>
    <row r="2135">
      <c r="A2135" s="512" t="s">
        <v>2041</v>
      </c>
      <c r="B2135" s="512" t="s">
        <v>1867</v>
      </c>
      <c r="C2135" s="512" t="s">
        <v>1882</v>
      </c>
      <c r="D2135" s="512" t="s">
        <v>1882</v>
      </c>
      <c r="E2135" s="513" t="s">
        <v>380</v>
      </c>
      <c r="F2135" s="513">
        <v>4489.0</v>
      </c>
      <c r="G2135" s="513">
        <v>3604.0</v>
      </c>
      <c r="H2135" s="513">
        <v>80.29</v>
      </c>
      <c r="I2135" s="513">
        <v>7.87</v>
      </c>
      <c r="J2135" s="513">
        <v>9.49</v>
      </c>
      <c r="K2135" s="513">
        <v>747975.0</v>
      </c>
      <c r="L2135" s="513">
        <v>9498570.0</v>
      </c>
      <c r="M2135" s="513">
        <v>166.624</v>
      </c>
      <c r="N2135" s="6">
        <v>207.5402</v>
      </c>
    </row>
    <row r="2136">
      <c r="A2136" s="512" t="s">
        <v>2041</v>
      </c>
      <c r="B2136" s="512" t="s">
        <v>1867</v>
      </c>
      <c r="C2136" s="512" t="s">
        <v>1882</v>
      </c>
      <c r="D2136" s="512" t="s">
        <v>1882</v>
      </c>
      <c r="E2136" s="513" t="s">
        <v>377</v>
      </c>
      <c r="F2136" s="513">
        <v>4489.0</v>
      </c>
      <c r="G2136" s="513">
        <v>2763.0</v>
      </c>
      <c r="H2136" s="513">
        <v>61.55</v>
      </c>
      <c r="I2136" s="513">
        <v>5.83</v>
      </c>
      <c r="J2136" s="513">
        <v>5.48</v>
      </c>
      <c r="K2136" s="513">
        <v>554115.0</v>
      </c>
      <c r="L2136" s="513">
        <v>9498570.0</v>
      </c>
      <c r="M2136" s="513">
        <v>123.4384</v>
      </c>
      <c r="N2136" s="6">
        <v>200.5483</v>
      </c>
    </row>
    <row r="2137">
      <c r="A2137" s="512" t="s">
        <v>2041</v>
      </c>
      <c r="B2137" s="512" t="s">
        <v>1867</v>
      </c>
      <c r="C2137" s="512" t="s">
        <v>1882</v>
      </c>
      <c r="D2137" s="512" t="s">
        <v>1882</v>
      </c>
      <c r="E2137" s="513" t="s">
        <v>134</v>
      </c>
      <c r="F2137" s="513">
        <v>4489.0</v>
      </c>
      <c r="G2137" s="513">
        <v>1511.0</v>
      </c>
      <c r="H2137" s="513">
        <v>33.66</v>
      </c>
      <c r="I2137" s="513">
        <v>5.16</v>
      </c>
      <c r="J2137" s="513">
        <v>3.94</v>
      </c>
      <c r="K2137" s="513">
        <v>490075.0</v>
      </c>
      <c r="L2137" s="513">
        <v>9498570.0</v>
      </c>
      <c r="M2137" s="513">
        <v>109.1724</v>
      </c>
      <c r="N2137" s="6">
        <v>324.3382</v>
      </c>
    </row>
    <row r="2138">
      <c r="A2138" s="512" t="s">
        <v>2041</v>
      </c>
      <c r="B2138" s="512" t="s">
        <v>1867</v>
      </c>
      <c r="C2138" s="512" t="s">
        <v>1882</v>
      </c>
      <c r="D2138" s="512" t="s">
        <v>1882</v>
      </c>
      <c r="E2138" s="513" t="s">
        <v>50</v>
      </c>
      <c r="F2138" s="513">
        <v>4489.0</v>
      </c>
      <c r="G2138" s="513">
        <v>2724.0</v>
      </c>
      <c r="H2138" s="513">
        <v>60.68</v>
      </c>
      <c r="I2138" s="513">
        <v>3.85</v>
      </c>
      <c r="J2138" s="513">
        <v>4.02</v>
      </c>
      <c r="K2138" s="513">
        <v>365800.0</v>
      </c>
      <c r="L2138" s="513">
        <v>9498570.0</v>
      </c>
      <c r="M2138" s="513">
        <v>81.4881</v>
      </c>
      <c r="N2138" s="6">
        <v>134.2878</v>
      </c>
    </row>
    <row r="2139">
      <c r="A2139" s="512" t="s">
        <v>2041</v>
      </c>
      <c r="B2139" s="512" t="s">
        <v>1867</v>
      </c>
      <c r="C2139" s="512" t="s">
        <v>1882</v>
      </c>
      <c r="D2139" s="512" t="s">
        <v>1882</v>
      </c>
      <c r="E2139" s="513" t="s">
        <v>373</v>
      </c>
      <c r="F2139" s="513">
        <v>4489.0</v>
      </c>
      <c r="G2139" s="513">
        <v>3321.0</v>
      </c>
      <c r="H2139" s="513">
        <v>73.98</v>
      </c>
      <c r="I2139" s="513">
        <v>2.7</v>
      </c>
      <c r="J2139" s="513">
        <v>2.53</v>
      </c>
      <c r="K2139" s="513">
        <v>256795.0</v>
      </c>
      <c r="L2139" s="513">
        <v>9498570.0</v>
      </c>
      <c r="M2139" s="513">
        <v>57.2054</v>
      </c>
      <c r="N2139" s="6">
        <v>77.3246</v>
      </c>
    </row>
    <row r="2140">
      <c r="A2140" s="512" t="s">
        <v>2041</v>
      </c>
      <c r="B2140" s="512" t="s">
        <v>1867</v>
      </c>
      <c r="C2140" s="512" t="s">
        <v>1882</v>
      </c>
      <c r="D2140" s="512" t="s">
        <v>1882</v>
      </c>
      <c r="E2140" s="513" t="s">
        <v>310</v>
      </c>
      <c r="F2140" s="513">
        <v>4489.0</v>
      </c>
      <c r="G2140" s="513">
        <v>1212.0</v>
      </c>
      <c r="H2140" s="513">
        <v>27.0</v>
      </c>
      <c r="I2140" s="513">
        <v>2.53</v>
      </c>
      <c r="J2140" s="513">
        <v>2.07</v>
      </c>
      <c r="K2140" s="513">
        <v>240150.0</v>
      </c>
      <c r="L2140" s="513">
        <v>9498570.0</v>
      </c>
      <c r="M2140" s="513">
        <v>53.4974</v>
      </c>
      <c r="N2140" s="6">
        <v>198.1436</v>
      </c>
    </row>
    <row r="2141">
      <c r="A2141" s="512" t="s">
        <v>2041</v>
      </c>
      <c r="B2141" s="512" t="s">
        <v>1867</v>
      </c>
      <c r="C2141" s="512" t="s">
        <v>1882</v>
      </c>
      <c r="D2141" s="512" t="s">
        <v>1882</v>
      </c>
      <c r="E2141" s="513" t="s">
        <v>312</v>
      </c>
      <c r="F2141" s="513">
        <v>4489.0</v>
      </c>
      <c r="G2141" s="513">
        <v>1226.0</v>
      </c>
      <c r="H2141" s="513">
        <v>27.31</v>
      </c>
      <c r="I2141" s="513">
        <v>2.5</v>
      </c>
      <c r="J2141" s="513">
        <v>2.21</v>
      </c>
      <c r="K2141" s="513">
        <v>237900.0</v>
      </c>
      <c r="L2141" s="513">
        <v>9498570.0</v>
      </c>
      <c r="M2141" s="513">
        <v>52.9962</v>
      </c>
      <c r="N2141" s="6">
        <v>194.0457</v>
      </c>
    </row>
    <row r="2142">
      <c r="A2142" s="512" t="s">
        <v>2041</v>
      </c>
      <c r="B2142" s="512" t="s">
        <v>1867</v>
      </c>
      <c r="C2142" s="512" t="s">
        <v>1882</v>
      </c>
      <c r="D2142" s="512" t="s">
        <v>1882</v>
      </c>
      <c r="E2142" s="513" t="s">
        <v>42</v>
      </c>
      <c r="F2142" s="513">
        <v>4489.0</v>
      </c>
      <c r="G2142" s="513">
        <v>1422.0</v>
      </c>
      <c r="H2142" s="513">
        <v>31.68</v>
      </c>
      <c r="I2142" s="513">
        <v>2.42</v>
      </c>
      <c r="J2142" s="513">
        <v>2.43</v>
      </c>
      <c r="K2142" s="513">
        <v>229860.0</v>
      </c>
      <c r="L2142" s="513">
        <v>9498570.0</v>
      </c>
      <c r="M2142" s="513">
        <v>51.2052</v>
      </c>
      <c r="N2142" s="6">
        <v>161.6456</v>
      </c>
    </row>
    <row r="2143">
      <c r="A2143" s="512" t="s">
        <v>2041</v>
      </c>
      <c r="B2143" s="512" t="s">
        <v>1867</v>
      </c>
      <c r="C2143" s="512" t="s">
        <v>1882</v>
      </c>
      <c r="D2143" s="512" t="s">
        <v>1882</v>
      </c>
      <c r="E2143" s="513" t="s">
        <v>32</v>
      </c>
      <c r="F2143" s="513">
        <v>4489.0</v>
      </c>
      <c r="G2143" s="513">
        <v>1078.0</v>
      </c>
      <c r="H2143" s="513">
        <v>24.01</v>
      </c>
      <c r="I2143" s="513">
        <v>2.23</v>
      </c>
      <c r="J2143" s="513">
        <v>1.95</v>
      </c>
      <c r="K2143" s="513">
        <v>211550.0</v>
      </c>
      <c r="L2143" s="513">
        <v>9498570.0</v>
      </c>
      <c r="M2143" s="513">
        <v>47.1263</v>
      </c>
      <c r="N2143" s="6">
        <v>196.243</v>
      </c>
    </row>
    <row r="2144">
      <c r="A2144" s="512" t="s">
        <v>2041</v>
      </c>
      <c r="B2144" s="512" t="s">
        <v>1867</v>
      </c>
      <c r="C2144" s="512" t="s">
        <v>1882</v>
      </c>
      <c r="D2144" s="512" t="s">
        <v>1882</v>
      </c>
      <c r="E2144" s="513" t="s">
        <v>44</v>
      </c>
      <c r="F2144" s="513">
        <v>4489.0</v>
      </c>
      <c r="G2144" s="513">
        <v>2781.0</v>
      </c>
      <c r="H2144" s="513">
        <v>61.95</v>
      </c>
      <c r="I2144" s="513">
        <v>2.03</v>
      </c>
      <c r="J2144" s="513">
        <v>2.61</v>
      </c>
      <c r="K2144" s="513">
        <v>192655.0</v>
      </c>
      <c r="L2144" s="513">
        <v>9498570.0</v>
      </c>
      <c r="M2144" s="513">
        <v>42.9171</v>
      </c>
      <c r="N2144" s="6">
        <v>69.2754</v>
      </c>
    </row>
    <row r="2145">
      <c r="A2145" s="512" t="s">
        <v>2041</v>
      </c>
      <c r="B2145" s="512" t="s">
        <v>1867</v>
      </c>
      <c r="C2145" s="512" t="s">
        <v>1882</v>
      </c>
      <c r="D2145" s="512" t="s">
        <v>1882</v>
      </c>
      <c r="E2145" s="513" t="s">
        <v>43</v>
      </c>
      <c r="F2145" s="513">
        <v>4489.0</v>
      </c>
      <c r="G2145" s="513">
        <v>724.0</v>
      </c>
      <c r="H2145" s="513">
        <v>16.13</v>
      </c>
      <c r="I2145" s="513">
        <v>2.02</v>
      </c>
      <c r="J2145" s="513">
        <v>1.37</v>
      </c>
      <c r="K2145" s="513">
        <v>192200.0</v>
      </c>
      <c r="L2145" s="513">
        <v>9498570.0</v>
      </c>
      <c r="M2145" s="513">
        <v>42.8158</v>
      </c>
      <c r="N2145" s="6">
        <v>265.4696</v>
      </c>
    </row>
    <row r="2146">
      <c r="A2146" s="512" t="s">
        <v>2041</v>
      </c>
      <c r="B2146" s="512" t="s">
        <v>1867</v>
      </c>
      <c r="C2146" s="512" t="s">
        <v>1882</v>
      </c>
      <c r="D2146" s="512" t="s">
        <v>1882</v>
      </c>
      <c r="E2146" s="513" t="s">
        <v>40</v>
      </c>
      <c r="F2146" s="513">
        <v>4489.0</v>
      </c>
      <c r="G2146" s="513">
        <v>1330.0</v>
      </c>
      <c r="H2146" s="513">
        <v>29.63</v>
      </c>
      <c r="I2146" s="513">
        <v>2.02</v>
      </c>
      <c r="J2146" s="513">
        <v>1.77</v>
      </c>
      <c r="K2146" s="513">
        <v>192105.0</v>
      </c>
      <c r="L2146" s="513">
        <v>9498570.0</v>
      </c>
      <c r="M2146" s="513">
        <v>42.7946</v>
      </c>
      <c r="N2146" s="6">
        <v>144.4398</v>
      </c>
    </row>
    <row r="2147">
      <c r="A2147" s="512" t="s">
        <v>2041</v>
      </c>
      <c r="B2147" s="512" t="s">
        <v>1867</v>
      </c>
      <c r="C2147" s="512" t="s">
        <v>1882</v>
      </c>
      <c r="D2147" s="512" t="s">
        <v>1882</v>
      </c>
      <c r="E2147" s="513" t="s">
        <v>375</v>
      </c>
      <c r="F2147" s="513">
        <v>4489.0</v>
      </c>
      <c r="G2147" s="513">
        <v>1785.0</v>
      </c>
      <c r="H2147" s="513">
        <v>39.76</v>
      </c>
      <c r="I2147" s="513">
        <v>1.38</v>
      </c>
      <c r="J2147" s="513">
        <v>1.47</v>
      </c>
      <c r="K2147" s="513">
        <v>131050.0</v>
      </c>
      <c r="L2147" s="513">
        <v>9498570.0</v>
      </c>
      <c r="M2147" s="513">
        <v>29.1936</v>
      </c>
      <c r="N2147" s="6">
        <v>73.4174</v>
      </c>
    </row>
    <row r="2148">
      <c r="A2148" s="512" t="s">
        <v>2041</v>
      </c>
      <c r="B2148" s="512" t="s">
        <v>1867</v>
      </c>
      <c r="C2148" s="512" t="s">
        <v>1882</v>
      </c>
      <c r="D2148" s="512" t="s">
        <v>1882</v>
      </c>
      <c r="E2148" s="513" t="s">
        <v>367</v>
      </c>
      <c r="F2148" s="513">
        <v>4489.0</v>
      </c>
      <c r="G2148" s="513">
        <v>1799.0</v>
      </c>
      <c r="H2148" s="513">
        <v>40.08</v>
      </c>
      <c r="I2148" s="513">
        <v>1.16</v>
      </c>
      <c r="J2148" s="513">
        <v>1.0</v>
      </c>
      <c r="K2148" s="513">
        <v>109955.0</v>
      </c>
      <c r="L2148" s="513">
        <v>9498570.0</v>
      </c>
      <c r="M2148" s="513">
        <v>24.4943</v>
      </c>
      <c r="N2148" s="6">
        <v>61.1201</v>
      </c>
    </row>
    <row r="2149">
      <c r="A2149" s="512" t="s">
        <v>2041</v>
      </c>
      <c r="B2149" s="512" t="s">
        <v>1867</v>
      </c>
      <c r="C2149" s="512" t="s">
        <v>1882</v>
      </c>
      <c r="D2149" s="512" t="s">
        <v>1882</v>
      </c>
      <c r="E2149" s="513" t="s">
        <v>35</v>
      </c>
      <c r="F2149" s="513">
        <v>4489.0</v>
      </c>
      <c r="G2149" s="513">
        <v>1046.0</v>
      </c>
      <c r="H2149" s="513">
        <v>23.3</v>
      </c>
      <c r="I2149" s="513">
        <v>0.72</v>
      </c>
      <c r="J2149" s="513">
        <v>0.91</v>
      </c>
      <c r="K2149" s="513">
        <v>68200.0</v>
      </c>
      <c r="L2149" s="513">
        <v>9498570.0</v>
      </c>
      <c r="M2149" s="513">
        <v>15.1927</v>
      </c>
      <c r="N2149" s="6">
        <v>65.2008</v>
      </c>
    </row>
    <row r="2150">
      <c r="A2150" s="512" t="s">
        <v>2041</v>
      </c>
      <c r="B2150" s="512" t="s">
        <v>1867</v>
      </c>
      <c r="C2150" s="512" t="s">
        <v>1882</v>
      </c>
      <c r="D2150" s="512" t="s">
        <v>1882</v>
      </c>
      <c r="E2150" s="513" t="s">
        <v>311</v>
      </c>
      <c r="F2150" s="513">
        <v>4489.0</v>
      </c>
      <c r="G2150" s="513">
        <v>406.0</v>
      </c>
      <c r="H2150" s="513">
        <v>9.04</v>
      </c>
      <c r="I2150" s="513">
        <v>0.7</v>
      </c>
      <c r="J2150" s="513">
        <v>0.57</v>
      </c>
      <c r="K2150" s="513">
        <v>66950.0</v>
      </c>
      <c r="L2150" s="513">
        <v>9498570.0</v>
      </c>
      <c r="M2150" s="513">
        <v>14.9142</v>
      </c>
      <c r="N2150" s="6">
        <v>164.9015</v>
      </c>
    </row>
    <row r="2151">
      <c r="A2151" s="512" t="s">
        <v>2041</v>
      </c>
      <c r="B2151" s="512" t="s">
        <v>1867</v>
      </c>
      <c r="C2151" s="512" t="s">
        <v>1882</v>
      </c>
      <c r="D2151" s="512" t="s">
        <v>1882</v>
      </c>
      <c r="E2151" s="513" t="s">
        <v>189</v>
      </c>
      <c r="F2151" s="513">
        <v>4489.0</v>
      </c>
      <c r="G2151" s="513">
        <v>807.0</v>
      </c>
      <c r="H2151" s="513">
        <v>17.98</v>
      </c>
      <c r="I2151" s="513">
        <v>0.51</v>
      </c>
      <c r="J2151" s="513">
        <v>0.57</v>
      </c>
      <c r="K2151" s="513">
        <v>48700.0</v>
      </c>
      <c r="L2151" s="513">
        <v>9498570.0</v>
      </c>
      <c r="M2151" s="513">
        <v>10.8487</v>
      </c>
      <c r="N2151" s="6">
        <v>60.347</v>
      </c>
    </row>
    <row r="2152">
      <c r="A2152" s="512" t="s">
        <v>2041</v>
      </c>
      <c r="B2152" s="512" t="s">
        <v>1867</v>
      </c>
      <c r="C2152" s="512" t="s">
        <v>69</v>
      </c>
      <c r="D2152" s="512" t="s">
        <v>574</v>
      </c>
      <c r="E2152" s="513" t="s">
        <v>379</v>
      </c>
      <c r="F2152" s="513">
        <v>4468.0</v>
      </c>
      <c r="G2152" s="513">
        <v>4459.0</v>
      </c>
      <c r="H2152" s="513">
        <v>99.8</v>
      </c>
      <c r="I2152" s="513">
        <v>59.24</v>
      </c>
      <c r="J2152" s="513">
        <v>55.38</v>
      </c>
      <c r="K2152" s="513">
        <v>68757.0</v>
      </c>
      <c r="L2152" s="513">
        <v>116071.0</v>
      </c>
      <c r="M2152" s="513">
        <v>15.3888</v>
      </c>
      <c r="N2152" s="6">
        <v>15.4198</v>
      </c>
    </row>
    <row r="2153">
      <c r="A2153" s="512" t="s">
        <v>2041</v>
      </c>
      <c r="B2153" s="512" t="s">
        <v>1867</v>
      </c>
      <c r="C2153" s="512" t="s">
        <v>69</v>
      </c>
      <c r="D2153" s="512" t="s">
        <v>574</v>
      </c>
      <c r="E2153" s="513" t="s">
        <v>380</v>
      </c>
      <c r="F2153" s="513">
        <v>4468.0</v>
      </c>
      <c r="G2153" s="513">
        <v>3233.0</v>
      </c>
      <c r="H2153" s="513">
        <v>72.36</v>
      </c>
      <c r="I2153" s="513">
        <v>13.89</v>
      </c>
      <c r="J2153" s="513">
        <v>16.87</v>
      </c>
      <c r="K2153" s="513">
        <v>16120.0</v>
      </c>
      <c r="L2153" s="513">
        <v>116071.0</v>
      </c>
      <c r="M2153" s="513">
        <v>3.6079</v>
      </c>
      <c r="N2153" s="6">
        <v>4.9861</v>
      </c>
    </row>
    <row r="2154">
      <c r="A2154" s="512" t="s">
        <v>2041</v>
      </c>
      <c r="B2154" s="512" t="s">
        <v>1867</v>
      </c>
      <c r="C2154" s="512" t="s">
        <v>69</v>
      </c>
      <c r="D2154" s="512" t="s">
        <v>574</v>
      </c>
      <c r="E2154" s="513" t="s">
        <v>377</v>
      </c>
      <c r="F2154" s="513">
        <v>4468.0</v>
      </c>
      <c r="G2154" s="513">
        <v>3162.0</v>
      </c>
      <c r="H2154" s="513">
        <v>70.77</v>
      </c>
      <c r="I2154" s="513">
        <v>5.99</v>
      </c>
      <c r="J2154" s="513">
        <v>5.79</v>
      </c>
      <c r="K2154" s="513">
        <v>6949.0</v>
      </c>
      <c r="L2154" s="513">
        <v>116071.0</v>
      </c>
      <c r="M2154" s="513">
        <v>1.5553</v>
      </c>
      <c r="N2154" s="6">
        <v>2.1977</v>
      </c>
    </row>
    <row r="2155">
      <c r="A2155" s="512" t="s">
        <v>2041</v>
      </c>
      <c r="B2155" s="512" t="s">
        <v>1867</v>
      </c>
      <c r="C2155" s="512" t="s">
        <v>69</v>
      </c>
      <c r="D2155" s="512" t="s">
        <v>574</v>
      </c>
      <c r="E2155" s="513" t="s">
        <v>374</v>
      </c>
      <c r="F2155" s="513">
        <v>4468.0</v>
      </c>
      <c r="G2155" s="513">
        <v>1929.0</v>
      </c>
      <c r="H2155" s="513">
        <v>43.17</v>
      </c>
      <c r="I2155" s="513">
        <v>4.66</v>
      </c>
      <c r="J2155" s="513">
        <v>5.07</v>
      </c>
      <c r="K2155" s="513">
        <v>5405.0</v>
      </c>
      <c r="L2155" s="513">
        <v>116071.0</v>
      </c>
      <c r="M2155" s="513">
        <v>1.2097</v>
      </c>
      <c r="N2155" s="6">
        <v>2.802</v>
      </c>
    </row>
    <row r="2156">
      <c r="A2156" s="512" t="s">
        <v>2041</v>
      </c>
      <c r="B2156" s="512" t="s">
        <v>1867</v>
      </c>
      <c r="C2156" s="512" t="s">
        <v>69</v>
      </c>
      <c r="D2156" s="512" t="s">
        <v>574</v>
      </c>
      <c r="E2156" s="513" t="s">
        <v>372</v>
      </c>
      <c r="F2156" s="513">
        <v>4468.0</v>
      </c>
      <c r="G2156" s="513">
        <v>2646.0</v>
      </c>
      <c r="H2156" s="513">
        <v>59.22</v>
      </c>
      <c r="I2156" s="513">
        <v>4.65</v>
      </c>
      <c r="J2156" s="513">
        <v>4.78</v>
      </c>
      <c r="K2156" s="513">
        <v>5400.0</v>
      </c>
      <c r="L2156" s="513">
        <v>116071.0</v>
      </c>
      <c r="M2156" s="513">
        <v>1.2086</v>
      </c>
      <c r="N2156" s="6">
        <v>2.0408</v>
      </c>
    </row>
    <row r="2157">
      <c r="A2157" s="512" t="s">
        <v>2041</v>
      </c>
      <c r="B2157" s="512" t="s">
        <v>1867</v>
      </c>
      <c r="C2157" s="512" t="s">
        <v>69</v>
      </c>
      <c r="D2157" s="512" t="s">
        <v>574</v>
      </c>
      <c r="E2157" s="513" t="s">
        <v>49</v>
      </c>
      <c r="F2157" s="513">
        <v>4468.0</v>
      </c>
      <c r="G2157" s="513">
        <v>2366.0</v>
      </c>
      <c r="H2157" s="513">
        <v>52.95</v>
      </c>
      <c r="I2157" s="513">
        <v>3.91</v>
      </c>
      <c r="J2157" s="513">
        <v>3.69</v>
      </c>
      <c r="K2157" s="513">
        <v>4536.0</v>
      </c>
      <c r="L2157" s="513">
        <v>116071.0</v>
      </c>
      <c r="M2157" s="513">
        <v>1.0152</v>
      </c>
      <c r="N2157" s="6">
        <v>1.9172</v>
      </c>
    </row>
    <row r="2158">
      <c r="A2158" s="512" t="s">
        <v>2041</v>
      </c>
      <c r="B2158" s="512" t="s">
        <v>1867</v>
      </c>
      <c r="C2158" s="512" t="s">
        <v>69</v>
      </c>
      <c r="D2158" s="512" t="s">
        <v>574</v>
      </c>
      <c r="E2158" s="513" t="s">
        <v>44</v>
      </c>
      <c r="F2158" s="513">
        <v>4468.0</v>
      </c>
      <c r="G2158" s="513">
        <v>2603.0</v>
      </c>
      <c r="H2158" s="513">
        <v>58.26</v>
      </c>
      <c r="I2158" s="513">
        <v>2.93</v>
      </c>
      <c r="J2158" s="513">
        <v>3.37</v>
      </c>
      <c r="K2158" s="513">
        <v>3406.0</v>
      </c>
      <c r="L2158" s="513">
        <v>116071.0</v>
      </c>
      <c r="M2158" s="513">
        <v>0.7623</v>
      </c>
      <c r="N2158" s="6">
        <v>1.3085</v>
      </c>
    </row>
    <row r="2159">
      <c r="A2159" s="512" t="s">
        <v>2041</v>
      </c>
      <c r="B2159" s="512" t="s">
        <v>1867</v>
      </c>
      <c r="C2159" s="512" t="s">
        <v>69</v>
      </c>
      <c r="D2159" s="512" t="s">
        <v>574</v>
      </c>
      <c r="E2159" s="513" t="s">
        <v>134</v>
      </c>
      <c r="F2159" s="513">
        <v>4468.0</v>
      </c>
      <c r="G2159" s="513">
        <v>1168.0</v>
      </c>
      <c r="H2159" s="513">
        <v>26.14</v>
      </c>
      <c r="I2159" s="513">
        <v>1.86</v>
      </c>
      <c r="J2159" s="513">
        <v>1.8</v>
      </c>
      <c r="K2159" s="513">
        <v>2154.0</v>
      </c>
      <c r="L2159" s="513">
        <v>116071.0</v>
      </c>
      <c r="M2159" s="513">
        <v>0.4821</v>
      </c>
      <c r="N2159" s="6">
        <v>1.8442</v>
      </c>
    </row>
    <row r="2160">
      <c r="A2160" s="512" t="s">
        <v>2041</v>
      </c>
      <c r="B2160" s="512" t="s">
        <v>1867</v>
      </c>
      <c r="C2160" s="512" t="s">
        <v>69</v>
      </c>
      <c r="D2160" s="512" t="s">
        <v>574</v>
      </c>
      <c r="E2160" s="513" t="s">
        <v>375</v>
      </c>
      <c r="F2160" s="513">
        <v>4468.0</v>
      </c>
      <c r="G2160" s="513">
        <v>1497.0</v>
      </c>
      <c r="H2160" s="513">
        <v>33.5</v>
      </c>
      <c r="I2160" s="513">
        <v>1.45</v>
      </c>
      <c r="J2160" s="513">
        <v>1.58</v>
      </c>
      <c r="K2160" s="513">
        <v>1684.0</v>
      </c>
      <c r="L2160" s="513">
        <v>116071.0</v>
      </c>
      <c r="M2160" s="513">
        <v>0.3769</v>
      </c>
      <c r="N2160" s="6">
        <v>1.1249</v>
      </c>
    </row>
    <row r="2161">
      <c r="A2161" s="512" t="s">
        <v>2041</v>
      </c>
      <c r="B2161" s="512" t="s">
        <v>1867</v>
      </c>
      <c r="C2161" s="512" t="s">
        <v>69</v>
      </c>
      <c r="D2161" s="512" t="s">
        <v>574</v>
      </c>
      <c r="E2161" s="513" t="s">
        <v>35</v>
      </c>
      <c r="F2161" s="513">
        <v>4468.0</v>
      </c>
      <c r="G2161" s="513">
        <v>742.0</v>
      </c>
      <c r="H2161" s="513">
        <v>16.61</v>
      </c>
      <c r="I2161" s="513">
        <v>0.65</v>
      </c>
      <c r="J2161" s="513">
        <v>0.76</v>
      </c>
      <c r="K2161" s="513">
        <v>758.0</v>
      </c>
      <c r="L2161" s="513">
        <v>116071.0</v>
      </c>
      <c r="M2161" s="513">
        <v>0.1697</v>
      </c>
      <c r="N2161" s="6">
        <v>1.0216</v>
      </c>
    </row>
    <row r="2162">
      <c r="A2162" s="512" t="s">
        <v>2041</v>
      </c>
      <c r="B2162" s="512" t="s">
        <v>1867</v>
      </c>
      <c r="C2162" s="512" t="s">
        <v>69</v>
      </c>
      <c r="D2162" s="512" t="s">
        <v>574</v>
      </c>
      <c r="E2162" s="513" t="s">
        <v>189</v>
      </c>
      <c r="F2162" s="513">
        <v>4468.0</v>
      </c>
      <c r="G2162" s="513">
        <v>630.0</v>
      </c>
      <c r="H2162" s="513">
        <v>14.1</v>
      </c>
      <c r="I2162" s="513">
        <v>0.55</v>
      </c>
      <c r="J2162" s="513">
        <v>0.63</v>
      </c>
      <c r="K2162" s="513">
        <v>636.0</v>
      </c>
      <c r="L2162" s="513">
        <v>116071.0</v>
      </c>
      <c r="M2162" s="513">
        <v>0.1423</v>
      </c>
      <c r="N2162" s="6">
        <v>1.0095</v>
      </c>
    </row>
    <row r="2163">
      <c r="A2163" s="512" t="s">
        <v>2041</v>
      </c>
      <c r="B2163" s="512" t="s">
        <v>1867</v>
      </c>
      <c r="C2163" s="512" t="s">
        <v>69</v>
      </c>
      <c r="D2163" s="512" t="s">
        <v>574</v>
      </c>
      <c r="E2163" s="513" t="s">
        <v>50</v>
      </c>
      <c r="F2163" s="513">
        <v>4468.0</v>
      </c>
      <c r="G2163" s="513">
        <v>104.0</v>
      </c>
      <c r="H2163" s="513">
        <v>2.33</v>
      </c>
      <c r="I2163" s="513">
        <v>0.1</v>
      </c>
      <c r="J2163" s="513">
        <v>0.11</v>
      </c>
      <c r="K2163" s="513">
        <v>112.0</v>
      </c>
      <c r="L2163" s="513">
        <v>116071.0</v>
      </c>
      <c r="M2163" s="513">
        <v>0.0251</v>
      </c>
      <c r="N2163" s="6">
        <v>1.0769</v>
      </c>
    </row>
    <row r="2164">
      <c r="A2164" s="512" t="s">
        <v>2041</v>
      </c>
      <c r="B2164" s="512" t="s">
        <v>1867</v>
      </c>
      <c r="C2164" s="512" t="s">
        <v>69</v>
      </c>
      <c r="D2164" s="512" t="s">
        <v>574</v>
      </c>
      <c r="E2164" s="513" t="s">
        <v>42</v>
      </c>
      <c r="F2164" s="513">
        <v>4468.0</v>
      </c>
      <c r="G2164" s="513">
        <v>104.0</v>
      </c>
      <c r="H2164" s="513">
        <v>2.33</v>
      </c>
      <c r="I2164" s="513">
        <v>0.09</v>
      </c>
      <c r="J2164" s="513">
        <v>0.12</v>
      </c>
      <c r="K2164" s="513">
        <v>105.0</v>
      </c>
      <c r="L2164" s="513">
        <v>116071.0</v>
      </c>
      <c r="M2164" s="513">
        <v>0.0235</v>
      </c>
      <c r="N2164" s="6">
        <v>1.0096</v>
      </c>
    </row>
    <row r="2165">
      <c r="A2165" s="512" t="s">
        <v>2041</v>
      </c>
      <c r="B2165" s="512" t="s">
        <v>1867</v>
      </c>
      <c r="C2165" s="512" t="s">
        <v>69</v>
      </c>
      <c r="D2165" s="512" t="s">
        <v>574</v>
      </c>
      <c r="E2165" s="513" t="s">
        <v>43</v>
      </c>
      <c r="F2165" s="513">
        <v>4468.0</v>
      </c>
      <c r="G2165" s="513">
        <v>34.0</v>
      </c>
      <c r="H2165" s="513">
        <v>0.76</v>
      </c>
      <c r="I2165" s="513">
        <v>0.03</v>
      </c>
      <c r="J2165" s="513">
        <v>0.04</v>
      </c>
      <c r="K2165" s="513">
        <v>34.0</v>
      </c>
      <c r="L2165" s="513">
        <v>116071.0</v>
      </c>
      <c r="M2165" s="513">
        <v>0.0076</v>
      </c>
      <c r="N2165" s="6">
        <v>1.0</v>
      </c>
    </row>
    <row r="2166">
      <c r="A2166" s="512" t="s">
        <v>2041</v>
      </c>
      <c r="B2166" s="512" t="s">
        <v>1867</v>
      </c>
      <c r="C2166" s="512" t="s">
        <v>69</v>
      </c>
      <c r="D2166" s="512" t="s">
        <v>574</v>
      </c>
      <c r="E2166" s="513" t="s">
        <v>367</v>
      </c>
      <c r="F2166" s="513">
        <v>4468.0</v>
      </c>
      <c r="G2166" s="513">
        <v>10.0</v>
      </c>
      <c r="H2166" s="513">
        <v>0.22</v>
      </c>
      <c r="I2166" s="513">
        <v>0.01</v>
      </c>
      <c r="J2166" s="513">
        <v>0.01</v>
      </c>
      <c r="K2166" s="513">
        <v>10.0</v>
      </c>
      <c r="L2166" s="513">
        <v>116071.0</v>
      </c>
      <c r="M2166" s="513">
        <v>0.0022</v>
      </c>
      <c r="N2166" s="6">
        <v>1.0</v>
      </c>
    </row>
    <row r="2167">
      <c r="A2167" s="512" t="s">
        <v>2041</v>
      </c>
      <c r="B2167" s="512" t="s">
        <v>1867</v>
      </c>
      <c r="C2167" s="512" t="s">
        <v>69</v>
      </c>
      <c r="D2167" s="512" t="s">
        <v>574</v>
      </c>
      <c r="E2167" s="513" t="s">
        <v>32</v>
      </c>
      <c r="F2167" s="513">
        <v>4468.0</v>
      </c>
      <c r="G2167" s="513">
        <v>3.0</v>
      </c>
      <c r="H2167" s="513">
        <v>0.07</v>
      </c>
      <c r="I2167" s="513">
        <v>0.0</v>
      </c>
      <c r="J2167" s="513">
        <v>0.0</v>
      </c>
      <c r="K2167" s="513">
        <v>4.0</v>
      </c>
      <c r="L2167" s="513">
        <v>116071.0</v>
      </c>
      <c r="M2167" s="513">
        <v>9.0E-4</v>
      </c>
      <c r="N2167" s="6">
        <v>1.3333</v>
      </c>
    </row>
    <row r="2168">
      <c r="A2168" s="512" t="s">
        <v>2041</v>
      </c>
      <c r="B2168" s="512" t="s">
        <v>1867</v>
      </c>
      <c r="C2168" s="512" t="s">
        <v>69</v>
      </c>
      <c r="D2168" s="512" t="s">
        <v>574</v>
      </c>
      <c r="E2168" s="513" t="s">
        <v>312</v>
      </c>
      <c r="F2168" s="513">
        <v>4468.0</v>
      </c>
      <c r="G2168" s="513">
        <v>1.0</v>
      </c>
      <c r="H2168" s="513">
        <v>0.02</v>
      </c>
      <c r="I2168" s="513">
        <v>0.0</v>
      </c>
      <c r="J2168" s="513">
        <v>0.0</v>
      </c>
      <c r="K2168" s="513">
        <v>1.0</v>
      </c>
      <c r="L2168" s="513">
        <v>116071.0</v>
      </c>
      <c r="M2168" s="513">
        <v>2.0E-4</v>
      </c>
      <c r="N2168" s="6">
        <v>1.0</v>
      </c>
    </row>
    <row r="2169">
      <c r="A2169" s="512" t="s">
        <v>2041</v>
      </c>
      <c r="B2169" s="512" t="s">
        <v>1867</v>
      </c>
      <c r="C2169" s="512" t="s">
        <v>68</v>
      </c>
      <c r="D2169" s="512" t="s">
        <v>574</v>
      </c>
      <c r="E2169" s="513" t="s">
        <v>377</v>
      </c>
      <c r="F2169" s="513">
        <v>4096.0</v>
      </c>
      <c r="G2169" s="513">
        <v>3063.0</v>
      </c>
      <c r="H2169" s="513">
        <v>74.78</v>
      </c>
      <c r="I2169" s="513">
        <v>44.05</v>
      </c>
      <c r="J2169" s="513">
        <v>36.43</v>
      </c>
      <c r="K2169" s="513">
        <v>625205.0</v>
      </c>
      <c r="L2169" s="513">
        <v>1419449.0</v>
      </c>
      <c r="M2169" s="513">
        <v>152.6379</v>
      </c>
      <c r="N2169" s="6">
        <v>204.1152</v>
      </c>
    </row>
    <row r="2170">
      <c r="A2170" s="512" t="s">
        <v>2041</v>
      </c>
      <c r="B2170" s="512" t="s">
        <v>1867</v>
      </c>
      <c r="C2170" s="512" t="s">
        <v>68</v>
      </c>
      <c r="D2170" s="512" t="s">
        <v>574</v>
      </c>
      <c r="E2170" s="513" t="s">
        <v>43</v>
      </c>
      <c r="F2170" s="513">
        <v>4096.0</v>
      </c>
      <c r="G2170" s="513">
        <v>994.0</v>
      </c>
      <c r="H2170" s="513">
        <v>24.27</v>
      </c>
      <c r="I2170" s="513">
        <v>21.21</v>
      </c>
      <c r="J2170" s="513">
        <v>11.22</v>
      </c>
      <c r="K2170" s="513">
        <v>301100.0</v>
      </c>
      <c r="L2170" s="513">
        <v>1419449.0</v>
      </c>
      <c r="M2170" s="513">
        <v>73.5107</v>
      </c>
      <c r="N2170" s="6">
        <v>302.9175</v>
      </c>
    </row>
    <row r="2171">
      <c r="A2171" s="512" t="s">
        <v>2041</v>
      </c>
      <c r="B2171" s="512" t="s">
        <v>1867</v>
      </c>
      <c r="C2171" s="512" t="s">
        <v>68</v>
      </c>
      <c r="D2171" s="512" t="s">
        <v>574</v>
      </c>
      <c r="E2171" s="513" t="s">
        <v>50</v>
      </c>
      <c r="F2171" s="513">
        <v>4096.0</v>
      </c>
      <c r="G2171" s="513">
        <v>2951.0</v>
      </c>
      <c r="H2171" s="513">
        <v>72.05</v>
      </c>
      <c r="I2171" s="513">
        <v>20.36</v>
      </c>
      <c r="J2171" s="513">
        <v>31.69</v>
      </c>
      <c r="K2171" s="513">
        <v>289045.0</v>
      </c>
      <c r="L2171" s="513">
        <v>1419449.0</v>
      </c>
      <c r="M2171" s="513">
        <v>70.5676</v>
      </c>
      <c r="N2171" s="6">
        <v>97.9482</v>
      </c>
    </row>
    <row r="2172">
      <c r="A2172" s="512" t="s">
        <v>2041</v>
      </c>
      <c r="B2172" s="512" t="s">
        <v>1867</v>
      </c>
      <c r="C2172" s="512" t="s">
        <v>68</v>
      </c>
      <c r="D2172" s="512" t="s">
        <v>574</v>
      </c>
      <c r="E2172" s="513" t="s">
        <v>49</v>
      </c>
      <c r="F2172" s="513">
        <v>4096.0</v>
      </c>
      <c r="G2172" s="513">
        <v>2353.0</v>
      </c>
      <c r="H2172" s="513">
        <v>57.45</v>
      </c>
      <c r="I2172" s="513">
        <v>6.35</v>
      </c>
      <c r="J2172" s="513">
        <v>13.53</v>
      </c>
      <c r="K2172" s="513">
        <v>90120.0</v>
      </c>
      <c r="L2172" s="513">
        <v>1419449.0</v>
      </c>
      <c r="M2172" s="513">
        <v>22.002</v>
      </c>
      <c r="N2172" s="6">
        <v>38.3</v>
      </c>
    </row>
    <row r="2173">
      <c r="A2173" s="512" t="s">
        <v>2041</v>
      </c>
      <c r="B2173" s="512" t="s">
        <v>1867</v>
      </c>
      <c r="C2173" s="512" t="s">
        <v>68</v>
      </c>
      <c r="D2173" s="512" t="s">
        <v>574</v>
      </c>
      <c r="E2173" s="513" t="s">
        <v>134</v>
      </c>
      <c r="F2173" s="513">
        <v>4096.0</v>
      </c>
      <c r="G2173" s="513">
        <v>1021.0</v>
      </c>
      <c r="H2173" s="513">
        <v>24.93</v>
      </c>
      <c r="I2173" s="513">
        <v>5.54</v>
      </c>
      <c r="J2173" s="513">
        <v>5.97</v>
      </c>
      <c r="K2173" s="513">
        <v>78680.0</v>
      </c>
      <c r="L2173" s="513">
        <v>1419449.0</v>
      </c>
      <c r="M2173" s="513">
        <v>19.209</v>
      </c>
      <c r="N2173" s="6">
        <v>77.0617</v>
      </c>
    </row>
    <row r="2174">
      <c r="A2174" s="512" t="s">
        <v>2041</v>
      </c>
      <c r="B2174" s="512" t="s">
        <v>1867</v>
      </c>
      <c r="C2174" s="512" t="s">
        <v>68</v>
      </c>
      <c r="D2174" s="512" t="s">
        <v>574</v>
      </c>
      <c r="E2174" s="513" t="s">
        <v>380</v>
      </c>
      <c r="F2174" s="513">
        <v>4096.0</v>
      </c>
      <c r="G2174" s="513">
        <v>156.0</v>
      </c>
      <c r="H2174" s="513">
        <v>3.81</v>
      </c>
      <c r="I2174" s="513">
        <v>2.49</v>
      </c>
      <c r="J2174" s="513">
        <v>1.16</v>
      </c>
      <c r="K2174" s="513">
        <v>35299.0</v>
      </c>
      <c r="L2174" s="513">
        <v>1419449.0</v>
      </c>
      <c r="M2174" s="513">
        <v>8.6179</v>
      </c>
      <c r="N2174" s="6">
        <v>226.2756</v>
      </c>
    </row>
    <row r="2175">
      <c r="A2175" s="512" t="s">
        <v>2041</v>
      </c>
      <c r="B2175" s="512" t="s">
        <v>1867</v>
      </c>
      <c r="C2175" s="512" t="s">
        <v>2035</v>
      </c>
      <c r="D2175" s="512" t="s">
        <v>2036</v>
      </c>
      <c r="E2175" s="513" t="s">
        <v>134</v>
      </c>
      <c r="F2175" s="513">
        <v>712.0</v>
      </c>
      <c r="G2175" s="513">
        <v>704.0</v>
      </c>
      <c r="H2175" s="513">
        <v>98.88</v>
      </c>
      <c r="I2175" s="513">
        <v>98.79</v>
      </c>
      <c r="J2175" s="513">
        <v>98.67</v>
      </c>
      <c r="K2175" s="513">
        <v>24570.0</v>
      </c>
      <c r="L2175" s="513">
        <v>24870.0</v>
      </c>
      <c r="M2175" s="513">
        <v>34.5084</v>
      </c>
      <c r="N2175" s="6">
        <v>34.9006</v>
      </c>
    </row>
    <row r="2176">
      <c r="A2176" s="512" t="s">
        <v>2041</v>
      </c>
      <c r="B2176" s="512" t="s">
        <v>1867</v>
      </c>
      <c r="C2176" s="512" t="s">
        <v>2035</v>
      </c>
      <c r="D2176" s="512" t="s">
        <v>2036</v>
      </c>
      <c r="E2176" s="513" t="s">
        <v>373</v>
      </c>
      <c r="F2176" s="513">
        <v>712.0</v>
      </c>
      <c r="G2176" s="513">
        <v>11.0</v>
      </c>
      <c r="H2176" s="513">
        <v>1.54</v>
      </c>
      <c r="I2176" s="513">
        <v>1.21</v>
      </c>
      <c r="J2176" s="513">
        <v>1.33</v>
      </c>
      <c r="K2176" s="513">
        <v>300.0</v>
      </c>
      <c r="L2176" s="513">
        <v>24870.0</v>
      </c>
      <c r="M2176" s="513">
        <v>0.4213</v>
      </c>
      <c r="N2176" s="6">
        <v>27.2727</v>
      </c>
    </row>
    <row r="2177">
      <c r="A2177" s="512" t="s">
        <v>2041</v>
      </c>
      <c r="B2177" s="512" t="s">
        <v>1867</v>
      </c>
      <c r="C2177" s="512" t="s">
        <v>73</v>
      </c>
      <c r="D2177" s="512" t="s">
        <v>574</v>
      </c>
      <c r="E2177" s="513" t="s">
        <v>379</v>
      </c>
      <c r="F2177" s="513">
        <v>4481.0</v>
      </c>
      <c r="G2177" s="513">
        <v>4432.0</v>
      </c>
      <c r="H2177" s="513">
        <v>98.91</v>
      </c>
      <c r="I2177" s="513">
        <v>43.37</v>
      </c>
      <c r="J2177" s="513">
        <v>42.58</v>
      </c>
      <c r="K2177" s="513">
        <v>38528.0</v>
      </c>
      <c r="L2177" s="513">
        <v>88845.0</v>
      </c>
      <c r="M2177" s="513">
        <v>8.5981</v>
      </c>
      <c r="N2177" s="6">
        <v>8.6931</v>
      </c>
    </row>
    <row r="2178">
      <c r="A2178" s="512" t="s">
        <v>2041</v>
      </c>
      <c r="B2178" s="512" t="s">
        <v>1867</v>
      </c>
      <c r="C2178" s="512" t="s">
        <v>73</v>
      </c>
      <c r="D2178" s="512" t="s">
        <v>574</v>
      </c>
      <c r="E2178" s="513" t="s">
        <v>372</v>
      </c>
      <c r="F2178" s="513">
        <v>4481.0</v>
      </c>
      <c r="G2178" s="513">
        <v>3969.0</v>
      </c>
      <c r="H2178" s="513">
        <v>88.57</v>
      </c>
      <c r="I2178" s="513">
        <v>18.81</v>
      </c>
      <c r="J2178" s="513">
        <v>19.99</v>
      </c>
      <c r="K2178" s="513">
        <v>16710.0</v>
      </c>
      <c r="L2178" s="513">
        <v>88845.0</v>
      </c>
      <c r="M2178" s="513">
        <v>3.7291</v>
      </c>
      <c r="N2178" s="6">
        <v>4.2101</v>
      </c>
    </row>
    <row r="2179">
      <c r="A2179" s="512" t="s">
        <v>2041</v>
      </c>
      <c r="B2179" s="512" t="s">
        <v>1867</v>
      </c>
      <c r="C2179" s="512" t="s">
        <v>73</v>
      </c>
      <c r="D2179" s="512" t="s">
        <v>574</v>
      </c>
      <c r="E2179" s="513" t="s">
        <v>380</v>
      </c>
      <c r="F2179" s="513">
        <v>4481.0</v>
      </c>
      <c r="G2179" s="513">
        <v>3209.0</v>
      </c>
      <c r="H2179" s="513">
        <v>71.61</v>
      </c>
      <c r="I2179" s="513">
        <v>10.71</v>
      </c>
      <c r="J2179" s="513">
        <v>12.92</v>
      </c>
      <c r="K2179" s="513">
        <v>9515.0</v>
      </c>
      <c r="L2179" s="513">
        <v>88845.0</v>
      </c>
      <c r="M2179" s="513">
        <v>2.1234</v>
      </c>
      <c r="N2179" s="6">
        <v>2.9651</v>
      </c>
    </row>
    <row r="2180">
      <c r="A2180" s="512" t="s">
        <v>2041</v>
      </c>
      <c r="B2180" s="512" t="s">
        <v>1867</v>
      </c>
      <c r="C2180" s="512" t="s">
        <v>73</v>
      </c>
      <c r="D2180" s="512" t="s">
        <v>574</v>
      </c>
      <c r="E2180" s="513" t="s">
        <v>377</v>
      </c>
      <c r="F2180" s="513">
        <v>4481.0</v>
      </c>
      <c r="G2180" s="513">
        <v>1958.0</v>
      </c>
      <c r="H2180" s="513">
        <v>43.7</v>
      </c>
      <c r="I2180" s="513">
        <v>6.51</v>
      </c>
      <c r="J2180" s="513">
        <v>4.8</v>
      </c>
      <c r="K2180" s="513">
        <v>5786.0</v>
      </c>
      <c r="L2180" s="513">
        <v>88845.0</v>
      </c>
      <c r="M2180" s="513">
        <v>1.2912</v>
      </c>
      <c r="N2180" s="6">
        <v>2.9551</v>
      </c>
    </row>
    <row r="2181">
      <c r="A2181" s="512" t="s">
        <v>2041</v>
      </c>
      <c r="B2181" s="512" t="s">
        <v>1867</v>
      </c>
      <c r="C2181" s="512" t="s">
        <v>73</v>
      </c>
      <c r="D2181" s="512" t="s">
        <v>574</v>
      </c>
      <c r="E2181" s="513" t="s">
        <v>44</v>
      </c>
      <c r="F2181" s="513">
        <v>4481.0</v>
      </c>
      <c r="G2181" s="513">
        <v>2445.0</v>
      </c>
      <c r="H2181" s="513">
        <v>54.56</v>
      </c>
      <c r="I2181" s="513">
        <v>3.52</v>
      </c>
      <c r="J2181" s="513">
        <v>4.24</v>
      </c>
      <c r="K2181" s="513">
        <v>3131.0</v>
      </c>
      <c r="L2181" s="513">
        <v>88845.0</v>
      </c>
      <c r="M2181" s="513">
        <v>0.6987</v>
      </c>
      <c r="N2181" s="6">
        <v>1.2806</v>
      </c>
    </row>
    <row r="2182">
      <c r="A2182" s="512" t="s">
        <v>2041</v>
      </c>
      <c r="B2182" s="512" t="s">
        <v>1867</v>
      </c>
      <c r="C2182" s="512" t="s">
        <v>73</v>
      </c>
      <c r="D2182" s="512" t="s">
        <v>574</v>
      </c>
      <c r="E2182" s="513" t="s">
        <v>134</v>
      </c>
      <c r="F2182" s="513">
        <v>4481.0</v>
      </c>
      <c r="G2182" s="513">
        <v>1115.0</v>
      </c>
      <c r="H2182" s="513">
        <v>24.88</v>
      </c>
      <c r="I2182" s="513">
        <v>3.51</v>
      </c>
      <c r="J2182" s="513">
        <v>3.15</v>
      </c>
      <c r="K2182" s="513">
        <v>3119.0</v>
      </c>
      <c r="L2182" s="513">
        <v>88845.0</v>
      </c>
      <c r="M2182" s="513">
        <v>0.696</v>
      </c>
      <c r="N2182" s="6">
        <v>2.7973</v>
      </c>
    </row>
    <row r="2183">
      <c r="A2183" s="512" t="s">
        <v>2041</v>
      </c>
      <c r="B2183" s="512" t="s">
        <v>1867</v>
      </c>
      <c r="C2183" s="512" t="s">
        <v>73</v>
      </c>
      <c r="D2183" s="512" t="s">
        <v>574</v>
      </c>
      <c r="E2183" s="513" t="s">
        <v>367</v>
      </c>
      <c r="F2183" s="513">
        <v>4481.0</v>
      </c>
      <c r="G2183" s="513">
        <v>1034.0</v>
      </c>
      <c r="H2183" s="513">
        <v>23.08</v>
      </c>
      <c r="I2183" s="513">
        <v>2.7</v>
      </c>
      <c r="J2183" s="513">
        <v>2.05</v>
      </c>
      <c r="K2183" s="513">
        <v>2401.0</v>
      </c>
      <c r="L2183" s="513">
        <v>88845.0</v>
      </c>
      <c r="M2183" s="513">
        <v>0.5358</v>
      </c>
      <c r="N2183" s="6">
        <v>2.3221</v>
      </c>
    </row>
    <row r="2184">
      <c r="A2184" s="512" t="s">
        <v>2041</v>
      </c>
      <c r="B2184" s="512" t="s">
        <v>1867</v>
      </c>
      <c r="C2184" s="512" t="s">
        <v>73</v>
      </c>
      <c r="D2184" s="512" t="s">
        <v>574</v>
      </c>
      <c r="E2184" s="513" t="s">
        <v>373</v>
      </c>
      <c r="F2184" s="513">
        <v>4481.0</v>
      </c>
      <c r="G2184" s="513">
        <v>1308.0</v>
      </c>
      <c r="H2184" s="513">
        <v>29.19</v>
      </c>
      <c r="I2184" s="513">
        <v>1.98</v>
      </c>
      <c r="J2184" s="513">
        <v>1.51</v>
      </c>
      <c r="K2184" s="513">
        <v>1762.0</v>
      </c>
      <c r="L2184" s="513">
        <v>88845.0</v>
      </c>
      <c r="M2184" s="513">
        <v>0.3932</v>
      </c>
      <c r="N2184" s="6">
        <v>1.3471</v>
      </c>
    </row>
    <row r="2185">
      <c r="A2185" s="512" t="s">
        <v>2041</v>
      </c>
      <c r="B2185" s="512" t="s">
        <v>1867</v>
      </c>
      <c r="C2185" s="512" t="s">
        <v>73</v>
      </c>
      <c r="D2185" s="512" t="s">
        <v>574</v>
      </c>
      <c r="E2185" s="513" t="s">
        <v>42</v>
      </c>
      <c r="F2185" s="513">
        <v>4481.0</v>
      </c>
      <c r="G2185" s="513">
        <v>1183.0</v>
      </c>
      <c r="H2185" s="513">
        <v>26.4</v>
      </c>
      <c r="I2185" s="513">
        <v>1.87</v>
      </c>
      <c r="J2185" s="513">
        <v>2.01</v>
      </c>
      <c r="K2185" s="513">
        <v>1658.0</v>
      </c>
      <c r="L2185" s="513">
        <v>88845.0</v>
      </c>
      <c r="M2185" s="513">
        <v>0.37</v>
      </c>
      <c r="N2185" s="6">
        <v>1.4015</v>
      </c>
    </row>
    <row r="2186">
      <c r="A2186" s="512" t="s">
        <v>2041</v>
      </c>
      <c r="B2186" s="512" t="s">
        <v>1867</v>
      </c>
      <c r="C2186" s="512" t="s">
        <v>73</v>
      </c>
      <c r="D2186" s="512" t="s">
        <v>574</v>
      </c>
      <c r="E2186" s="513" t="s">
        <v>50</v>
      </c>
      <c r="F2186" s="513">
        <v>4481.0</v>
      </c>
      <c r="G2186" s="513">
        <v>1156.0</v>
      </c>
      <c r="H2186" s="513">
        <v>25.8</v>
      </c>
      <c r="I2186" s="513">
        <v>1.68</v>
      </c>
      <c r="J2186" s="513">
        <v>1.74</v>
      </c>
      <c r="K2186" s="513">
        <v>1491.0</v>
      </c>
      <c r="L2186" s="513">
        <v>88845.0</v>
      </c>
      <c r="M2186" s="513">
        <v>0.3327</v>
      </c>
      <c r="N2186" s="6">
        <v>1.2898</v>
      </c>
    </row>
    <row r="2187">
      <c r="A2187" s="512" t="s">
        <v>2041</v>
      </c>
      <c r="B2187" s="512" t="s">
        <v>1867</v>
      </c>
      <c r="C2187" s="512" t="s">
        <v>73</v>
      </c>
      <c r="D2187" s="512" t="s">
        <v>574</v>
      </c>
      <c r="E2187" s="513" t="s">
        <v>40</v>
      </c>
      <c r="F2187" s="513">
        <v>4481.0</v>
      </c>
      <c r="G2187" s="513">
        <v>463.0</v>
      </c>
      <c r="H2187" s="513">
        <v>10.33</v>
      </c>
      <c r="I2187" s="513">
        <v>1.27</v>
      </c>
      <c r="J2187" s="513">
        <v>1.0</v>
      </c>
      <c r="K2187" s="513">
        <v>1124.0</v>
      </c>
      <c r="L2187" s="513">
        <v>88845.0</v>
      </c>
      <c r="M2187" s="513">
        <v>0.2508</v>
      </c>
      <c r="N2187" s="6">
        <v>2.4276</v>
      </c>
    </row>
    <row r="2188">
      <c r="A2188" s="512" t="s">
        <v>2041</v>
      </c>
      <c r="B2188" s="512" t="s">
        <v>1867</v>
      </c>
      <c r="C2188" s="512" t="s">
        <v>73</v>
      </c>
      <c r="D2188" s="512" t="s">
        <v>574</v>
      </c>
      <c r="E2188" s="513" t="s">
        <v>312</v>
      </c>
      <c r="F2188" s="513">
        <v>4481.0</v>
      </c>
      <c r="G2188" s="513">
        <v>727.0</v>
      </c>
      <c r="H2188" s="513">
        <v>16.22</v>
      </c>
      <c r="I2188" s="513">
        <v>0.94</v>
      </c>
      <c r="J2188" s="513">
        <v>0.92</v>
      </c>
      <c r="K2188" s="513">
        <v>835.0</v>
      </c>
      <c r="L2188" s="513">
        <v>88845.0</v>
      </c>
      <c r="M2188" s="513">
        <v>0.1863</v>
      </c>
      <c r="N2188" s="6">
        <v>1.1486</v>
      </c>
    </row>
    <row r="2189">
      <c r="A2189" s="512" t="s">
        <v>2041</v>
      </c>
      <c r="B2189" s="512" t="s">
        <v>1867</v>
      </c>
      <c r="C2189" s="512" t="s">
        <v>73</v>
      </c>
      <c r="D2189" s="512" t="s">
        <v>574</v>
      </c>
      <c r="E2189" s="513" t="s">
        <v>35</v>
      </c>
      <c r="F2189" s="513">
        <v>4481.0</v>
      </c>
      <c r="G2189" s="513">
        <v>639.0</v>
      </c>
      <c r="H2189" s="513">
        <v>14.26</v>
      </c>
      <c r="I2189" s="513">
        <v>0.75</v>
      </c>
      <c r="J2189" s="513">
        <v>0.78</v>
      </c>
      <c r="K2189" s="513">
        <v>664.0</v>
      </c>
      <c r="L2189" s="513">
        <v>88845.0</v>
      </c>
      <c r="M2189" s="513">
        <v>0.1482</v>
      </c>
      <c r="N2189" s="6">
        <v>1.0391</v>
      </c>
    </row>
    <row r="2190">
      <c r="A2190" s="512" t="s">
        <v>2041</v>
      </c>
      <c r="B2190" s="512" t="s">
        <v>1867</v>
      </c>
      <c r="C2190" s="512" t="s">
        <v>73</v>
      </c>
      <c r="D2190" s="512" t="s">
        <v>574</v>
      </c>
      <c r="E2190" s="513" t="s">
        <v>310</v>
      </c>
      <c r="F2190" s="513">
        <v>4481.0</v>
      </c>
      <c r="G2190" s="513">
        <v>583.0</v>
      </c>
      <c r="H2190" s="513">
        <v>13.01</v>
      </c>
      <c r="I2190" s="513">
        <v>0.72</v>
      </c>
      <c r="J2190" s="513">
        <v>0.74</v>
      </c>
      <c r="K2190" s="513">
        <v>638.0</v>
      </c>
      <c r="L2190" s="513">
        <v>88845.0</v>
      </c>
      <c r="M2190" s="513">
        <v>0.1424</v>
      </c>
      <c r="N2190" s="6">
        <v>1.0943</v>
      </c>
    </row>
    <row r="2191">
      <c r="A2191" s="512" t="s">
        <v>2041</v>
      </c>
      <c r="B2191" s="512" t="s">
        <v>1867</v>
      </c>
      <c r="C2191" s="512" t="s">
        <v>73</v>
      </c>
      <c r="D2191" s="512" t="s">
        <v>574</v>
      </c>
      <c r="E2191" s="513" t="s">
        <v>32</v>
      </c>
      <c r="F2191" s="513">
        <v>4481.0</v>
      </c>
      <c r="G2191" s="513">
        <v>455.0</v>
      </c>
      <c r="H2191" s="513">
        <v>10.15</v>
      </c>
      <c r="I2191" s="513">
        <v>0.57</v>
      </c>
      <c r="J2191" s="513">
        <v>0.58</v>
      </c>
      <c r="K2191" s="513">
        <v>502.0</v>
      </c>
      <c r="L2191" s="513">
        <v>88845.0</v>
      </c>
      <c r="M2191" s="513">
        <v>0.112</v>
      </c>
      <c r="N2191" s="6">
        <v>1.1033</v>
      </c>
    </row>
    <row r="2192">
      <c r="A2192" s="512" t="s">
        <v>2041</v>
      </c>
      <c r="B2192" s="512" t="s">
        <v>1867</v>
      </c>
      <c r="C2192" s="512" t="s">
        <v>73</v>
      </c>
      <c r="D2192" s="512" t="s">
        <v>574</v>
      </c>
      <c r="E2192" s="513" t="s">
        <v>43</v>
      </c>
      <c r="F2192" s="513">
        <v>4481.0</v>
      </c>
      <c r="G2192" s="513">
        <v>412.0</v>
      </c>
      <c r="H2192" s="513">
        <v>9.19</v>
      </c>
      <c r="I2192" s="513">
        <v>0.51</v>
      </c>
      <c r="J2192" s="513">
        <v>0.49</v>
      </c>
      <c r="K2192" s="513">
        <v>452.0</v>
      </c>
      <c r="L2192" s="513">
        <v>88845.0</v>
      </c>
      <c r="M2192" s="513">
        <v>0.1009</v>
      </c>
      <c r="N2192" s="6">
        <v>1.0971</v>
      </c>
    </row>
    <row r="2193">
      <c r="A2193" s="512" t="s">
        <v>2041</v>
      </c>
      <c r="B2193" s="512" t="s">
        <v>1867</v>
      </c>
      <c r="C2193" s="512" t="s">
        <v>73</v>
      </c>
      <c r="D2193" s="512" t="s">
        <v>574</v>
      </c>
      <c r="E2193" s="513" t="s">
        <v>189</v>
      </c>
      <c r="F2193" s="513">
        <v>4481.0</v>
      </c>
      <c r="G2193" s="513">
        <v>351.0</v>
      </c>
      <c r="H2193" s="513">
        <v>7.83</v>
      </c>
      <c r="I2193" s="513">
        <v>0.4</v>
      </c>
      <c r="J2193" s="513">
        <v>0.29</v>
      </c>
      <c r="K2193" s="513">
        <v>352.0</v>
      </c>
      <c r="L2193" s="513">
        <v>88845.0</v>
      </c>
      <c r="M2193" s="513">
        <v>0.0786</v>
      </c>
      <c r="N2193" s="6">
        <v>1.0028</v>
      </c>
    </row>
    <row r="2194">
      <c r="A2194" s="512" t="s">
        <v>2041</v>
      </c>
      <c r="B2194" s="512" t="s">
        <v>1867</v>
      </c>
      <c r="C2194" s="512" t="s">
        <v>73</v>
      </c>
      <c r="D2194" s="512" t="s">
        <v>574</v>
      </c>
      <c r="E2194" s="513" t="s">
        <v>311</v>
      </c>
      <c r="F2194" s="513">
        <v>4481.0</v>
      </c>
      <c r="G2194" s="513">
        <v>176.0</v>
      </c>
      <c r="H2194" s="513">
        <v>3.93</v>
      </c>
      <c r="I2194" s="513">
        <v>0.2</v>
      </c>
      <c r="J2194" s="513">
        <v>0.21</v>
      </c>
      <c r="K2194" s="513">
        <v>177.0</v>
      </c>
      <c r="L2194" s="513">
        <v>88845.0</v>
      </c>
      <c r="M2194" s="513">
        <v>0.0395</v>
      </c>
      <c r="N2194" s="6">
        <v>1.0057</v>
      </c>
    </row>
    <row r="2195">
      <c r="A2195" s="512" t="s">
        <v>2041</v>
      </c>
      <c r="B2195" s="512" t="s">
        <v>1867</v>
      </c>
      <c r="C2195" s="512" t="s">
        <v>72</v>
      </c>
      <c r="D2195" s="512" t="s">
        <v>574</v>
      </c>
      <c r="E2195" s="513" t="s">
        <v>379</v>
      </c>
      <c r="F2195" s="513">
        <v>4475.0</v>
      </c>
      <c r="G2195" s="513">
        <v>4410.0</v>
      </c>
      <c r="H2195" s="513">
        <v>98.55</v>
      </c>
      <c r="I2195" s="513">
        <v>36.28</v>
      </c>
      <c r="J2195" s="513">
        <v>36.86</v>
      </c>
      <c r="K2195" s="513">
        <v>29491.0</v>
      </c>
      <c r="L2195" s="513">
        <v>81296.0</v>
      </c>
      <c r="M2195" s="513">
        <v>6.5902</v>
      </c>
      <c r="N2195" s="6">
        <v>6.6873</v>
      </c>
    </row>
    <row r="2196">
      <c r="A2196" s="512" t="s">
        <v>2041</v>
      </c>
      <c r="B2196" s="512" t="s">
        <v>1867</v>
      </c>
      <c r="C2196" s="512" t="s">
        <v>72</v>
      </c>
      <c r="D2196" s="512" t="s">
        <v>574</v>
      </c>
      <c r="E2196" s="513" t="s">
        <v>372</v>
      </c>
      <c r="F2196" s="513">
        <v>4475.0</v>
      </c>
      <c r="G2196" s="513">
        <v>3576.0</v>
      </c>
      <c r="H2196" s="513">
        <v>79.91</v>
      </c>
      <c r="I2196" s="513">
        <v>14.75</v>
      </c>
      <c r="J2196" s="513">
        <v>15.81</v>
      </c>
      <c r="K2196" s="513">
        <v>11995.0</v>
      </c>
      <c r="L2196" s="513">
        <v>81296.0</v>
      </c>
      <c r="M2196" s="513">
        <v>2.6804</v>
      </c>
      <c r="N2196" s="6">
        <v>3.3543</v>
      </c>
    </row>
    <row r="2197">
      <c r="A2197" s="512" t="s">
        <v>2041</v>
      </c>
      <c r="B2197" s="512" t="s">
        <v>1867</v>
      </c>
      <c r="C2197" s="512" t="s">
        <v>72</v>
      </c>
      <c r="D2197" s="512" t="s">
        <v>574</v>
      </c>
      <c r="E2197" s="513" t="s">
        <v>380</v>
      </c>
      <c r="F2197" s="513">
        <v>4475.0</v>
      </c>
      <c r="G2197" s="513">
        <v>2380.0</v>
      </c>
      <c r="H2197" s="513">
        <v>53.18</v>
      </c>
      <c r="I2197" s="513">
        <v>8.23</v>
      </c>
      <c r="J2197" s="513">
        <v>8.78</v>
      </c>
      <c r="K2197" s="513">
        <v>6692.0</v>
      </c>
      <c r="L2197" s="513">
        <v>81296.0</v>
      </c>
      <c r="M2197" s="513">
        <v>1.4954</v>
      </c>
      <c r="N2197" s="6">
        <v>2.8118</v>
      </c>
    </row>
    <row r="2198">
      <c r="A2198" s="512" t="s">
        <v>2041</v>
      </c>
      <c r="B2198" s="512" t="s">
        <v>1867</v>
      </c>
      <c r="C2198" s="512" t="s">
        <v>72</v>
      </c>
      <c r="D2198" s="512" t="s">
        <v>574</v>
      </c>
      <c r="E2198" s="513" t="s">
        <v>377</v>
      </c>
      <c r="F2198" s="513">
        <v>4475.0</v>
      </c>
      <c r="G2198" s="513">
        <v>1664.0</v>
      </c>
      <c r="H2198" s="513">
        <v>37.18</v>
      </c>
      <c r="I2198" s="513">
        <v>6.76</v>
      </c>
      <c r="J2198" s="513">
        <v>4.33</v>
      </c>
      <c r="K2198" s="513">
        <v>5494.0</v>
      </c>
      <c r="L2198" s="513">
        <v>81296.0</v>
      </c>
      <c r="M2198" s="513">
        <v>1.2277</v>
      </c>
      <c r="N2198" s="6">
        <v>3.3017</v>
      </c>
    </row>
    <row r="2199">
      <c r="A2199" s="512" t="s">
        <v>2041</v>
      </c>
      <c r="B2199" s="512" t="s">
        <v>1867</v>
      </c>
      <c r="C2199" s="512" t="s">
        <v>72</v>
      </c>
      <c r="D2199" s="512" t="s">
        <v>574</v>
      </c>
      <c r="E2199" s="513" t="s">
        <v>374</v>
      </c>
      <c r="F2199" s="513">
        <v>4475.0</v>
      </c>
      <c r="G2199" s="513">
        <v>1832.0</v>
      </c>
      <c r="H2199" s="513">
        <v>40.94</v>
      </c>
      <c r="I2199" s="513">
        <v>5.85</v>
      </c>
      <c r="J2199" s="513">
        <v>7.35</v>
      </c>
      <c r="K2199" s="513">
        <v>4753.0</v>
      </c>
      <c r="L2199" s="513">
        <v>81296.0</v>
      </c>
      <c r="M2199" s="513">
        <v>1.0621</v>
      </c>
      <c r="N2199" s="6">
        <v>2.5944</v>
      </c>
    </row>
    <row r="2200">
      <c r="A2200" s="512" t="s">
        <v>2041</v>
      </c>
      <c r="B2200" s="512" t="s">
        <v>1867</v>
      </c>
      <c r="C2200" s="512" t="s">
        <v>72</v>
      </c>
      <c r="D2200" s="512" t="s">
        <v>574</v>
      </c>
      <c r="E2200" s="513" t="s">
        <v>49</v>
      </c>
      <c r="F2200" s="513">
        <v>4475.0</v>
      </c>
      <c r="G2200" s="513">
        <v>2366.0</v>
      </c>
      <c r="H2200" s="513">
        <v>52.87</v>
      </c>
      <c r="I2200" s="513">
        <v>5.58</v>
      </c>
      <c r="J2200" s="513">
        <v>5.8</v>
      </c>
      <c r="K2200" s="513">
        <v>4536.0</v>
      </c>
      <c r="L2200" s="513">
        <v>81296.0</v>
      </c>
      <c r="M2200" s="513">
        <v>1.0136</v>
      </c>
      <c r="N2200" s="6">
        <v>1.9172</v>
      </c>
    </row>
    <row r="2201">
      <c r="A2201" s="512" t="s">
        <v>2041</v>
      </c>
      <c r="B2201" s="512" t="s">
        <v>1867</v>
      </c>
      <c r="C2201" s="512" t="s">
        <v>72</v>
      </c>
      <c r="D2201" s="512" t="s">
        <v>574</v>
      </c>
      <c r="E2201" s="513" t="s">
        <v>134</v>
      </c>
      <c r="F2201" s="513">
        <v>4475.0</v>
      </c>
      <c r="G2201" s="513">
        <v>1076.0</v>
      </c>
      <c r="H2201" s="513">
        <v>24.04</v>
      </c>
      <c r="I2201" s="513">
        <v>5.15</v>
      </c>
      <c r="J2201" s="513">
        <v>3.43</v>
      </c>
      <c r="K2201" s="513">
        <v>4190.0</v>
      </c>
      <c r="L2201" s="513">
        <v>81296.0</v>
      </c>
      <c r="M2201" s="513">
        <v>0.9363</v>
      </c>
      <c r="N2201" s="6">
        <v>3.8941</v>
      </c>
    </row>
    <row r="2202">
      <c r="A2202" s="512" t="s">
        <v>2041</v>
      </c>
      <c r="B2202" s="512" t="s">
        <v>1867</v>
      </c>
      <c r="C2202" s="512" t="s">
        <v>72</v>
      </c>
      <c r="D2202" s="512" t="s">
        <v>574</v>
      </c>
      <c r="E2202" s="513" t="s">
        <v>373</v>
      </c>
      <c r="F2202" s="513">
        <v>4475.0</v>
      </c>
      <c r="G2202" s="513">
        <v>2255.0</v>
      </c>
      <c r="H2202" s="513">
        <v>50.39</v>
      </c>
      <c r="I2202" s="513">
        <v>3.85</v>
      </c>
      <c r="J2202" s="513">
        <v>3.99</v>
      </c>
      <c r="K2202" s="513">
        <v>3126.0</v>
      </c>
      <c r="L2202" s="513">
        <v>81296.0</v>
      </c>
      <c r="M2202" s="513">
        <v>0.6985</v>
      </c>
      <c r="N2202" s="6">
        <v>1.3863</v>
      </c>
    </row>
    <row r="2203">
      <c r="A2203" s="512" t="s">
        <v>2041</v>
      </c>
      <c r="B2203" s="512" t="s">
        <v>1867</v>
      </c>
      <c r="C2203" s="512" t="s">
        <v>72</v>
      </c>
      <c r="D2203" s="512" t="s">
        <v>574</v>
      </c>
      <c r="E2203" s="513" t="s">
        <v>44</v>
      </c>
      <c r="F2203" s="513">
        <v>4475.0</v>
      </c>
      <c r="G2203" s="513">
        <v>2369.0</v>
      </c>
      <c r="H2203" s="513">
        <v>52.94</v>
      </c>
      <c r="I2203" s="513">
        <v>3.71</v>
      </c>
      <c r="J2203" s="513">
        <v>4.6</v>
      </c>
      <c r="K2203" s="513">
        <v>3015.0</v>
      </c>
      <c r="L2203" s="513">
        <v>81296.0</v>
      </c>
      <c r="M2203" s="513">
        <v>0.6737</v>
      </c>
      <c r="N2203" s="6">
        <v>1.2727</v>
      </c>
    </row>
    <row r="2204">
      <c r="A2204" s="512" t="s">
        <v>2041</v>
      </c>
      <c r="B2204" s="512" t="s">
        <v>1867</v>
      </c>
      <c r="C2204" s="512" t="s">
        <v>72</v>
      </c>
      <c r="D2204" s="512" t="s">
        <v>574</v>
      </c>
      <c r="E2204" s="513" t="s">
        <v>367</v>
      </c>
      <c r="F2204" s="513">
        <v>4475.0</v>
      </c>
      <c r="G2204" s="513">
        <v>1021.0</v>
      </c>
      <c r="H2204" s="513">
        <v>22.82</v>
      </c>
      <c r="I2204" s="513">
        <v>2.97</v>
      </c>
      <c r="J2204" s="513">
        <v>2.18</v>
      </c>
      <c r="K2204" s="513">
        <v>2415.0</v>
      </c>
      <c r="L2204" s="513">
        <v>81296.0</v>
      </c>
      <c r="M2204" s="513">
        <v>0.5397</v>
      </c>
      <c r="N2204" s="6">
        <v>2.3653</v>
      </c>
    </row>
    <row r="2205">
      <c r="A2205" s="512" t="s">
        <v>2041</v>
      </c>
      <c r="B2205" s="512" t="s">
        <v>1867</v>
      </c>
      <c r="C2205" s="512" t="s">
        <v>72</v>
      </c>
      <c r="D2205" s="512" t="s">
        <v>574</v>
      </c>
      <c r="E2205" s="513" t="s">
        <v>40</v>
      </c>
      <c r="F2205" s="513">
        <v>4475.0</v>
      </c>
      <c r="G2205" s="513">
        <v>958.0</v>
      </c>
      <c r="H2205" s="513">
        <v>21.41</v>
      </c>
      <c r="I2205" s="513">
        <v>2.28</v>
      </c>
      <c r="J2205" s="513">
        <v>2.1</v>
      </c>
      <c r="K2205" s="513">
        <v>1853.0</v>
      </c>
      <c r="L2205" s="513">
        <v>81296.0</v>
      </c>
      <c r="M2205" s="513">
        <v>0.4141</v>
      </c>
      <c r="N2205" s="6">
        <v>1.9342</v>
      </c>
    </row>
    <row r="2206">
      <c r="A2206" s="512" t="s">
        <v>2041</v>
      </c>
      <c r="B2206" s="512" t="s">
        <v>1867</v>
      </c>
      <c r="C2206" s="512" t="s">
        <v>72</v>
      </c>
      <c r="D2206" s="512" t="s">
        <v>574</v>
      </c>
      <c r="E2206" s="513" t="s">
        <v>375</v>
      </c>
      <c r="F2206" s="513">
        <v>4475.0</v>
      </c>
      <c r="G2206" s="513">
        <v>1071.0</v>
      </c>
      <c r="H2206" s="513">
        <v>23.93</v>
      </c>
      <c r="I2206" s="513">
        <v>1.46</v>
      </c>
      <c r="J2206" s="513">
        <v>1.35</v>
      </c>
      <c r="K2206" s="513">
        <v>1184.0</v>
      </c>
      <c r="L2206" s="513">
        <v>81296.0</v>
      </c>
      <c r="M2206" s="513">
        <v>0.2646</v>
      </c>
      <c r="N2206" s="6">
        <v>1.1055</v>
      </c>
    </row>
    <row r="2207">
      <c r="A2207" s="512" t="s">
        <v>2041</v>
      </c>
      <c r="B2207" s="512" t="s">
        <v>1867</v>
      </c>
      <c r="C2207" s="512" t="s">
        <v>72</v>
      </c>
      <c r="D2207" s="512" t="s">
        <v>574</v>
      </c>
      <c r="E2207" s="513" t="s">
        <v>50</v>
      </c>
      <c r="F2207" s="513">
        <v>4475.0</v>
      </c>
      <c r="G2207" s="513">
        <v>667.0</v>
      </c>
      <c r="H2207" s="513">
        <v>14.91</v>
      </c>
      <c r="I2207" s="513">
        <v>1.0</v>
      </c>
      <c r="J2207" s="513">
        <v>0.97</v>
      </c>
      <c r="K2207" s="513">
        <v>814.0</v>
      </c>
      <c r="L2207" s="513">
        <v>81296.0</v>
      </c>
      <c r="M2207" s="513">
        <v>0.1819</v>
      </c>
      <c r="N2207" s="6">
        <v>1.2204</v>
      </c>
    </row>
    <row r="2208">
      <c r="A2208" s="512" t="s">
        <v>2041</v>
      </c>
      <c r="B2208" s="512" t="s">
        <v>1867</v>
      </c>
      <c r="C2208" s="512" t="s">
        <v>72</v>
      </c>
      <c r="D2208" s="512" t="s">
        <v>574</v>
      </c>
      <c r="E2208" s="513" t="s">
        <v>42</v>
      </c>
      <c r="F2208" s="513">
        <v>4475.0</v>
      </c>
      <c r="G2208" s="513">
        <v>531.0</v>
      </c>
      <c r="H2208" s="513">
        <v>11.87</v>
      </c>
      <c r="I2208" s="513">
        <v>0.77</v>
      </c>
      <c r="J2208" s="513">
        <v>0.92</v>
      </c>
      <c r="K2208" s="513">
        <v>622.0</v>
      </c>
      <c r="L2208" s="513">
        <v>81296.0</v>
      </c>
      <c r="M2208" s="513">
        <v>0.139</v>
      </c>
      <c r="N2208" s="6">
        <v>1.1714</v>
      </c>
    </row>
    <row r="2209">
      <c r="A2209" s="512" t="s">
        <v>2041</v>
      </c>
      <c r="B2209" s="512" t="s">
        <v>1867</v>
      </c>
      <c r="C2209" s="512" t="s">
        <v>72</v>
      </c>
      <c r="D2209" s="512" t="s">
        <v>574</v>
      </c>
      <c r="E2209" s="513" t="s">
        <v>189</v>
      </c>
      <c r="F2209" s="513">
        <v>4475.0</v>
      </c>
      <c r="G2209" s="513">
        <v>468.0</v>
      </c>
      <c r="H2209" s="513">
        <v>10.46</v>
      </c>
      <c r="I2209" s="513">
        <v>0.58</v>
      </c>
      <c r="J2209" s="513">
        <v>0.54</v>
      </c>
      <c r="K2209" s="513">
        <v>474.0</v>
      </c>
      <c r="L2209" s="513">
        <v>81296.0</v>
      </c>
      <c r="M2209" s="513">
        <v>0.1059</v>
      </c>
      <c r="N2209" s="6">
        <v>1.0128</v>
      </c>
    </row>
    <row r="2210">
      <c r="A2210" s="512" t="s">
        <v>2041</v>
      </c>
      <c r="B2210" s="512" t="s">
        <v>1867</v>
      </c>
      <c r="C2210" s="512" t="s">
        <v>72</v>
      </c>
      <c r="D2210" s="512" t="s">
        <v>574</v>
      </c>
      <c r="E2210" s="513" t="s">
        <v>312</v>
      </c>
      <c r="F2210" s="513">
        <v>4475.0</v>
      </c>
      <c r="G2210" s="513">
        <v>214.0</v>
      </c>
      <c r="H2210" s="513">
        <v>4.78</v>
      </c>
      <c r="I2210" s="513">
        <v>0.28</v>
      </c>
      <c r="J2210" s="513">
        <v>0.3</v>
      </c>
      <c r="K2210" s="513">
        <v>224.0</v>
      </c>
      <c r="L2210" s="513">
        <v>81296.0</v>
      </c>
      <c r="M2210" s="513">
        <v>0.0501</v>
      </c>
      <c r="N2210" s="6">
        <v>1.0467</v>
      </c>
    </row>
    <row r="2211">
      <c r="A2211" s="512" t="s">
        <v>2041</v>
      </c>
      <c r="B2211" s="512" t="s">
        <v>1867</v>
      </c>
      <c r="C2211" s="512" t="s">
        <v>72</v>
      </c>
      <c r="D2211" s="512" t="s">
        <v>574</v>
      </c>
      <c r="E2211" s="513" t="s">
        <v>43</v>
      </c>
      <c r="F2211" s="513">
        <v>4475.0</v>
      </c>
      <c r="G2211" s="513">
        <v>142.0</v>
      </c>
      <c r="H2211" s="513">
        <v>3.17</v>
      </c>
      <c r="I2211" s="513">
        <v>0.18</v>
      </c>
      <c r="J2211" s="513">
        <v>0.24</v>
      </c>
      <c r="K2211" s="513">
        <v>150.0</v>
      </c>
      <c r="L2211" s="513">
        <v>81296.0</v>
      </c>
      <c r="M2211" s="513">
        <v>0.0335</v>
      </c>
      <c r="N2211" s="6">
        <v>1.0563</v>
      </c>
    </row>
    <row r="2212">
      <c r="A2212" s="512" t="s">
        <v>2041</v>
      </c>
      <c r="B2212" s="512" t="s">
        <v>1867</v>
      </c>
      <c r="C2212" s="512" t="s">
        <v>72</v>
      </c>
      <c r="D2212" s="512" t="s">
        <v>574</v>
      </c>
      <c r="E2212" s="513" t="s">
        <v>310</v>
      </c>
      <c r="F2212" s="513">
        <v>4475.0</v>
      </c>
      <c r="G2212" s="513">
        <v>125.0</v>
      </c>
      <c r="H2212" s="513">
        <v>2.79</v>
      </c>
      <c r="I2212" s="513">
        <v>0.16</v>
      </c>
      <c r="J2212" s="513">
        <v>0.2</v>
      </c>
      <c r="K2212" s="513">
        <v>131.0</v>
      </c>
      <c r="L2212" s="513">
        <v>81296.0</v>
      </c>
      <c r="M2212" s="513">
        <v>0.0293</v>
      </c>
      <c r="N2212" s="6">
        <v>1.048</v>
      </c>
    </row>
    <row r="2213">
      <c r="A2213" s="512" t="s">
        <v>2041</v>
      </c>
      <c r="B2213" s="512" t="s">
        <v>1867</v>
      </c>
      <c r="C2213" s="512" t="s">
        <v>72</v>
      </c>
      <c r="D2213" s="512" t="s">
        <v>574</v>
      </c>
      <c r="E2213" s="513" t="s">
        <v>32</v>
      </c>
      <c r="F2213" s="513">
        <v>4475.0</v>
      </c>
      <c r="G2213" s="513">
        <v>89.0</v>
      </c>
      <c r="H2213" s="513">
        <v>1.99</v>
      </c>
      <c r="I2213" s="513">
        <v>0.11</v>
      </c>
      <c r="J2213" s="513">
        <v>0.18</v>
      </c>
      <c r="K2213" s="513">
        <v>91.0</v>
      </c>
      <c r="L2213" s="513">
        <v>81296.0</v>
      </c>
      <c r="M2213" s="513">
        <v>0.0203</v>
      </c>
      <c r="N2213" s="6">
        <v>1.0225</v>
      </c>
    </row>
    <row r="2214">
      <c r="A2214" s="512" t="s">
        <v>2041</v>
      </c>
      <c r="B2214" s="512" t="s">
        <v>1867</v>
      </c>
      <c r="C2214" s="512" t="s">
        <v>72</v>
      </c>
      <c r="D2214" s="512" t="s">
        <v>574</v>
      </c>
      <c r="E2214" s="513" t="s">
        <v>311</v>
      </c>
      <c r="F2214" s="513">
        <v>4475.0</v>
      </c>
      <c r="G2214" s="513">
        <v>45.0</v>
      </c>
      <c r="H2214" s="513">
        <v>1.01</v>
      </c>
      <c r="I2214" s="513">
        <v>0.06</v>
      </c>
      <c r="J2214" s="513">
        <v>0.08</v>
      </c>
      <c r="K2214" s="513">
        <v>46.0</v>
      </c>
      <c r="L2214" s="513">
        <v>81296.0</v>
      </c>
      <c r="M2214" s="513">
        <v>0.0103</v>
      </c>
      <c r="N2214" s="6">
        <v>1.0222</v>
      </c>
    </row>
    <row r="2215">
      <c r="A2215" s="512" t="s">
        <v>2041</v>
      </c>
      <c r="B2215" s="512" t="s">
        <v>1867</v>
      </c>
      <c r="C2215" s="512" t="s">
        <v>1883</v>
      </c>
      <c r="D2215" s="512" t="s">
        <v>2036</v>
      </c>
      <c r="E2215" s="513" t="s">
        <v>380</v>
      </c>
      <c r="F2215" s="513">
        <v>3252.0</v>
      </c>
      <c r="G2215" s="513">
        <v>1240.0</v>
      </c>
      <c r="H2215" s="513">
        <v>38.13</v>
      </c>
      <c r="I2215" s="513">
        <v>30.2</v>
      </c>
      <c r="J2215" s="513">
        <v>23.74</v>
      </c>
      <c r="K2215" s="513">
        <v>38305.0</v>
      </c>
      <c r="L2215" s="513">
        <v>126845.0</v>
      </c>
      <c r="M2215" s="513">
        <v>11.7789</v>
      </c>
      <c r="N2215" s="6">
        <v>30.8911</v>
      </c>
    </row>
    <row r="2216">
      <c r="A2216" s="512" t="s">
        <v>2041</v>
      </c>
      <c r="B2216" s="512" t="s">
        <v>1867</v>
      </c>
      <c r="C2216" s="512" t="s">
        <v>1883</v>
      </c>
      <c r="D2216" s="512" t="s">
        <v>2036</v>
      </c>
      <c r="E2216" s="513" t="s">
        <v>375</v>
      </c>
      <c r="F2216" s="513">
        <v>3252.0</v>
      </c>
      <c r="G2216" s="513">
        <v>1688.0</v>
      </c>
      <c r="H2216" s="513">
        <v>51.91</v>
      </c>
      <c r="I2216" s="513">
        <v>25.63</v>
      </c>
      <c r="J2216" s="513">
        <v>31.23</v>
      </c>
      <c r="K2216" s="513">
        <v>32510.0</v>
      </c>
      <c r="L2216" s="513">
        <v>126845.0</v>
      </c>
      <c r="M2216" s="513">
        <v>9.9969</v>
      </c>
      <c r="N2216" s="6">
        <v>19.2595</v>
      </c>
    </row>
    <row r="2217">
      <c r="A2217" s="512" t="s">
        <v>2041</v>
      </c>
      <c r="B2217" s="512" t="s">
        <v>1867</v>
      </c>
      <c r="C2217" s="512" t="s">
        <v>1883</v>
      </c>
      <c r="D2217" s="512" t="s">
        <v>2036</v>
      </c>
      <c r="E2217" s="513" t="s">
        <v>134</v>
      </c>
      <c r="F2217" s="513">
        <v>3252.0</v>
      </c>
      <c r="G2217" s="513">
        <v>989.0</v>
      </c>
      <c r="H2217" s="513">
        <v>30.41</v>
      </c>
      <c r="I2217" s="513">
        <v>18.84</v>
      </c>
      <c r="J2217" s="513">
        <v>17.21</v>
      </c>
      <c r="K2217" s="513">
        <v>23895.0</v>
      </c>
      <c r="L2217" s="513">
        <v>126845.0</v>
      </c>
      <c r="M2217" s="513">
        <v>7.3478</v>
      </c>
      <c r="N2217" s="6">
        <v>24.1608</v>
      </c>
    </row>
    <row r="2218">
      <c r="A2218" s="512" t="s">
        <v>2041</v>
      </c>
      <c r="B2218" s="512" t="s">
        <v>1867</v>
      </c>
      <c r="C2218" s="512" t="s">
        <v>1883</v>
      </c>
      <c r="D2218" s="512" t="s">
        <v>2036</v>
      </c>
      <c r="E2218" s="513" t="s">
        <v>189</v>
      </c>
      <c r="F2218" s="513">
        <v>3252.0</v>
      </c>
      <c r="G2218" s="513">
        <v>773.0</v>
      </c>
      <c r="H2218" s="513">
        <v>23.77</v>
      </c>
      <c r="I2218" s="513">
        <v>11.31</v>
      </c>
      <c r="J2218" s="513">
        <v>13.74</v>
      </c>
      <c r="K2218" s="513">
        <v>14345.0</v>
      </c>
      <c r="L2218" s="513">
        <v>126845.0</v>
      </c>
      <c r="M2218" s="513">
        <v>4.4111</v>
      </c>
      <c r="N2218" s="6">
        <v>18.5576</v>
      </c>
    </row>
    <row r="2219">
      <c r="A2219" s="512" t="s">
        <v>2041</v>
      </c>
      <c r="B2219" s="512" t="s">
        <v>1867</v>
      </c>
      <c r="C2219" s="512" t="s">
        <v>1883</v>
      </c>
      <c r="D2219" s="512" t="s">
        <v>2036</v>
      </c>
      <c r="E2219" s="513" t="s">
        <v>35</v>
      </c>
      <c r="F2219" s="513">
        <v>3252.0</v>
      </c>
      <c r="G2219" s="513">
        <v>670.0</v>
      </c>
      <c r="H2219" s="513">
        <v>20.6</v>
      </c>
      <c r="I2219" s="513">
        <v>8.15</v>
      </c>
      <c r="J2219" s="513">
        <v>10.98</v>
      </c>
      <c r="K2219" s="513">
        <v>10335.0</v>
      </c>
      <c r="L2219" s="513">
        <v>126845.0</v>
      </c>
      <c r="M2219" s="513">
        <v>3.178</v>
      </c>
      <c r="N2219" s="6">
        <v>15.4254</v>
      </c>
    </row>
    <row r="2220">
      <c r="A2220" s="512" t="s">
        <v>2041</v>
      </c>
      <c r="B2220" s="512" t="s">
        <v>1867</v>
      </c>
      <c r="C2220" s="512" t="s">
        <v>1883</v>
      </c>
      <c r="D2220" s="512" t="s">
        <v>2036</v>
      </c>
      <c r="E2220" s="513" t="s">
        <v>373</v>
      </c>
      <c r="F2220" s="513">
        <v>3252.0</v>
      </c>
      <c r="G2220" s="513">
        <v>212.0</v>
      </c>
      <c r="H2220" s="513">
        <v>6.52</v>
      </c>
      <c r="I2220" s="513">
        <v>5.11</v>
      </c>
      <c r="J2220" s="513">
        <v>2.51</v>
      </c>
      <c r="K2220" s="513">
        <v>6480.0</v>
      </c>
      <c r="L2220" s="513">
        <v>126845.0</v>
      </c>
      <c r="M2220" s="513">
        <v>1.9926</v>
      </c>
      <c r="N2220" s="6">
        <v>30.566</v>
      </c>
    </row>
    <row r="2221">
      <c r="A2221" s="512" t="s">
        <v>2041</v>
      </c>
      <c r="B2221" s="512" t="s">
        <v>1867</v>
      </c>
      <c r="C2221" s="512" t="s">
        <v>1883</v>
      </c>
      <c r="D2221" s="512" t="s">
        <v>2036</v>
      </c>
      <c r="E2221" s="513" t="s">
        <v>377</v>
      </c>
      <c r="F2221" s="513">
        <v>3252.0</v>
      </c>
      <c r="G2221" s="513">
        <v>28.0</v>
      </c>
      <c r="H2221" s="513">
        <v>0.86</v>
      </c>
      <c r="I2221" s="513">
        <v>0.77</v>
      </c>
      <c r="J2221" s="513">
        <v>0.58</v>
      </c>
      <c r="K2221" s="513">
        <v>975.0</v>
      </c>
      <c r="L2221" s="513">
        <v>126845.0</v>
      </c>
      <c r="M2221" s="513">
        <v>0.2998</v>
      </c>
      <c r="N2221" s="6">
        <v>34.8214</v>
      </c>
    </row>
    <row r="2222">
      <c r="A2222" s="512" t="s">
        <v>2041</v>
      </c>
      <c r="B2222" s="512" t="s">
        <v>1867</v>
      </c>
      <c r="C2222" s="512" t="s">
        <v>1884</v>
      </c>
      <c r="D2222" s="512" t="s">
        <v>2036</v>
      </c>
      <c r="E2222" s="513" t="s">
        <v>380</v>
      </c>
      <c r="F2222" s="513">
        <v>4070.0</v>
      </c>
      <c r="G2222" s="513">
        <v>2695.0</v>
      </c>
      <c r="H2222" s="513">
        <v>66.22</v>
      </c>
      <c r="I2222" s="513">
        <v>37.16</v>
      </c>
      <c r="J2222" s="513">
        <v>36.41</v>
      </c>
      <c r="K2222" s="513">
        <v>103585.0</v>
      </c>
      <c r="L2222" s="513">
        <v>278745.0</v>
      </c>
      <c r="M2222" s="513">
        <v>25.4509</v>
      </c>
      <c r="N2222" s="6">
        <v>38.436</v>
      </c>
    </row>
    <row r="2223">
      <c r="A2223" s="512" t="s">
        <v>2041</v>
      </c>
      <c r="B2223" s="512" t="s">
        <v>1867</v>
      </c>
      <c r="C2223" s="512" t="s">
        <v>1884</v>
      </c>
      <c r="D2223" s="512" t="s">
        <v>2036</v>
      </c>
      <c r="E2223" s="513" t="s">
        <v>134</v>
      </c>
      <c r="F2223" s="513">
        <v>4070.0</v>
      </c>
      <c r="G2223" s="513">
        <v>1269.0</v>
      </c>
      <c r="H2223" s="513">
        <v>31.18</v>
      </c>
      <c r="I2223" s="513">
        <v>25.06</v>
      </c>
      <c r="J2223" s="513">
        <v>13.99</v>
      </c>
      <c r="K2223" s="513">
        <v>69840.0</v>
      </c>
      <c r="L2223" s="513">
        <v>278745.0</v>
      </c>
      <c r="M2223" s="513">
        <v>17.1597</v>
      </c>
      <c r="N2223" s="6">
        <v>55.0355</v>
      </c>
    </row>
    <row r="2224">
      <c r="A2224" s="512" t="s">
        <v>2041</v>
      </c>
      <c r="B2224" s="512" t="s">
        <v>1867</v>
      </c>
      <c r="C2224" s="512" t="s">
        <v>1884</v>
      </c>
      <c r="D2224" s="512" t="s">
        <v>2036</v>
      </c>
      <c r="E2224" s="513" t="s">
        <v>375</v>
      </c>
      <c r="F2224" s="513">
        <v>4070.0</v>
      </c>
      <c r="G2224" s="513">
        <v>1829.0</v>
      </c>
      <c r="H2224" s="513">
        <v>44.94</v>
      </c>
      <c r="I2224" s="513">
        <v>13.26</v>
      </c>
      <c r="J2224" s="513">
        <v>16.42</v>
      </c>
      <c r="K2224" s="513">
        <v>36950.0</v>
      </c>
      <c r="L2224" s="513">
        <v>278745.0</v>
      </c>
      <c r="M2224" s="513">
        <v>9.0786</v>
      </c>
      <c r="N2224" s="6">
        <v>20.2023</v>
      </c>
    </row>
    <row r="2225">
      <c r="A2225" s="512" t="s">
        <v>2041</v>
      </c>
      <c r="B2225" s="512" t="s">
        <v>1867</v>
      </c>
      <c r="C2225" s="512" t="s">
        <v>1884</v>
      </c>
      <c r="D2225" s="512" t="s">
        <v>2036</v>
      </c>
      <c r="E2225" s="513" t="s">
        <v>44</v>
      </c>
      <c r="F2225" s="513">
        <v>4070.0</v>
      </c>
      <c r="G2225" s="513">
        <v>2245.0</v>
      </c>
      <c r="H2225" s="513">
        <v>55.16</v>
      </c>
      <c r="I2225" s="513">
        <v>10.18</v>
      </c>
      <c r="J2225" s="513">
        <v>17.01</v>
      </c>
      <c r="K2225" s="513">
        <v>28390.0</v>
      </c>
      <c r="L2225" s="513">
        <v>278745.0</v>
      </c>
      <c r="M2225" s="513">
        <v>6.9754</v>
      </c>
      <c r="N2225" s="6">
        <v>12.6459</v>
      </c>
    </row>
    <row r="2226">
      <c r="A2226" s="512" t="s">
        <v>2041</v>
      </c>
      <c r="B2226" s="512" t="s">
        <v>1867</v>
      </c>
      <c r="C2226" s="512" t="s">
        <v>1884</v>
      </c>
      <c r="D2226" s="512" t="s">
        <v>2036</v>
      </c>
      <c r="E2226" s="513" t="s">
        <v>189</v>
      </c>
      <c r="F2226" s="513">
        <v>4070.0</v>
      </c>
      <c r="G2226" s="513">
        <v>814.0</v>
      </c>
      <c r="H2226" s="513">
        <v>20.0</v>
      </c>
      <c r="I2226" s="513">
        <v>5.32</v>
      </c>
      <c r="J2226" s="513">
        <v>7.75</v>
      </c>
      <c r="K2226" s="513">
        <v>14840.0</v>
      </c>
      <c r="L2226" s="513">
        <v>278745.0</v>
      </c>
      <c r="M2226" s="513">
        <v>3.6462</v>
      </c>
      <c r="N2226" s="6">
        <v>18.231</v>
      </c>
    </row>
    <row r="2227">
      <c r="A2227" s="512" t="s">
        <v>2041</v>
      </c>
      <c r="B2227" s="512" t="s">
        <v>1867</v>
      </c>
      <c r="C2227" s="512" t="s">
        <v>1884</v>
      </c>
      <c r="D2227" s="512" t="s">
        <v>2036</v>
      </c>
      <c r="E2227" s="513" t="s">
        <v>373</v>
      </c>
      <c r="F2227" s="513">
        <v>4070.0</v>
      </c>
      <c r="G2227" s="513">
        <v>215.0</v>
      </c>
      <c r="H2227" s="513">
        <v>5.28</v>
      </c>
      <c r="I2227" s="513">
        <v>4.69</v>
      </c>
      <c r="J2227" s="513">
        <v>1.85</v>
      </c>
      <c r="K2227" s="513">
        <v>13080.0</v>
      </c>
      <c r="L2227" s="513">
        <v>278745.0</v>
      </c>
      <c r="M2227" s="513">
        <v>3.2138</v>
      </c>
      <c r="N2227" s="6">
        <v>60.8372</v>
      </c>
    </row>
    <row r="2228">
      <c r="A2228" s="512" t="s">
        <v>2041</v>
      </c>
      <c r="B2228" s="512" t="s">
        <v>1867</v>
      </c>
      <c r="C2228" s="512" t="s">
        <v>1884</v>
      </c>
      <c r="D2228" s="512" t="s">
        <v>2036</v>
      </c>
      <c r="E2228" s="513" t="s">
        <v>35</v>
      </c>
      <c r="F2228" s="513">
        <v>4070.0</v>
      </c>
      <c r="G2228" s="513">
        <v>722.0</v>
      </c>
      <c r="H2228" s="513">
        <v>17.74</v>
      </c>
      <c r="I2228" s="513">
        <v>3.97</v>
      </c>
      <c r="J2228" s="513">
        <v>6.24</v>
      </c>
      <c r="K2228" s="513">
        <v>11055.0</v>
      </c>
      <c r="L2228" s="513">
        <v>278745.0</v>
      </c>
      <c r="M2228" s="513">
        <v>2.7162</v>
      </c>
      <c r="N2228" s="6">
        <v>15.3116</v>
      </c>
    </row>
    <row r="2229">
      <c r="A2229" s="512" t="s">
        <v>2041</v>
      </c>
      <c r="B2229" s="512" t="s">
        <v>1867</v>
      </c>
      <c r="C2229" s="512" t="s">
        <v>1884</v>
      </c>
      <c r="D2229" s="512" t="s">
        <v>2036</v>
      </c>
      <c r="E2229" s="513" t="s">
        <v>377</v>
      </c>
      <c r="F2229" s="513">
        <v>4070.0</v>
      </c>
      <c r="G2229" s="513">
        <v>30.0</v>
      </c>
      <c r="H2229" s="513">
        <v>0.74</v>
      </c>
      <c r="I2229" s="513">
        <v>0.36</v>
      </c>
      <c r="J2229" s="513">
        <v>0.34</v>
      </c>
      <c r="K2229" s="513">
        <v>1005.0</v>
      </c>
      <c r="L2229" s="513">
        <v>278745.0</v>
      </c>
      <c r="M2229" s="513">
        <v>0.2469</v>
      </c>
      <c r="N2229" s="6">
        <v>33.5</v>
      </c>
    </row>
    <row r="2230">
      <c r="A2230" s="512" t="s">
        <v>2041</v>
      </c>
      <c r="B2230" s="512" t="s">
        <v>1867</v>
      </c>
      <c r="C2230" s="512" t="s">
        <v>1885</v>
      </c>
      <c r="D2230" s="512" t="s">
        <v>2036</v>
      </c>
      <c r="E2230" s="513" t="s">
        <v>380</v>
      </c>
      <c r="F2230" s="513">
        <v>4202.0</v>
      </c>
      <c r="G2230" s="513">
        <v>3393.0</v>
      </c>
      <c r="H2230" s="513">
        <v>80.75</v>
      </c>
      <c r="I2230" s="513">
        <v>38.44</v>
      </c>
      <c r="J2230" s="513">
        <v>46.37</v>
      </c>
      <c r="K2230" s="513">
        <v>137305.0</v>
      </c>
      <c r="L2230" s="513">
        <v>357200.0</v>
      </c>
      <c r="M2230" s="513">
        <v>32.6761</v>
      </c>
      <c r="N2230" s="6">
        <v>40.4671</v>
      </c>
    </row>
    <row r="2231">
      <c r="A2231" s="512" t="s">
        <v>2041</v>
      </c>
      <c r="B2231" s="512" t="s">
        <v>1867</v>
      </c>
      <c r="C2231" s="512" t="s">
        <v>1885</v>
      </c>
      <c r="D2231" s="512" t="s">
        <v>2036</v>
      </c>
      <c r="E2231" s="513" t="s">
        <v>134</v>
      </c>
      <c r="F2231" s="513">
        <v>4202.0</v>
      </c>
      <c r="G2231" s="513">
        <v>1182.0</v>
      </c>
      <c r="H2231" s="513">
        <v>28.13</v>
      </c>
      <c r="I2231" s="513">
        <v>27.96</v>
      </c>
      <c r="J2231" s="513">
        <v>13.42</v>
      </c>
      <c r="K2231" s="513">
        <v>99880.0</v>
      </c>
      <c r="L2231" s="513">
        <v>357200.0</v>
      </c>
      <c r="M2231" s="513">
        <v>23.7696</v>
      </c>
      <c r="N2231" s="6">
        <v>84.5008</v>
      </c>
    </row>
    <row r="2232">
      <c r="A2232" s="512" t="s">
        <v>2041</v>
      </c>
      <c r="B2232" s="512" t="s">
        <v>1867</v>
      </c>
      <c r="C2232" s="512" t="s">
        <v>1885</v>
      </c>
      <c r="D2232" s="512" t="s">
        <v>2036</v>
      </c>
      <c r="E2232" s="513" t="s">
        <v>375</v>
      </c>
      <c r="F2232" s="513">
        <v>4202.0</v>
      </c>
      <c r="G2232" s="513">
        <v>1807.0</v>
      </c>
      <c r="H2232" s="513">
        <v>43.0</v>
      </c>
      <c r="I2232" s="513">
        <v>11.52</v>
      </c>
      <c r="J2232" s="513">
        <v>13.15</v>
      </c>
      <c r="K2232" s="513">
        <v>41155.0</v>
      </c>
      <c r="L2232" s="513">
        <v>357200.0</v>
      </c>
      <c r="M2232" s="513">
        <v>9.7941</v>
      </c>
      <c r="N2232" s="6">
        <v>22.7753</v>
      </c>
    </row>
    <row r="2233">
      <c r="A2233" s="512" t="s">
        <v>2041</v>
      </c>
      <c r="B2233" s="512" t="s">
        <v>1867</v>
      </c>
      <c r="C2233" s="512" t="s">
        <v>1885</v>
      </c>
      <c r="D2233" s="512" t="s">
        <v>2036</v>
      </c>
      <c r="E2233" s="513" t="s">
        <v>44</v>
      </c>
      <c r="F2233" s="513">
        <v>4202.0</v>
      </c>
      <c r="G2233" s="513">
        <v>2369.0</v>
      </c>
      <c r="H2233" s="513">
        <v>56.38</v>
      </c>
      <c r="I2233" s="513">
        <v>8.38</v>
      </c>
      <c r="J2233" s="513">
        <v>13.13</v>
      </c>
      <c r="K2233" s="513">
        <v>29930.0</v>
      </c>
      <c r="L2233" s="513">
        <v>357200.0</v>
      </c>
      <c r="M2233" s="513">
        <v>7.1228</v>
      </c>
      <c r="N2233" s="6">
        <v>12.634</v>
      </c>
    </row>
    <row r="2234">
      <c r="A2234" s="512" t="s">
        <v>2041</v>
      </c>
      <c r="B2234" s="512" t="s">
        <v>1867</v>
      </c>
      <c r="C2234" s="512" t="s">
        <v>1885</v>
      </c>
      <c r="D2234" s="512" t="s">
        <v>2036</v>
      </c>
      <c r="E2234" s="513" t="s">
        <v>373</v>
      </c>
      <c r="F2234" s="513">
        <v>4202.0</v>
      </c>
      <c r="G2234" s="513">
        <v>340.0</v>
      </c>
      <c r="H2234" s="513">
        <v>8.09</v>
      </c>
      <c r="I2234" s="513">
        <v>5.76</v>
      </c>
      <c r="J2234" s="513">
        <v>2.93</v>
      </c>
      <c r="K2234" s="513">
        <v>20580.0</v>
      </c>
      <c r="L2234" s="513">
        <v>357200.0</v>
      </c>
      <c r="M2234" s="513">
        <v>4.8977</v>
      </c>
      <c r="N2234" s="6">
        <v>60.5294</v>
      </c>
    </row>
    <row r="2235">
      <c r="A2235" s="512" t="s">
        <v>2041</v>
      </c>
      <c r="B2235" s="512" t="s">
        <v>1867</v>
      </c>
      <c r="C2235" s="512" t="s">
        <v>1885</v>
      </c>
      <c r="D2235" s="512" t="s">
        <v>2036</v>
      </c>
      <c r="E2235" s="513" t="s">
        <v>189</v>
      </c>
      <c r="F2235" s="513">
        <v>4202.0</v>
      </c>
      <c r="G2235" s="513">
        <v>787.0</v>
      </c>
      <c r="H2235" s="513">
        <v>18.73</v>
      </c>
      <c r="I2235" s="513">
        <v>4.5</v>
      </c>
      <c r="J2235" s="513">
        <v>6.03</v>
      </c>
      <c r="K2235" s="513">
        <v>16065.0</v>
      </c>
      <c r="L2235" s="513">
        <v>357200.0</v>
      </c>
      <c r="M2235" s="513">
        <v>3.8232</v>
      </c>
      <c r="N2235" s="6">
        <v>20.413</v>
      </c>
    </row>
    <row r="2236">
      <c r="A2236" s="512" t="s">
        <v>2041</v>
      </c>
      <c r="B2236" s="512" t="s">
        <v>1867</v>
      </c>
      <c r="C2236" s="512" t="s">
        <v>1885</v>
      </c>
      <c r="D2236" s="512" t="s">
        <v>2036</v>
      </c>
      <c r="E2236" s="513" t="s">
        <v>35</v>
      </c>
      <c r="F2236" s="513">
        <v>4202.0</v>
      </c>
      <c r="G2236" s="513">
        <v>741.0</v>
      </c>
      <c r="H2236" s="513">
        <v>17.63</v>
      </c>
      <c r="I2236" s="513">
        <v>3.16</v>
      </c>
      <c r="J2236" s="513">
        <v>4.71</v>
      </c>
      <c r="K2236" s="513">
        <v>11280.0</v>
      </c>
      <c r="L2236" s="513">
        <v>357200.0</v>
      </c>
      <c r="M2236" s="513">
        <v>2.6844</v>
      </c>
      <c r="N2236" s="6">
        <v>15.2227</v>
      </c>
    </row>
    <row r="2237">
      <c r="A2237" s="512" t="s">
        <v>2041</v>
      </c>
      <c r="B2237" s="512" t="s">
        <v>1867</v>
      </c>
      <c r="C2237" s="512" t="s">
        <v>1885</v>
      </c>
      <c r="D2237" s="512" t="s">
        <v>2036</v>
      </c>
      <c r="E2237" s="513" t="s">
        <v>377</v>
      </c>
      <c r="F2237" s="513">
        <v>4202.0</v>
      </c>
      <c r="G2237" s="513">
        <v>30.0</v>
      </c>
      <c r="H2237" s="513">
        <v>0.71</v>
      </c>
      <c r="I2237" s="513">
        <v>0.28</v>
      </c>
      <c r="J2237" s="513">
        <v>0.26</v>
      </c>
      <c r="K2237" s="513">
        <v>1005.0</v>
      </c>
      <c r="L2237" s="513">
        <v>357200.0</v>
      </c>
      <c r="M2237" s="513">
        <v>0.2392</v>
      </c>
      <c r="N2237" s="6">
        <v>33.5</v>
      </c>
    </row>
    <row r="2238">
      <c r="A2238" s="512" t="s">
        <v>2041</v>
      </c>
      <c r="B2238" s="512" t="s">
        <v>1867</v>
      </c>
      <c r="C2238" s="512" t="s">
        <v>75</v>
      </c>
      <c r="D2238" s="512" t="s">
        <v>2036</v>
      </c>
      <c r="E2238" s="513" t="s">
        <v>379</v>
      </c>
      <c r="F2238" s="513">
        <v>4488.0</v>
      </c>
      <c r="G2238" s="513">
        <v>4485.0</v>
      </c>
      <c r="H2238" s="513">
        <v>99.93</v>
      </c>
      <c r="I2238" s="513">
        <v>48.78</v>
      </c>
      <c r="J2238" s="513">
        <v>46.6</v>
      </c>
      <c r="K2238" s="513">
        <v>3941155.0</v>
      </c>
      <c r="L2238" s="513">
        <v>8079026.0</v>
      </c>
      <c r="M2238" s="513">
        <v>878.154</v>
      </c>
      <c r="N2238" s="6">
        <v>878.7414</v>
      </c>
    </row>
    <row r="2239">
      <c r="A2239" s="512" t="s">
        <v>2041</v>
      </c>
      <c r="B2239" s="512" t="s">
        <v>1867</v>
      </c>
      <c r="C2239" s="512" t="s">
        <v>75</v>
      </c>
      <c r="D2239" s="512" t="s">
        <v>2036</v>
      </c>
      <c r="E2239" s="513" t="s">
        <v>380</v>
      </c>
      <c r="F2239" s="513">
        <v>4488.0</v>
      </c>
      <c r="G2239" s="513">
        <v>3339.0</v>
      </c>
      <c r="H2239" s="513">
        <v>74.4</v>
      </c>
      <c r="I2239" s="513">
        <v>12.45</v>
      </c>
      <c r="J2239" s="513">
        <v>13.89</v>
      </c>
      <c r="K2239" s="513">
        <v>1005990.0</v>
      </c>
      <c r="L2239" s="513">
        <v>8079026.0</v>
      </c>
      <c r="M2239" s="513">
        <v>224.1511</v>
      </c>
      <c r="N2239" s="6">
        <v>301.2848</v>
      </c>
    </row>
    <row r="2240">
      <c r="A2240" s="512" t="s">
        <v>2041</v>
      </c>
      <c r="B2240" s="512" t="s">
        <v>1867</v>
      </c>
      <c r="C2240" s="512" t="s">
        <v>75</v>
      </c>
      <c r="D2240" s="512" t="s">
        <v>2036</v>
      </c>
      <c r="E2240" s="513" t="s">
        <v>372</v>
      </c>
      <c r="F2240" s="513">
        <v>4488.0</v>
      </c>
      <c r="G2240" s="513">
        <v>4151.0</v>
      </c>
      <c r="H2240" s="513">
        <v>92.49</v>
      </c>
      <c r="I2240" s="513">
        <v>11.85</v>
      </c>
      <c r="J2240" s="513">
        <v>13.03</v>
      </c>
      <c r="K2240" s="513">
        <v>957450.0</v>
      </c>
      <c r="L2240" s="513">
        <v>8079026.0</v>
      </c>
      <c r="M2240" s="513">
        <v>213.3356</v>
      </c>
      <c r="N2240" s="6">
        <v>230.6553</v>
      </c>
    </row>
    <row r="2241">
      <c r="A2241" s="512" t="s">
        <v>2041</v>
      </c>
      <c r="B2241" s="512" t="s">
        <v>1867</v>
      </c>
      <c r="C2241" s="512" t="s">
        <v>75</v>
      </c>
      <c r="D2241" s="512" t="s">
        <v>2036</v>
      </c>
      <c r="E2241" s="513" t="s">
        <v>49</v>
      </c>
      <c r="F2241" s="513">
        <v>4488.0</v>
      </c>
      <c r="G2241" s="513">
        <v>3339.0</v>
      </c>
      <c r="H2241" s="513">
        <v>74.4</v>
      </c>
      <c r="I2241" s="513">
        <v>5.73</v>
      </c>
      <c r="J2241" s="513">
        <v>6.16</v>
      </c>
      <c r="K2241" s="513">
        <v>462840.0</v>
      </c>
      <c r="L2241" s="513">
        <v>8079026.0</v>
      </c>
      <c r="M2241" s="513">
        <v>103.1283</v>
      </c>
      <c r="N2241" s="6">
        <v>138.6164</v>
      </c>
    </row>
    <row r="2242">
      <c r="A2242" s="512" t="s">
        <v>2041</v>
      </c>
      <c r="B2242" s="512" t="s">
        <v>1867</v>
      </c>
      <c r="C2242" s="512" t="s">
        <v>75</v>
      </c>
      <c r="D2242" s="512" t="s">
        <v>2036</v>
      </c>
      <c r="E2242" s="513" t="s">
        <v>377</v>
      </c>
      <c r="F2242" s="513">
        <v>4488.0</v>
      </c>
      <c r="G2242" s="513">
        <v>1659.0</v>
      </c>
      <c r="H2242" s="513">
        <v>36.97</v>
      </c>
      <c r="I2242" s="513">
        <v>4.76</v>
      </c>
      <c r="J2242" s="513">
        <v>2.38</v>
      </c>
      <c r="K2242" s="513">
        <v>384496.0</v>
      </c>
      <c r="L2242" s="513">
        <v>8079026.0</v>
      </c>
      <c r="M2242" s="513">
        <v>85.672</v>
      </c>
      <c r="N2242" s="6">
        <v>231.7637</v>
      </c>
    </row>
    <row r="2243">
      <c r="A2243" s="512" t="s">
        <v>2041</v>
      </c>
      <c r="B2243" s="512" t="s">
        <v>1867</v>
      </c>
      <c r="C2243" s="512" t="s">
        <v>75</v>
      </c>
      <c r="D2243" s="512" t="s">
        <v>2036</v>
      </c>
      <c r="E2243" s="513" t="s">
        <v>44</v>
      </c>
      <c r="F2243" s="513">
        <v>4488.0</v>
      </c>
      <c r="G2243" s="513">
        <v>2706.0</v>
      </c>
      <c r="H2243" s="513">
        <v>60.29</v>
      </c>
      <c r="I2243" s="513">
        <v>3.69</v>
      </c>
      <c r="J2243" s="513">
        <v>4.83</v>
      </c>
      <c r="K2243" s="513">
        <v>298290.0</v>
      </c>
      <c r="L2243" s="513">
        <v>8079026.0</v>
      </c>
      <c r="M2243" s="513">
        <v>66.4639</v>
      </c>
      <c r="N2243" s="6">
        <v>110.2328</v>
      </c>
    </row>
    <row r="2244">
      <c r="A2244" s="512" t="s">
        <v>2041</v>
      </c>
      <c r="B2244" s="512" t="s">
        <v>1867</v>
      </c>
      <c r="C2244" s="512" t="s">
        <v>75</v>
      </c>
      <c r="D2244" s="512" t="s">
        <v>2036</v>
      </c>
      <c r="E2244" s="513" t="s">
        <v>373</v>
      </c>
      <c r="F2244" s="513">
        <v>4488.0</v>
      </c>
      <c r="G2244" s="513">
        <v>3159.0</v>
      </c>
      <c r="H2244" s="513">
        <v>70.39</v>
      </c>
      <c r="I2244" s="513">
        <v>2.77</v>
      </c>
      <c r="J2244" s="513">
        <v>2.49</v>
      </c>
      <c r="K2244" s="513">
        <v>223650.0</v>
      </c>
      <c r="L2244" s="513">
        <v>8079026.0</v>
      </c>
      <c r="M2244" s="513">
        <v>49.8329</v>
      </c>
      <c r="N2244" s="6">
        <v>70.7977</v>
      </c>
    </row>
    <row r="2245">
      <c r="A2245" s="512" t="s">
        <v>2041</v>
      </c>
      <c r="B2245" s="512" t="s">
        <v>1867</v>
      </c>
      <c r="C2245" s="512" t="s">
        <v>75</v>
      </c>
      <c r="D2245" s="512" t="s">
        <v>2036</v>
      </c>
      <c r="E2245" s="513" t="s">
        <v>375</v>
      </c>
      <c r="F2245" s="513">
        <v>4488.0</v>
      </c>
      <c r="G2245" s="513">
        <v>1846.0</v>
      </c>
      <c r="H2245" s="513">
        <v>41.13</v>
      </c>
      <c r="I2245" s="513">
        <v>2.64</v>
      </c>
      <c r="J2245" s="513">
        <v>3.02</v>
      </c>
      <c r="K2245" s="513">
        <v>213690.0</v>
      </c>
      <c r="L2245" s="513">
        <v>8079026.0</v>
      </c>
      <c r="M2245" s="513">
        <v>47.6136</v>
      </c>
      <c r="N2245" s="6">
        <v>115.7584</v>
      </c>
    </row>
    <row r="2246">
      <c r="A2246" s="512" t="s">
        <v>2041</v>
      </c>
      <c r="B2246" s="512" t="s">
        <v>1867</v>
      </c>
      <c r="C2246" s="512" t="s">
        <v>75</v>
      </c>
      <c r="D2246" s="512" t="s">
        <v>2036</v>
      </c>
      <c r="E2246" s="513" t="s">
        <v>35</v>
      </c>
      <c r="F2246" s="513">
        <v>4488.0</v>
      </c>
      <c r="G2246" s="513">
        <v>1101.0</v>
      </c>
      <c r="H2246" s="513">
        <v>24.53</v>
      </c>
      <c r="I2246" s="513">
        <v>2.28</v>
      </c>
      <c r="J2246" s="513">
        <v>2.53</v>
      </c>
      <c r="K2246" s="513">
        <v>183840.0</v>
      </c>
      <c r="L2246" s="513">
        <v>8079026.0</v>
      </c>
      <c r="M2246" s="513">
        <v>40.9626</v>
      </c>
      <c r="N2246" s="6">
        <v>166.9755</v>
      </c>
    </row>
    <row r="2247">
      <c r="A2247" s="512" t="s">
        <v>2041</v>
      </c>
      <c r="B2247" s="512" t="s">
        <v>1867</v>
      </c>
      <c r="C2247" s="512" t="s">
        <v>75</v>
      </c>
      <c r="D2247" s="512" t="s">
        <v>2036</v>
      </c>
      <c r="E2247" s="513" t="s">
        <v>374</v>
      </c>
      <c r="F2247" s="513">
        <v>4488.0</v>
      </c>
      <c r="G2247" s="513">
        <v>2021.0</v>
      </c>
      <c r="H2247" s="513">
        <v>45.03</v>
      </c>
      <c r="I2247" s="513">
        <v>2.07</v>
      </c>
      <c r="J2247" s="513">
        <v>1.67</v>
      </c>
      <c r="K2247" s="513">
        <v>167130.0</v>
      </c>
      <c r="L2247" s="513">
        <v>8079026.0</v>
      </c>
      <c r="M2247" s="513">
        <v>37.2393</v>
      </c>
      <c r="N2247" s="6">
        <v>82.6967</v>
      </c>
    </row>
    <row r="2248">
      <c r="A2248" s="512" t="s">
        <v>2041</v>
      </c>
      <c r="B2248" s="512" t="s">
        <v>1867</v>
      </c>
      <c r="C2248" s="512" t="s">
        <v>75</v>
      </c>
      <c r="D2248" s="512" t="s">
        <v>2036</v>
      </c>
      <c r="E2248" s="513" t="s">
        <v>189</v>
      </c>
      <c r="F2248" s="513">
        <v>4488.0</v>
      </c>
      <c r="G2248" s="513">
        <v>802.0</v>
      </c>
      <c r="H2248" s="513">
        <v>17.87</v>
      </c>
      <c r="I2248" s="513">
        <v>1.02</v>
      </c>
      <c r="J2248" s="513">
        <v>1.14</v>
      </c>
      <c r="K2248" s="513">
        <v>82410.0</v>
      </c>
      <c r="L2248" s="513">
        <v>8079026.0</v>
      </c>
      <c r="M2248" s="513">
        <v>18.3623</v>
      </c>
      <c r="N2248" s="6">
        <v>102.7556</v>
      </c>
    </row>
    <row r="2249">
      <c r="A2249" s="512" t="s">
        <v>2041</v>
      </c>
      <c r="B2249" s="512" t="s">
        <v>1867</v>
      </c>
      <c r="C2249" s="512" t="s">
        <v>75</v>
      </c>
      <c r="D2249" s="512" t="s">
        <v>2036</v>
      </c>
      <c r="E2249" s="513" t="s">
        <v>43</v>
      </c>
      <c r="F2249" s="513">
        <v>4488.0</v>
      </c>
      <c r="G2249" s="513">
        <v>1721.0</v>
      </c>
      <c r="H2249" s="513">
        <v>38.35</v>
      </c>
      <c r="I2249" s="513">
        <v>0.77</v>
      </c>
      <c r="J2249" s="513">
        <v>0.96</v>
      </c>
      <c r="K2249" s="513">
        <v>62015.0</v>
      </c>
      <c r="L2249" s="513">
        <v>8079026.0</v>
      </c>
      <c r="M2249" s="513">
        <v>13.818</v>
      </c>
      <c r="N2249" s="6">
        <v>36.0343</v>
      </c>
    </row>
    <row r="2250">
      <c r="A2250" s="512" t="s">
        <v>2041</v>
      </c>
      <c r="B2250" s="512" t="s">
        <v>1867</v>
      </c>
      <c r="C2250" s="512" t="s">
        <v>75</v>
      </c>
      <c r="D2250" s="512" t="s">
        <v>2036</v>
      </c>
      <c r="E2250" s="513" t="s">
        <v>32</v>
      </c>
      <c r="F2250" s="513">
        <v>4488.0</v>
      </c>
      <c r="G2250" s="513">
        <v>1017.0</v>
      </c>
      <c r="H2250" s="513">
        <v>22.66</v>
      </c>
      <c r="I2250" s="513">
        <v>0.45</v>
      </c>
      <c r="J2250" s="513">
        <v>0.62</v>
      </c>
      <c r="K2250" s="513">
        <v>36720.0</v>
      </c>
      <c r="L2250" s="513">
        <v>8079026.0</v>
      </c>
      <c r="M2250" s="513">
        <v>8.1818</v>
      </c>
      <c r="N2250" s="6">
        <v>36.1062</v>
      </c>
    </row>
    <row r="2251">
      <c r="A2251" s="512" t="s">
        <v>2041</v>
      </c>
      <c r="B2251" s="512" t="s">
        <v>1867</v>
      </c>
      <c r="C2251" s="512" t="s">
        <v>75</v>
      </c>
      <c r="D2251" s="512" t="s">
        <v>2036</v>
      </c>
      <c r="E2251" s="513" t="s">
        <v>367</v>
      </c>
      <c r="F2251" s="513">
        <v>4488.0</v>
      </c>
      <c r="G2251" s="513">
        <v>1233.0</v>
      </c>
      <c r="H2251" s="513">
        <v>27.47</v>
      </c>
      <c r="I2251" s="513">
        <v>0.45</v>
      </c>
      <c r="J2251" s="513">
        <v>0.39</v>
      </c>
      <c r="K2251" s="513">
        <v>36505.0</v>
      </c>
      <c r="L2251" s="513">
        <v>8079026.0</v>
      </c>
      <c r="M2251" s="513">
        <v>8.1339</v>
      </c>
      <c r="N2251" s="6">
        <v>29.6067</v>
      </c>
    </row>
    <row r="2252">
      <c r="A2252" s="512" t="s">
        <v>2041</v>
      </c>
      <c r="B2252" s="512" t="s">
        <v>1867</v>
      </c>
      <c r="C2252" s="512" t="s">
        <v>75</v>
      </c>
      <c r="D2252" s="512" t="s">
        <v>2036</v>
      </c>
      <c r="E2252" s="513" t="s">
        <v>134</v>
      </c>
      <c r="F2252" s="513">
        <v>4488.0</v>
      </c>
      <c r="G2252" s="513">
        <v>456.0</v>
      </c>
      <c r="H2252" s="513">
        <v>10.16</v>
      </c>
      <c r="I2252" s="513">
        <v>0.26</v>
      </c>
      <c r="J2252" s="513">
        <v>0.24</v>
      </c>
      <c r="K2252" s="513">
        <v>20645.0</v>
      </c>
      <c r="L2252" s="513">
        <v>8079026.0</v>
      </c>
      <c r="M2252" s="513">
        <v>4.6</v>
      </c>
      <c r="N2252" s="6">
        <v>45.2741</v>
      </c>
    </row>
    <row r="2253">
      <c r="A2253" s="512" t="s">
        <v>2041</v>
      </c>
      <c r="B2253" s="512" t="s">
        <v>1867</v>
      </c>
      <c r="C2253" s="512" t="s">
        <v>75</v>
      </c>
      <c r="D2253" s="512" t="s">
        <v>2036</v>
      </c>
      <c r="E2253" s="513" t="s">
        <v>50</v>
      </c>
      <c r="F2253" s="513">
        <v>4488.0</v>
      </c>
      <c r="G2253" s="513">
        <v>44.0</v>
      </c>
      <c r="H2253" s="513">
        <v>0.98</v>
      </c>
      <c r="I2253" s="513">
        <v>0.03</v>
      </c>
      <c r="J2253" s="513">
        <v>0.05</v>
      </c>
      <c r="K2253" s="513">
        <v>2180.0</v>
      </c>
      <c r="L2253" s="513">
        <v>8079026.0</v>
      </c>
      <c r="M2253" s="513">
        <v>0.4857</v>
      </c>
      <c r="N2253" s="6">
        <v>49.5455</v>
      </c>
    </row>
    <row r="2254">
      <c r="A2254" s="512" t="s">
        <v>2041</v>
      </c>
      <c r="B2254" s="512" t="s">
        <v>1867</v>
      </c>
      <c r="C2254" s="512" t="s">
        <v>75</v>
      </c>
      <c r="D2254" s="512" t="s">
        <v>2036</v>
      </c>
      <c r="E2254" s="513" t="s">
        <v>42</v>
      </c>
      <c r="F2254" s="513">
        <v>4488.0</v>
      </c>
      <c r="G2254" s="513">
        <v>1.0</v>
      </c>
      <c r="H2254" s="513">
        <v>0.02</v>
      </c>
      <c r="I2254" s="513">
        <v>0.0</v>
      </c>
      <c r="J2254" s="513">
        <v>0.0</v>
      </c>
      <c r="K2254" s="513">
        <v>20.0</v>
      </c>
      <c r="L2254" s="513">
        <v>8079026.0</v>
      </c>
      <c r="M2254" s="513">
        <v>0.0045</v>
      </c>
      <c r="N2254" s="6">
        <v>20.0</v>
      </c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10" t="s">
        <v>2042</v>
      </c>
      <c r="B1" s="510" t="s">
        <v>2022</v>
      </c>
      <c r="C1" s="510" t="s">
        <v>2043</v>
      </c>
      <c r="D1" s="510" t="s">
        <v>2044</v>
      </c>
      <c r="E1" s="510" t="s">
        <v>2045</v>
      </c>
      <c r="F1" s="510" t="s">
        <v>2046</v>
      </c>
      <c r="G1" s="510" t="s">
        <v>2047</v>
      </c>
      <c r="H1" s="510" t="s">
        <v>2048</v>
      </c>
      <c r="I1" s="510" t="s">
        <v>2049</v>
      </c>
      <c r="J1" s="510" t="s">
        <v>2050</v>
      </c>
      <c r="K1" s="510" t="s">
        <v>2051</v>
      </c>
      <c r="L1" s="510" t="s">
        <v>2052</v>
      </c>
      <c r="M1" s="510" t="s">
        <v>2053</v>
      </c>
      <c r="N1" s="510" t="s">
        <v>2054</v>
      </c>
      <c r="O1" s="510" t="s">
        <v>2055</v>
      </c>
      <c r="P1" s="510" t="s">
        <v>2056</v>
      </c>
      <c r="Q1" s="510" t="s">
        <v>2057</v>
      </c>
      <c r="R1" s="510" t="s">
        <v>2058</v>
      </c>
      <c r="S1" s="510" t="s">
        <v>2059</v>
      </c>
      <c r="T1" s="510" t="s">
        <v>2060</v>
      </c>
      <c r="U1" s="510" t="s">
        <v>2061</v>
      </c>
      <c r="V1" s="510" t="s">
        <v>2062</v>
      </c>
      <c r="W1" s="510" t="s">
        <v>2063</v>
      </c>
      <c r="X1" s="510" t="s">
        <v>2064</v>
      </c>
      <c r="Y1" s="510" t="s">
        <v>2065</v>
      </c>
      <c r="Z1" s="510" t="s">
        <v>2066</v>
      </c>
      <c r="AA1" s="510" t="s">
        <v>2067</v>
      </c>
      <c r="AB1" s="510" t="s">
        <v>2068</v>
      </c>
      <c r="AC1" s="510" t="s">
        <v>2069</v>
      </c>
      <c r="AD1" s="510" t="s">
        <v>2070</v>
      </c>
      <c r="AE1" s="510" t="s">
        <v>2071</v>
      </c>
      <c r="AF1" s="510" t="s">
        <v>2072</v>
      </c>
      <c r="AG1" s="510" t="s">
        <v>2073</v>
      </c>
      <c r="AH1" s="510" t="s">
        <v>2074</v>
      </c>
      <c r="AI1" s="510" t="s">
        <v>2075</v>
      </c>
      <c r="AJ1" s="510" t="s">
        <v>2076</v>
      </c>
    </row>
    <row r="2">
      <c r="A2" s="5" t="s">
        <v>56</v>
      </c>
      <c r="B2" s="5" t="s">
        <v>163</v>
      </c>
      <c r="C2" s="6">
        <v>1.0</v>
      </c>
      <c r="D2" s="6">
        <v>140400.0</v>
      </c>
      <c r="E2" s="6">
        <v>1318733.0</v>
      </c>
      <c r="F2" s="6">
        <v>38786.0</v>
      </c>
      <c r="G2" s="6">
        <v>37.69</v>
      </c>
      <c r="H2" s="6">
        <v>9.28</v>
      </c>
      <c r="I2" s="6">
        <v>1.0</v>
      </c>
      <c r="J2" s="6">
        <v>5.0</v>
      </c>
      <c r="K2" s="6">
        <v>15.0</v>
      </c>
      <c r="L2" s="6">
        <v>25.0</v>
      </c>
      <c r="M2" s="6">
        <v>0.2752</v>
      </c>
      <c r="N2" s="6">
        <v>0.2671</v>
      </c>
      <c r="O2" s="6">
        <v>0.2755</v>
      </c>
      <c r="P2" s="6">
        <v>0.2779</v>
      </c>
      <c r="Q2" s="6">
        <v>0.2781</v>
      </c>
      <c r="R2" s="6">
        <v>0.2716</v>
      </c>
      <c r="S2" s="6">
        <v>0.2736</v>
      </c>
      <c r="T2" s="6">
        <v>0.2643</v>
      </c>
      <c r="U2" s="6">
        <v>0.2699</v>
      </c>
      <c r="V2" s="6">
        <v>3.93</v>
      </c>
      <c r="W2" s="6">
        <v>2.0</v>
      </c>
      <c r="X2" s="6">
        <v>5.0</v>
      </c>
      <c r="Y2" s="6">
        <v>10.0</v>
      </c>
      <c r="Z2" s="5" t="s">
        <v>368</v>
      </c>
      <c r="AA2" s="6">
        <v>5.4477</v>
      </c>
      <c r="AB2" s="6">
        <v>13.8378</v>
      </c>
      <c r="AC2" s="6">
        <v>5.5682</v>
      </c>
      <c r="AD2" s="6">
        <v>29.9653</v>
      </c>
      <c r="AE2" s="6">
        <v>90.41</v>
      </c>
      <c r="AF2" s="6">
        <v>17.2489</v>
      </c>
      <c r="AG2" s="6">
        <v>3.94</v>
      </c>
      <c r="AH2" s="6">
        <v>3.0</v>
      </c>
      <c r="AI2" s="6">
        <v>5.0</v>
      </c>
      <c r="AJ2" s="6">
        <v>9.0</v>
      </c>
    </row>
    <row r="3">
      <c r="A3" s="5" t="s">
        <v>56</v>
      </c>
      <c r="B3" s="5" t="s">
        <v>1867</v>
      </c>
      <c r="C3" s="6">
        <v>1.0</v>
      </c>
      <c r="D3" s="6">
        <v>84915.0</v>
      </c>
      <c r="E3" s="6">
        <v>1021633.0</v>
      </c>
      <c r="F3" s="6">
        <v>30048.0</v>
      </c>
      <c r="G3" s="6">
        <v>37.69</v>
      </c>
      <c r="H3" s="6">
        <v>12.27</v>
      </c>
      <c r="I3" s="6">
        <v>3.0</v>
      </c>
      <c r="J3" s="6">
        <v>10.0</v>
      </c>
      <c r="K3" s="6">
        <v>21.0</v>
      </c>
      <c r="L3" s="6">
        <v>28.0</v>
      </c>
      <c r="M3" s="6">
        <v>0.3647</v>
      </c>
      <c r="N3" s="6">
        <v>0.3515</v>
      </c>
      <c r="O3" s="6">
        <v>0.3701</v>
      </c>
      <c r="P3" s="6">
        <v>0.3679</v>
      </c>
      <c r="Q3" s="6">
        <v>0.3668</v>
      </c>
      <c r="R3" s="6">
        <v>0.3555</v>
      </c>
      <c r="S3" s="6">
        <v>0.364</v>
      </c>
      <c r="T3" s="6">
        <v>0.3479</v>
      </c>
      <c r="U3" s="6">
        <v>0.355</v>
      </c>
      <c r="V3" s="6">
        <v>5.07</v>
      </c>
      <c r="W3" s="6">
        <v>3.0</v>
      </c>
      <c r="X3" s="6">
        <v>6.0</v>
      </c>
      <c r="Y3" s="6">
        <v>12.0</v>
      </c>
      <c r="Z3" s="5" t="s">
        <v>368</v>
      </c>
      <c r="AA3" s="6">
        <v>5.2732</v>
      </c>
      <c r="AB3" s="6">
        <v>17.7077</v>
      </c>
      <c r="AC3" s="6">
        <v>5.398</v>
      </c>
      <c r="AD3" s="6">
        <v>33.2053</v>
      </c>
      <c r="AE3" s="6">
        <v>91.33</v>
      </c>
      <c r="AF3" s="6">
        <v>18.2361</v>
      </c>
      <c r="AG3" s="6">
        <v>3.59</v>
      </c>
      <c r="AH3" s="6">
        <v>2.0</v>
      </c>
      <c r="AI3" s="6">
        <v>5.0</v>
      </c>
      <c r="AJ3" s="6">
        <v>8.0</v>
      </c>
    </row>
    <row r="4">
      <c r="A4" s="5" t="s">
        <v>57</v>
      </c>
      <c r="B4" s="5" t="s">
        <v>163</v>
      </c>
      <c r="C4" s="6">
        <v>2.0</v>
      </c>
      <c r="D4" s="6">
        <v>74989.0</v>
      </c>
      <c r="E4" s="6">
        <v>891426.0</v>
      </c>
      <c r="F4" s="6">
        <v>26218.0</v>
      </c>
      <c r="G4" s="6">
        <v>34.08</v>
      </c>
      <c r="H4" s="6">
        <v>11.92</v>
      </c>
      <c r="I4" s="6">
        <v>2.0</v>
      </c>
      <c r="J4" s="6">
        <v>8.0</v>
      </c>
      <c r="K4" s="6">
        <v>21.0</v>
      </c>
      <c r="L4" s="6">
        <v>30.0</v>
      </c>
      <c r="M4" s="6">
        <v>0.3576</v>
      </c>
      <c r="N4" s="6">
        <v>0.3342</v>
      </c>
      <c r="O4" s="6">
        <v>0.373</v>
      </c>
      <c r="P4" s="6">
        <v>0.3728</v>
      </c>
      <c r="Q4" s="6">
        <v>0.3592</v>
      </c>
      <c r="R4" s="6">
        <v>0.3447</v>
      </c>
      <c r="S4" s="6">
        <v>0.3415</v>
      </c>
      <c r="T4" s="6">
        <v>0.3315</v>
      </c>
      <c r="U4" s="6">
        <v>0.337</v>
      </c>
      <c r="V4" s="6">
        <v>6.01</v>
      </c>
      <c r="W4" s="6">
        <v>3.0</v>
      </c>
      <c r="X4" s="6">
        <v>8.0</v>
      </c>
      <c r="Y4" s="6">
        <v>16.0</v>
      </c>
      <c r="Z4" s="5" t="s">
        <v>368</v>
      </c>
      <c r="AA4" s="6">
        <v>13.7652</v>
      </c>
      <c r="AB4" s="6">
        <v>27.0903</v>
      </c>
      <c r="AC4" s="6">
        <v>14.3959</v>
      </c>
      <c r="AD4" s="6">
        <v>56.2064</v>
      </c>
      <c r="AE4" s="6">
        <v>89.22</v>
      </c>
      <c r="AF4" s="6">
        <v>17.8913</v>
      </c>
      <c r="AG4" s="6">
        <v>9.5</v>
      </c>
      <c r="AH4" s="6">
        <v>7.0</v>
      </c>
      <c r="AI4" s="6">
        <v>13.0</v>
      </c>
      <c r="AJ4" s="6">
        <v>20.0</v>
      </c>
    </row>
    <row r="5">
      <c r="A5" s="5" t="s">
        <v>57</v>
      </c>
      <c r="B5" s="5" t="s">
        <v>1867</v>
      </c>
      <c r="C5" s="6">
        <v>2.0</v>
      </c>
      <c r="D5" s="6">
        <v>38765.0</v>
      </c>
      <c r="E5" s="6">
        <v>506618.0</v>
      </c>
      <c r="F5" s="6">
        <v>14901.0</v>
      </c>
      <c r="G5" s="6">
        <v>34.08</v>
      </c>
      <c r="H5" s="6">
        <v>12.6</v>
      </c>
      <c r="I5" s="6">
        <v>2.0</v>
      </c>
      <c r="J5" s="6">
        <v>9.0</v>
      </c>
      <c r="K5" s="6">
        <v>23.0</v>
      </c>
      <c r="L5" s="6">
        <v>30.0</v>
      </c>
      <c r="M5" s="6">
        <v>0.3781</v>
      </c>
      <c r="N5" s="6">
        <v>0.3521</v>
      </c>
      <c r="O5" s="6">
        <v>0.3946</v>
      </c>
      <c r="P5" s="6">
        <v>0.3927</v>
      </c>
      <c r="Q5" s="6">
        <v>0.3809</v>
      </c>
      <c r="R5" s="6">
        <v>0.3639</v>
      </c>
      <c r="S5" s="6">
        <v>0.3614</v>
      </c>
      <c r="T5" s="6">
        <v>0.3503</v>
      </c>
      <c r="U5" s="6">
        <v>0.3539</v>
      </c>
      <c r="V5" s="6">
        <v>6.24</v>
      </c>
      <c r="W5" s="6">
        <v>3.0</v>
      </c>
      <c r="X5" s="6">
        <v>8.0</v>
      </c>
      <c r="Y5" s="6">
        <v>17.0</v>
      </c>
      <c r="Z5" s="5" t="s">
        <v>368</v>
      </c>
      <c r="AA5" s="6">
        <v>13.5773</v>
      </c>
      <c r="AB5" s="6">
        <v>33.9006</v>
      </c>
      <c r="AC5" s="6">
        <v>14.2278</v>
      </c>
      <c r="AD5" s="6">
        <v>59.5645</v>
      </c>
      <c r="AE5" s="6">
        <v>90.07</v>
      </c>
      <c r="AF5" s="6">
        <v>18.446</v>
      </c>
      <c r="AG5" s="6">
        <v>9.09</v>
      </c>
      <c r="AH5" s="6">
        <v>6.0</v>
      </c>
      <c r="AI5" s="6">
        <v>13.0</v>
      </c>
      <c r="AJ5" s="6">
        <v>20.0</v>
      </c>
    </row>
    <row r="6">
      <c r="A6" s="5" t="s">
        <v>58</v>
      </c>
      <c r="B6" s="5" t="s">
        <v>163</v>
      </c>
      <c r="C6" s="6">
        <v>3.0</v>
      </c>
      <c r="D6" s="6">
        <v>48166.0</v>
      </c>
      <c r="E6" s="6">
        <v>525761.0</v>
      </c>
      <c r="F6" s="6">
        <v>15464.0</v>
      </c>
      <c r="G6" s="6">
        <v>34.03</v>
      </c>
      <c r="H6" s="6">
        <v>11.08</v>
      </c>
      <c r="I6" s="6">
        <v>2.0</v>
      </c>
      <c r="J6" s="6">
        <v>6.0</v>
      </c>
      <c r="K6" s="6">
        <v>19.0</v>
      </c>
      <c r="L6" s="6">
        <v>30.0</v>
      </c>
      <c r="M6" s="6">
        <v>0.3299</v>
      </c>
      <c r="N6" s="6">
        <v>0.3165</v>
      </c>
      <c r="O6" s="6">
        <v>0.3567</v>
      </c>
      <c r="P6" s="6">
        <v>0.3429</v>
      </c>
      <c r="Q6" s="6">
        <v>0.3209</v>
      </c>
      <c r="R6" s="6">
        <v>0.3158</v>
      </c>
      <c r="S6" s="6">
        <v>0.3158</v>
      </c>
      <c r="T6" s="6">
        <v>0.3125</v>
      </c>
      <c r="U6" s="6">
        <v>0.3205</v>
      </c>
      <c r="V6" s="6">
        <v>6.39</v>
      </c>
      <c r="W6" s="6">
        <v>3.0</v>
      </c>
      <c r="X6" s="6">
        <v>8.0</v>
      </c>
      <c r="Y6" s="6">
        <v>18.0</v>
      </c>
      <c r="Z6" s="5" t="s">
        <v>368</v>
      </c>
      <c r="AA6" s="6">
        <v>26.5244</v>
      </c>
      <c r="AB6" s="6">
        <v>41.272</v>
      </c>
      <c r="AC6" s="6">
        <v>27.4915</v>
      </c>
      <c r="AD6" s="6">
        <v>80.5421</v>
      </c>
      <c r="AE6" s="6">
        <v>88.04</v>
      </c>
      <c r="AF6" s="6">
        <v>18.2265</v>
      </c>
      <c r="AG6" s="6">
        <v>18.28</v>
      </c>
      <c r="AH6" s="6">
        <v>14.0</v>
      </c>
      <c r="AI6" s="6">
        <v>25.0</v>
      </c>
      <c r="AJ6" s="6">
        <v>38.0</v>
      </c>
    </row>
    <row r="7">
      <c r="A7" s="5" t="s">
        <v>58</v>
      </c>
      <c r="B7" s="5" t="s">
        <v>1867</v>
      </c>
      <c r="C7" s="6">
        <v>3.0</v>
      </c>
      <c r="D7" s="6">
        <v>24849.0</v>
      </c>
      <c r="E7" s="6">
        <v>275372.0</v>
      </c>
      <c r="F7" s="6">
        <v>8099.0</v>
      </c>
      <c r="G7" s="6">
        <v>34.03</v>
      </c>
      <c r="H7" s="6">
        <v>10.97</v>
      </c>
      <c r="I7" s="6">
        <v>2.0</v>
      </c>
      <c r="J7" s="6">
        <v>6.0</v>
      </c>
      <c r="K7" s="6">
        <v>18.0</v>
      </c>
      <c r="L7" s="6">
        <v>30.0</v>
      </c>
      <c r="M7" s="6">
        <v>0.3263</v>
      </c>
      <c r="N7" s="6">
        <v>0.3142</v>
      </c>
      <c r="O7" s="6">
        <v>0.3458</v>
      </c>
      <c r="P7" s="6">
        <v>0.3367</v>
      </c>
      <c r="Q7" s="6">
        <v>0.3195</v>
      </c>
      <c r="R7" s="6">
        <v>0.3162</v>
      </c>
      <c r="S7" s="6">
        <v>0.3153</v>
      </c>
      <c r="T7" s="6">
        <v>0.3098</v>
      </c>
      <c r="U7" s="6">
        <v>0.3186</v>
      </c>
      <c r="V7" s="6">
        <v>6.21</v>
      </c>
      <c r="W7" s="6">
        <v>3.0</v>
      </c>
      <c r="X7" s="6">
        <v>7.0</v>
      </c>
      <c r="Y7" s="6">
        <v>17.0</v>
      </c>
      <c r="Z7" s="5" t="s">
        <v>368</v>
      </c>
      <c r="AA7" s="6">
        <v>26.3517</v>
      </c>
      <c r="AB7" s="6">
        <v>49.4215</v>
      </c>
      <c r="AC7" s="6">
        <v>27.2499</v>
      </c>
      <c r="AD7" s="6">
        <v>83.3955</v>
      </c>
      <c r="AE7" s="6">
        <v>89.25</v>
      </c>
      <c r="AF7" s="6">
        <v>18.1153</v>
      </c>
      <c r="AG7" s="6">
        <v>17.97</v>
      </c>
      <c r="AH7" s="6">
        <v>13.0</v>
      </c>
      <c r="AI7" s="6">
        <v>26.0</v>
      </c>
      <c r="AJ7" s="6">
        <v>39.0</v>
      </c>
    </row>
    <row r="8">
      <c r="A8" s="5" t="s">
        <v>59</v>
      </c>
      <c r="B8" s="5" t="s">
        <v>163</v>
      </c>
      <c r="C8" s="6">
        <v>4.0</v>
      </c>
      <c r="D8" s="6">
        <v>25875.0</v>
      </c>
      <c r="E8" s="6">
        <v>249732.0</v>
      </c>
      <c r="F8" s="6">
        <v>7345.0</v>
      </c>
      <c r="G8" s="6">
        <v>32.98</v>
      </c>
      <c r="H8" s="6">
        <v>10.07</v>
      </c>
      <c r="I8" s="6">
        <v>2.0</v>
      </c>
      <c r="J8" s="6">
        <v>6.0</v>
      </c>
      <c r="K8" s="6">
        <v>14.0</v>
      </c>
      <c r="L8" s="6">
        <v>30.0</v>
      </c>
      <c r="M8" s="6">
        <v>0.2966</v>
      </c>
      <c r="N8" s="6">
        <v>0.2947</v>
      </c>
      <c r="O8" s="6">
        <v>0.3314</v>
      </c>
      <c r="P8" s="6">
        <v>0.296</v>
      </c>
      <c r="Q8" s="6">
        <v>0.2835</v>
      </c>
      <c r="R8" s="6">
        <v>0.2837</v>
      </c>
      <c r="S8" s="6">
        <v>0.2883</v>
      </c>
      <c r="T8" s="6">
        <v>0.2906</v>
      </c>
      <c r="U8" s="6">
        <v>0.2988</v>
      </c>
      <c r="V8" s="6">
        <v>6.98</v>
      </c>
      <c r="W8" s="6">
        <v>3.0</v>
      </c>
      <c r="X8" s="6">
        <v>8.0</v>
      </c>
      <c r="Y8" s="6">
        <v>20.0</v>
      </c>
      <c r="Z8" s="5" t="s">
        <v>368</v>
      </c>
      <c r="AA8" s="6">
        <v>53.042</v>
      </c>
      <c r="AB8" s="6">
        <v>70.3428</v>
      </c>
      <c r="AC8" s="6">
        <v>54.0358</v>
      </c>
      <c r="AD8" s="6">
        <v>126.4772</v>
      </c>
      <c r="AE8" s="6">
        <v>86.22</v>
      </c>
      <c r="AF8" s="6">
        <v>19.3727</v>
      </c>
      <c r="AG8" s="6">
        <v>36.33</v>
      </c>
      <c r="AH8" s="6">
        <v>28.0</v>
      </c>
      <c r="AI8" s="6">
        <v>50.0</v>
      </c>
      <c r="AJ8" s="6">
        <v>78.0</v>
      </c>
    </row>
    <row r="9">
      <c r="A9" s="5" t="s">
        <v>59</v>
      </c>
      <c r="B9" s="5" t="s">
        <v>1867</v>
      </c>
      <c r="C9" s="6">
        <v>4.0</v>
      </c>
      <c r="D9" s="6">
        <v>12732.0</v>
      </c>
      <c r="E9" s="6">
        <v>121197.0</v>
      </c>
      <c r="F9" s="6">
        <v>3565.0</v>
      </c>
      <c r="G9" s="6">
        <v>32.98</v>
      </c>
      <c r="H9" s="6">
        <v>9.81</v>
      </c>
      <c r="I9" s="6">
        <v>2.0</v>
      </c>
      <c r="J9" s="6">
        <v>6.0</v>
      </c>
      <c r="K9" s="6">
        <v>14.0</v>
      </c>
      <c r="L9" s="6">
        <v>27.0</v>
      </c>
      <c r="M9" s="6">
        <v>0.2889</v>
      </c>
      <c r="N9" s="6">
        <v>0.2881</v>
      </c>
      <c r="O9" s="6">
        <v>0.3186</v>
      </c>
      <c r="P9" s="6">
        <v>0.288</v>
      </c>
      <c r="Q9" s="6">
        <v>0.277</v>
      </c>
      <c r="R9" s="6">
        <v>0.2775</v>
      </c>
      <c r="S9" s="6">
        <v>0.283</v>
      </c>
      <c r="T9" s="6">
        <v>0.2833</v>
      </c>
      <c r="U9" s="6">
        <v>0.2929</v>
      </c>
      <c r="V9" s="6">
        <v>6.32</v>
      </c>
      <c r="W9" s="6">
        <v>3.0</v>
      </c>
      <c r="X9" s="6">
        <v>8.0</v>
      </c>
      <c r="Y9" s="6">
        <v>17.0</v>
      </c>
      <c r="Z9" s="5" t="s">
        <v>368</v>
      </c>
      <c r="AA9" s="6">
        <v>53.2409</v>
      </c>
      <c r="AB9" s="6">
        <v>78.8102</v>
      </c>
      <c r="AC9" s="6">
        <v>54.4693</v>
      </c>
      <c r="AD9" s="6">
        <v>126.7275</v>
      </c>
      <c r="AE9" s="6">
        <v>87.94</v>
      </c>
      <c r="AF9" s="6">
        <v>18.4856</v>
      </c>
      <c r="AG9" s="6">
        <v>36.74</v>
      </c>
      <c r="AH9" s="6">
        <v>28.0</v>
      </c>
      <c r="AI9" s="6">
        <v>51.0</v>
      </c>
      <c r="AJ9" s="6">
        <v>80.0</v>
      </c>
    </row>
    <row r="10">
      <c r="A10" s="5" t="s">
        <v>60</v>
      </c>
      <c r="B10" s="5" t="s">
        <v>163</v>
      </c>
      <c r="C10" s="6">
        <v>5.0</v>
      </c>
      <c r="D10" s="6">
        <v>4324.0</v>
      </c>
      <c r="E10" s="6">
        <v>32562.0</v>
      </c>
      <c r="F10" s="6">
        <v>958.0</v>
      </c>
      <c r="G10" s="6">
        <v>29.86</v>
      </c>
      <c r="H10" s="6">
        <v>6.3</v>
      </c>
      <c r="I10" s="6">
        <v>2.0</v>
      </c>
      <c r="J10" s="6">
        <v>3.0</v>
      </c>
      <c r="K10" s="6">
        <v>6.0</v>
      </c>
      <c r="L10" s="6">
        <v>19.0</v>
      </c>
      <c r="M10" s="6">
        <v>0.183</v>
      </c>
      <c r="N10" s="6">
        <v>0.191</v>
      </c>
      <c r="O10" s="6">
        <v>0.2047</v>
      </c>
      <c r="P10" s="6">
        <v>0.1799</v>
      </c>
      <c r="Q10" s="6">
        <v>0.1728</v>
      </c>
      <c r="R10" s="6">
        <v>0.1779</v>
      </c>
      <c r="S10" s="6">
        <v>0.1791</v>
      </c>
      <c r="T10" s="6">
        <v>0.1851</v>
      </c>
      <c r="U10" s="6">
        <v>0.1969</v>
      </c>
      <c r="V10" s="6">
        <v>5.21</v>
      </c>
      <c r="W10" s="6">
        <v>2.0</v>
      </c>
      <c r="X10" s="6">
        <v>5.0</v>
      </c>
      <c r="Y10" s="6">
        <v>14.0</v>
      </c>
      <c r="Z10" s="5" t="s">
        <v>368</v>
      </c>
      <c r="AA10" s="6">
        <v>127.0909</v>
      </c>
      <c r="AB10" s="6">
        <v>152.1168</v>
      </c>
      <c r="AC10" s="6">
        <v>125.8402</v>
      </c>
      <c r="AD10" s="6">
        <v>242.9101</v>
      </c>
      <c r="AE10" s="6">
        <v>83.7</v>
      </c>
      <c r="AF10" s="6">
        <v>16.5976</v>
      </c>
      <c r="AG10" s="6">
        <v>80.73</v>
      </c>
      <c r="AH10" s="6">
        <v>63.0</v>
      </c>
      <c r="AI10" s="6">
        <v>116.0</v>
      </c>
      <c r="AJ10" s="6">
        <v>172.0</v>
      </c>
    </row>
    <row r="11">
      <c r="A11" s="5" t="s">
        <v>60</v>
      </c>
      <c r="B11" s="5" t="s">
        <v>1867</v>
      </c>
      <c r="C11" s="6">
        <v>5.0</v>
      </c>
      <c r="D11" s="6">
        <v>1841.0</v>
      </c>
      <c r="E11" s="6">
        <v>15505.0</v>
      </c>
      <c r="F11" s="6">
        <v>456.0</v>
      </c>
      <c r="G11" s="6">
        <v>29.86</v>
      </c>
      <c r="H11" s="6">
        <v>6.9</v>
      </c>
      <c r="I11" s="6">
        <v>2.0</v>
      </c>
      <c r="J11" s="6">
        <v>4.0</v>
      </c>
      <c r="K11" s="6">
        <v>8.0</v>
      </c>
      <c r="L11" s="6">
        <v>17.0</v>
      </c>
      <c r="M11" s="6">
        <v>0.1994</v>
      </c>
      <c r="N11" s="6">
        <v>0.2118</v>
      </c>
      <c r="O11" s="6">
        <v>0.2221</v>
      </c>
      <c r="P11" s="6">
        <v>0.2012</v>
      </c>
      <c r="Q11" s="6">
        <v>0.1887</v>
      </c>
      <c r="R11" s="6">
        <v>0.1923</v>
      </c>
      <c r="S11" s="6">
        <v>0.1929</v>
      </c>
      <c r="T11" s="6">
        <v>0.2039</v>
      </c>
      <c r="U11" s="6">
        <v>0.2198</v>
      </c>
      <c r="V11" s="6">
        <v>5.26</v>
      </c>
      <c r="W11" s="6">
        <v>3.0</v>
      </c>
      <c r="X11" s="6">
        <v>6.0</v>
      </c>
      <c r="Y11" s="6">
        <v>12.0</v>
      </c>
      <c r="Z11" s="5" t="s">
        <v>368</v>
      </c>
      <c r="AA11" s="6">
        <v>127.2473</v>
      </c>
      <c r="AB11" s="6">
        <v>160.8246</v>
      </c>
      <c r="AC11" s="6">
        <v>127.2226</v>
      </c>
      <c r="AD11" s="6">
        <v>239.6307</v>
      </c>
      <c r="AE11" s="6">
        <v>86.32</v>
      </c>
      <c r="AF11" s="6">
        <v>16.4882</v>
      </c>
      <c r="AG11" s="6">
        <v>83.13</v>
      </c>
      <c r="AH11" s="6">
        <v>65.0</v>
      </c>
      <c r="AI11" s="6">
        <v>119.0</v>
      </c>
      <c r="AJ11" s="6">
        <v>177.0</v>
      </c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10" t="s">
        <v>2077</v>
      </c>
      <c r="B1" s="510" t="s">
        <v>2022</v>
      </c>
      <c r="C1" s="510" t="s">
        <v>2042</v>
      </c>
      <c r="D1" s="510" t="s">
        <v>2043</v>
      </c>
      <c r="E1" s="510" t="s">
        <v>2078</v>
      </c>
      <c r="F1" s="510" t="s">
        <v>2079</v>
      </c>
      <c r="G1" s="510" t="s">
        <v>2080</v>
      </c>
      <c r="H1" s="510" t="s">
        <v>2081</v>
      </c>
      <c r="I1" s="510" t="s">
        <v>2082</v>
      </c>
      <c r="J1" s="510" t="s">
        <v>2083</v>
      </c>
      <c r="K1" s="510" t="s">
        <v>2084</v>
      </c>
      <c r="L1" s="510" t="s">
        <v>2085</v>
      </c>
      <c r="M1" s="510" t="s">
        <v>2086</v>
      </c>
      <c r="N1" s="510" t="s">
        <v>2087</v>
      </c>
      <c r="O1" s="510" t="s">
        <v>2088</v>
      </c>
      <c r="P1" s="510" t="s">
        <v>2089</v>
      </c>
      <c r="Q1" s="510" t="s">
        <v>2090</v>
      </c>
      <c r="R1" s="510" t="s">
        <v>2091</v>
      </c>
      <c r="S1" s="511"/>
      <c r="T1" s="511"/>
      <c r="U1" s="511"/>
      <c r="V1" s="511"/>
      <c r="W1" s="511"/>
      <c r="X1" s="511"/>
      <c r="Y1" s="511"/>
      <c r="Z1" s="511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5.0</v>
      </c>
      <c r="F2" s="6">
        <v>261767.0</v>
      </c>
      <c r="G2" s="6">
        <v>25675.0</v>
      </c>
      <c r="H2" s="515">
        <v>0.4904</v>
      </c>
      <c r="I2" s="515">
        <v>0.7618</v>
      </c>
      <c r="J2" s="515">
        <v>0.0</v>
      </c>
      <c r="K2" s="6">
        <v>6.0</v>
      </c>
      <c r="L2" s="6">
        <v>11.0</v>
      </c>
      <c r="M2" s="6">
        <v>16.0</v>
      </c>
      <c r="N2" s="6">
        <v>28.7</v>
      </c>
      <c r="O2" s="6">
        <v>0.0</v>
      </c>
      <c r="P2" s="515">
        <v>3.2182950429557313</v>
      </c>
      <c r="Q2" s="515">
        <v>10.963279689941535</v>
      </c>
      <c r="R2" s="515">
        <v>32.71240694055729</v>
      </c>
    </row>
    <row r="3">
      <c r="A3" s="5" t="s">
        <v>71</v>
      </c>
      <c r="B3" s="5" t="s">
        <v>1867</v>
      </c>
      <c r="C3" s="5" t="s">
        <v>56</v>
      </c>
      <c r="D3" s="6">
        <v>1.0</v>
      </c>
      <c r="E3" s="6">
        <v>5.0</v>
      </c>
      <c r="F3" s="6">
        <v>197613.0</v>
      </c>
      <c r="G3" s="6">
        <v>20652.0</v>
      </c>
      <c r="H3" s="515">
        <v>0.5225</v>
      </c>
      <c r="I3" s="515">
        <v>0.7976</v>
      </c>
      <c r="J3" s="515">
        <v>0.0</v>
      </c>
      <c r="K3" s="6">
        <v>7.0</v>
      </c>
      <c r="L3" s="6">
        <v>12.0</v>
      </c>
      <c r="M3" s="6">
        <v>17.0</v>
      </c>
      <c r="N3" s="6">
        <v>27.1</v>
      </c>
      <c r="O3" s="6">
        <v>0.0</v>
      </c>
      <c r="P3" s="515">
        <v>2.2676609251060613</v>
      </c>
      <c r="Q3" s="515">
        <v>7.776906007499805</v>
      </c>
      <c r="R3" s="515">
        <v>27.404569456703047</v>
      </c>
    </row>
    <row r="4">
      <c r="A4" s="5" t="s">
        <v>71</v>
      </c>
      <c r="B4" s="5" t="s">
        <v>163</v>
      </c>
      <c r="C4" s="5" t="s">
        <v>57</v>
      </c>
      <c r="D4" s="6">
        <v>2.0</v>
      </c>
      <c r="E4" s="6">
        <v>5.0</v>
      </c>
      <c r="F4" s="6">
        <v>166201.0</v>
      </c>
      <c r="G4" s="6">
        <v>23512.0</v>
      </c>
      <c r="H4" s="515">
        <v>0.7073</v>
      </c>
      <c r="I4" s="515">
        <v>0.8124</v>
      </c>
      <c r="J4" s="515">
        <v>0.0</v>
      </c>
      <c r="K4" s="6">
        <v>4.0</v>
      </c>
      <c r="L4" s="6">
        <v>8.0</v>
      </c>
      <c r="M4" s="6">
        <v>13.0</v>
      </c>
      <c r="N4" s="6">
        <v>74.6</v>
      </c>
      <c r="O4" s="6">
        <v>0.0</v>
      </c>
      <c r="P4" s="515">
        <v>10.755169973690867</v>
      </c>
      <c r="Q4" s="515">
        <v>37.669124700598125</v>
      </c>
      <c r="R4" s="515">
        <v>97.7971593383268</v>
      </c>
    </row>
    <row r="5">
      <c r="A5" s="5" t="s">
        <v>71</v>
      </c>
      <c r="B5" s="5" t="s">
        <v>1867</v>
      </c>
      <c r="C5" s="5" t="s">
        <v>57</v>
      </c>
      <c r="D5" s="6">
        <v>2.0</v>
      </c>
      <c r="E5" s="6">
        <v>5.0</v>
      </c>
      <c r="F5" s="6">
        <v>95528.0</v>
      </c>
      <c r="G5" s="6">
        <v>13415.0</v>
      </c>
      <c r="H5" s="515">
        <v>0.7022</v>
      </c>
      <c r="I5" s="515">
        <v>0.8208</v>
      </c>
      <c r="J5" s="515">
        <v>0.0</v>
      </c>
      <c r="K5" s="6">
        <v>4.0</v>
      </c>
      <c r="L5" s="6">
        <v>8.0</v>
      </c>
      <c r="M5" s="6">
        <v>14.0</v>
      </c>
      <c r="N5" s="6">
        <v>76.4</v>
      </c>
      <c r="O5" s="6">
        <v>0.0</v>
      </c>
      <c r="P5" s="515">
        <v>7.387268768195947</v>
      </c>
      <c r="Q5" s="515">
        <v>34.27227271970335</v>
      </c>
      <c r="R5" s="515">
        <v>105.7421319968509</v>
      </c>
    </row>
    <row r="6">
      <c r="A6" s="5" t="s">
        <v>71</v>
      </c>
      <c r="B6" s="5" t="s">
        <v>163</v>
      </c>
      <c r="C6" s="5" t="s">
        <v>58</v>
      </c>
      <c r="D6" s="6">
        <v>3.0</v>
      </c>
      <c r="E6" s="6">
        <v>5.0</v>
      </c>
      <c r="F6" s="6">
        <v>97468.0</v>
      </c>
      <c r="G6" s="6">
        <v>15163.0</v>
      </c>
      <c r="H6" s="515">
        <v>0.7778</v>
      </c>
      <c r="I6" s="515">
        <v>0.8265</v>
      </c>
      <c r="J6" s="515">
        <v>0.0</v>
      </c>
      <c r="K6" s="6">
        <v>3.0</v>
      </c>
      <c r="L6" s="6">
        <v>5.0</v>
      </c>
      <c r="M6" s="6">
        <v>9.0</v>
      </c>
      <c r="N6" s="6">
        <v>158.9</v>
      </c>
      <c r="O6" s="6">
        <v>0.0</v>
      </c>
      <c r="P6" s="515">
        <v>33.93025936649807</v>
      </c>
      <c r="Q6" s="515">
        <v>103.5850706269479</v>
      </c>
      <c r="R6" s="515">
        <v>220.91581871840557</v>
      </c>
    </row>
    <row r="7">
      <c r="A7" s="5" t="s">
        <v>71</v>
      </c>
      <c r="B7" s="5" t="s">
        <v>1867</v>
      </c>
      <c r="C7" s="5" t="s">
        <v>58</v>
      </c>
      <c r="D7" s="6">
        <v>3.0</v>
      </c>
      <c r="E7" s="6">
        <v>5.0</v>
      </c>
      <c r="F7" s="6">
        <v>52181.0</v>
      </c>
      <c r="G7" s="6">
        <v>7926.0</v>
      </c>
      <c r="H7" s="515">
        <v>0.7595</v>
      </c>
      <c r="I7" s="515">
        <v>0.818</v>
      </c>
      <c r="J7" s="515">
        <v>0.0</v>
      </c>
      <c r="K7" s="6">
        <v>2.0</v>
      </c>
      <c r="L7" s="6">
        <v>5.0</v>
      </c>
      <c r="M7" s="6">
        <v>10.0</v>
      </c>
      <c r="N7" s="6">
        <v>165.3</v>
      </c>
      <c r="O7" s="6">
        <v>0.0</v>
      </c>
      <c r="P7" s="515">
        <v>24.269315588548878</v>
      </c>
      <c r="Q7" s="515">
        <v>95.5725996776967</v>
      </c>
      <c r="R7" s="515">
        <v>232.06449955238304</v>
      </c>
    </row>
    <row r="8">
      <c r="A8" s="5" t="s">
        <v>71</v>
      </c>
      <c r="B8" s="5" t="s">
        <v>163</v>
      </c>
      <c r="C8" s="5" t="s">
        <v>59</v>
      </c>
      <c r="D8" s="6">
        <v>4.0</v>
      </c>
      <c r="E8" s="6">
        <v>5.0</v>
      </c>
      <c r="F8" s="6">
        <v>45682.0</v>
      </c>
      <c r="G8" s="6">
        <v>7745.0</v>
      </c>
      <c r="H8" s="515">
        <v>0.8478</v>
      </c>
      <c r="I8" s="515">
        <v>0.8706</v>
      </c>
      <c r="J8" s="515">
        <v>0.0</v>
      </c>
      <c r="K8" s="6">
        <v>1.0</v>
      </c>
      <c r="L8" s="6">
        <v>3.0</v>
      </c>
      <c r="M8" s="6">
        <v>6.0</v>
      </c>
      <c r="N8" s="6">
        <v>351.7</v>
      </c>
      <c r="O8" s="6">
        <v>0.0</v>
      </c>
      <c r="P8" s="515">
        <v>95.15472180086579</v>
      </c>
      <c r="Q8" s="515">
        <v>238.3128688297859</v>
      </c>
      <c r="R8" s="515">
        <v>497.131335198276</v>
      </c>
    </row>
    <row r="9">
      <c r="A9" s="5" t="s">
        <v>71</v>
      </c>
      <c r="B9" s="5" t="s">
        <v>1867</v>
      </c>
      <c r="C9" s="5" t="s">
        <v>59</v>
      </c>
      <c r="D9" s="6">
        <v>4.0</v>
      </c>
      <c r="E9" s="6">
        <v>5.0</v>
      </c>
      <c r="F9" s="6">
        <v>23031.0</v>
      </c>
      <c r="G9" s="6">
        <v>3729.0</v>
      </c>
      <c r="H9" s="515">
        <v>0.8095</v>
      </c>
      <c r="I9" s="515">
        <v>0.8363</v>
      </c>
      <c r="J9" s="515">
        <v>0.0</v>
      </c>
      <c r="K9" s="6">
        <v>1.0</v>
      </c>
      <c r="L9" s="6">
        <v>3.0</v>
      </c>
      <c r="M9" s="6">
        <v>6.0</v>
      </c>
      <c r="N9" s="6">
        <v>371.5</v>
      </c>
      <c r="O9" s="6">
        <v>0.0</v>
      </c>
      <c r="P9" s="515">
        <v>81.16524686520373</v>
      </c>
      <c r="Q9" s="515">
        <v>249.54757898511747</v>
      </c>
      <c r="R9" s="515">
        <v>521.1267519416625</v>
      </c>
    </row>
    <row r="10">
      <c r="A10" s="5" t="s">
        <v>71</v>
      </c>
      <c r="B10" s="5" t="s">
        <v>163</v>
      </c>
      <c r="C10" s="5" t="s">
        <v>60</v>
      </c>
      <c r="D10" s="6">
        <v>5.0</v>
      </c>
      <c r="E10" s="6">
        <v>5.0</v>
      </c>
      <c r="F10" s="6">
        <v>6336.0</v>
      </c>
      <c r="G10" s="6">
        <v>1123.0</v>
      </c>
      <c r="H10" s="515">
        <v>0.886</v>
      </c>
      <c r="I10" s="515">
        <v>0.8985</v>
      </c>
      <c r="J10" s="515">
        <v>0.0</v>
      </c>
      <c r="K10" s="6">
        <v>1.0</v>
      </c>
      <c r="L10" s="6">
        <v>1.0</v>
      </c>
      <c r="M10" s="6">
        <v>3.0</v>
      </c>
      <c r="N10" s="6">
        <v>809.0</v>
      </c>
      <c r="O10" s="6">
        <v>0.0</v>
      </c>
      <c r="P10" s="515">
        <v>263.9516250944822</v>
      </c>
      <c r="Q10" s="515">
        <v>606.0850940498973</v>
      </c>
      <c r="R10" s="515">
        <v>1145.3186257723519</v>
      </c>
    </row>
    <row r="11">
      <c r="A11" s="5" t="s">
        <v>71</v>
      </c>
      <c r="B11" s="5" t="s">
        <v>1867</v>
      </c>
      <c r="C11" s="5" t="s">
        <v>60</v>
      </c>
      <c r="D11" s="6">
        <v>5.0</v>
      </c>
      <c r="E11" s="6">
        <v>5.0</v>
      </c>
      <c r="F11" s="6">
        <v>3106.0</v>
      </c>
      <c r="G11" s="6">
        <v>524.0</v>
      </c>
      <c r="H11" s="515">
        <v>0.8439</v>
      </c>
      <c r="I11" s="515">
        <v>0.8551</v>
      </c>
      <c r="J11" s="515">
        <v>0.0</v>
      </c>
      <c r="K11" s="6">
        <v>1.0</v>
      </c>
      <c r="L11" s="6">
        <v>1.0</v>
      </c>
      <c r="M11" s="6">
        <v>3.0</v>
      </c>
      <c r="N11" s="6">
        <v>845.1</v>
      </c>
      <c r="O11" s="6">
        <v>0.0</v>
      </c>
      <c r="P11" s="515">
        <v>242.801775147929</v>
      </c>
      <c r="Q11" s="515">
        <v>613.2484708190891</v>
      </c>
      <c r="R11" s="515">
        <v>1216.7205282080395</v>
      </c>
    </row>
    <row r="12">
      <c r="A12" s="5" t="s">
        <v>2092</v>
      </c>
      <c r="B12" s="5" t="s">
        <v>163</v>
      </c>
      <c r="C12" s="5" t="s">
        <v>56</v>
      </c>
      <c r="D12" s="6">
        <v>1.0</v>
      </c>
      <c r="E12" s="6">
        <v>1.0</v>
      </c>
      <c r="F12" s="6">
        <v>75774.0</v>
      </c>
      <c r="G12" s="6">
        <v>54109.0</v>
      </c>
      <c r="H12" s="515">
        <v>0.7141</v>
      </c>
      <c r="I12" s="515">
        <v>0.9326</v>
      </c>
      <c r="J12" s="515">
        <v>0.6932</v>
      </c>
      <c r="K12" s="5" t="s">
        <v>368</v>
      </c>
      <c r="L12" s="5" t="s">
        <v>368</v>
      </c>
      <c r="M12" s="5" t="s">
        <v>368</v>
      </c>
      <c r="N12" s="6">
        <v>49.8</v>
      </c>
      <c r="O12" s="5" t="s">
        <v>368</v>
      </c>
      <c r="P12" s="515">
        <v>14.324267051890073</v>
      </c>
      <c r="Q12" s="515">
        <v>32.660219540507136</v>
      </c>
      <c r="R12" s="515">
        <v>67.10006463051099</v>
      </c>
    </row>
    <row r="13">
      <c r="A13" s="5" t="s">
        <v>2092</v>
      </c>
      <c r="B13" s="5" t="s">
        <v>1867</v>
      </c>
      <c r="C13" s="5" t="s">
        <v>56</v>
      </c>
      <c r="D13" s="6">
        <v>1.0</v>
      </c>
      <c r="E13" s="6">
        <v>1.0</v>
      </c>
      <c r="F13" s="6">
        <v>54174.0</v>
      </c>
      <c r="G13" s="6">
        <v>41273.0</v>
      </c>
      <c r="H13" s="515">
        <v>0.7619</v>
      </c>
      <c r="I13" s="515">
        <v>0.9546</v>
      </c>
      <c r="J13" s="515">
        <v>0.6887</v>
      </c>
      <c r="K13" s="5" t="s">
        <v>368</v>
      </c>
      <c r="L13" s="5" t="s">
        <v>368</v>
      </c>
      <c r="M13" s="5" t="s">
        <v>368</v>
      </c>
      <c r="N13" s="6">
        <v>44.3</v>
      </c>
      <c r="O13" s="5" t="s">
        <v>368</v>
      </c>
      <c r="P13" s="515">
        <v>12.603355811490857</v>
      </c>
      <c r="Q13" s="515">
        <v>28.653972234555958</v>
      </c>
      <c r="R13" s="515">
        <v>58.3593371769087</v>
      </c>
    </row>
    <row r="14">
      <c r="A14" s="5" t="s">
        <v>2092</v>
      </c>
      <c r="B14" s="5" t="s">
        <v>163</v>
      </c>
      <c r="C14" s="5" t="s">
        <v>57</v>
      </c>
      <c r="D14" s="6">
        <v>2.0</v>
      </c>
      <c r="E14" s="6">
        <v>1.0</v>
      </c>
      <c r="F14" s="6">
        <v>44992.0</v>
      </c>
      <c r="G14" s="6">
        <v>40883.0</v>
      </c>
      <c r="H14" s="515">
        <v>0.9087</v>
      </c>
      <c r="I14" s="515">
        <v>0.9523</v>
      </c>
      <c r="J14" s="515">
        <v>0.8699</v>
      </c>
      <c r="K14" s="5" t="s">
        <v>368</v>
      </c>
      <c r="L14" s="5" t="s">
        <v>368</v>
      </c>
      <c r="M14" s="5" t="s">
        <v>368</v>
      </c>
      <c r="N14" s="6">
        <v>156.8</v>
      </c>
      <c r="O14" s="5" t="s">
        <v>368</v>
      </c>
      <c r="P14" s="515">
        <v>62.605330758416244</v>
      </c>
      <c r="Q14" s="515">
        <v>122.8529665973488</v>
      </c>
      <c r="R14" s="515">
        <v>205.73262673278606</v>
      </c>
    </row>
    <row r="15">
      <c r="A15" s="5" t="s">
        <v>2092</v>
      </c>
      <c r="B15" s="5" t="s">
        <v>1867</v>
      </c>
      <c r="C15" s="5" t="s">
        <v>57</v>
      </c>
      <c r="D15" s="6">
        <v>2.0</v>
      </c>
      <c r="E15" s="6">
        <v>1.0</v>
      </c>
      <c r="F15" s="6">
        <v>25591.0</v>
      </c>
      <c r="G15" s="6">
        <v>23607.0</v>
      </c>
      <c r="H15" s="515">
        <v>0.9225</v>
      </c>
      <c r="I15" s="515">
        <v>0.9603</v>
      </c>
      <c r="J15" s="515">
        <v>0.872</v>
      </c>
      <c r="K15" s="5" t="s">
        <v>368</v>
      </c>
      <c r="L15" s="5" t="s">
        <v>368</v>
      </c>
      <c r="M15" s="5" t="s">
        <v>368</v>
      </c>
      <c r="N15" s="6">
        <v>145.0</v>
      </c>
      <c r="O15" s="5" t="s">
        <v>368</v>
      </c>
      <c r="P15" s="515">
        <v>57.399765823625344</v>
      </c>
      <c r="Q15" s="515">
        <v>111.74135368944421</v>
      </c>
      <c r="R15" s="515">
        <v>190.7959827918315</v>
      </c>
    </row>
    <row r="16">
      <c r="A16" s="5" t="s">
        <v>2092</v>
      </c>
      <c r="B16" s="5" t="s">
        <v>163</v>
      </c>
      <c r="C16" s="5" t="s">
        <v>58</v>
      </c>
      <c r="D16" s="6">
        <v>3.0</v>
      </c>
      <c r="E16" s="6">
        <v>1.0</v>
      </c>
      <c r="F16" s="6">
        <v>26397.0</v>
      </c>
      <c r="G16" s="6">
        <v>24556.0</v>
      </c>
      <c r="H16" s="515">
        <v>0.9303</v>
      </c>
      <c r="I16" s="515">
        <v>0.9518</v>
      </c>
      <c r="J16" s="515">
        <v>0.862</v>
      </c>
      <c r="K16" s="5" t="s">
        <v>368</v>
      </c>
      <c r="L16" s="5" t="s">
        <v>368</v>
      </c>
      <c r="M16" s="5" t="s">
        <v>368</v>
      </c>
      <c r="N16" s="6">
        <v>336.7</v>
      </c>
      <c r="O16" s="5" t="s">
        <v>368</v>
      </c>
      <c r="P16" s="515">
        <v>153.12556450771638</v>
      </c>
      <c r="Q16" s="515">
        <v>292.4784664687797</v>
      </c>
      <c r="R16" s="515">
        <v>462.3533741865213</v>
      </c>
    </row>
    <row r="17">
      <c r="A17" s="5" t="s">
        <v>2092</v>
      </c>
      <c r="B17" s="5" t="s">
        <v>1867</v>
      </c>
      <c r="C17" s="5" t="s">
        <v>58</v>
      </c>
      <c r="D17" s="6">
        <v>3.0</v>
      </c>
      <c r="E17" s="6">
        <v>1.0</v>
      </c>
      <c r="F17" s="6">
        <v>14092.0</v>
      </c>
      <c r="G17" s="6">
        <v>13096.0</v>
      </c>
      <c r="H17" s="515">
        <v>0.9293</v>
      </c>
      <c r="I17" s="515">
        <v>0.9508</v>
      </c>
      <c r="J17" s="515">
        <v>0.8626</v>
      </c>
      <c r="K17" s="5" t="s">
        <v>368</v>
      </c>
      <c r="L17" s="5" t="s">
        <v>368</v>
      </c>
      <c r="M17" s="5" t="s">
        <v>368</v>
      </c>
      <c r="N17" s="6">
        <v>298.3</v>
      </c>
      <c r="O17" s="5" t="s">
        <v>368</v>
      </c>
      <c r="P17" s="515">
        <v>132.0647095268296</v>
      </c>
      <c r="Q17" s="515">
        <v>249.4526466173778</v>
      </c>
      <c r="R17" s="515">
        <v>408.1990492714776</v>
      </c>
    </row>
    <row r="18">
      <c r="A18" s="5" t="s">
        <v>2092</v>
      </c>
      <c r="B18" s="5" t="s">
        <v>163</v>
      </c>
      <c r="C18" s="5" t="s">
        <v>59</v>
      </c>
      <c r="D18" s="6">
        <v>4.0</v>
      </c>
      <c r="E18" s="6">
        <v>1.0</v>
      </c>
      <c r="F18" s="6">
        <v>11887.0</v>
      </c>
      <c r="G18" s="6">
        <v>11366.0</v>
      </c>
      <c r="H18" s="515">
        <v>0.9562</v>
      </c>
      <c r="I18" s="515">
        <v>0.9653</v>
      </c>
      <c r="J18" s="515">
        <v>0.7258</v>
      </c>
      <c r="K18" s="5" t="s">
        <v>368</v>
      </c>
      <c r="L18" s="5" t="s">
        <v>368</v>
      </c>
      <c r="M18" s="5" t="s">
        <v>368</v>
      </c>
      <c r="N18" s="6">
        <v>621.2</v>
      </c>
      <c r="O18" s="5" t="s">
        <v>368</v>
      </c>
      <c r="P18" s="515">
        <v>334.95581693992955</v>
      </c>
      <c r="Q18" s="515">
        <v>596.9895435260132</v>
      </c>
      <c r="R18" s="515">
        <v>876.7224661727278</v>
      </c>
    </row>
    <row r="19">
      <c r="A19" s="5" t="s">
        <v>2092</v>
      </c>
      <c r="B19" s="5" t="s">
        <v>1867</v>
      </c>
      <c r="C19" s="5" t="s">
        <v>59</v>
      </c>
      <c r="D19" s="6">
        <v>4.0</v>
      </c>
      <c r="E19" s="6">
        <v>1.0</v>
      </c>
      <c r="F19" s="6">
        <v>5987.0</v>
      </c>
      <c r="G19" s="6">
        <v>5605.0</v>
      </c>
      <c r="H19" s="515">
        <v>0.9362</v>
      </c>
      <c r="I19" s="515">
        <v>0.9466</v>
      </c>
      <c r="J19" s="515">
        <v>0.7422</v>
      </c>
      <c r="K19" s="5" t="s">
        <v>368</v>
      </c>
      <c r="L19" s="5" t="s">
        <v>368</v>
      </c>
      <c r="M19" s="5" t="s">
        <v>368</v>
      </c>
      <c r="N19" s="6">
        <v>540.3</v>
      </c>
      <c r="O19" s="5" t="s">
        <v>368</v>
      </c>
      <c r="P19" s="515">
        <v>264.1276783203503</v>
      </c>
      <c r="Q19" s="515">
        <v>491.91376928915525</v>
      </c>
      <c r="R19" s="515">
        <v>786.5221101976299</v>
      </c>
    </row>
    <row r="20">
      <c r="A20" s="5" t="s">
        <v>2092</v>
      </c>
      <c r="B20" s="5" t="s">
        <v>163</v>
      </c>
      <c r="C20" s="5" t="s">
        <v>60</v>
      </c>
      <c r="D20" s="6">
        <v>5.0</v>
      </c>
      <c r="E20" s="6">
        <v>1.0</v>
      </c>
      <c r="F20" s="6">
        <v>1559.0</v>
      </c>
      <c r="G20" s="6">
        <v>1466.0</v>
      </c>
      <c r="H20" s="515">
        <v>0.9403</v>
      </c>
      <c r="I20" s="515">
        <v>0.9448</v>
      </c>
      <c r="J20" s="515">
        <v>0.3868</v>
      </c>
      <c r="K20" s="5" t="s">
        <v>368</v>
      </c>
      <c r="L20" s="5" t="s">
        <v>368</v>
      </c>
      <c r="M20" s="5" t="s">
        <v>368</v>
      </c>
      <c r="N20" s="6">
        <v>860.0</v>
      </c>
      <c r="O20" s="5" t="s">
        <v>368</v>
      </c>
      <c r="P20" s="515">
        <v>515.4824688496087</v>
      </c>
      <c r="Q20" s="515">
        <v>843.4581206277177</v>
      </c>
      <c r="R20" s="515">
        <v>1063.8278598795844</v>
      </c>
    </row>
    <row r="21">
      <c r="A21" s="5" t="s">
        <v>2092</v>
      </c>
      <c r="B21" s="5" t="s">
        <v>1867</v>
      </c>
      <c r="C21" s="5" t="s">
        <v>60</v>
      </c>
      <c r="D21" s="6">
        <v>5.0</v>
      </c>
      <c r="E21" s="6">
        <v>1.0</v>
      </c>
      <c r="F21" s="6">
        <v>780.0</v>
      </c>
      <c r="G21" s="6">
        <v>722.0</v>
      </c>
      <c r="H21" s="515">
        <v>0.9256</v>
      </c>
      <c r="I21" s="515">
        <v>0.9282</v>
      </c>
      <c r="J21" s="515">
        <v>0.4169</v>
      </c>
      <c r="K21" s="5" t="s">
        <v>368</v>
      </c>
      <c r="L21" s="5" t="s">
        <v>368</v>
      </c>
      <c r="M21" s="5" t="s">
        <v>368</v>
      </c>
      <c r="N21" s="6">
        <v>759.0</v>
      </c>
      <c r="O21" s="5" t="s">
        <v>368</v>
      </c>
      <c r="P21" s="515">
        <v>508.20000000000005</v>
      </c>
      <c r="Q21" s="515">
        <v>759.7898954703833</v>
      </c>
      <c r="R21" s="515">
        <v>994.3271604938271</v>
      </c>
    </row>
    <row r="22">
      <c r="A22" s="5" t="s">
        <v>70</v>
      </c>
      <c r="B22" s="5" t="s">
        <v>163</v>
      </c>
      <c r="C22" s="5" t="s">
        <v>56</v>
      </c>
      <c r="D22" s="6">
        <v>1.0</v>
      </c>
      <c r="E22" s="6">
        <v>1.0</v>
      </c>
      <c r="F22" s="6">
        <v>49972.0</v>
      </c>
      <c r="G22" s="6">
        <v>30726.0</v>
      </c>
      <c r="H22" s="515">
        <v>0.6149</v>
      </c>
      <c r="I22" s="515">
        <v>0.7719</v>
      </c>
      <c r="J22" s="515">
        <v>0.0</v>
      </c>
      <c r="K22" s="6">
        <v>6.0</v>
      </c>
      <c r="L22" s="6">
        <v>10.0</v>
      </c>
      <c r="M22" s="6">
        <v>14.0</v>
      </c>
      <c r="N22" s="6">
        <v>40.9</v>
      </c>
      <c r="O22" s="6">
        <v>0.0</v>
      </c>
      <c r="P22" s="515">
        <v>11.9400106288611</v>
      </c>
      <c r="Q22" s="515">
        <v>28.489383918354534</v>
      </c>
      <c r="R22" s="515">
        <v>57.37859260331752</v>
      </c>
    </row>
    <row r="23">
      <c r="A23" s="5" t="s">
        <v>70</v>
      </c>
      <c r="B23" s="5" t="s">
        <v>1867</v>
      </c>
      <c r="C23" s="5" t="s">
        <v>56</v>
      </c>
      <c r="D23" s="6">
        <v>1.0</v>
      </c>
      <c r="E23" s="6">
        <v>1.0</v>
      </c>
      <c r="F23" s="6">
        <v>37718.0</v>
      </c>
      <c r="G23" s="6">
        <v>24767.0</v>
      </c>
      <c r="H23" s="515">
        <v>0.6566</v>
      </c>
      <c r="I23" s="515">
        <v>0.8112</v>
      </c>
      <c r="J23" s="515">
        <v>0.0</v>
      </c>
      <c r="K23" s="6">
        <v>6.0</v>
      </c>
      <c r="L23" s="6">
        <v>11.0</v>
      </c>
      <c r="M23" s="6">
        <v>15.0</v>
      </c>
      <c r="N23" s="6">
        <v>37.0</v>
      </c>
      <c r="O23" s="6">
        <v>0.0</v>
      </c>
      <c r="P23" s="515">
        <v>10.119442167115386</v>
      </c>
      <c r="Q23" s="515">
        <v>24.284169998286323</v>
      </c>
      <c r="R23" s="515">
        <v>50.1385359646232</v>
      </c>
    </row>
    <row r="24">
      <c r="A24" s="5" t="s">
        <v>70</v>
      </c>
      <c r="B24" s="5" t="s">
        <v>163</v>
      </c>
      <c r="C24" s="5" t="s">
        <v>57</v>
      </c>
      <c r="D24" s="6">
        <v>2.0</v>
      </c>
      <c r="E24" s="6">
        <v>1.0</v>
      </c>
      <c r="F24" s="6">
        <v>35472.0</v>
      </c>
      <c r="G24" s="6">
        <v>27352.0</v>
      </c>
      <c r="H24" s="515">
        <v>0.7711</v>
      </c>
      <c r="I24" s="515">
        <v>0.8348</v>
      </c>
      <c r="J24" s="515">
        <v>0.0</v>
      </c>
      <c r="K24" s="6">
        <v>3.0</v>
      </c>
      <c r="L24" s="6">
        <v>6.0</v>
      </c>
      <c r="M24" s="6">
        <v>11.0</v>
      </c>
      <c r="N24" s="6">
        <v>103.0</v>
      </c>
      <c r="O24" s="6">
        <v>0.0</v>
      </c>
      <c r="P24" s="515">
        <v>39.60007594205038</v>
      </c>
      <c r="Q24" s="515">
        <v>82.55161224174105</v>
      </c>
      <c r="R24" s="515">
        <v>139.2920623763858</v>
      </c>
    </row>
    <row r="25">
      <c r="A25" s="5" t="s">
        <v>70</v>
      </c>
      <c r="B25" s="5" t="s">
        <v>1867</v>
      </c>
      <c r="C25" s="5" t="s">
        <v>57</v>
      </c>
      <c r="D25" s="6">
        <v>2.0</v>
      </c>
      <c r="E25" s="6">
        <v>1.0</v>
      </c>
      <c r="F25" s="6">
        <v>20540.0</v>
      </c>
      <c r="G25" s="6">
        <v>15797.0</v>
      </c>
      <c r="H25" s="515">
        <v>0.7691</v>
      </c>
      <c r="I25" s="515">
        <v>0.8388</v>
      </c>
      <c r="J25" s="515">
        <v>0.0</v>
      </c>
      <c r="K25" s="6">
        <v>4.0</v>
      </c>
      <c r="L25" s="6">
        <v>7.0</v>
      </c>
      <c r="M25" s="6">
        <v>12.0</v>
      </c>
      <c r="N25" s="6">
        <v>97.6</v>
      </c>
      <c r="O25" s="6">
        <v>0.0</v>
      </c>
      <c r="P25" s="515">
        <v>31.887971900739622</v>
      </c>
      <c r="Q25" s="515">
        <v>74.66356804353235</v>
      </c>
      <c r="R25" s="515">
        <v>134.0854277768356</v>
      </c>
    </row>
    <row r="26">
      <c r="A26" s="5" t="s">
        <v>70</v>
      </c>
      <c r="B26" s="5" t="s">
        <v>163</v>
      </c>
      <c r="C26" s="5" t="s">
        <v>58</v>
      </c>
      <c r="D26" s="6">
        <v>3.0</v>
      </c>
      <c r="E26" s="6">
        <v>1.0</v>
      </c>
      <c r="F26" s="6">
        <v>20141.0</v>
      </c>
      <c r="G26" s="6">
        <v>16243.0</v>
      </c>
      <c r="H26" s="515">
        <v>0.8065</v>
      </c>
      <c r="I26" s="515">
        <v>0.8394</v>
      </c>
      <c r="J26" s="515">
        <v>0.0</v>
      </c>
      <c r="K26" s="6">
        <v>2.0</v>
      </c>
      <c r="L26" s="6">
        <v>4.0</v>
      </c>
      <c r="M26" s="6">
        <v>7.0</v>
      </c>
      <c r="N26" s="6">
        <v>181.8</v>
      </c>
      <c r="O26" s="6">
        <v>0.0</v>
      </c>
      <c r="P26" s="515">
        <v>81.31891508886441</v>
      </c>
      <c r="Q26" s="515">
        <v>157.78034285953623</v>
      </c>
      <c r="R26" s="515">
        <v>251.8754359906825</v>
      </c>
    </row>
    <row r="27">
      <c r="A27" s="5" t="s">
        <v>70</v>
      </c>
      <c r="B27" s="5" t="s">
        <v>1867</v>
      </c>
      <c r="C27" s="5" t="s">
        <v>58</v>
      </c>
      <c r="D27" s="6">
        <v>3.0</v>
      </c>
      <c r="E27" s="6">
        <v>1.0</v>
      </c>
      <c r="F27" s="6">
        <v>10647.0</v>
      </c>
      <c r="G27" s="6">
        <v>8407.0</v>
      </c>
      <c r="H27" s="515">
        <v>0.7896</v>
      </c>
      <c r="I27" s="515">
        <v>0.8323</v>
      </c>
      <c r="J27" s="515">
        <v>0.0</v>
      </c>
      <c r="K27" s="6">
        <v>2.0</v>
      </c>
      <c r="L27" s="6">
        <v>4.0</v>
      </c>
      <c r="M27" s="6">
        <v>8.0</v>
      </c>
      <c r="N27" s="6">
        <v>176.7</v>
      </c>
      <c r="O27" s="6">
        <v>0.0</v>
      </c>
      <c r="P27" s="515">
        <v>68.1540939168532</v>
      </c>
      <c r="Q27" s="515">
        <v>148.19714621428633</v>
      </c>
      <c r="R27" s="515">
        <v>247.88780769165044</v>
      </c>
    </row>
    <row r="28">
      <c r="A28" s="5" t="s">
        <v>70</v>
      </c>
      <c r="B28" s="5" t="s">
        <v>163</v>
      </c>
      <c r="C28" s="5" t="s">
        <v>59</v>
      </c>
      <c r="D28" s="6">
        <v>4.0</v>
      </c>
      <c r="E28" s="6">
        <v>1.0</v>
      </c>
      <c r="F28" s="6">
        <v>9642.0</v>
      </c>
      <c r="G28" s="6">
        <v>8463.0</v>
      </c>
      <c r="H28" s="515">
        <v>0.8777</v>
      </c>
      <c r="I28" s="515">
        <v>0.8947</v>
      </c>
      <c r="J28" s="515">
        <v>0.0</v>
      </c>
      <c r="K28" s="6">
        <v>1.0</v>
      </c>
      <c r="L28" s="6">
        <v>2.0</v>
      </c>
      <c r="M28" s="6">
        <v>4.0</v>
      </c>
      <c r="N28" s="6">
        <v>340.3</v>
      </c>
      <c r="O28" s="6">
        <v>0.0</v>
      </c>
      <c r="P28" s="515">
        <v>155.01290333719072</v>
      </c>
      <c r="Q28" s="515">
        <v>300.086485406549</v>
      </c>
      <c r="R28" s="515">
        <v>469.4379785042354</v>
      </c>
    </row>
    <row r="29">
      <c r="A29" s="5" t="s">
        <v>70</v>
      </c>
      <c r="B29" s="5" t="s">
        <v>1867</v>
      </c>
      <c r="C29" s="5" t="s">
        <v>59</v>
      </c>
      <c r="D29" s="6">
        <v>4.0</v>
      </c>
      <c r="E29" s="6">
        <v>1.0</v>
      </c>
      <c r="F29" s="6">
        <v>4672.0</v>
      </c>
      <c r="G29" s="6">
        <v>3900.0</v>
      </c>
      <c r="H29" s="515">
        <v>0.8348</v>
      </c>
      <c r="I29" s="515">
        <v>0.8562</v>
      </c>
      <c r="J29" s="515">
        <v>0.0</v>
      </c>
      <c r="K29" s="6">
        <v>1.0</v>
      </c>
      <c r="L29" s="6">
        <v>2.0</v>
      </c>
      <c r="M29" s="6">
        <v>5.0</v>
      </c>
      <c r="N29" s="6">
        <v>352.6</v>
      </c>
      <c r="O29" s="6">
        <v>0.0</v>
      </c>
      <c r="P29" s="515">
        <v>145.5792490401212</v>
      </c>
      <c r="Q29" s="515">
        <v>297.837935159258</v>
      </c>
      <c r="R29" s="515">
        <v>490.2798654530289</v>
      </c>
    </row>
    <row r="30">
      <c r="A30" s="5" t="s">
        <v>70</v>
      </c>
      <c r="B30" s="5" t="s">
        <v>163</v>
      </c>
      <c r="C30" s="5" t="s">
        <v>60</v>
      </c>
      <c r="D30" s="6">
        <v>5.0</v>
      </c>
      <c r="E30" s="6">
        <v>1.0</v>
      </c>
      <c r="F30" s="6">
        <v>1374.0</v>
      </c>
      <c r="G30" s="6">
        <v>1264.0</v>
      </c>
      <c r="H30" s="515">
        <v>0.9199</v>
      </c>
      <c r="I30" s="515">
        <v>0.9258</v>
      </c>
      <c r="J30" s="515">
        <v>0.0</v>
      </c>
      <c r="K30" s="6">
        <v>1.0</v>
      </c>
      <c r="L30" s="6">
        <v>1.0</v>
      </c>
      <c r="M30" s="6">
        <v>2.0</v>
      </c>
      <c r="N30" s="6">
        <v>753.5</v>
      </c>
      <c r="O30" s="6">
        <v>0.0</v>
      </c>
      <c r="P30" s="515">
        <v>422.99844974882836</v>
      </c>
      <c r="Q30" s="515">
        <v>690.3901128190964</v>
      </c>
      <c r="R30" s="515">
        <v>1011.9867579908675</v>
      </c>
    </row>
    <row r="31">
      <c r="A31" s="5" t="s">
        <v>70</v>
      </c>
      <c r="B31" s="5" t="s">
        <v>1867</v>
      </c>
      <c r="C31" s="5" t="s">
        <v>60</v>
      </c>
      <c r="D31" s="6">
        <v>5.0</v>
      </c>
      <c r="E31" s="6">
        <v>1.0</v>
      </c>
      <c r="F31" s="6">
        <v>656.0</v>
      </c>
      <c r="G31" s="6">
        <v>580.0</v>
      </c>
      <c r="H31" s="515">
        <v>0.8841</v>
      </c>
      <c r="I31" s="515">
        <v>0.8918</v>
      </c>
      <c r="J31" s="515">
        <v>0.0</v>
      </c>
      <c r="K31" s="6">
        <v>1.0</v>
      </c>
      <c r="L31" s="6">
        <v>1.0</v>
      </c>
      <c r="M31" s="6">
        <v>2.0</v>
      </c>
      <c r="N31" s="6">
        <v>743.5</v>
      </c>
      <c r="O31" s="6">
        <v>0.0</v>
      </c>
      <c r="P31" s="515">
        <v>337.3982876596892</v>
      </c>
      <c r="Q31" s="515">
        <v>671.3854765956296</v>
      </c>
      <c r="R31" s="515">
        <v>1043.593386591162</v>
      </c>
    </row>
    <row r="32">
      <c r="A32" s="5" t="s">
        <v>2093</v>
      </c>
      <c r="B32" s="5" t="s">
        <v>163</v>
      </c>
      <c r="C32" s="5" t="s">
        <v>56</v>
      </c>
      <c r="D32" s="6">
        <v>1.0</v>
      </c>
      <c r="E32" s="6">
        <v>165.0</v>
      </c>
      <c r="F32" s="6">
        <v>8638270.0</v>
      </c>
      <c r="G32" s="6">
        <v>3014.0</v>
      </c>
      <c r="H32" s="515">
        <v>0.0576</v>
      </c>
      <c r="I32" s="515">
        <v>0.0743</v>
      </c>
      <c r="J32" s="515">
        <v>1.0E-4</v>
      </c>
      <c r="K32" s="5" t="s">
        <v>368</v>
      </c>
      <c r="L32" s="5" t="s">
        <v>368</v>
      </c>
      <c r="M32" s="5" t="s">
        <v>368</v>
      </c>
      <c r="N32" s="6">
        <v>1.1</v>
      </c>
      <c r="O32" s="5" t="s">
        <v>368</v>
      </c>
      <c r="P32" s="515">
        <v>0.0</v>
      </c>
      <c r="Q32" s="515">
        <v>0.19606252349177075</v>
      </c>
      <c r="R32" s="515">
        <v>1.3740247896092332</v>
      </c>
    </row>
    <row r="33">
      <c r="A33" s="5" t="s">
        <v>2093</v>
      </c>
      <c r="B33" s="5" t="s">
        <v>1867</v>
      </c>
      <c r="C33" s="5" t="s">
        <v>56</v>
      </c>
      <c r="D33" s="6">
        <v>1.0</v>
      </c>
      <c r="E33" s="6">
        <v>165.0</v>
      </c>
      <c r="F33" s="6">
        <v>6532895.0</v>
      </c>
      <c r="G33" s="6">
        <v>2582.0</v>
      </c>
      <c r="H33" s="515">
        <v>0.0652</v>
      </c>
      <c r="I33" s="515">
        <v>0.0802</v>
      </c>
      <c r="J33" s="515">
        <v>1.0E-4</v>
      </c>
      <c r="K33" s="5" t="s">
        <v>368</v>
      </c>
      <c r="L33" s="5" t="s">
        <v>368</v>
      </c>
      <c r="M33" s="5" t="s">
        <v>368</v>
      </c>
      <c r="N33" s="6">
        <v>0.8</v>
      </c>
      <c r="O33" s="5" t="s">
        <v>368</v>
      </c>
      <c r="P33" s="515">
        <v>0.0</v>
      </c>
      <c r="Q33" s="515">
        <v>3.516393569443704E-5</v>
      </c>
      <c r="R33" s="515">
        <v>1.0</v>
      </c>
    </row>
    <row r="34">
      <c r="A34" s="5" t="s">
        <v>2093</v>
      </c>
      <c r="B34" s="5" t="s">
        <v>163</v>
      </c>
      <c r="C34" s="5" t="s">
        <v>57</v>
      </c>
      <c r="D34" s="6">
        <v>2.0</v>
      </c>
      <c r="E34" s="6">
        <v>165.0</v>
      </c>
      <c r="F34" s="6">
        <v>5688035.0</v>
      </c>
      <c r="G34" s="6">
        <v>2566.0</v>
      </c>
      <c r="H34" s="515">
        <v>0.0744</v>
      </c>
      <c r="I34" s="515">
        <v>0.0816</v>
      </c>
      <c r="J34" s="515">
        <v>1.0E-4</v>
      </c>
      <c r="K34" s="5" t="s">
        <v>368</v>
      </c>
      <c r="L34" s="5" t="s">
        <v>368</v>
      </c>
      <c r="M34" s="5" t="s">
        <v>368</v>
      </c>
      <c r="N34" s="6">
        <v>2.5</v>
      </c>
      <c r="O34" s="5" t="s">
        <v>368</v>
      </c>
      <c r="P34" s="515">
        <v>0.0</v>
      </c>
      <c r="Q34" s="515">
        <v>1.0868845888800456</v>
      </c>
      <c r="R34" s="515">
        <v>3.9998271523147717</v>
      </c>
    </row>
    <row r="35">
      <c r="A35" s="5" t="s">
        <v>2093</v>
      </c>
      <c r="B35" s="5" t="s">
        <v>1867</v>
      </c>
      <c r="C35" s="5" t="s">
        <v>57</v>
      </c>
      <c r="D35" s="6">
        <v>2.0</v>
      </c>
      <c r="E35" s="6">
        <v>165.0</v>
      </c>
      <c r="F35" s="6">
        <v>3266490.0</v>
      </c>
      <c r="G35" s="6">
        <v>1526.0</v>
      </c>
      <c r="H35" s="515">
        <v>0.0771</v>
      </c>
      <c r="I35" s="515">
        <v>0.0845</v>
      </c>
      <c r="J35" s="515">
        <v>2.0E-4</v>
      </c>
      <c r="K35" s="5" t="s">
        <v>368</v>
      </c>
      <c r="L35" s="5" t="s">
        <v>368</v>
      </c>
      <c r="M35" s="5" t="s">
        <v>368</v>
      </c>
      <c r="N35" s="6">
        <v>2.1</v>
      </c>
      <c r="O35" s="5" t="s">
        <v>368</v>
      </c>
      <c r="P35" s="515">
        <v>0.0</v>
      </c>
      <c r="Q35" s="515">
        <v>0.36435876612477824</v>
      </c>
      <c r="R35" s="515">
        <v>3.9621647683691643</v>
      </c>
    </row>
    <row r="36">
      <c r="A36" s="5" t="s">
        <v>2093</v>
      </c>
      <c r="B36" s="5" t="s">
        <v>163</v>
      </c>
      <c r="C36" s="5" t="s">
        <v>58</v>
      </c>
      <c r="D36" s="6">
        <v>3.0</v>
      </c>
      <c r="E36" s="6">
        <v>165.0</v>
      </c>
      <c r="F36" s="6">
        <v>3346560.0</v>
      </c>
      <c r="G36" s="6">
        <v>1606.0</v>
      </c>
      <c r="H36" s="515">
        <v>0.0792</v>
      </c>
      <c r="I36" s="515">
        <v>0.0837</v>
      </c>
      <c r="J36" s="515">
        <v>1.0E-4</v>
      </c>
      <c r="K36" s="5" t="s">
        <v>368</v>
      </c>
      <c r="L36" s="5" t="s">
        <v>368</v>
      </c>
      <c r="M36" s="5" t="s">
        <v>368</v>
      </c>
      <c r="N36" s="6">
        <v>7.1</v>
      </c>
      <c r="O36" s="5" t="s">
        <v>368</v>
      </c>
      <c r="P36" s="515">
        <v>0.0</v>
      </c>
      <c r="Q36" s="515">
        <v>3.3484477342770944</v>
      </c>
      <c r="R36" s="515">
        <v>8.508761111090848</v>
      </c>
    </row>
    <row r="37">
      <c r="A37" s="5" t="s">
        <v>2093</v>
      </c>
      <c r="B37" s="5" t="s">
        <v>1867</v>
      </c>
      <c r="C37" s="5" t="s">
        <v>58</v>
      </c>
      <c r="D37" s="6">
        <v>3.0</v>
      </c>
      <c r="E37" s="6">
        <v>165.0</v>
      </c>
      <c r="F37" s="6">
        <v>1781490.0</v>
      </c>
      <c r="G37" s="6">
        <v>855.0</v>
      </c>
      <c r="H37" s="515">
        <v>0.0792</v>
      </c>
      <c r="I37" s="515">
        <v>0.0839</v>
      </c>
      <c r="J37" s="515">
        <v>2.0E-4</v>
      </c>
      <c r="K37" s="5" t="s">
        <v>368</v>
      </c>
      <c r="L37" s="5" t="s">
        <v>368</v>
      </c>
      <c r="M37" s="5" t="s">
        <v>368</v>
      </c>
      <c r="N37" s="6">
        <v>4.3</v>
      </c>
      <c r="O37" s="5" t="s">
        <v>368</v>
      </c>
      <c r="P37" s="515">
        <v>0.0</v>
      </c>
      <c r="Q37" s="515">
        <v>1.9127598267599584</v>
      </c>
      <c r="R37" s="515">
        <v>6.512000144304292</v>
      </c>
    </row>
    <row r="38">
      <c r="A38" s="5" t="s">
        <v>2093</v>
      </c>
      <c r="B38" s="5" t="s">
        <v>163</v>
      </c>
      <c r="C38" s="5" t="s">
        <v>59</v>
      </c>
      <c r="D38" s="6">
        <v>4.0</v>
      </c>
      <c r="E38" s="6">
        <v>165.0</v>
      </c>
      <c r="F38" s="6">
        <v>1549605.0</v>
      </c>
      <c r="G38" s="6">
        <v>793.0</v>
      </c>
      <c r="H38" s="515">
        <v>0.0844</v>
      </c>
      <c r="I38" s="515">
        <v>0.0871</v>
      </c>
      <c r="J38" s="515">
        <v>1.0E-4</v>
      </c>
      <c r="K38" s="5" t="s">
        <v>368</v>
      </c>
      <c r="L38" s="5" t="s">
        <v>368</v>
      </c>
      <c r="M38" s="5" t="s">
        <v>368</v>
      </c>
      <c r="N38" s="6">
        <v>9.4</v>
      </c>
      <c r="O38" s="5" t="s">
        <v>368</v>
      </c>
      <c r="P38" s="515">
        <v>0.7544598999305776</v>
      </c>
      <c r="Q38" s="515">
        <v>5.260588224165982</v>
      </c>
      <c r="R38" s="515">
        <v>14.085162396996326</v>
      </c>
    </row>
    <row r="39">
      <c r="A39" s="5" t="s">
        <v>2093</v>
      </c>
      <c r="B39" s="5" t="s">
        <v>1867</v>
      </c>
      <c r="C39" s="5" t="s">
        <v>59</v>
      </c>
      <c r="D39" s="6">
        <v>4.0</v>
      </c>
      <c r="E39" s="6">
        <v>165.0</v>
      </c>
      <c r="F39" s="6">
        <v>778380.0</v>
      </c>
      <c r="G39" s="6">
        <v>392.0</v>
      </c>
      <c r="H39" s="515">
        <v>0.083</v>
      </c>
      <c r="I39" s="515">
        <v>0.0861</v>
      </c>
      <c r="J39" s="515">
        <v>2.0E-4</v>
      </c>
      <c r="K39" s="5" t="s">
        <v>368</v>
      </c>
      <c r="L39" s="5" t="s">
        <v>368</v>
      </c>
      <c r="M39" s="5" t="s">
        <v>368</v>
      </c>
      <c r="N39" s="6">
        <v>8.6</v>
      </c>
      <c r="O39" s="5" t="s">
        <v>368</v>
      </c>
      <c r="P39" s="515">
        <v>0.146150776610447</v>
      </c>
      <c r="Q39" s="515">
        <v>4.660488120276845</v>
      </c>
      <c r="R39" s="515">
        <v>12.395071309550422</v>
      </c>
    </row>
    <row r="40">
      <c r="A40" s="5" t="s">
        <v>2093</v>
      </c>
      <c r="B40" s="5" t="s">
        <v>163</v>
      </c>
      <c r="C40" s="5" t="s">
        <v>60</v>
      </c>
      <c r="D40" s="6">
        <v>5.0</v>
      </c>
      <c r="E40" s="6">
        <v>165.0</v>
      </c>
      <c r="F40" s="6">
        <v>213210.0</v>
      </c>
      <c r="G40" s="6">
        <v>104.0</v>
      </c>
      <c r="H40" s="515">
        <v>0.0802</v>
      </c>
      <c r="I40" s="515">
        <v>0.0822</v>
      </c>
      <c r="J40" s="515">
        <v>2.0E-4</v>
      </c>
      <c r="K40" s="5" t="s">
        <v>368</v>
      </c>
      <c r="L40" s="5" t="s">
        <v>368</v>
      </c>
      <c r="M40" s="5" t="s">
        <v>368</v>
      </c>
      <c r="N40" s="6">
        <v>16.7</v>
      </c>
      <c r="O40" s="5" t="s">
        <v>368</v>
      </c>
      <c r="P40" s="515">
        <v>4.0</v>
      </c>
      <c r="Q40" s="515">
        <v>7.1119368773276355</v>
      </c>
      <c r="R40" s="515">
        <v>27.05438190727279</v>
      </c>
    </row>
    <row r="41">
      <c r="A41" s="5" t="s">
        <v>2093</v>
      </c>
      <c r="B41" s="5" t="s">
        <v>1867</v>
      </c>
      <c r="C41" s="5" t="s">
        <v>60</v>
      </c>
      <c r="D41" s="6">
        <v>5.0</v>
      </c>
      <c r="E41" s="6">
        <v>165.0</v>
      </c>
      <c r="F41" s="6">
        <v>103970.0</v>
      </c>
      <c r="G41" s="6">
        <v>50.0</v>
      </c>
      <c r="H41" s="515">
        <v>0.0801</v>
      </c>
      <c r="I41" s="515">
        <v>0.0823</v>
      </c>
      <c r="J41" s="515">
        <v>0.0</v>
      </c>
      <c r="K41" s="5" t="s">
        <v>368</v>
      </c>
      <c r="L41" s="5" t="s">
        <v>368</v>
      </c>
      <c r="M41" s="5" t="s">
        <v>368</v>
      </c>
      <c r="N41" s="6">
        <v>13.9</v>
      </c>
      <c r="O41" s="5" t="s">
        <v>368</v>
      </c>
      <c r="P41" s="515">
        <v>4.0</v>
      </c>
      <c r="Q41" s="515">
        <v>6.558854938529687</v>
      </c>
      <c r="R41" s="515">
        <v>14.771203399836779</v>
      </c>
    </row>
    <row r="42">
      <c r="A42" s="5" t="s">
        <v>2094</v>
      </c>
      <c r="B42" s="5" t="s">
        <v>163</v>
      </c>
      <c r="C42" s="5" t="s">
        <v>56</v>
      </c>
      <c r="D42" s="6">
        <v>1.0</v>
      </c>
      <c r="E42" s="6">
        <v>4.0</v>
      </c>
      <c r="F42" s="6">
        <v>154500.0</v>
      </c>
      <c r="G42" s="6">
        <v>1.0</v>
      </c>
      <c r="H42" s="515">
        <v>0.0</v>
      </c>
      <c r="I42" s="515">
        <v>0.0</v>
      </c>
      <c r="J42" s="515">
        <v>1.0</v>
      </c>
      <c r="K42" s="6">
        <v>0.0</v>
      </c>
      <c r="L42" s="6">
        <v>0.0</v>
      </c>
      <c r="M42" s="6">
        <v>1.0</v>
      </c>
      <c r="N42" s="6">
        <v>1697.3</v>
      </c>
      <c r="O42" s="5" t="s">
        <v>368</v>
      </c>
      <c r="P42" s="515">
        <v>30.0</v>
      </c>
      <c r="Q42" s="515">
        <v>42.0</v>
      </c>
      <c r="R42" s="515">
        <v>5020.0</v>
      </c>
    </row>
    <row r="43">
      <c r="A43" s="5" t="s">
        <v>2094</v>
      </c>
      <c r="B43" s="5" t="s">
        <v>1867</v>
      </c>
      <c r="C43" s="5" t="s">
        <v>56</v>
      </c>
      <c r="D43" s="6">
        <v>1.0</v>
      </c>
      <c r="E43" s="6">
        <v>4.0</v>
      </c>
      <c r="F43" s="6">
        <v>119859.0</v>
      </c>
      <c r="G43" s="6">
        <v>0.0</v>
      </c>
      <c r="H43" s="515">
        <v>0.0</v>
      </c>
      <c r="I43" s="515">
        <v>0.0</v>
      </c>
      <c r="J43" s="5" t="s">
        <v>368</v>
      </c>
      <c r="K43" s="5" t="s">
        <v>368</v>
      </c>
      <c r="L43" s="5" t="s">
        <v>368</v>
      </c>
      <c r="M43" s="5" t="s">
        <v>368</v>
      </c>
      <c r="N43" s="5" t="s">
        <v>368</v>
      </c>
      <c r="O43" s="5" t="s">
        <v>368</v>
      </c>
      <c r="P43" s="5" t="s">
        <v>368</v>
      </c>
      <c r="Q43" s="5" t="s">
        <v>368</v>
      </c>
      <c r="R43" s="5" t="s">
        <v>368</v>
      </c>
    </row>
    <row r="44">
      <c r="A44" s="5" t="s">
        <v>2094</v>
      </c>
      <c r="B44" s="5" t="s">
        <v>163</v>
      </c>
      <c r="C44" s="5" t="s">
        <v>57</v>
      </c>
      <c r="D44" s="6">
        <v>2.0</v>
      </c>
      <c r="E44" s="6">
        <v>4.0</v>
      </c>
      <c r="F44" s="6">
        <v>104510.0</v>
      </c>
      <c r="G44" s="6">
        <v>0.0</v>
      </c>
      <c r="H44" s="515">
        <v>0.0</v>
      </c>
      <c r="I44" s="515">
        <v>0.0</v>
      </c>
      <c r="J44" s="5" t="s">
        <v>368</v>
      </c>
      <c r="K44" s="5" t="s">
        <v>368</v>
      </c>
      <c r="L44" s="5" t="s">
        <v>368</v>
      </c>
      <c r="M44" s="5" t="s">
        <v>368</v>
      </c>
      <c r="N44" s="5" t="s">
        <v>368</v>
      </c>
      <c r="O44" s="5" t="s">
        <v>368</v>
      </c>
      <c r="P44" s="5" t="s">
        <v>368</v>
      </c>
      <c r="Q44" s="5" t="s">
        <v>368</v>
      </c>
      <c r="R44" s="5" t="s">
        <v>368</v>
      </c>
    </row>
    <row r="45">
      <c r="A45" s="5" t="s">
        <v>2094</v>
      </c>
      <c r="B45" s="5" t="s">
        <v>1867</v>
      </c>
      <c r="C45" s="5" t="s">
        <v>57</v>
      </c>
      <c r="D45" s="6">
        <v>2.0</v>
      </c>
      <c r="E45" s="6">
        <v>4.0</v>
      </c>
      <c r="F45" s="6">
        <v>60528.0</v>
      </c>
      <c r="G45" s="6">
        <v>0.0</v>
      </c>
      <c r="H45" s="515">
        <v>0.0</v>
      </c>
      <c r="I45" s="515">
        <v>0.0</v>
      </c>
      <c r="J45" s="5" t="s">
        <v>368</v>
      </c>
      <c r="K45" s="5" t="s">
        <v>368</v>
      </c>
      <c r="L45" s="5" t="s">
        <v>368</v>
      </c>
      <c r="M45" s="5" t="s">
        <v>368</v>
      </c>
      <c r="N45" s="5" t="s">
        <v>368</v>
      </c>
      <c r="O45" s="5" t="s">
        <v>368</v>
      </c>
      <c r="P45" s="5" t="s">
        <v>368</v>
      </c>
      <c r="Q45" s="5" t="s">
        <v>368</v>
      </c>
      <c r="R45" s="5" t="s">
        <v>368</v>
      </c>
    </row>
    <row r="46">
      <c r="A46" s="5" t="s">
        <v>2094</v>
      </c>
      <c r="B46" s="5" t="s">
        <v>163</v>
      </c>
      <c r="C46" s="5" t="s">
        <v>58</v>
      </c>
      <c r="D46" s="6">
        <v>3.0</v>
      </c>
      <c r="E46" s="6">
        <v>4.0</v>
      </c>
      <c r="F46" s="6">
        <v>60415.0</v>
      </c>
      <c r="G46" s="6">
        <v>0.0</v>
      </c>
      <c r="H46" s="515">
        <v>0.0</v>
      </c>
      <c r="I46" s="515">
        <v>0.0</v>
      </c>
      <c r="J46" s="5" t="s">
        <v>368</v>
      </c>
      <c r="K46" s="5" t="s">
        <v>368</v>
      </c>
      <c r="L46" s="5" t="s">
        <v>368</v>
      </c>
      <c r="M46" s="5" t="s">
        <v>368</v>
      </c>
      <c r="N46" s="5" t="s">
        <v>368</v>
      </c>
      <c r="O46" s="5" t="s">
        <v>368</v>
      </c>
      <c r="P46" s="5" t="s">
        <v>368</v>
      </c>
      <c r="Q46" s="5" t="s">
        <v>368</v>
      </c>
      <c r="R46" s="5" t="s">
        <v>368</v>
      </c>
    </row>
    <row r="47">
      <c r="A47" s="5" t="s">
        <v>2094</v>
      </c>
      <c r="B47" s="5" t="s">
        <v>1867</v>
      </c>
      <c r="C47" s="5" t="s">
        <v>58</v>
      </c>
      <c r="D47" s="6">
        <v>3.0</v>
      </c>
      <c r="E47" s="6">
        <v>4.0</v>
      </c>
      <c r="F47" s="6">
        <v>31062.0</v>
      </c>
      <c r="G47" s="6">
        <v>0.0</v>
      </c>
      <c r="H47" s="515">
        <v>0.0</v>
      </c>
      <c r="I47" s="515">
        <v>0.0</v>
      </c>
      <c r="J47" s="5" t="s">
        <v>368</v>
      </c>
      <c r="K47" s="5" t="s">
        <v>368</v>
      </c>
      <c r="L47" s="5" t="s">
        <v>368</v>
      </c>
      <c r="M47" s="5" t="s">
        <v>368</v>
      </c>
      <c r="N47" s="5" t="s">
        <v>368</v>
      </c>
      <c r="O47" s="5" t="s">
        <v>368</v>
      </c>
      <c r="P47" s="5" t="s">
        <v>368</v>
      </c>
      <c r="Q47" s="5" t="s">
        <v>368</v>
      </c>
      <c r="R47" s="5" t="s">
        <v>368</v>
      </c>
    </row>
    <row r="48">
      <c r="A48" s="5" t="s">
        <v>2094</v>
      </c>
      <c r="B48" s="5" t="s">
        <v>163</v>
      </c>
      <c r="C48" s="5" t="s">
        <v>59</v>
      </c>
      <c r="D48" s="6">
        <v>4.0</v>
      </c>
      <c r="E48" s="6">
        <v>4.0</v>
      </c>
      <c r="F48" s="6">
        <v>29000.0</v>
      </c>
      <c r="G48" s="6">
        <v>0.0</v>
      </c>
      <c r="H48" s="515">
        <v>0.0</v>
      </c>
      <c r="I48" s="515">
        <v>0.0</v>
      </c>
      <c r="J48" s="5" t="s">
        <v>368</v>
      </c>
      <c r="K48" s="5" t="s">
        <v>368</v>
      </c>
      <c r="L48" s="5" t="s">
        <v>368</v>
      </c>
      <c r="M48" s="5" t="s">
        <v>368</v>
      </c>
      <c r="N48" s="5" t="s">
        <v>368</v>
      </c>
      <c r="O48" s="5" t="s">
        <v>368</v>
      </c>
      <c r="P48" s="5" t="s">
        <v>368</v>
      </c>
      <c r="Q48" s="5" t="s">
        <v>368</v>
      </c>
      <c r="R48" s="5" t="s">
        <v>368</v>
      </c>
    </row>
    <row r="49">
      <c r="A49" s="5" t="s">
        <v>2094</v>
      </c>
      <c r="B49" s="5" t="s">
        <v>1867</v>
      </c>
      <c r="C49" s="5" t="s">
        <v>59</v>
      </c>
      <c r="D49" s="6">
        <v>4.0</v>
      </c>
      <c r="E49" s="6">
        <v>4.0</v>
      </c>
      <c r="F49" s="6">
        <v>13732.0</v>
      </c>
      <c r="G49" s="6">
        <v>0.0</v>
      </c>
      <c r="H49" s="515">
        <v>0.0</v>
      </c>
      <c r="I49" s="515">
        <v>0.0</v>
      </c>
      <c r="J49" s="5" t="s">
        <v>368</v>
      </c>
      <c r="K49" s="5" t="s">
        <v>368</v>
      </c>
      <c r="L49" s="5" t="s">
        <v>368</v>
      </c>
      <c r="M49" s="5" t="s">
        <v>368</v>
      </c>
      <c r="N49" s="5" t="s">
        <v>368</v>
      </c>
      <c r="O49" s="5" t="s">
        <v>368</v>
      </c>
      <c r="P49" s="5" t="s">
        <v>368</v>
      </c>
      <c r="Q49" s="5" t="s">
        <v>368</v>
      </c>
      <c r="R49" s="5" t="s">
        <v>368</v>
      </c>
    </row>
    <row r="50">
      <c r="A50" s="5" t="s">
        <v>2094</v>
      </c>
      <c r="B50" s="5" t="s">
        <v>163</v>
      </c>
      <c r="C50" s="5" t="s">
        <v>60</v>
      </c>
      <c r="D50" s="6">
        <v>5.0</v>
      </c>
      <c r="E50" s="6">
        <v>4.0</v>
      </c>
      <c r="F50" s="6">
        <v>3839.0</v>
      </c>
      <c r="G50" s="6">
        <v>0.0</v>
      </c>
      <c r="H50" s="515">
        <v>0.0</v>
      </c>
      <c r="I50" s="515">
        <v>0.0</v>
      </c>
      <c r="J50" s="5" t="s">
        <v>368</v>
      </c>
      <c r="K50" s="5" t="s">
        <v>368</v>
      </c>
      <c r="L50" s="5" t="s">
        <v>368</v>
      </c>
      <c r="M50" s="5" t="s">
        <v>368</v>
      </c>
      <c r="N50" s="5" t="s">
        <v>368</v>
      </c>
      <c r="O50" s="5" t="s">
        <v>368</v>
      </c>
      <c r="P50" s="5" t="s">
        <v>368</v>
      </c>
      <c r="Q50" s="5" t="s">
        <v>368</v>
      </c>
      <c r="R50" s="5" t="s">
        <v>368</v>
      </c>
    </row>
    <row r="51">
      <c r="A51" s="5" t="s">
        <v>2094</v>
      </c>
      <c r="B51" s="5" t="s">
        <v>1867</v>
      </c>
      <c r="C51" s="5" t="s">
        <v>60</v>
      </c>
      <c r="D51" s="6">
        <v>5.0</v>
      </c>
      <c r="E51" s="6">
        <v>4.0</v>
      </c>
      <c r="F51" s="6">
        <v>1764.0</v>
      </c>
      <c r="G51" s="6">
        <v>0.0</v>
      </c>
      <c r="H51" s="515">
        <v>0.0</v>
      </c>
      <c r="I51" s="515">
        <v>0.0</v>
      </c>
      <c r="J51" s="5" t="s">
        <v>368</v>
      </c>
      <c r="K51" s="5" t="s">
        <v>368</v>
      </c>
      <c r="L51" s="5" t="s">
        <v>368</v>
      </c>
      <c r="M51" s="5" t="s">
        <v>368</v>
      </c>
      <c r="N51" s="5" t="s">
        <v>368</v>
      </c>
      <c r="O51" s="5" t="s">
        <v>368</v>
      </c>
      <c r="P51" s="5" t="s">
        <v>368</v>
      </c>
      <c r="Q51" s="5" t="s">
        <v>368</v>
      </c>
      <c r="R51" s="5" t="s">
        <v>368</v>
      </c>
    </row>
    <row r="52">
      <c r="A52" s="5" t="s">
        <v>46</v>
      </c>
      <c r="B52" s="5" t="s">
        <v>163</v>
      </c>
      <c r="C52" s="5" t="s">
        <v>56</v>
      </c>
      <c r="D52" s="6">
        <v>1.0</v>
      </c>
      <c r="E52" s="6">
        <v>14.0</v>
      </c>
      <c r="F52" s="6">
        <v>729255.0</v>
      </c>
      <c r="G52" s="6">
        <v>18498.0</v>
      </c>
      <c r="H52" s="515">
        <v>0.3551</v>
      </c>
      <c r="I52" s="515">
        <v>0.769</v>
      </c>
      <c r="J52" s="515">
        <v>0.0</v>
      </c>
      <c r="K52" s="6">
        <v>3.0</v>
      </c>
      <c r="L52" s="6">
        <v>4.0</v>
      </c>
      <c r="M52" s="6">
        <v>6.0</v>
      </c>
      <c r="N52" s="6">
        <v>5.0</v>
      </c>
      <c r="O52" s="6">
        <v>0.0</v>
      </c>
      <c r="P52" s="515">
        <v>2.0631646699212047</v>
      </c>
      <c r="Q52" s="515">
        <v>4.359659336916018</v>
      </c>
      <c r="R52" s="515">
        <v>7.931315085771834</v>
      </c>
    </row>
    <row r="53">
      <c r="A53" s="5" t="s">
        <v>46</v>
      </c>
      <c r="B53" s="5" t="s">
        <v>1867</v>
      </c>
      <c r="C53" s="5" t="s">
        <v>56</v>
      </c>
      <c r="D53" s="6">
        <v>1.0</v>
      </c>
      <c r="E53" s="6">
        <v>14.0</v>
      </c>
      <c r="F53" s="6">
        <v>550399.0</v>
      </c>
      <c r="G53" s="6">
        <v>16353.0</v>
      </c>
      <c r="H53" s="515">
        <v>0.416</v>
      </c>
      <c r="I53" s="515">
        <v>0.8065</v>
      </c>
      <c r="J53" s="515">
        <v>0.0</v>
      </c>
      <c r="K53" s="6">
        <v>3.0</v>
      </c>
      <c r="L53" s="6">
        <v>5.0</v>
      </c>
      <c r="M53" s="6">
        <v>6.0</v>
      </c>
      <c r="N53" s="6">
        <v>4.7</v>
      </c>
      <c r="O53" s="6">
        <v>0.0</v>
      </c>
      <c r="P53" s="515">
        <v>2.013550213726242</v>
      </c>
      <c r="Q53" s="515">
        <v>3.918469842294585</v>
      </c>
      <c r="R53" s="515">
        <v>7.366855359735042</v>
      </c>
    </row>
    <row r="54">
      <c r="A54" s="5" t="s">
        <v>46</v>
      </c>
      <c r="B54" s="5" t="s">
        <v>163</v>
      </c>
      <c r="C54" s="5" t="s">
        <v>57</v>
      </c>
      <c r="D54" s="6">
        <v>2.0</v>
      </c>
      <c r="E54" s="6">
        <v>14.0</v>
      </c>
      <c r="F54" s="6">
        <v>476620.0</v>
      </c>
      <c r="G54" s="6">
        <v>18980.0</v>
      </c>
      <c r="H54" s="515">
        <v>0.5575</v>
      </c>
      <c r="I54" s="515">
        <v>0.826</v>
      </c>
      <c r="J54" s="515">
        <v>0.0</v>
      </c>
      <c r="K54" s="6">
        <v>2.0</v>
      </c>
      <c r="L54" s="6">
        <v>3.0</v>
      </c>
      <c r="M54" s="6">
        <v>5.0</v>
      </c>
      <c r="N54" s="6">
        <v>7.9</v>
      </c>
      <c r="O54" s="6">
        <v>0.0</v>
      </c>
      <c r="P54" s="515">
        <v>5.714748452237491</v>
      </c>
      <c r="Q54" s="515">
        <v>9.94315145862392</v>
      </c>
      <c r="R54" s="515">
        <v>10.0</v>
      </c>
    </row>
    <row r="55">
      <c r="A55" s="5" t="s">
        <v>46</v>
      </c>
      <c r="B55" s="5" t="s">
        <v>1867</v>
      </c>
      <c r="C55" s="5" t="s">
        <v>57</v>
      </c>
      <c r="D55" s="6">
        <v>2.0</v>
      </c>
      <c r="E55" s="6">
        <v>14.0</v>
      </c>
      <c r="F55" s="6">
        <v>273862.0</v>
      </c>
      <c r="G55" s="6">
        <v>11234.0</v>
      </c>
      <c r="H55" s="515">
        <v>0.5743</v>
      </c>
      <c r="I55" s="515">
        <v>0.834</v>
      </c>
      <c r="J55" s="515">
        <v>0.0</v>
      </c>
      <c r="K55" s="6">
        <v>2.0</v>
      </c>
      <c r="L55" s="6">
        <v>3.0</v>
      </c>
      <c r="M55" s="6">
        <v>5.0</v>
      </c>
      <c r="N55" s="6">
        <v>7.7</v>
      </c>
      <c r="O55" s="6">
        <v>0.0</v>
      </c>
      <c r="P55" s="515">
        <v>5.251298748718405</v>
      </c>
      <c r="Q55" s="515">
        <v>9.829044244912229</v>
      </c>
      <c r="R55" s="515">
        <v>10.0</v>
      </c>
    </row>
    <row r="56">
      <c r="A56" s="5" t="s">
        <v>46</v>
      </c>
      <c r="B56" s="5" t="s">
        <v>163</v>
      </c>
      <c r="C56" s="5" t="s">
        <v>58</v>
      </c>
      <c r="D56" s="6">
        <v>3.0</v>
      </c>
      <c r="E56" s="6">
        <v>14.0</v>
      </c>
      <c r="F56" s="6">
        <v>278808.0</v>
      </c>
      <c r="G56" s="6">
        <v>12746.0</v>
      </c>
      <c r="H56" s="515">
        <v>0.64</v>
      </c>
      <c r="I56" s="515">
        <v>0.8407</v>
      </c>
      <c r="J56" s="515">
        <v>0.0</v>
      </c>
      <c r="K56" s="6">
        <v>2.0</v>
      </c>
      <c r="L56" s="6">
        <v>3.0</v>
      </c>
      <c r="M56" s="6">
        <v>4.0</v>
      </c>
      <c r="N56" s="6">
        <v>9.1</v>
      </c>
      <c r="O56" s="6">
        <v>0.0</v>
      </c>
      <c r="P56" s="515">
        <v>9.879931531573872</v>
      </c>
      <c r="Q56" s="515">
        <v>10.0</v>
      </c>
      <c r="R56" s="515">
        <v>10.0</v>
      </c>
    </row>
    <row r="57">
      <c r="A57" s="5" t="s">
        <v>46</v>
      </c>
      <c r="B57" s="5" t="s">
        <v>1867</v>
      </c>
      <c r="C57" s="5" t="s">
        <v>58</v>
      </c>
      <c r="D57" s="6">
        <v>3.0</v>
      </c>
      <c r="E57" s="6">
        <v>14.0</v>
      </c>
      <c r="F57" s="6">
        <v>148814.0</v>
      </c>
      <c r="G57" s="6">
        <v>6789.0</v>
      </c>
      <c r="H57" s="515">
        <v>0.6387</v>
      </c>
      <c r="I57" s="515">
        <v>0.8321</v>
      </c>
      <c r="J57" s="515">
        <v>0.0</v>
      </c>
      <c r="K57" s="6">
        <v>2.0</v>
      </c>
      <c r="L57" s="6">
        <v>3.0</v>
      </c>
      <c r="M57" s="6">
        <v>4.0</v>
      </c>
      <c r="N57" s="6">
        <v>8.9</v>
      </c>
      <c r="O57" s="6">
        <v>0.0</v>
      </c>
      <c r="P57" s="515">
        <v>9.570483869876938</v>
      </c>
      <c r="Q57" s="515">
        <v>10.0</v>
      </c>
      <c r="R57" s="515">
        <v>10.0</v>
      </c>
    </row>
    <row r="58">
      <c r="A58" s="5" t="s">
        <v>46</v>
      </c>
      <c r="B58" s="5" t="s">
        <v>163</v>
      </c>
      <c r="C58" s="5" t="s">
        <v>59</v>
      </c>
      <c r="D58" s="6">
        <v>4.0</v>
      </c>
      <c r="E58" s="6">
        <v>14.0</v>
      </c>
      <c r="F58" s="6">
        <v>127996.0</v>
      </c>
      <c r="G58" s="6">
        <v>6750.0</v>
      </c>
      <c r="H58" s="515">
        <v>0.7383</v>
      </c>
      <c r="I58" s="515">
        <v>0.8817</v>
      </c>
      <c r="J58" s="515">
        <v>0.0</v>
      </c>
      <c r="K58" s="6">
        <v>1.0</v>
      </c>
      <c r="L58" s="6">
        <v>2.0</v>
      </c>
      <c r="M58" s="6">
        <v>4.0</v>
      </c>
      <c r="N58" s="6">
        <v>9.6</v>
      </c>
      <c r="O58" s="6">
        <v>0.0</v>
      </c>
      <c r="P58" s="515">
        <v>10.0</v>
      </c>
      <c r="Q58" s="515">
        <v>10.0</v>
      </c>
      <c r="R58" s="515">
        <v>10.0</v>
      </c>
    </row>
    <row r="59">
      <c r="A59" s="5" t="s">
        <v>46</v>
      </c>
      <c r="B59" s="5" t="s">
        <v>1867</v>
      </c>
      <c r="C59" s="5" t="s">
        <v>59</v>
      </c>
      <c r="D59" s="6">
        <v>4.0</v>
      </c>
      <c r="E59" s="6">
        <v>14.0</v>
      </c>
      <c r="F59" s="6">
        <v>64537.0</v>
      </c>
      <c r="G59" s="6">
        <v>3305.0</v>
      </c>
      <c r="H59" s="515">
        <v>0.7169</v>
      </c>
      <c r="I59" s="515">
        <v>0.8542</v>
      </c>
      <c r="J59" s="515">
        <v>0.0</v>
      </c>
      <c r="K59" s="6">
        <v>1.0</v>
      </c>
      <c r="L59" s="6">
        <v>2.0</v>
      </c>
      <c r="M59" s="6">
        <v>3.0</v>
      </c>
      <c r="N59" s="6">
        <v>9.5</v>
      </c>
      <c r="O59" s="6">
        <v>0.0</v>
      </c>
      <c r="P59" s="515">
        <v>10.0</v>
      </c>
      <c r="Q59" s="515">
        <v>10.0</v>
      </c>
      <c r="R59" s="515">
        <v>10.0</v>
      </c>
    </row>
    <row r="60">
      <c r="A60" s="5" t="s">
        <v>46</v>
      </c>
      <c r="B60" s="5" t="s">
        <v>163</v>
      </c>
      <c r="C60" s="5" t="s">
        <v>60</v>
      </c>
      <c r="D60" s="6">
        <v>5.0</v>
      </c>
      <c r="E60" s="6">
        <v>14.0</v>
      </c>
      <c r="F60" s="6">
        <v>18090.0</v>
      </c>
      <c r="G60" s="6">
        <v>1059.0</v>
      </c>
      <c r="H60" s="515">
        <v>0.8192</v>
      </c>
      <c r="I60" s="515">
        <v>0.9106</v>
      </c>
      <c r="J60" s="515">
        <v>0.0</v>
      </c>
      <c r="K60" s="6">
        <v>1.0</v>
      </c>
      <c r="L60" s="6">
        <v>2.0</v>
      </c>
      <c r="M60" s="6">
        <v>3.0</v>
      </c>
      <c r="N60" s="6">
        <v>9.9</v>
      </c>
      <c r="O60" s="6">
        <v>0.0</v>
      </c>
      <c r="P60" s="515">
        <v>10.0</v>
      </c>
      <c r="Q60" s="515">
        <v>10.0</v>
      </c>
      <c r="R60" s="515">
        <v>10.0</v>
      </c>
    </row>
    <row r="61">
      <c r="A61" s="5" t="s">
        <v>46</v>
      </c>
      <c r="B61" s="5" t="s">
        <v>1867</v>
      </c>
      <c r="C61" s="5" t="s">
        <v>60</v>
      </c>
      <c r="D61" s="6">
        <v>5.0</v>
      </c>
      <c r="E61" s="6">
        <v>14.0</v>
      </c>
      <c r="F61" s="6">
        <v>8840.0</v>
      </c>
      <c r="G61" s="6">
        <v>497.0</v>
      </c>
      <c r="H61" s="515">
        <v>0.7868</v>
      </c>
      <c r="I61" s="515">
        <v>0.8771</v>
      </c>
      <c r="J61" s="515">
        <v>0.0</v>
      </c>
      <c r="K61" s="6">
        <v>1.0</v>
      </c>
      <c r="L61" s="6">
        <v>2.0</v>
      </c>
      <c r="M61" s="6">
        <v>3.0</v>
      </c>
      <c r="N61" s="6">
        <v>9.9</v>
      </c>
      <c r="O61" s="6">
        <v>0.0</v>
      </c>
      <c r="P61" s="515">
        <v>10.0</v>
      </c>
      <c r="Q61" s="515">
        <v>10.0</v>
      </c>
      <c r="R61" s="515">
        <v>10.0</v>
      </c>
    </row>
    <row r="62">
      <c r="A62" s="5" t="s">
        <v>49</v>
      </c>
      <c r="B62" s="5" t="s">
        <v>163</v>
      </c>
      <c r="C62" s="5" t="s">
        <v>56</v>
      </c>
      <c r="D62" s="6">
        <v>1.0</v>
      </c>
      <c r="E62" s="6">
        <v>19.0</v>
      </c>
      <c r="F62" s="6">
        <v>998399.0</v>
      </c>
      <c r="G62" s="6">
        <v>15216.0</v>
      </c>
      <c r="H62" s="515">
        <v>0.2896</v>
      </c>
      <c r="I62" s="515">
        <v>0.3828</v>
      </c>
      <c r="J62" s="515">
        <v>0.0</v>
      </c>
      <c r="K62" s="6">
        <v>2.0</v>
      </c>
      <c r="L62" s="6">
        <v>3.0</v>
      </c>
      <c r="M62" s="6">
        <v>4.0</v>
      </c>
      <c r="N62" s="6">
        <v>1199.7</v>
      </c>
      <c r="O62" s="6">
        <v>0.0</v>
      </c>
      <c r="P62" s="515">
        <v>165.2790791681834</v>
      </c>
      <c r="Q62" s="515">
        <v>456.1347068372917</v>
      </c>
      <c r="R62" s="515">
        <v>1266.6653886738357</v>
      </c>
    </row>
    <row r="63">
      <c r="A63" s="5" t="s">
        <v>49</v>
      </c>
      <c r="B63" s="5" t="s">
        <v>1867</v>
      </c>
      <c r="C63" s="5" t="s">
        <v>56</v>
      </c>
      <c r="D63" s="6">
        <v>1.0</v>
      </c>
      <c r="E63" s="6">
        <v>19.0</v>
      </c>
      <c r="F63" s="6">
        <v>756180.0</v>
      </c>
      <c r="G63" s="6">
        <v>13140.0</v>
      </c>
      <c r="H63" s="515">
        <v>0.3302</v>
      </c>
      <c r="I63" s="515">
        <v>0.4365</v>
      </c>
      <c r="J63" s="515">
        <v>0.0</v>
      </c>
      <c r="K63" s="6">
        <v>2.0</v>
      </c>
      <c r="L63" s="6">
        <v>3.0</v>
      </c>
      <c r="M63" s="6">
        <v>4.0</v>
      </c>
      <c r="N63" s="6">
        <v>1095.8</v>
      </c>
      <c r="O63" s="6">
        <v>0.0</v>
      </c>
      <c r="P63" s="515">
        <v>144.11628863521992</v>
      </c>
      <c r="Q63" s="515">
        <v>373.8898632694007</v>
      </c>
      <c r="R63" s="515">
        <v>1004.1896016279399</v>
      </c>
    </row>
    <row r="64">
      <c r="A64" s="5" t="s">
        <v>49</v>
      </c>
      <c r="B64" s="5" t="s">
        <v>163</v>
      </c>
      <c r="C64" s="5" t="s">
        <v>57</v>
      </c>
      <c r="D64" s="6">
        <v>2.0</v>
      </c>
      <c r="E64" s="6">
        <v>19.0</v>
      </c>
      <c r="F64" s="6">
        <v>660987.0</v>
      </c>
      <c r="G64" s="6">
        <v>15778.0</v>
      </c>
      <c r="H64" s="515">
        <v>0.4535</v>
      </c>
      <c r="I64" s="515">
        <v>0.5179</v>
      </c>
      <c r="J64" s="515">
        <v>0.0</v>
      </c>
      <c r="K64" s="6">
        <v>1.0</v>
      </c>
      <c r="L64" s="6">
        <v>2.0</v>
      </c>
      <c r="M64" s="6">
        <v>3.0</v>
      </c>
      <c r="N64" s="6">
        <v>2912.8</v>
      </c>
      <c r="O64" s="6">
        <v>0.0</v>
      </c>
      <c r="P64" s="515">
        <v>427.7924289706695</v>
      </c>
      <c r="Q64" s="515">
        <v>1278.2365719846987</v>
      </c>
      <c r="R64" s="515">
        <v>3857.018963567327</v>
      </c>
    </row>
    <row r="65">
      <c r="A65" s="5" t="s">
        <v>49</v>
      </c>
      <c r="B65" s="5" t="s">
        <v>1867</v>
      </c>
      <c r="C65" s="5" t="s">
        <v>57</v>
      </c>
      <c r="D65" s="6">
        <v>2.0</v>
      </c>
      <c r="E65" s="6">
        <v>19.0</v>
      </c>
      <c r="F65" s="6">
        <v>379436.0</v>
      </c>
      <c r="G65" s="6">
        <v>9253.0</v>
      </c>
      <c r="H65" s="515">
        <v>0.4634</v>
      </c>
      <c r="I65" s="515">
        <v>0.5403</v>
      </c>
      <c r="J65" s="515">
        <v>0.0</v>
      </c>
      <c r="K65" s="6">
        <v>1.0</v>
      </c>
      <c r="L65" s="6">
        <v>2.0</v>
      </c>
      <c r="M65" s="6">
        <v>3.0</v>
      </c>
      <c r="N65" s="6">
        <v>3123.6</v>
      </c>
      <c r="O65" s="6">
        <v>0.0</v>
      </c>
      <c r="P65" s="515">
        <v>359.3732366726816</v>
      </c>
      <c r="Q65" s="515">
        <v>1117.360139499679</v>
      </c>
      <c r="R65" s="515">
        <v>3848.5350694472</v>
      </c>
    </row>
    <row r="66">
      <c r="A66" s="5" t="s">
        <v>49</v>
      </c>
      <c r="B66" s="5" t="s">
        <v>163</v>
      </c>
      <c r="C66" s="5" t="s">
        <v>58</v>
      </c>
      <c r="D66" s="6">
        <v>3.0</v>
      </c>
      <c r="E66" s="6">
        <v>19.0</v>
      </c>
      <c r="F66" s="6">
        <v>390504.0</v>
      </c>
      <c r="G66" s="6">
        <v>11073.0</v>
      </c>
      <c r="H66" s="515">
        <v>0.5387</v>
      </c>
      <c r="I66" s="515">
        <v>0.5821</v>
      </c>
      <c r="J66" s="515">
        <v>0.0</v>
      </c>
      <c r="K66" s="6">
        <v>1.0</v>
      </c>
      <c r="L66" s="6">
        <v>2.0</v>
      </c>
      <c r="M66" s="6">
        <v>3.0</v>
      </c>
      <c r="N66" s="6">
        <v>5056.3</v>
      </c>
      <c r="O66" s="6">
        <v>0.0</v>
      </c>
      <c r="P66" s="515">
        <v>866.906786759796</v>
      </c>
      <c r="Q66" s="515">
        <v>2875.2186518214617</v>
      </c>
      <c r="R66" s="515">
        <v>7342.036484727915</v>
      </c>
    </row>
    <row r="67">
      <c r="A67" s="5" t="s">
        <v>49</v>
      </c>
      <c r="B67" s="5" t="s">
        <v>1867</v>
      </c>
      <c r="C67" s="5" t="s">
        <v>58</v>
      </c>
      <c r="D67" s="6">
        <v>3.0</v>
      </c>
      <c r="E67" s="6">
        <v>19.0</v>
      </c>
      <c r="F67" s="6">
        <v>207484.0</v>
      </c>
      <c r="G67" s="6">
        <v>5946.0</v>
      </c>
      <c r="H67" s="515">
        <v>0.5445</v>
      </c>
      <c r="I67" s="515">
        <v>0.5992</v>
      </c>
      <c r="J67" s="515">
        <v>0.0</v>
      </c>
      <c r="K67" s="6">
        <v>1.0</v>
      </c>
      <c r="L67" s="6">
        <v>2.0</v>
      </c>
      <c r="M67" s="6">
        <v>3.0</v>
      </c>
      <c r="N67" s="6">
        <v>5761.5</v>
      </c>
      <c r="O67" s="6">
        <v>0.0</v>
      </c>
      <c r="P67" s="515">
        <v>733.2478326692435</v>
      </c>
      <c r="Q67" s="515">
        <v>2836.340261317452</v>
      </c>
      <c r="R67" s="515">
        <v>8588.99918278382</v>
      </c>
    </row>
    <row r="68">
      <c r="A68" s="5" t="s">
        <v>49</v>
      </c>
      <c r="B68" s="5" t="s">
        <v>163</v>
      </c>
      <c r="C68" s="5" t="s">
        <v>59</v>
      </c>
      <c r="D68" s="6">
        <v>4.0</v>
      </c>
      <c r="E68" s="6">
        <v>19.0</v>
      </c>
      <c r="F68" s="6">
        <v>181925.0</v>
      </c>
      <c r="G68" s="6">
        <v>6070.0</v>
      </c>
      <c r="H68" s="515">
        <v>0.634</v>
      </c>
      <c r="I68" s="515">
        <v>0.6642</v>
      </c>
      <c r="J68" s="515">
        <v>0.0</v>
      </c>
      <c r="K68" s="6">
        <v>1.0</v>
      </c>
      <c r="L68" s="6">
        <v>1.0</v>
      </c>
      <c r="M68" s="6">
        <v>2.0</v>
      </c>
      <c r="N68" s="6">
        <v>7458.1</v>
      </c>
      <c r="O68" s="6">
        <v>0.0</v>
      </c>
      <c r="P68" s="515">
        <v>1629.1167669823503</v>
      </c>
      <c r="Q68" s="515">
        <v>5054.96803585212</v>
      </c>
      <c r="R68" s="515">
        <v>11402.267186507443</v>
      </c>
    </row>
    <row r="69">
      <c r="A69" s="5" t="s">
        <v>49</v>
      </c>
      <c r="B69" s="5" t="s">
        <v>1867</v>
      </c>
      <c r="C69" s="5" t="s">
        <v>59</v>
      </c>
      <c r="D69" s="6">
        <v>4.0</v>
      </c>
      <c r="E69" s="6">
        <v>19.0</v>
      </c>
      <c r="F69" s="6">
        <v>91139.0</v>
      </c>
      <c r="G69" s="6">
        <v>3024.0</v>
      </c>
      <c r="H69" s="515">
        <v>0.6304</v>
      </c>
      <c r="I69" s="515">
        <v>0.6678</v>
      </c>
      <c r="J69" s="515">
        <v>0.0</v>
      </c>
      <c r="K69" s="6">
        <v>1.0</v>
      </c>
      <c r="L69" s="6">
        <v>1.0</v>
      </c>
      <c r="M69" s="6">
        <v>2.0</v>
      </c>
      <c r="N69" s="6">
        <v>8961.0</v>
      </c>
      <c r="O69" s="6">
        <v>0.0</v>
      </c>
      <c r="P69" s="515">
        <v>1557.4429175935825</v>
      </c>
      <c r="Q69" s="515">
        <v>5929.84039407777</v>
      </c>
      <c r="R69" s="515">
        <v>14199.868062125795</v>
      </c>
    </row>
    <row r="70">
      <c r="A70" s="5" t="s">
        <v>49</v>
      </c>
      <c r="B70" s="5" t="s">
        <v>163</v>
      </c>
      <c r="C70" s="5" t="s">
        <v>60</v>
      </c>
      <c r="D70" s="6">
        <v>5.0</v>
      </c>
      <c r="E70" s="6">
        <v>19.0</v>
      </c>
      <c r="F70" s="6">
        <v>24552.0</v>
      </c>
      <c r="G70" s="6">
        <v>899.0</v>
      </c>
      <c r="H70" s="515">
        <v>0.6957</v>
      </c>
      <c r="I70" s="515">
        <v>0.71</v>
      </c>
      <c r="J70" s="515">
        <v>0.0</v>
      </c>
      <c r="K70" s="6">
        <v>1.0</v>
      </c>
      <c r="L70" s="6">
        <v>1.0</v>
      </c>
      <c r="M70" s="6">
        <v>2.0</v>
      </c>
      <c r="N70" s="6">
        <v>9165.6</v>
      </c>
      <c r="O70" s="6">
        <v>0.0</v>
      </c>
      <c r="P70" s="515">
        <v>2605.630523067046</v>
      </c>
      <c r="Q70" s="515">
        <v>6688.935822848914</v>
      </c>
      <c r="R70" s="515">
        <v>14144.155036352307</v>
      </c>
    </row>
    <row r="71">
      <c r="A71" s="5" t="s">
        <v>49</v>
      </c>
      <c r="B71" s="5" t="s">
        <v>1867</v>
      </c>
      <c r="C71" s="5" t="s">
        <v>60</v>
      </c>
      <c r="D71" s="6">
        <v>5.0</v>
      </c>
      <c r="E71" s="6">
        <v>19.0</v>
      </c>
      <c r="F71" s="6">
        <v>11954.0</v>
      </c>
      <c r="G71" s="6">
        <v>445.0</v>
      </c>
      <c r="H71" s="515">
        <v>0.7075</v>
      </c>
      <c r="I71" s="515">
        <v>0.7264</v>
      </c>
      <c r="J71" s="515">
        <v>0.0</v>
      </c>
      <c r="K71" s="6">
        <v>1.0</v>
      </c>
      <c r="L71" s="6">
        <v>1.0</v>
      </c>
      <c r="M71" s="6">
        <v>2.0</v>
      </c>
      <c r="N71" s="6">
        <v>11410.7</v>
      </c>
      <c r="O71" s="6">
        <v>0.0</v>
      </c>
      <c r="P71" s="515">
        <v>3080.172300516624</v>
      </c>
      <c r="Q71" s="515">
        <v>8720.377704390065</v>
      </c>
      <c r="R71" s="515">
        <v>17570.59790879974</v>
      </c>
    </row>
    <row r="72">
      <c r="A72" s="5" t="s">
        <v>44</v>
      </c>
      <c r="B72" s="5" t="s">
        <v>163</v>
      </c>
      <c r="C72" s="5" t="s">
        <v>56</v>
      </c>
      <c r="D72" s="6">
        <v>1.0</v>
      </c>
      <c r="E72" s="6">
        <v>5.0</v>
      </c>
      <c r="F72" s="6">
        <v>348048.0</v>
      </c>
      <c r="G72" s="6">
        <v>51284.0</v>
      </c>
      <c r="H72" s="515">
        <v>0.7367</v>
      </c>
      <c r="I72" s="515">
        <v>0.9195</v>
      </c>
      <c r="J72" s="515">
        <v>0.0</v>
      </c>
      <c r="K72" s="5" t="s">
        <v>368</v>
      </c>
      <c r="L72" s="5" t="s">
        <v>368</v>
      </c>
      <c r="M72" s="5" t="s">
        <v>368</v>
      </c>
      <c r="N72" s="6">
        <v>20.1</v>
      </c>
      <c r="O72" s="5" t="s">
        <v>368</v>
      </c>
      <c r="P72" s="515">
        <v>6.290115773128067</v>
      </c>
      <c r="Q72" s="515">
        <v>13.389214786188688</v>
      </c>
      <c r="R72" s="515">
        <v>25.404079560879413</v>
      </c>
    </row>
    <row r="73">
      <c r="A73" s="5" t="s">
        <v>44</v>
      </c>
      <c r="B73" s="5" t="s">
        <v>1867</v>
      </c>
      <c r="C73" s="5" t="s">
        <v>56</v>
      </c>
      <c r="D73" s="6">
        <v>1.0</v>
      </c>
      <c r="E73" s="6">
        <v>5.0</v>
      </c>
      <c r="F73" s="6">
        <v>250348.0</v>
      </c>
      <c r="G73" s="6">
        <v>41038.0</v>
      </c>
      <c r="H73" s="515">
        <v>0.8196</v>
      </c>
      <c r="I73" s="515">
        <v>0.9401</v>
      </c>
      <c r="J73" s="515">
        <v>0.0</v>
      </c>
      <c r="K73" s="5" t="s">
        <v>368</v>
      </c>
      <c r="L73" s="5" t="s">
        <v>368</v>
      </c>
      <c r="M73" s="5" t="s">
        <v>368</v>
      </c>
      <c r="N73" s="6">
        <v>19.3</v>
      </c>
      <c r="O73" s="5" t="s">
        <v>368</v>
      </c>
      <c r="P73" s="515">
        <v>6.309062587481693</v>
      </c>
      <c r="Q73" s="515">
        <v>13.310079161190876</v>
      </c>
      <c r="R73" s="515">
        <v>24.665583015235516</v>
      </c>
    </row>
    <row r="74">
      <c r="A74" s="5" t="s">
        <v>44</v>
      </c>
      <c r="B74" s="5" t="s">
        <v>163</v>
      </c>
      <c r="C74" s="5" t="s">
        <v>57</v>
      </c>
      <c r="D74" s="6">
        <v>2.0</v>
      </c>
      <c r="E74" s="6">
        <v>5.0</v>
      </c>
      <c r="F74" s="6">
        <v>214500.0</v>
      </c>
      <c r="G74" s="6">
        <v>38552.0</v>
      </c>
      <c r="H74" s="515">
        <v>0.8986</v>
      </c>
      <c r="I74" s="515">
        <v>0.9401</v>
      </c>
      <c r="J74" s="515">
        <v>0.0</v>
      </c>
      <c r="K74" s="5" t="s">
        <v>368</v>
      </c>
      <c r="L74" s="5" t="s">
        <v>368</v>
      </c>
      <c r="M74" s="5" t="s">
        <v>368</v>
      </c>
      <c r="N74" s="6">
        <v>50.7</v>
      </c>
      <c r="O74" s="5" t="s">
        <v>368</v>
      </c>
      <c r="P74" s="515">
        <v>22.32022943228724</v>
      </c>
      <c r="Q74" s="515">
        <v>41.204273288655656</v>
      </c>
      <c r="R74" s="515">
        <v>65.54174605674714</v>
      </c>
    </row>
    <row r="75">
      <c r="A75" s="5" t="s">
        <v>44</v>
      </c>
      <c r="B75" s="5" t="s">
        <v>1867</v>
      </c>
      <c r="C75" s="5" t="s">
        <v>57</v>
      </c>
      <c r="D75" s="6">
        <v>2.0</v>
      </c>
      <c r="E75" s="6">
        <v>5.0</v>
      </c>
      <c r="F75" s="6">
        <v>121239.0</v>
      </c>
      <c r="G75" s="6">
        <v>22179.0</v>
      </c>
      <c r="H75" s="515">
        <v>0.9147</v>
      </c>
      <c r="I75" s="515">
        <v>0.9465</v>
      </c>
      <c r="J75" s="515">
        <v>0.0</v>
      </c>
      <c r="K75" s="5" t="s">
        <v>368</v>
      </c>
      <c r="L75" s="5" t="s">
        <v>368</v>
      </c>
      <c r="M75" s="5" t="s">
        <v>368</v>
      </c>
      <c r="N75" s="6">
        <v>49.1</v>
      </c>
      <c r="O75" s="5" t="s">
        <v>368</v>
      </c>
      <c r="P75" s="515">
        <v>21.780288678074694</v>
      </c>
      <c r="Q75" s="515">
        <v>39.89562754115231</v>
      </c>
      <c r="R75" s="515">
        <v>64.14082114696782</v>
      </c>
    </row>
    <row r="76">
      <c r="A76" s="5" t="s">
        <v>44</v>
      </c>
      <c r="B76" s="5" t="s">
        <v>163</v>
      </c>
      <c r="C76" s="5" t="s">
        <v>58</v>
      </c>
      <c r="D76" s="6">
        <v>3.0</v>
      </c>
      <c r="E76" s="6">
        <v>5.0</v>
      </c>
      <c r="F76" s="6">
        <v>128635.0</v>
      </c>
      <c r="G76" s="6">
        <v>23588.0</v>
      </c>
      <c r="H76" s="515">
        <v>0.9168</v>
      </c>
      <c r="I76" s="515">
        <v>0.9424</v>
      </c>
      <c r="J76" s="515">
        <v>0.0</v>
      </c>
      <c r="K76" s="5" t="s">
        <v>368</v>
      </c>
      <c r="L76" s="5" t="s">
        <v>368</v>
      </c>
      <c r="M76" s="5" t="s">
        <v>368</v>
      </c>
      <c r="N76" s="6">
        <v>90.6</v>
      </c>
      <c r="O76" s="5" t="s">
        <v>368</v>
      </c>
      <c r="P76" s="515">
        <v>44.81224532912418</v>
      </c>
      <c r="Q76" s="515">
        <v>81.74916860770564</v>
      </c>
      <c r="R76" s="515">
        <v>130.08549459424947</v>
      </c>
    </row>
    <row r="77">
      <c r="A77" s="5" t="s">
        <v>44</v>
      </c>
      <c r="B77" s="5" t="s">
        <v>1867</v>
      </c>
      <c r="C77" s="5" t="s">
        <v>58</v>
      </c>
      <c r="D77" s="6">
        <v>3.0</v>
      </c>
      <c r="E77" s="6">
        <v>5.0</v>
      </c>
      <c r="F77" s="6">
        <v>68319.0</v>
      </c>
      <c r="G77" s="6">
        <v>12523.0</v>
      </c>
      <c r="H77" s="515">
        <v>0.9165</v>
      </c>
      <c r="I77" s="515">
        <v>0.9389</v>
      </c>
      <c r="J77" s="515">
        <v>0.0</v>
      </c>
      <c r="K77" s="5" t="s">
        <v>368</v>
      </c>
      <c r="L77" s="5" t="s">
        <v>368</v>
      </c>
      <c r="M77" s="5" t="s">
        <v>368</v>
      </c>
      <c r="N77" s="6">
        <v>85.2</v>
      </c>
      <c r="O77" s="5" t="s">
        <v>368</v>
      </c>
      <c r="P77" s="515">
        <v>41.55674620691141</v>
      </c>
      <c r="Q77" s="515">
        <v>76.9753203064432</v>
      </c>
      <c r="R77" s="515">
        <v>125.70699471118449</v>
      </c>
    </row>
    <row r="78">
      <c r="A78" s="5" t="s">
        <v>44</v>
      </c>
      <c r="B78" s="5" t="s">
        <v>163</v>
      </c>
      <c r="C78" s="5" t="s">
        <v>59</v>
      </c>
      <c r="D78" s="6">
        <v>4.0</v>
      </c>
      <c r="E78" s="6">
        <v>5.0</v>
      </c>
      <c r="F78" s="6">
        <v>59570.0</v>
      </c>
      <c r="G78" s="6">
        <v>11252.0</v>
      </c>
      <c r="H78" s="515">
        <v>0.9444</v>
      </c>
      <c r="I78" s="515">
        <v>0.9547</v>
      </c>
      <c r="J78" s="515">
        <v>0.0</v>
      </c>
      <c r="K78" s="5" t="s">
        <v>368</v>
      </c>
      <c r="L78" s="5" t="s">
        <v>368</v>
      </c>
      <c r="M78" s="5" t="s">
        <v>368</v>
      </c>
      <c r="N78" s="6">
        <v>144.7</v>
      </c>
      <c r="O78" s="5" t="s">
        <v>368</v>
      </c>
      <c r="P78" s="515">
        <v>103.01763399652893</v>
      </c>
      <c r="Q78" s="515">
        <v>148.55057025586618</v>
      </c>
      <c r="R78" s="515">
        <v>168.57819842824455</v>
      </c>
    </row>
    <row r="79">
      <c r="A79" s="5" t="s">
        <v>44</v>
      </c>
      <c r="B79" s="5" t="s">
        <v>1867</v>
      </c>
      <c r="C79" s="5" t="s">
        <v>59</v>
      </c>
      <c r="D79" s="6">
        <v>4.0</v>
      </c>
      <c r="E79" s="6">
        <v>5.0</v>
      </c>
      <c r="F79" s="6">
        <v>30382.0</v>
      </c>
      <c r="G79" s="6">
        <v>5633.0</v>
      </c>
      <c r="H79" s="515">
        <v>0.9271</v>
      </c>
      <c r="I79" s="515">
        <v>0.9405</v>
      </c>
      <c r="J79" s="515">
        <v>0.0</v>
      </c>
      <c r="K79" s="5" t="s">
        <v>368</v>
      </c>
      <c r="L79" s="5" t="s">
        <v>368</v>
      </c>
      <c r="M79" s="5" t="s">
        <v>368</v>
      </c>
      <c r="N79" s="6">
        <v>131.3</v>
      </c>
      <c r="O79" s="5" t="s">
        <v>368</v>
      </c>
      <c r="P79" s="515">
        <v>87.11987211051547</v>
      </c>
      <c r="Q79" s="515">
        <v>144.24474655725615</v>
      </c>
      <c r="R79" s="515">
        <v>161.3714423599763</v>
      </c>
    </row>
    <row r="80">
      <c r="A80" s="5" t="s">
        <v>44</v>
      </c>
      <c r="B80" s="5" t="s">
        <v>163</v>
      </c>
      <c r="C80" s="5" t="s">
        <v>60</v>
      </c>
      <c r="D80" s="6">
        <v>5.0</v>
      </c>
      <c r="E80" s="6">
        <v>5.0</v>
      </c>
      <c r="F80" s="6">
        <v>8019.0</v>
      </c>
      <c r="G80" s="6">
        <v>1509.0</v>
      </c>
      <c r="H80" s="515">
        <v>0.941</v>
      </c>
      <c r="I80" s="515">
        <v>0.9475</v>
      </c>
      <c r="J80" s="515">
        <v>0.0</v>
      </c>
      <c r="K80" s="5" t="s">
        <v>368</v>
      </c>
      <c r="L80" s="5" t="s">
        <v>368</v>
      </c>
      <c r="M80" s="5" t="s">
        <v>368</v>
      </c>
      <c r="N80" s="6">
        <v>192.3</v>
      </c>
      <c r="O80" s="5" t="s">
        <v>368</v>
      </c>
      <c r="P80" s="515">
        <v>149.56535838454008</v>
      </c>
      <c r="Q80" s="515">
        <v>163.37240950125178</v>
      </c>
      <c r="R80" s="515">
        <v>200.03242304542286</v>
      </c>
    </row>
    <row r="81">
      <c r="A81" s="5" t="s">
        <v>44</v>
      </c>
      <c r="B81" s="5" t="s">
        <v>1867</v>
      </c>
      <c r="C81" s="5" t="s">
        <v>60</v>
      </c>
      <c r="D81" s="6">
        <v>5.0</v>
      </c>
      <c r="E81" s="6">
        <v>5.0</v>
      </c>
      <c r="F81" s="6">
        <v>3994.0</v>
      </c>
      <c r="G81" s="6">
        <v>737.0</v>
      </c>
      <c r="H81" s="515">
        <v>0.9226</v>
      </c>
      <c r="I81" s="515">
        <v>0.9296</v>
      </c>
      <c r="J81" s="515">
        <v>0.0</v>
      </c>
      <c r="K81" s="5" t="s">
        <v>368</v>
      </c>
      <c r="L81" s="5" t="s">
        <v>368</v>
      </c>
      <c r="M81" s="5" t="s">
        <v>368</v>
      </c>
      <c r="N81" s="6">
        <v>172.4</v>
      </c>
      <c r="O81" s="5" t="s">
        <v>368</v>
      </c>
      <c r="P81" s="515">
        <v>148.45655444688876</v>
      </c>
      <c r="Q81" s="515">
        <v>159.91344870725604</v>
      </c>
      <c r="R81" s="515">
        <v>179.41356741356742</v>
      </c>
    </row>
    <row r="82">
      <c r="A82" s="5" t="s">
        <v>375</v>
      </c>
      <c r="B82" s="5" t="s">
        <v>163</v>
      </c>
      <c r="C82" s="5" t="s">
        <v>56</v>
      </c>
      <c r="D82" s="6">
        <v>1.0</v>
      </c>
      <c r="E82" s="6">
        <v>2.0</v>
      </c>
      <c r="F82" s="6">
        <v>148121.0</v>
      </c>
      <c r="G82" s="6">
        <v>58275.0</v>
      </c>
      <c r="H82" s="515">
        <v>0.7868</v>
      </c>
      <c r="I82" s="515">
        <v>0.9324</v>
      </c>
      <c r="J82" s="515">
        <v>0.7331</v>
      </c>
      <c r="K82" s="5" t="s">
        <v>368</v>
      </c>
      <c r="L82" s="5" t="s">
        <v>368</v>
      </c>
      <c r="M82" s="5" t="s">
        <v>368</v>
      </c>
      <c r="N82" s="6">
        <v>116.2</v>
      </c>
      <c r="O82" s="5" t="s">
        <v>368</v>
      </c>
      <c r="P82" s="515">
        <v>33.83089986777711</v>
      </c>
      <c r="Q82" s="515">
        <v>80.50952490624502</v>
      </c>
      <c r="R82" s="515">
        <v>164.5114842945692</v>
      </c>
    </row>
    <row r="83">
      <c r="A83" s="5" t="s">
        <v>375</v>
      </c>
      <c r="B83" s="5" t="s">
        <v>1867</v>
      </c>
      <c r="C83" s="5" t="s">
        <v>56</v>
      </c>
      <c r="D83" s="6">
        <v>1.0</v>
      </c>
      <c r="E83" s="6">
        <v>2.0</v>
      </c>
      <c r="F83" s="6">
        <v>105186.0</v>
      </c>
      <c r="G83" s="6">
        <v>45324.0</v>
      </c>
      <c r="H83" s="515">
        <v>0.8618</v>
      </c>
      <c r="I83" s="515">
        <v>0.9558</v>
      </c>
      <c r="J83" s="515">
        <v>0.7512</v>
      </c>
      <c r="K83" s="5" t="s">
        <v>368</v>
      </c>
      <c r="L83" s="5" t="s">
        <v>368</v>
      </c>
      <c r="M83" s="5" t="s">
        <v>368</v>
      </c>
      <c r="N83" s="6">
        <v>110.1</v>
      </c>
      <c r="O83" s="5" t="s">
        <v>368</v>
      </c>
      <c r="P83" s="515">
        <v>34.58493503147846</v>
      </c>
      <c r="Q83" s="515">
        <v>78.44835167425404</v>
      </c>
      <c r="R83" s="515">
        <v>153.70555223309998</v>
      </c>
    </row>
    <row r="84">
      <c r="A84" s="5" t="s">
        <v>375</v>
      </c>
      <c r="B84" s="5" t="s">
        <v>163</v>
      </c>
      <c r="C84" s="5" t="s">
        <v>57</v>
      </c>
      <c r="D84" s="6">
        <v>2.0</v>
      </c>
      <c r="E84" s="6">
        <v>2.0</v>
      </c>
      <c r="F84" s="6">
        <v>90102.0</v>
      </c>
      <c r="G84" s="6">
        <v>41196.0</v>
      </c>
      <c r="H84" s="515">
        <v>0.9144</v>
      </c>
      <c r="I84" s="515">
        <v>0.9532</v>
      </c>
      <c r="J84" s="515">
        <v>0.9069</v>
      </c>
      <c r="K84" s="5" t="s">
        <v>368</v>
      </c>
      <c r="L84" s="5" t="s">
        <v>368</v>
      </c>
      <c r="M84" s="5" t="s">
        <v>368</v>
      </c>
      <c r="N84" s="6">
        <v>369.8</v>
      </c>
      <c r="O84" s="5" t="s">
        <v>368</v>
      </c>
      <c r="P84" s="515">
        <v>163.83436669279655</v>
      </c>
      <c r="Q84" s="515">
        <v>311.1462405685149</v>
      </c>
      <c r="R84" s="515">
        <v>478.64957688837757</v>
      </c>
    </row>
    <row r="85">
      <c r="A85" s="5" t="s">
        <v>375</v>
      </c>
      <c r="B85" s="5" t="s">
        <v>1867</v>
      </c>
      <c r="C85" s="5" t="s">
        <v>57</v>
      </c>
      <c r="D85" s="6">
        <v>2.0</v>
      </c>
      <c r="E85" s="6">
        <v>2.0</v>
      </c>
      <c r="F85" s="6">
        <v>51414.0</v>
      </c>
      <c r="G85" s="6">
        <v>23955.0</v>
      </c>
      <c r="H85" s="515">
        <v>0.9318</v>
      </c>
      <c r="I85" s="515">
        <v>0.9562</v>
      </c>
      <c r="J85" s="515">
        <v>0.9128</v>
      </c>
      <c r="K85" s="5" t="s">
        <v>368</v>
      </c>
      <c r="L85" s="5" t="s">
        <v>368</v>
      </c>
      <c r="M85" s="5" t="s">
        <v>368</v>
      </c>
      <c r="N85" s="6">
        <v>347.6</v>
      </c>
      <c r="O85" s="5" t="s">
        <v>368</v>
      </c>
      <c r="P85" s="515">
        <v>149.63305942891856</v>
      </c>
      <c r="Q85" s="515">
        <v>288.77838428109095</v>
      </c>
      <c r="R85" s="515">
        <v>455.3360479626308</v>
      </c>
    </row>
    <row r="86">
      <c r="A86" s="5" t="s">
        <v>375</v>
      </c>
      <c r="B86" s="5" t="s">
        <v>163</v>
      </c>
      <c r="C86" s="5" t="s">
        <v>58</v>
      </c>
      <c r="D86" s="6">
        <v>3.0</v>
      </c>
      <c r="E86" s="6">
        <v>2.0</v>
      </c>
      <c r="F86" s="6">
        <v>54460.0</v>
      </c>
      <c r="G86" s="6">
        <v>25323.0</v>
      </c>
      <c r="H86" s="515">
        <v>0.9299</v>
      </c>
      <c r="I86" s="515">
        <v>0.9553</v>
      </c>
      <c r="J86" s="515">
        <v>0.9178</v>
      </c>
      <c r="K86" s="5" t="s">
        <v>368</v>
      </c>
      <c r="L86" s="5" t="s">
        <v>368</v>
      </c>
      <c r="M86" s="5" t="s">
        <v>368</v>
      </c>
      <c r="N86" s="6">
        <v>771.2</v>
      </c>
      <c r="O86" s="5" t="s">
        <v>368</v>
      </c>
      <c r="P86" s="515">
        <v>369.1968960064367</v>
      </c>
      <c r="Q86" s="515">
        <v>701.4750480617371</v>
      </c>
      <c r="R86" s="515">
        <v>1078.6302734188655</v>
      </c>
    </row>
    <row r="87">
      <c r="A87" s="5" t="s">
        <v>375</v>
      </c>
      <c r="B87" s="5" t="s">
        <v>1867</v>
      </c>
      <c r="C87" s="5" t="s">
        <v>58</v>
      </c>
      <c r="D87" s="6">
        <v>3.0</v>
      </c>
      <c r="E87" s="6">
        <v>2.0</v>
      </c>
      <c r="F87" s="6">
        <v>29336.0</v>
      </c>
      <c r="G87" s="6">
        <v>13743.0</v>
      </c>
      <c r="H87" s="515">
        <v>0.9369</v>
      </c>
      <c r="I87" s="515">
        <v>0.9525</v>
      </c>
      <c r="J87" s="515">
        <v>0.9165</v>
      </c>
      <c r="K87" s="5" t="s">
        <v>368</v>
      </c>
      <c r="L87" s="5" t="s">
        <v>368</v>
      </c>
      <c r="M87" s="5" t="s">
        <v>368</v>
      </c>
      <c r="N87" s="6">
        <v>689.2</v>
      </c>
      <c r="O87" s="5" t="s">
        <v>368</v>
      </c>
      <c r="P87" s="515">
        <v>306.13340641840676</v>
      </c>
      <c r="Q87" s="515">
        <v>608.198836848354</v>
      </c>
      <c r="R87" s="515">
        <v>965.7806909433187</v>
      </c>
    </row>
    <row r="88">
      <c r="A88" s="5" t="s">
        <v>375</v>
      </c>
      <c r="B88" s="5" t="s">
        <v>163</v>
      </c>
      <c r="C88" s="5" t="s">
        <v>59</v>
      </c>
      <c r="D88" s="6">
        <v>4.0</v>
      </c>
      <c r="E88" s="6">
        <v>2.0</v>
      </c>
      <c r="F88" s="6">
        <v>24553.0</v>
      </c>
      <c r="G88" s="6">
        <v>11683.0</v>
      </c>
      <c r="H88" s="515">
        <v>0.9516</v>
      </c>
      <c r="I88" s="515">
        <v>0.9625</v>
      </c>
      <c r="J88" s="515">
        <v>0.8737</v>
      </c>
      <c r="K88" s="5" t="s">
        <v>368</v>
      </c>
      <c r="L88" s="5" t="s">
        <v>368</v>
      </c>
      <c r="M88" s="5" t="s">
        <v>368</v>
      </c>
      <c r="N88" s="6">
        <v>1318.8</v>
      </c>
      <c r="O88" s="5" t="s">
        <v>368</v>
      </c>
      <c r="P88" s="515">
        <v>774.2764762766709</v>
      </c>
      <c r="Q88" s="515">
        <v>1410.3560288703172</v>
      </c>
      <c r="R88" s="515">
        <v>1930.7227681101926</v>
      </c>
    </row>
    <row r="89">
      <c r="A89" s="5" t="s">
        <v>375</v>
      </c>
      <c r="B89" s="5" t="s">
        <v>1867</v>
      </c>
      <c r="C89" s="5" t="s">
        <v>59</v>
      </c>
      <c r="D89" s="6">
        <v>4.0</v>
      </c>
      <c r="E89" s="6">
        <v>2.0</v>
      </c>
      <c r="F89" s="6">
        <v>12613.0</v>
      </c>
      <c r="G89" s="6">
        <v>5937.0</v>
      </c>
      <c r="H89" s="515">
        <v>0.9413</v>
      </c>
      <c r="I89" s="515">
        <v>0.9486</v>
      </c>
      <c r="J89" s="515">
        <v>0.8693</v>
      </c>
      <c r="K89" s="5" t="s">
        <v>368</v>
      </c>
      <c r="L89" s="5" t="s">
        <v>368</v>
      </c>
      <c r="M89" s="5" t="s">
        <v>368</v>
      </c>
      <c r="N89" s="6">
        <v>1201.3</v>
      </c>
      <c r="O89" s="5" t="s">
        <v>368</v>
      </c>
      <c r="P89" s="515">
        <v>642.4973669470219</v>
      </c>
      <c r="Q89" s="515">
        <v>1222.789830885945</v>
      </c>
      <c r="R89" s="515">
        <v>1909.1312891384928</v>
      </c>
    </row>
    <row r="90">
      <c r="A90" s="5" t="s">
        <v>375</v>
      </c>
      <c r="B90" s="5" t="s">
        <v>163</v>
      </c>
      <c r="C90" s="5" t="s">
        <v>60</v>
      </c>
      <c r="D90" s="6">
        <v>5.0</v>
      </c>
      <c r="E90" s="6">
        <v>2.0</v>
      </c>
      <c r="F90" s="6">
        <v>3163.0</v>
      </c>
      <c r="G90" s="6">
        <v>1502.0</v>
      </c>
      <c r="H90" s="515">
        <v>0.9497</v>
      </c>
      <c r="I90" s="515">
        <v>0.9554</v>
      </c>
      <c r="J90" s="515">
        <v>0.6907</v>
      </c>
      <c r="K90" s="5" t="s">
        <v>368</v>
      </c>
      <c r="L90" s="5" t="s">
        <v>368</v>
      </c>
      <c r="M90" s="5" t="s">
        <v>368</v>
      </c>
      <c r="N90" s="6">
        <v>1672.7</v>
      </c>
      <c r="O90" s="5" t="s">
        <v>368</v>
      </c>
      <c r="P90" s="515">
        <v>1618.069048909362</v>
      </c>
      <c r="Q90" s="515">
        <v>1930.8413946633411</v>
      </c>
      <c r="R90" s="515">
        <v>1933.0</v>
      </c>
    </row>
    <row r="91">
      <c r="A91" s="5" t="s">
        <v>375</v>
      </c>
      <c r="B91" s="5" t="s">
        <v>1867</v>
      </c>
      <c r="C91" s="5" t="s">
        <v>60</v>
      </c>
      <c r="D91" s="6">
        <v>5.0</v>
      </c>
      <c r="E91" s="6">
        <v>2.0</v>
      </c>
      <c r="F91" s="6">
        <v>1613.0</v>
      </c>
      <c r="G91" s="6">
        <v>737.0</v>
      </c>
      <c r="H91" s="515">
        <v>0.9132</v>
      </c>
      <c r="I91" s="515">
        <v>0.9182</v>
      </c>
      <c r="J91" s="515">
        <v>0.6945</v>
      </c>
      <c r="K91" s="5" t="s">
        <v>368</v>
      </c>
      <c r="L91" s="5" t="s">
        <v>368</v>
      </c>
      <c r="M91" s="5" t="s">
        <v>368</v>
      </c>
      <c r="N91" s="6">
        <v>1617.4</v>
      </c>
      <c r="O91" s="5" t="s">
        <v>368</v>
      </c>
      <c r="P91" s="515">
        <v>1280.926872895623</v>
      </c>
      <c r="Q91" s="515">
        <v>1930.4592105263157</v>
      </c>
      <c r="R91" s="515">
        <v>1932.9074074074074</v>
      </c>
    </row>
    <row r="92">
      <c r="A92" s="5" t="s">
        <v>43</v>
      </c>
      <c r="B92" s="5" t="s">
        <v>163</v>
      </c>
      <c r="C92" s="5" t="s">
        <v>56</v>
      </c>
      <c r="D92" s="6">
        <v>1.0</v>
      </c>
      <c r="E92" s="6">
        <v>56.0</v>
      </c>
      <c r="F92" s="6">
        <v>4872857.0</v>
      </c>
      <c r="G92" s="6">
        <v>830.0</v>
      </c>
      <c r="H92" s="515">
        <v>0.0095</v>
      </c>
      <c r="I92" s="515">
        <v>0.0339</v>
      </c>
      <c r="J92" s="515">
        <v>0.0</v>
      </c>
      <c r="K92" s="6">
        <v>26.0</v>
      </c>
      <c r="L92" s="6">
        <v>39.0</v>
      </c>
      <c r="M92" s="6">
        <v>49.0</v>
      </c>
      <c r="N92" s="6">
        <v>6777.0</v>
      </c>
      <c r="O92" s="6">
        <v>0.0</v>
      </c>
      <c r="P92" s="515">
        <v>101.29751443769787</v>
      </c>
      <c r="Q92" s="515">
        <v>798.3442750936281</v>
      </c>
      <c r="R92" s="515">
        <v>5716.7662688099335</v>
      </c>
    </row>
    <row r="93">
      <c r="A93" s="5" t="s">
        <v>43</v>
      </c>
      <c r="B93" s="5" t="s">
        <v>1867</v>
      </c>
      <c r="C93" s="5" t="s">
        <v>56</v>
      </c>
      <c r="D93" s="6">
        <v>1.0</v>
      </c>
      <c r="E93" s="6">
        <v>56.0</v>
      </c>
      <c r="F93" s="6">
        <v>3325681.0</v>
      </c>
      <c r="G93" s="6">
        <v>677.0</v>
      </c>
      <c r="H93" s="515">
        <v>0.0114</v>
      </c>
      <c r="I93" s="515">
        <v>0.0345</v>
      </c>
      <c r="J93" s="515">
        <v>0.0</v>
      </c>
      <c r="K93" s="6">
        <v>28.0</v>
      </c>
      <c r="L93" s="6">
        <v>41.0</v>
      </c>
      <c r="M93" s="6">
        <v>50.0</v>
      </c>
      <c r="N93" s="6">
        <v>5984.6</v>
      </c>
      <c r="O93" s="6">
        <v>0.0</v>
      </c>
      <c r="P93" s="515">
        <v>102.3547249704776</v>
      </c>
      <c r="Q93" s="515">
        <v>742.6399272010422</v>
      </c>
      <c r="R93" s="515">
        <v>5406.131324974789</v>
      </c>
    </row>
    <row r="94">
      <c r="A94" s="5" t="s">
        <v>43</v>
      </c>
      <c r="B94" s="5" t="s">
        <v>163</v>
      </c>
      <c r="C94" s="5" t="s">
        <v>57</v>
      </c>
      <c r="D94" s="6">
        <v>2.0</v>
      </c>
      <c r="E94" s="6">
        <v>56.0</v>
      </c>
      <c r="F94" s="6">
        <v>2860625.0</v>
      </c>
      <c r="G94" s="6">
        <v>892.0</v>
      </c>
      <c r="H94" s="515">
        <v>0.0175</v>
      </c>
      <c r="I94" s="515">
        <v>0.0346</v>
      </c>
      <c r="J94" s="515">
        <v>0.0</v>
      </c>
      <c r="K94" s="6">
        <v>15.0</v>
      </c>
      <c r="L94" s="6">
        <v>27.0</v>
      </c>
      <c r="M94" s="6">
        <v>40.0</v>
      </c>
      <c r="N94" s="6">
        <v>24217.5</v>
      </c>
      <c r="O94" s="6">
        <v>0.0</v>
      </c>
      <c r="P94" s="515">
        <v>1309.5821095111323</v>
      </c>
      <c r="Q94" s="515">
        <v>8371.882153661674</v>
      </c>
      <c r="R94" s="515">
        <v>26994.016222337174</v>
      </c>
    </row>
    <row r="95">
      <c r="A95" s="5" t="s">
        <v>43</v>
      </c>
      <c r="B95" s="5" t="s">
        <v>1867</v>
      </c>
      <c r="C95" s="5" t="s">
        <v>57</v>
      </c>
      <c r="D95" s="6">
        <v>2.0</v>
      </c>
      <c r="E95" s="6">
        <v>56.0</v>
      </c>
      <c r="F95" s="6">
        <v>1599813.0</v>
      </c>
      <c r="G95" s="6">
        <v>566.0</v>
      </c>
      <c r="H95" s="515">
        <v>0.0198</v>
      </c>
      <c r="I95" s="515">
        <v>0.0349</v>
      </c>
      <c r="J95" s="515">
        <v>0.0</v>
      </c>
      <c r="K95" s="6">
        <v>16.0</v>
      </c>
      <c r="L95" s="6">
        <v>27.0</v>
      </c>
      <c r="M95" s="6">
        <v>40.0</v>
      </c>
      <c r="N95" s="6">
        <v>21482.6</v>
      </c>
      <c r="O95" s="6">
        <v>0.0</v>
      </c>
      <c r="P95" s="515">
        <v>1351.4756470260852</v>
      </c>
      <c r="Q95" s="515">
        <v>7722.859067092256</v>
      </c>
      <c r="R95" s="515">
        <v>23327.41576463818</v>
      </c>
    </row>
    <row r="96">
      <c r="A96" s="5" t="s">
        <v>43</v>
      </c>
      <c r="B96" s="5" t="s">
        <v>163</v>
      </c>
      <c r="C96" s="5" t="s">
        <v>58</v>
      </c>
      <c r="D96" s="6">
        <v>3.0</v>
      </c>
      <c r="E96" s="6">
        <v>56.0</v>
      </c>
      <c r="F96" s="6">
        <v>1742317.0</v>
      </c>
      <c r="G96" s="6">
        <v>688.0</v>
      </c>
      <c r="H96" s="515">
        <v>0.0221</v>
      </c>
      <c r="I96" s="515">
        <v>0.0357</v>
      </c>
      <c r="J96" s="515">
        <v>0.0</v>
      </c>
      <c r="K96" s="6">
        <v>7.0</v>
      </c>
      <c r="L96" s="6">
        <v>15.0</v>
      </c>
      <c r="M96" s="6">
        <v>28.0</v>
      </c>
      <c r="N96" s="6">
        <v>60806.9</v>
      </c>
      <c r="O96" s="6">
        <v>0.0</v>
      </c>
      <c r="P96" s="515">
        <v>7292.6666497333445</v>
      </c>
      <c r="Q96" s="515">
        <v>25882.7880021952</v>
      </c>
      <c r="R96" s="515">
        <v>73542.28772048009</v>
      </c>
    </row>
    <row r="97">
      <c r="A97" s="5" t="s">
        <v>43</v>
      </c>
      <c r="B97" s="5" t="s">
        <v>1867</v>
      </c>
      <c r="C97" s="5" t="s">
        <v>58</v>
      </c>
      <c r="D97" s="6">
        <v>3.0</v>
      </c>
      <c r="E97" s="6">
        <v>56.0</v>
      </c>
      <c r="F97" s="6">
        <v>935367.0</v>
      </c>
      <c r="G97" s="6">
        <v>403.0</v>
      </c>
      <c r="H97" s="515">
        <v>0.0241</v>
      </c>
      <c r="I97" s="515">
        <v>0.035</v>
      </c>
      <c r="J97" s="515">
        <v>0.0</v>
      </c>
      <c r="K97" s="6">
        <v>8.0</v>
      </c>
      <c r="L97" s="6">
        <v>16.0</v>
      </c>
      <c r="M97" s="6">
        <v>30.0</v>
      </c>
      <c r="N97" s="6">
        <v>52343.8</v>
      </c>
      <c r="O97" s="6">
        <v>0.0</v>
      </c>
      <c r="P97" s="515">
        <v>7341.956984340517</v>
      </c>
      <c r="Q97" s="515">
        <v>23651.82520624919</v>
      </c>
      <c r="R97" s="515">
        <v>60090.080637933774</v>
      </c>
    </row>
    <row r="98">
      <c r="A98" s="5" t="s">
        <v>43</v>
      </c>
      <c r="B98" s="5" t="s">
        <v>163</v>
      </c>
      <c r="C98" s="5" t="s">
        <v>59</v>
      </c>
      <c r="D98" s="6">
        <v>4.0</v>
      </c>
      <c r="E98" s="6">
        <v>56.0</v>
      </c>
      <c r="F98" s="6">
        <v>811752.0</v>
      </c>
      <c r="G98" s="6">
        <v>431.0</v>
      </c>
      <c r="H98" s="515">
        <v>0.0297</v>
      </c>
      <c r="I98" s="515">
        <v>0.0408</v>
      </c>
      <c r="J98" s="515">
        <v>0.0</v>
      </c>
      <c r="K98" s="6">
        <v>3.0</v>
      </c>
      <c r="L98" s="6">
        <v>6.0</v>
      </c>
      <c r="M98" s="6">
        <v>14.0</v>
      </c>
      <c r="N98" s="6">
        <v>130514.2</v>
      </c>
      <c r="O98" s="6">
        <v>0.0</v>
      </c>
      <c r="P98" s="515">
        <v>19423.59941904843</v>
      </c>
      <c r="Q98" s="515">
        <v>67164.78271293435</v>
      </c>
      <c r="R98" s="515">
        <v>184286.21897960678</v>
      </c>
    </row>
    <row r="99">
      <c r="A99" s="5" t="s">
        <v>43</v>
      </c>
      <c r="B99" s="5" t="s">
        <v>1867</v>
      </c>
      <c r="C99" s="5" t="s">
        <v>59</v>
      </c>
      <c r="D99" s="6">
        <v>4.0</v>
      </c>
      <c r="E99" s="6">
        <v>56.0</v>
      </c>
      <c r="F99" s="6">
        <v>420854.0</v>
      </c>
      <c r="G99" s="6">
        <v>224.0</v>
      </c>
      <c r="H99" s="515">
        <v>0.0298</v>
      </c>
      <c r="I99" s="515">
        <v>0.0371</v>
      </c>
      <c r="J99" s="515">
        <v>0.0</v>
      </c>
      <c r="K99" s="6">
        <v>3.0</v>
      </c>
      <c r="L99" s="6">
        <v>7.0</v>
      </c>
      <c r="M99" s="6">
        <v>15.0</v>
      </c>
      <c r="N99" s="6">
        <v>123056.4</v>
      </c>
      <c r="O99" s="6">
        <v>0.0</v>
      </c>
      <c r="P99" s="515">
        <v>23983.85235063636</v>
      </c>
      <c r="Q99" s="515">
        <v>66729.29473691259</v>
      </c>
      <c r="R99" s="515">
        <v>166265.17761670423</v>
      </c>
    </row>
    <row r="100">
      <c r="A100" s="5" t="s">
        <v>43</v>
      </c>
      <c r="B100" s="5" t="s">
        <v>163</v>
      </c>
      <c r="C100" s="5" t="s">
        <v>60</v>
      </c>
      <c r="D100" s="6">
        <v>5.0</v>
      </c>
      <c r="E100" s="6">
        <v>56.0</v>
      </c>
      <c r="F100" s="6">
        <v>112029.0</v>
      </c>
      <c r="G100" s="6">
        <v>64.0</v>
      </c>
      <c r="H100" s="515">
        <v>0.0322</v>
      </c>
      <c r="I100" s="515">
        <v>0.0391</v>
      </c>
      <c r="J100" s="515">
        <v>0.0</v>
      </c>
      <c r="K100" s="6">
        <v>1.0</v>
      </c>
      <c r="L100" s="6">
        <v>2.0</v>
      </c>
      <c r="M100" s="6">
        <v>6.0</v>
      </c>
      <c r="N100" s="6">
        <v>248993.8</v>
      </c>
      <c r="O100" s="6">
        <v>0.0</v>
      </c>
      <c r="P100" s="515">
        <v>44404.645110354126</v>
      </c>
      <c r="Q100" s="515">
        <v>147880.94803782148</v>
      </c>
      <c r="R100" s="515">
        <v>366415.17236467253</v>
      </c>
    </row>
    <row r="101">
      <c r="A101" s="5" t="s">
        <v>43</v>
      </c>
      <c r="B101" s="5" t="s">
        <v>1867</v>
      </c>
      <c r="C101" s="5" t="s">
        <v>60</v>
      </c>
      <c r="D101" s="6">
        <v>5.0</v>
      </c>
      <c r="E101" s="6">
        <v>56.0</v>
      </c>
      <c r="F101" s="6">
        <v>56046.0</v>
      </c>
      <c r="G101" s="6">
        <v>33.0</v>
      </c>
      <c r="H101" s="515">
        <v>0.0327</v>
      </c>
      <c r="I101" s="515">
        <v>0.0368</v>
      </c>
      <c r="J101" s="515">
        <v>0.0</v>
      </c>
      <c r="K101" s="6">
        <v>1.0</v>
      </c>
      <c r="L101" s="6">
        <v>2.0</v>
      </c>
      <c r="M101" s="6">
        <v>6.0</v>
      </c>
      <c r="N101" s="6">
        <v>251895.8</v>
      </c>
      <c r="O101" s="6">
        <v>0.0</v>
      </c>
      <c r="P101" s="515">
        <v>69254.75729847493</v>
      </c>
      <c r="Q101" s="515">
        <v>163596.84839650145</v>
      </c>
      <c r="R101" s="515">
        <v>373470.35163192084</v>
      </c>
    </row>
    <row r="102">
      <c r="A102" s="5" t="s">
        <v>50</v>
      </c>
      <c r="B102" s="5" t="s">
        <v>163</v>
      </c>
      <c r="C102" s="5" t="s">
        <v>56</v>
      </c>
      <c r="D102" s="6">
        <v>1.0</v>
      </c>
      <c r="E102" s="6">
        <v>5.0</v>
      </c>
      <c r="F102" s="6">
        <v>266642.0</v>
      </c>
      <c r="G102" s="6">
        <v>32869.0</v>
      </c>
      <c r="H102" s="515">
        <v>0.6164</v>
      </c>
      <c r="I102" s="515">
        <v>0.782</v>
      </c>
      <c r="J102" s="515">
        <v>0.0</v>
      </c>
      <c r="K102" s="6">
        <v>6.0</v>
      </c>
      <c r="L102" s="6">
        <v>10.0</v>
      </c>
      <c r="M102" s="6">
        <v>14.0</v>
      </c>
      <c r="N102" s="6">
        <v>6.7</v>
      </c>
      <c r="O102" s="6">
        <v>0.0</v>
      </c>
      <c r="P102" s="515">
        <v>2.0804477863522384</v>
      </c>
      <c r="Q102" s="515">
        <v>4.562852132068251</v>
      </c>
      <c r="R102" s="515">
        <v>8.293352161403998</v>
      </c>
    </row>
    <row r="103">
      <c r="A103" s="5" t="s">
        <v>50</v>
      </c>
      <c r="B103" s="5" t="s">
        <v>1867</v>
      </c>
      <c r="C103" s="5" t="s">
        <v>56</v>
      </c>
      <c r="D103" s="6">
        <v>1.0</v>
      </c>
      <c r="E103" s="6">
        <v>5.0</v>
      </c>
      <c r="F103" s="6">
        <v>201784.0</v>
      </c>
      <c r="G103" s="6">
        <v>26936.0</v>
      </c>
      <c r="H103" s="515">
        <v>0.6674</v>
      </c>
      <c r="I103" s="515">
        <v>0.8192</v>
      </c>
      <c r="J103" s="515">
        <v>0.0</v>
      </c>
      <c r="K103" s="6">
        <v>7.0</v>
      </c>
      <c r="L103" s="6">
        <v>11.0</v>
      </c>
      <c r="M103" s="6">
        <v>15.0</v>
      </c>
      <c r="N103" s="6">
        <v>6.3</v>
      </c>
      <c r="O103" s="6">
        <v>0.0</v>
      </c>
      <c r="P103" s="515">
        <v>2.0</v>
      </c>
      <c r="Q103" s="515">
        <v>4.150465469412865</v>
      </c>
      <c r="R103" s="515">
        <v>7.733167563166686</v>
      </c>
    </row>
    <row r="104">
      <c r="A104" s="5" t="s">
        <v>50</v>
      </c>
      <c r="B104" s="5" t="s">
        <v>163</v>
      </c>
      <c r="C104" s="5" t="s">
        <v>57</v>
      </c>
      <c r="D104" s="6">
        <v>2.0</v>
      </c>
      <c r="E104" s="6">
        <v>5.0</v>
      </c>
      <c r="F104" s="6">
        <v>178120.0</v>
      </c>
      <c r="G104" s="6">
        <v>27612.0</v>
      </c>
      <c r="H104" s="515">
        <v>0.7751</v>
      </c>
      <c r="I104" s="515">
        <v>0.8337</v>
      </c>
      <c r="J104" s="515">
        <v>0.0</v>
      </c>
      <c r="K104" s="6">
        <v>3.0</v>
      </c>
      <c r="L104" s="6">
        <v>6.0</v>
      </c>
      <c r="M104" s="6">
        <v>10.0</v>
      </c>
      <c r="N104" s="6">
        <v>15.9</v>
      </c>
      <c r="O104" s="6">
        <v>0.0</v>
      </c>
      <c r="P104" s="515">
        <v>6.516118946474208</v>
      </c>
      <c r="Q104" s="515">
        <v>12.151277950703157</v>
      </c>
      <c r="R104" s="515">
        <v>19.9921495449197</v>
      </c>
    </row>
    <row r="105">
      <c r="A105" s="5" t="s">
        <v>50</v>
      </c>
      <c r="B105" s="5" t="s">
        <v>1867</v>
      </c>
      <c r="C105" s="5" t="s">
        <v>57</v>
      </c>
      <c r="D105" s="6">
        <v>2.0</v>
      </c>
      <c r="E105" s="6">
        <v>5.0</v>
      </c>
      <c r="F105" s="6">
        <v>101205.0</v>
      </c>
      <c r="G105" s="6">
        <v>15785.0</v>
      </c>
      <c r="H105" s="515">
        <v>0.7798</v>
      </c>
      <c r="I105" s="515">
        <v>0.8444</v>
      </c>
      <c r="J105" s="515">
        <v>0.0</v>
      </c>
      <c r="K105" s="6">
        <v>3.0</v>
      </c>
      <c r="L105" s="6">
        <v>7.0</v>
      </c>
      <c r="M105" s="6">
        <v>11.0</v>
      </c>
      <c r="N105" s="6">
        <v>15.2</v>
      </c>
      <c r="O105" s="6">
        <v>0.0</v>
      </c>
      <c r="P105" s="515">
        <v>5.660314149180674</v>
      </c>
      <c r="Q105" s="515">
        <v>11.542774508027978</v>
      </c>
      <c r="R105" s="515">
        <v>19.21645867086684</v>
      </c>
    </row>
    <row r="106">
      <c r="A106" s="5" t="s">
        <v>50</v>
      </c>
      <c r="B106" s="5" t="s">
        <v>163</v>
      </c>
      <c r="C106" s="5" t="s">
        <v>58</v>
      </c>
      <c r="D106" s="6">
        <v>3.0</v>
      </c>
      <c r="E106" s="6">
        <v>5.0</v>
      </c>
      <c r="F106" s="6">
        <v>108367.0</v>
      </c>
      <c r="G106" s="6">
        <v>17712.0</v>
      </c>
      <c r="H106" s="515">
        <v>0.8172</v>
      </c>
      <c r="I106" s="515">
        <v>0.8499</v>
      </c>
      <c r="J106" s="515">
        <v>0.0</v>
      </c>
      <c r="K106" s="6">
        <v>2.0</v>
      </c>
      <c r="L106" s="6">
        <v>4.0</v>
      </c>
      <c r="M106" s="6">
        <v>7.0</v>
      </c>
      <c r="N106" s="6">
        <v>29.1</v>
      </c>
      <c r="O106" s="6">
        <v>0.0</v>
      </c>
      <c r="P106" s="515">
        <v>12.934687622306187</v>
      </c>
      <c r="Q106" s="515">
        <v>23.930262387386577</v>
      </c>
      <c r="R106" s="515">
        <v>38.23376159404132</v>
      </c>
    </row>
    <row r="107">
      <c r="A107" s="5" t="s">
        <v>50</v>
      </c>
      <c r="B107" s="5" t="s">
        <v>1867</v>
      </c>
      <c r="C107" s="5" t="s">
        <v>58</v>
      </c>
      <c r="D107" s="6">
        <v>3.0</v>
      </c>
      <c r="E107" s="6">
        <v>5.0</v>
      </c>
      <c r="F107" s="6">
        <v>56802.0</v>
      </c>
      <c r="G107" s="6">
        <v>9138.0</v>
      </c>
      <c r="H107" s="515">
        <v>0.8044</v>
      </c>
      <c r="I107" s="515">
        <v>0.8438</v>
      </c>
      <c r="J107" s="515">
        <v>0.0</v>
      </c>
      <c r="K107" s="6">
        <v>2.0</v>
      </c>
      <c r="L107" s="6">
        <v>4.0</v>
      </c>
      <c r="M107" s="6">
        <v>7.0</v>
      </c>
      <c r="N107" s="6">
        <v>28.0</v>
      </c>
      <c r="O107" s="6">
        <v>0.0</v>
      </c>
      <c r="P107" s="515">
        <v>11.244211582588884</v>
      </c>
      <c r="Q107" s="515">
        <v>23.72049797180079</v>
      </c>
      <c r="R107" s="515">
        <v>36.771493154080986</v>
      </c>
    </row>
    <row r="108">
      <c r="A108" s="5" t="s">
        <v>50</v>
      </c>
      <c r="B108" s="5" t="s">
        <v>163</v>
      </c>
      <c r="C108" s="5" t="s">
        <v>59</v>
      </c>
      <c r="D108" s="6">
        <v>4.0</v>
      </c>
      <c r="E108" s="6">
        <v>5.0</v>
      </c>
      <c r="F108" s="6">
        <v>51097.0</v>
      </c>
      <c r="G108" s="6">
        <v>8917.0</v>
      </c>
      <c r="H108" s="515">
        <v>0.8725</v>
      </c>
      <c r="I108" s="515">
        <v>0.89</v>
      </c>
      <c r="J108" s="515">
        <v>0.0</v>
      </c>
      <c r="K108" s="6">
        <v>1.0</v>
      </c>
      <c r="L108" s="6">
        <v>2.0</v>
      </c>
      <c r="M108" s="6">
        <v>4.0</v>
      </c>
      <c r="N108" s="6">
        <v>53.9</v>
      </c>
      <c r="O108" s="6">
        <v>0.0</v>
      </c>
      <c r="P108" s="515">
        <v>24.809322748703103</v>
      </c>
      <c r="Q108" s="515">
        <v>46.67063075002676</v>
      </c>
      <c r="R108" s="515">
        <v>73.08922311860486</v>
      </c>
    </row>
    <row r="109">
      <c r="A109" s="5" t="s">
        <v>50</v>
      </c>
      <c r="B109" s="5" t="s">
        <v>1867</v>
      </c>
      <c r="C109" s="5" t="s">
        <v>59</v>
      </c>
      <c r="D109" s="6">
        <v>4.0</v>
      </c>
      <c r="E109" s="6">
        <v>5.0</v>
      </c>
      <c r="F109" s="6">
        <v>25403.0</v>
      </c>
      <c r="G109" s="6">
        <v>4276.0</v>
      </c>
      <c r="H109" s="515">
        <v>0.8417</v>
      </c>
      <c r="I109" s="515">
        <v>0.8643</v>
      </c>
      <c r="J109" s="515">
        <v>0.0</v>
      </c>
      <c r="K109" s="6">
        <v>1.0</v>
      </c>
      <c r="L109" s="6">
        <v>2.0</v>
      </c>
      <c r="M109" s="6">
        <v>4.0</v>
      </c>
      <c r="N109" s="6">
        <v>53.1</v>
      </c>
      <c r="O109" s="6">
        <v>0.0</v>
      </c>
      <c r="P109" s="515">
        <v>22.369026801794206</v>
      </c>
      <c r="Q109" s="515">
        <v>45.37373911490307</v>
      </c>
      <c r="R109" s="515">
        <v>71.92564067366169</v>
      </c>
    </row>
    <row r="110">
      <c r="A110" s="5" t="s">
        <v>50</v>
      </c>
      <c r="B110" s="5" t="s">
        <v>163</v>
      </c>
      <c r="C110" s="5" t="s">
        <v>60</v>
      </c>
      <c r="D110" s="6">
        <v>5.0</v>
      </c>
      <c r="E110" s="6">
        <v>5.0</v>
      </c>
      <c r="F110" s="6">
        <v>6719.0</v>
      </c>
      <c r="G110" s="6">
        <v>1200.0</v>
      </c>
      <c r="H110" s="515">
        <v>0.8927</v>
      </c>
      <c r="I110" s="515">
        <v>0.9045</v>
      </c>
      <c r="J110" s="515">
        <v>0.0</v>
      </c>
      <c r="K110" s="6">
        <v>1.0</v>
      </c>
      <c r="L110" s="6">
        <v>1.0</v>
      </c>
      <c r="M110" s="6">
        <v>2.0</v>
      </c>
      <c r="N110" s="6">
        <v>112.9</v>
      </c>
      <c r="O110" s="6">
        <v>0.0</v>
      </c>
      <c r="P110" s="515">
        <v>60.64770586144144</v>
      </c>
      <c r="Q110" s="515">
        <v>106.97141029790922</v>
      </c>
      <c r="R110" s="515">
        <v>154.70424489657415</v>
      </c>
    </row>
    <row r="111">
      <c r="A111" s="5" t="s">
        <v>50</v>
      </c>
      <c r="B111" s="5" t="s">
        <v>1867</v>
      </c>
      <c r="C111" s="5" t="s">
        <v>60</v>
      </c>
      <c r="D111" s="6">
        <v>5.0</v>
      </c>
      <c r="E111" s="6">
        <v>5.0</v>
      </c>
      <c r="F111" s="6">
        <v>3300.0</v>
      </c>
      <c r="G111" s="6">
        <v>571.0</v>
      </c>
      <c r="H111" s="515">
        <v>0.8658</v>
      </c>
      <c r="I111" s="515">
        <v>0.8773</v>
      </c>
      <c r="J111" s="515">
        <v>0.0</v>
      </c>
      <c r="K111" s="6">
        <v>1.0</v>
      </c>
      <c r="L111" s="6">
        <v>1.0</v>
      </c>
      <c r="M111" s="6">
        <v>2.0</v>
      </c>
      <c r="N111" s="6">
        <v>116.8</v>
      </c>
      <c r="O111" s="6">
        <v>0.0</v>
      </c>
      <c r="P111" s="515">
        <v>57.967240128157776</v>
      </c>
      <c r="Q111" s="515">
        <v>109.77013687015506</v>
      </c>
      <c r="R111" s="515">
        <v>160.53214186480372</v>
      </c>
    </row>
    <row r="112">
      <c r="A112" s="5" t="s">
        <v>157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64239.0</v>
      </c>
      <c r="G112" s="6">
        <v>1.0</v>
      </c>
      <c r="H112" s="515">
        <v>0.0</v>
      </c>
      <c r="I112" s="515">
        <v>0.0</v>
      </c>
      <c r="J112" s="515">
        <v>1.0</v>
      </c>
      <c r="K112" s="5" t="s">
        <v>368</v>
      </c>
      <c r="L112" s="5" t="s">
        <v>368</v>
      </c>
      <c r="M112" s="5" t="s">
        <v>368</v>
      </c>
      <c r="N112" s="6">
        <v>1442.0</v>
      </c>
      <c r="O112" s="5" t="s">
        <v>368</v>
      </c>
      <c r="P112" s="515">
        <v>1442.0</v>
      </c>
      <c r="Q112" s="515">
        <v>1442.0</v>
      </c>
      <c r="R112" s="515">
        <v>1442.0</v>
      </c>
    </row>
    <row r="113">
      <c r="A113" s="5" t="s">
        <v>157</v>
      </c>
      <c r="B113" s="5" t="s">
        <v>1867</v>
      </c>
      <c r="C113" s="5" t="s">
        <v>56</v>
      </c>
      <c r="D113" s="6">
        <v>1.0</v>
      </c>
      <c r="E113" s="6">
        <v>1.0</v>
      </c>
      <c r="F113" s="6">
        <v>47205.0</v>
      </c>
      <c r="G113" s="6">
        <v>0.0</v>
      </c>
      <c r="H113" s="515">
        <v>0.0</v>
      </c>
      <c r="I113" s="515">
        <v>0.0</v>
      </c>
      <c r="J113" s="5" t="s">
        <v>368</v>
      </c>
      <c r="K113" s="5" t="s">
        <v>368</v>
      </c>
      <c r="L113" s="5" t="s">
        <v>368</v>
      </c>
      <c r="M113" s="5" t="s">
        <v>368</v>
      </c>
      <c r="N113" s="5" t="s">
        <v>368</v>
      </c>
      <c r="O113" s="5" t="s">
        <v>368</v>
      </c>
      <c r="P113" s="5" t="s">
        <v>368</v>
      </c>
      <c r="Q113" s="5" t="s">
        <v>368</v>
      </c>
      <c r="R113" s="5" t="s">
        <v>368</v>
      </c>
    </row>
    <row r="114">
      <c r="A114" s="5" t="s">
        <v>157</v>
      </c>
      <c r="B114" s="5" t="s">
        <v>163</v>
      </c>
      <c r="C114" s="5" t="s">
        <v>57</v>
      </c>
      <c r="D114" s="6">
        <v>2.0</v>
      </c>
      <c r="E114" s="6">
        <v>1.0</v>
      </c>
      <c r="F114" s="6">
        <v>38035.0</v>
      </c>
      <c r="G114" s="6">
        <v>0.0</v>
      </c>
      <c r="H114" s="515">
        <v>0.0</v>
      </c>
      <c r="I114" s="515">
        <v>0.0</v>
      </c>
      <c r="J114" s="5" t="s">
        <v>368</v>
      </c>
      <c r="K114" s="5" t="s">
        <v>368</v>
      </c>
      <c r="L114" s="5" t="s">
        <v>368</v>
      </c>
      <c r="M114" s="5" t="s">
        <v>368</v>
      </c>
      <c r="N114" s="5" t="s">
        <v>368</v>
      </c>
      <c r="O114" s="5" t="s">
        <v>368</v>
      </c>
      <c r="P114" s="5" t="s">
        <v>368</v>
      </c>
      <c r="Q114" s="5" t="s">
        <v>368</v>
      </c>
      <c r="R114" s="5" t="s">
        <v>368</v>
      </c>
    </row>
    <row r="115">
      <c r="A115" s="5" t="s">
        <v>157</v>
      </c>
      <c r="B115" s="5" t="s">
        <v>1867</v>
      </c>
      <c r="C115" s="5" t="s">
        <v>57</v>
      </c>
      <c r="D115" s="6">
        <v>2.0</v>
      </c>
      <c r="E115" s="6">
        <v>1.0</v>
      </c>
      <c r="F115" s="6">
        <v>21781.0</v>
      </c>
      <c r="G115" s="6">
        <v>1.0</v>
      </c>
      <c r="H115" s="515">
        <v>0.0</v>
      </c>
      <c r="I115" s="515">
        <v>0.0</v>
      </c>
      <c r="J115" s="515">
        <v>1.0</v>
      </c>
      <c r="K115" s="5" t="s">
        <v>368</v>
      </c>
      <c r="L115" s="5" t="s">
        <v>368</v>
      </c>
      <c r="M115" s="5" t="s">
        <v>368</v>
      </c>
      <c r="N115" s="6">
        <v>2385.0</v>
      </c>
      <c r="O115" s="5" t="s">
        <v>368</v>
      </c>
      <c r="P115" s="515">
        <v>2385.0</v>
      </c>
      <c r="Q115" s="515">
        <v>2385.0</v>
      </c>
      <c r="R115" s="515">
        <v>2385.0</v>
      </c>
    </row>
    <row r="116">
      <c r="A116" s="5" t="s">
        <v>157</v>
      </c>
      <c r="B116" s="5" t="s">
        <v>163</v>
      </c>
      <c r="C116" s="5" t="s">
        <v>58</v>
      </c>
      <c r="D116" s="6">
        <v>3.0</v>
      </c>
      <c r="E116" s="6">
        <v>1.0</v>
      </c>
      <c r="F116" s="6">
        <v>21075.0</v>
      </c>
      <c r="G116" s="6">
        <v>0.0</v>
      </c>
      <c r="H116" s="515">
        <v>0.0</v>
      </c>
      <c r="I116" s="515">
        <v>0.0</v>
      </c>
      <c r="J116" s="5" t="s">
        <v>368</v>
      </c>
      <c r="K116" s="5" t="s">
        <v>368</v>
      </c>
      <c r="L116" s="5" t="s">
        <v>368</v>
      </c>
      <c r="M116" s="5" t="s">
        <v>368</v>
      </c>
      <c r="N116" s="5" t="s">
        <v>368</v>
      </c>
      <c r="O116" s="5" t="s">
        <v>368</v>
      </c>
      <c r="P116" s="5" t="s">
        <v>368</v>
      </c>
      <c r="Q116" s="5" t="s">
        <v>368</v>
      </c>
      <c r="R116" s="5" t="s">
        <v>368</v>
      </c>
    </row>
    <row r="117">
      <c r="A117" s="5" t="s">
        <v>157</v>
      </c>
      <c r="B117" s="5" t="s">
        <v>1867</v>
      </c>
      <c r="C117" s="5" t="s">
        <v>58</v>
      </c>
      <c r="D117" s="6">
        <v>3.0</v>
      </c>
      <c r="E117" s="6">
        <v>1.0</v>
      </c>
      <c r="F117" s="6">
        <v>11545.0</v>
      </c>
      <c r="G117" s="6">
        <v>0.0</v>
      </c>
      <c r="H117" s="515">
        <v>0.0</v>
      </c>
      <c r="I117" s="515">
        <v>0.0</v>
      </c>
      <c r="J117" s="5" t="s">
        <v>368</v>
      </c>
      <c r="K117" s="5" t="s">
        <v>368</v>
      </c>
      <c r="L117" s="5" t="s">
        <v>368</v>
      </c>
      <c r="M117" s="5" t="s">
        <v>368</v>
      </c>
      <c r="N117" s="5" t="s">
        <v>368</v>
      </c>
      <c r="O117" s="5" t="s">
        <v>368</v>
      </c>
      <c r="P117" s="5" t="s">
        <v>368</v>
      </c>
      <c r="Q117" s="5" t="s">
        <v>368</v>
      </c>
      <c r="R117" s="5" t="s">
        <v>368</v>
      </c>
    </row>
    <row r="118">
      <c r="A118" s="5" t="s">
        <v>157</v>
      </c>
      <c r="B118" s="5" t="s">
        <v>163</v>
      </c>
      <c r="C118" s="5" t="s">
        <v>59</v>
      </c>
      <c r="D118" s="6">
        <v>4.0</v>
      </c>
      <c r="E118" s="6">
        <v>1.0</v>
      </c>
      <c r="F118" s="6">
        <v>9203.0</v>
      </c>
      <c r="G118" s="6">
        <v>0.0</v>
      </c>
      <c r="H118" s="515">
        <v>0.0</v>
      </c>
      <c r="I118" s="515">
        <v>0.0</v>
      </c>
      <c r="J118" s="5" t="s">
        <v>368</v>
      </c>
      <c r="K118" s="5" t="s">
        <v>368</v>
      </c>
      <c r="L118" s="5" t="s">
        <v>368</v>
      </c>
      <c r="M118" s="5" t="s">
        <v>368</v>
      </c>
      <c r="N118" s="5" t="s">
        <v>368</v>
      </c>
      <c r="O118" s="5" t="s">
        <v>368</v>
      </c>
      <c r="P118" s="5" t="s">
        <v>368</v>
      </c>
      <c r="Q118" s="5" t="s">
        <v>368</v>
      </c>
      <c r="R118" s="5" t="s">
        <v>368</v>
      </c>
    </row>
    <row r="119">
      <c r="A119" s="5" t="s">
        <v>157</v>
      </c>
      <c r="B119" s="5" t="s">
        <v>1867</v>
      </c>
      <c r="C119" s="5" t="s">
        <v>59</v>
      </c>
      <c r="D119" s="6">
        <v>4.0</v>
      </c>
      <c r="E119" s="6">
        <v>1.0</v>
      </c>
      <c r="F119" s="6">
        <v>4946.0</v>
      </c>
      <c r="G119" s="6">
        <v>0.0</v>
      </c>
      <c r="H119" s="515">
        <v>0.0</v>
      </c>
      <c r="I119" s="515">
        <v>0.0</v>
      </c>
      <c r="J119" s="5" t="s">
        <v>368</v>
      </c>
      <c r="K119" s="5" t="s">
        <v>368</v>
      </c>
      <c r="L119" s="5" t="s">
        <v>368</v>
      </c>
      <c r="M119" s="5" t="s">
        <v>368</v>
      </c>
      <c r="N119" s="5" t="s">
        <v>368</v>
      </c>
      <c r="O119" s="5" t="s">
        <v>368</v>
      </c>
      <c r="P119" s="5" t="s">
        <v>368</v>
      </c>
      <c r="Q119" s="5" t="s">
        <v>368</v>
      </c>
      <c r="R119" s="5" t="s">
        <v>368</v>
      </c>
    </row>
    <row r="120">
      <c r="A120" s="5" t="s">
        <v>157</v>
      </c>
      <c r="B120" s="5" t="s">
        <v>163</v>
      </c>
      <c r="C120" s="5" t="s">
        <v>60</v>
      </c>
      <c r="D120" s="6">
        <v>5.0</v>
      </c>
      <c r="E120" s="6">
        <v>1.0</v>
      </c>
      <c r="F120" s="6">
        <v>1253.0</v>
      </c>
      <c r="G120" s="6">
        <v>0.0</v>
      </c>
      <c r="H120" s="515">
        <v>0.0</v>
      </c>
      <c r="I120" s="515">
        <v>0.0</v>
      </c>
      <c r="J120" s="5" t="s">
        <v>368</v>
      </c>
      <c r="K120" s="5" t="s">
        <v>368</v>
      </c>
      <c r="L120" s="5" t="s">
        <v>368</v>
      </c>
      <c r="M120" s="5" t="s">
        <v>368</v>
      </c>
      <c r="N120" s="5" t="s">
        <v>368</v>
      </c>
      <c r="O120" s="5" t="s">
        <v>368</v>
      </c>
      <c r="P120" s="5" t="s">
        <v>368</v>
      </c>
      <c r="Q120" s="5" t="s">
        <v>368</v>
      </c>
      <c r="R120" s="5" t="s">
        <v>368</v>
      </c>
    </row>
    <row r="121">
      <c r="A121" s="5" t="s">
        <v>157</v>
      </c>
      <c r="B121" s="5" t="s">
        <v>1867</v>
      </c>
      <c r="C121" s="5" t="s">
        <v>60</v>
      </c>
      <c r="D121" s="6">
        <v>5.0</v>
      </c>
      <c r="E121" s="6">
        <v>1.0</v>
      </c>
      <c r="F121" s="6">
        <v>669.0</v>
      </c>
      <c r="G121" s="6">
        <v>0.0</v>
      </c>
      <c r="H121" s="515">
        <v>0.0</v>
      </c>
      <c r="I121" s="515">
        <v>0.0</v>
      </c>
      <c r="J121" s="5" t="s">
        <v>368</v>
      </c>
      <c r="K121" s="5" t="s">
        <v>368</v>
      </c>
      <c r="L121" s="5" t="s">
        <v>368</v>
      </c>
      <c r="M121" s="5" t="s">
        <v>368</v>
      </c>
      <c r="N121" s="5" t="s">
        <v>368</v>
      </c>
      <c r="O121" s="5" t="s">
        <v>368</v>
      </c>
      <c r="P121" s="5" t="s">
        <v>368</v>
      </c>
      <c r="Q121" s="5" t="s">
        <v>368</v>
      </c>
      <c r="R121" s="5" t="s">
        <v>368</v>
      </c>
    </row>
    <row r="122">
      <c r="A122" s="5" t="s">
        <v>35</v>
      </c>
      <c r="B122" s="5" t="s">
        <v>163</v>
      </c>
      <c r="C122" s="5" t="s">
        <v>56</v>
      </c>
      <c r="D122" s="6">
        <v>1.0</v>
      </c>
      <c r="E122" s="6">
        <v>1.0</v>
      </c>
      <c r="F122" s="6">
        <v>72715.0</v>
      </c>
      <c r="G122" s="6">
        <v>50806.0</v>
      </c>
      <c r="H122" s="515">
        <v>0.6987</v>
      </c>
      <c r="I122" s="515">
        <v>0.936</v>
      </c>
      <c r="J122" s="515">
        <v>0.1609</v>
      </c>
      <c r="K122" s="5" t="s">
        <v>368</v>
      </c>
      <c r="L122" s="5" t="s">
        <v>368</v>
      </c>
      <c r="M122" s="5" t="s">
        <v>368</v>
      </c>
      <c r="N122" s="6">
        <v>176.1</v>
      </c>
      <c r="O122" s="5" t="s">
        <v>368</v>
      </c>
      <c r="P122" s="515">
        <v>20.204076201297212</v>
      </c>
      <c r="Q122" s="515">
        <v>62.2127976375597</v>
      </c>
      <c r="R122" s="515">
        <v>201.09619128855093</v>
      </c>
    </row>
    <row r="123">
      <c r="A123" s="5" t="s">
        <v>35</v>
      </c>
      <c r="B123" s="5" t="s">
        <v>1867</v>
      </c>
      <c r="C123" s="5" t="s">
        <v>56</v>
      </c>
      <c r="D123" s="6">
        <v>1.0</v>
      </c>
      <c r="E123" s="6">
        <v>1.0</v>
      </c>
      <c r="F123" s="6">
        <v>51651.0</v>
      </c>
      <c r="G123" s="6">
        <v>38876.0</v>
      </c>
      <c r="H123" s="515">
        <v>0.7527</v>
      </c>
      <c r="I123" s="515">
        <v>0.9554</v>
      </c>
      <c r="J123" s="515">
        <v>0.1818</v>
      </c>
      <c r="K123" s="5" t="s">
        <v>368</v>
      </c>
      <c r="L123" s="5" t="s">
        <v>368</v>
      </c>
      <c r="M123" s="5" t="s">
        <v>368</v>
      </c>
      <c r="N123" s="6">
        <v>123.2</v>
      </c>
      <c r="O123" s="5" t="s">
        <v>368</v>
      </c>
      <c r="P123" s="515">
        <v>15.188615254752676</v>
      </c>
      <c r="Q123" s="515">
        <v>44.78302221407977</v>
      </c>
      <c r="R123" s="515">
        <v>124.7642568439487</v>
      </c>
    </row>
    <row r="124">
      <c r="A124" s="5" t="s">
        <v>35</v>
      </c>
      <c r="B124" s="5" t="s">
        <v>163</v>
      </c>
      <c r="C124" s="5" t="s">
        <v>57</v>
      </c>
      <c r="D124" s="6">
        <v>2.0</v>
      </c>
      <c r="E124" s="6">
        <v>1.0</v>
      </c>
      <c r="F124" s="6">
        <v>45305.0</v>
      </c>
      <c r="G124" s="6">
        <v>40590.0</v>
      </c>
      <c r="H124" s="515">
        <v>0.8959</v>
      </c>
      <c r="I124" s="515">
        <v>0.9533</v>
      </c>
      <c r="J124" s="515">
        <v>0.3816</v>
      </c>
      <c r="K124" s="5" t="s">
        <v>368</v>
      </c>
      <c r="L124" s="5" t="s">
        <v>368</v>
      </c>
      <c r="M124" s="5" t="s">
        <v>368</v>
      </c>
      <c r="N124" s="6">
        <v>506.2</v>
      </c>
      <c r="O124" s="5" t="s">
        <v>368</v>
      </c>
      <c r="P124" s="515">
        <v>59.59769669152714</v>
      </c>
      <c r="Q124" s="515">
        <v>196.61141401381713</v>
      </c>
      <c r="R124" s="515">
        <v>626.0780249823014</v>
      </c>
    </row>
    <row r="125">
      <c r="A125" s="5" t="s">
        <v>35</v>
      </c>
      <c r="B125" s="5" t="s">
        <v>1867</v>
      </c>
      <c r="C125" s="5" t="s">
        <v>57</v>
      </c>
      <c r="D125" s="6">
        <v>2.0</v>
      </c>
      <c r="E125" s="6">
        <v>1.0</v>
      </c>
      <c r="F125" s="6">
        <v>25020.0</v>
      </c>
      <c r="G125" s="6">
        <v>22745.0</v>
      </c>
      <c r="H125" s="515">
        <v>0.9091</v>
      </c>
      <c r="I125" s="515">
        <v>0.9565</v>
      </c>
      <c r="J125" s="515">
        <v>0.452</v>
      </c>
      <c r="K125" s="5" t="s">
        <v>368</v>
      </c>
      <c r="L125" s="5" t="s">
        <v>368</v>
      </c>
      <c r="M125" s="5" t="s">
        <v>368</v>
      </c>
      <c r="N125" s="6">
        <v>341.3</v>
      </c>
      <c r="O125" s="5" t="s">
        <v>368</v>
      </c>
      <c r="P125" s="515">
        <v>43.24561173586634</v>
      </c>
      <c r="Q125" s="515">
        <v>115.08676809654591</v>
      </c>
      <c r="R125" s="515">
        <v>384.4877730787188</v>
      </c>
    </row>
    <row r="126">
      <c r="A126" s="5" t="s">
        <v>35</v>
      </c>
      <c r="B126" s="5" t="s">
        <v>163</v>
      </c>
      <c r="C126" s="5" t="s">
        <v>58</v>
      </c>
      <c r="D126" s="6">
        <v>3.0</v>
      </c>
      <c r="E126" s="6">
        <v>1.0</v>
      </c>
      <c r="F126" s="6">
        <v>27035.0</v>
      </c>
      <c r="G126" s="6">
        <v>25038.0</v>
      </c>
      <c r="H126" s="515">
        <v>0.9261</v>
      </c>
      <c r="I126" s="515">
        <v>0.9572</v>
      </c>
      <c r="J126" s="515">
        <v>0.525</v>
      </c>
      <c r="K126" s="5" t="s">
        <v>368</v>
      </c>
      <c r="L126" s="5" t="s">
        <v>368</v>
      </c>
      <c r="M126" s="5" t="s">
        <v>368</v>
      </c>
      <c r="N126" s="6">
        <v>1074.4</v>
      </c>
      <c r="O126" s="5" t="s">
        <v>368</v>
      </c>
      <c r="P126" s="515">
        <v>112.99412980695104</v>
      </c>
      <c r="Q126" s="515">
        <v>387.57644118556715</v>
      </c>
      <c r="R126" s="515">
        <v>1246.5556203436045</v>
      </c>
    </row>
    <row r="127">
      <c r="A127" s="5" t="s">
        <v>35</v>
      </c>
      <c r="B127" s="5" t="s">
        <v>1867</v>
      </c>
      <c r="C127" s="5" t="s">
        <v>58</v>
      </c>
      <c r="D127" s="6">
        <v>3.0</v>
      </c>
      <c r="E127" s="6">
        <v>1.0</v>
      </c>
      <c r="F127" s="6">
        <v>14305.0</v>
      </c>
      <c r="G127" s="6">
        <v>13259.0</v>
      </c>
      <c r="H127" s="515">
        <v>0.9269</v>
      </c>
      <c r="I127" s="515">
        <v>0.9513</v>
      </c>
      <c r="J127" s="515">
        <v>0.5896</v>
      </c>
      <c r="K127" s="5" t="s">
        <v>368</v>
      </c>
      <c r="L127" s="5" t="s">
        <v>368</v>
      </c>
      <c r="M127" s="5" t="s">
        <v>368</v>
      </c>
      <c r="N127" s="6">
        <v>648.4</v>
      </c>
      <c r="O127" s="5" t="s">
        <v>368</v>
      </c>
      <c r="P127" s="515">
        <v>76.3628516588177</v>
      </c>
      <c r="Q127" s="515">
        <v>228.5439119756514</v>
      </c>
      <c r="R127" s="515">
        <v>709.7341828913611</v>
      </c>
    </row>
    <row r="128">
      <c r="A128" s="5" t="s">
        <v>35</v>
      </c>
      <c r="B128" s="5" t="s">
        <v>163</v>
      </c>
      <c r="C128" s="5" t="s">
        <v>59</v>
      </c>
      <c r="D128" s="6">
        <v>4.0</v>
      </c>
      <c r="E128" s="6">
        <v>1.0</v>
      </c>
      <c r="F128" s="6">
        <v>12461.0</v>
      </c>
      <c r="G128" s="6">
        <v>11863.0</v>
      </c>
      <c r="H128" s="515">
        <v>0.952</v>
      </c>
      <c r="I128" s="515">
        <v>0.9665</v>
      </c>
      <c r="J128" s="515">
        <v>0.6318</v>
      </c>
      <c r="K128" s="5" t="s">
        <v>368</v>
      </c>
      <c r="L128" s="5" t="s">
        <v>368</v>
      </c>
      <c r="M128" s="5" t="s">
        <v>368</v>
      </c>
      <c r="N128" s="6">
        <v>1760.7</v>
      </c>
      <c r="O128" s="5" t="s">
        <v>368</v>
      </c>
      <c r="P128" s="515">
        <v>199.74000730168746</v>
      </c>
      <c r="Q128" s="515">
        <v>607.3356642870925</v>
      </c>
      <c r="R128" s="515">
        <v>2034.7018300172904</v>
      </c>
    </row>
    <row r="129">
      <c r="A129" s="5" t="s">
        <v>35</v>
      </c>
      <c r="B129" s="5" t="s">
        <v>1867</v>
      </c>
      <c r="C129" s="5" t="s">
        <v>59</v>
      </c>
      <c r="D129" s="6">
        <v>4.0</v>
      </c>
      <c r="E129" s="6">
        <v>1.0</v>
      </c>
      <c r="F129" s="6">
        <v>6447.0</v>
      </c>
      <c r="G129" s="6">
        <v>6012.0</v>
      </c>
      <c r="H129" s="515">
        <v>0.9325</v>
      </c>
      <c r="I129" s="515">
        <v>0.946</v>
      </c>
      <c r="J129" s="515">
        <v>0.6836</v>
      </c>
      <c r="K129" s="5" t="s">
        <v>368</v>
      </c>
      <c r="L129" s="5" t="s">
        <v>368</v>
      </c>
      <c r="M129" s="5" t="s">
        <v>368</v>
      </c>
      <c r="N129" s="6">
        <v>1149.9</v>
      </c>
      <c r="O129" s="5" t="s">
        <v>368</v>
      </c>
      <c r="P129" s="515">
        <v>153.51894523749343</v>
      </c>
      <c r="Q129" s="515">
        <v>430.36722042779303</v>
      </c>
      <c r="R129" s="515">
        <v>1186.9623329146177</v>
      </c>
    </row>
    <row r="130">
      <c r="A130" s="5" t="s">
        <v>35</v>
      </c>
      <c r="B130" s="5" t="s">
        <v>163</v>
      </c>
      <c r="C130" s="5" t="s">
        <v>60</v>
      </c>
      <c r="D130" s="6">
        <v>5.0</v>
      </c>
      <c r="E130" s="6">
        <v>1.0</v>
      </c>
      <c r="F130" s="6">
        <v>1668.0</v>
      </c>
      <c r="G130" s="6">
        <v>1568.0</v>
      </c>
      <c r="H130" s="515">
        <v>0.94</v>
      </c>
      <c r="I130" s="515">
        <v>0.9424</v>
      </c>
      <c r="J130" s="515">
        <v>0.6218</v>
      </c>
      <c r="K130" s="5" t="s">
        <v>368</v>
      </c>
      <c r="L130" s="5" t="s">
        <v>368</v>
      </c>
      <c r="M130" s="5" t="s">
        <v>368</v>
      </c>
      <c r="N130" s="6">
        <v>3169.3</v>
      </c>
      <c r="O130" s="5" t="s">
        <v>368</v>
      </c>
      <c r="P130" s="515">
        <v>400.52537393162396</v>
      </c>
      <c r="Q130" s="515">
        <v>1118.2892970521543</v>
      </c>
      <c r="R130" s="515">
        <v>3923.584122474748</v>
      </c>
    </row>
    <row r="131">
      <c r="A131" s="5" t="s">
        <v>35</v>
      </c>
      <c r="B131" s="5" t="s">
        <v>1867</v>
      </c>
      <c r="C131" s="5" t="s">
        <v>60</v>
      </c>
      <c r="D131" s="6">
        <v>5.0</v>
      </c>
      <c r="E131" s="6">
        <v>1.0</v>
      </c>
      <c r="F131" s="6">
        <v>768.0</v>
      </c>
      <c r="G131" s="6">
        <v>714.0</v>
      </c>
      <c r="H131" s="515">
        <v>0.9297</v>
      </c>
      <c r="I131" s="515">
        <v>0.9401</v>
      </c>
      <c r="J131" s="515">
        <v>0.6891</v>
      </c>
      <c r="K131" s="5" t="s">
        <v>368</v>
      </c>
      <c r="L131" s="5" t="s">
        <v>368</v>
      </c>
      <c r="M131" s="5" t="s">
        <v>368</v>
      </c>
      <c r="N131" s="6">
        <v>2058.3</v>
      </c>
      <c r="O131" s="5" t="s">
        <v>368</v>
      </c>
      <c r="P131" s="515">
        <v>272.79580938187496</v>
      </c>
      <c r="Q131" s="515">
        <v>735.5742740998836</v>
      </c>
      <c r="R131" s="515">
        <v>1826.3476190476192</v>
      </c>
    </row>
    <row r="132">
      <c r="A132" s="5" t="s">
        <v>69</v>
      </c>
      <c r="B132" s="5" t="s">
        <v>163</v>
      </c>
      <c r="C132" s="5" t="s">
        <v>56</v>
      </c>
      <c r="D132" s="6">
        <v>1.0</v>
      </c>
      <c r="E132" s="6">
        <v>4.0</v>
      </c>
      <c r="F132" s="6">
        <v>208477.0</v>
      </c>
      <c r="G132" s="6">
        <v>31924.0</v>
      </c>
      <c r="H132" s="515">
        <v>0.6125</v>
      </c>
      <c r="I132" s="515">
        <v>0.7681</v>
      </c>
      <c r="J132" s="6">
        <v>0.0</v>
      </c>
      <c r="K132" s="6">
        <v>5.0</v>
      </c>
      <c r="L132" s="6">
        <v>10.0</v>
      </c>
      <c r="M132" s="6">
        <v>14.0</v>
      </c>
      <c r="N132" s="6">
        <v>73.5</v>
      </c>
      <c r="O132" s="6">
        <v>0.0</v>
      </c>
      <c r="P132" s="515">
        <v>22.18969356499057</v>
      </c>
      <c r="Q132" s="515">
        <v>51.32333908553541</v>
      </c>
      <c r="R132" s="515">
        <v>101.88331736958102</v>
      </c>
    </row>
    <row r="133">
      <c r="A133" s="5" t="s">
        <v>69</v>
      </c>
      <c r="B133" s="5" t="s">
        <v>1867</v>
      </c>
      <c r="C133" s="5" t="s">
        <v>56</v>
      </c>
      <c r="D133" s="6">
        <v>1.0</v>
      </c>
      <c r="E133" s="6">
        <v>4.0</v>
      </c>
      <c r="F133" s="6">
        <v>159482.0</v>
      </c>
      <c r="G133" s="6">
        <v>26679.0</v>
      </c>
      <c r="H133" s="515">
        <v>0.6691</v>
      </c>
      <c r="I133" s="515">
        <v>0.8047</v>
      </c>
      <c r="J133" s="6">
        <v>0.0</v>
      </c>
      <c r="K133" s="6">
        <v>6.0</v>
      </c>
      <c r="L133" s="6">
        <v>10.0</v>
      </c>
      <c r="M133" s="6">
        <v>15.0</v>
      </c>
      <c r="N133" s="6">
        <v>67.6</v>
      </c>
      <c r="O133" s="6">
        <v>0.0</v>
      </c>
      <c r="P133" s="515">
        <v>19.828055466827433</v>
      </c>
      <c r="Q133" s="515">
        <v>46.24386266786699</v>
      </c>
      <c r="R133" s="515">
        <v>94.41814140790416</v>
      </c>
    </row>
    <row r="134">
      <c r="A134" s="5" t="s">
        <v>69</v>
      </c>
      <c r="B134" s="5" t="s">
        <v>163</v>
      </c>
      <c r="C134" s="5" t="s">
        <v>57</v>
      </c>
      <c r="D134" s="6">
        <v>2.0</v>
      </c>
      <c r="E134" s="6">
        <v>4.0</v>
      </c>
      <c r="F134" s="6">
        <v>142486.0</v>
      </c>
      <c r="G134" s="6">
        <v>27514.0</v>
      </c>
      <c r="H134" s="515">
        <v>0.7724</v>
      </c>
      <c r="I134" s="515">
        <v>0.8322</v>
      </c>
      <c r="J134" s="6">
        <v>0.0</v>
      </c>
      <c r="K134" s="6">
        <v>3.0</v>
      </c>
      <c r="L134" s="6">
        <v>6.0</v>
      </c>
      <c r="M134" s="6">
        <v>10.0</v>
      </c>
      <c r="N134" s="6">
        <v>185.8</v>
      </c>
      <c r="O134" s="6">
        <v>0.0</v>
      </c>
      <c r="P134" s="515">
        <v>74.99979110261492</v>
      </c>
      <c r="Q134" s="515">
        <v>150.4701420570551</v>
      </c>
      <c r="R134" s="515">
        <v>254.38630543673582</v>
      </c>
    </row>
    <row r="135">
      <c r="A135" s="5" t="s">
        <v>69</v>
      </c>
      <c r="B135" s="5" t="s">
        <v>1867</v>
      </c>
      <c r="C135" s="5" t="s">
        <v>57</v>
      </c>
      <c r="D135" s="6">
        <v>2.0</v>
      </c>
      <c r="E135" s="6">
        <v>4.0</v>
      </c>
      <c r="F135" s="6">
        <v>82362.0</v>
      </c>
      <c r="G135" s="6">
        <v>16005.0</v>
      </c>
      <c r="H135" s="515">
        <v>0.7773</v>
      </c>
      <c r="I135" s="515">
        <v>0.8377</v>
      </c>
      <c r="J135" s="6">
        <v>0.0</v>
      </c>
      <c r="K135" s="6">
        <v>3.0</v>
      </c>
      <c r="L135" s="6">
        <v>7.0</v>
      </c>
      <c r="M135" s="6">
        <v>11.0</v>
      </c>
      <c r="N135" s="6">
        <v>170.9</v>
      </c>
      <c r="O135" s="6">
        <v>0.0</v>
      </c>
      <c r="P135" s="515">
        <v>61.529335562240576</v>
      </c>
      <c r="Q135" s="515">
        <v>133.834854026578</v>
      </c>
      <c r="R135" s="515">
        <v>233.61381213854614</v>
      </c>
    </row>
    <row r="136">
      <c r="A136" s="5" t="s">
        <v>69</v>
      </c>
      <c r="B136" s="5" t="s">
        <v>163</v>
      </c>
      <c r="C136" s="5" t="s">
        <v>58</v>
      </c>
      <c r="D136" s="6">
        <v>3.0</v>
      </c>
      <c r="E136" s="6">
        <v>4.0</v>
      </c>
      <c r="F136" s="6">
        <v>87935.0</v>
      </c>
      <c r="G136" s="6">
        <v>18083.0</v>
      </c>
      <c r="H136" s="515">
        <v>0.8225</v>
      </c>
      <c r="I136" s="515">
        <v>0.8541</v>
      </c>
      <c r="J136" s="6">
        <v>0.0</v>
      </c>
      <c r="K136" s="6">
        <v>2.0</v>
      </c>
      <c r="L136" s="6">
        <v>4.0</v>
      </c>
      <c r="M136" s="6">
        <v>6.0</v>
      </c>
      <c r="N136" s="6">
        <v>366.9</v>
      </c>
      <c r="O136" s="6">
        <v>0.0</v>
      </c>
      <c r="P136" s="515">
        <v>159.63479962677047</v>
      </c>
      <c r="Q136" s="515">
        <v>310.7480724262613</v>
      </c>
      <c r="R136" s="515">
        <v>501.8544852545985</v>
      </c>
    </row>
    <row r="137">
      <c r="A137" s="5" t="s">
        <v>69</v>
      </c>
      <c r="B137" s="5" t="s">
        <v>1867</v>
      </c>
      <c r="C137" s="5" t="s">
        <v>58</v>
      </c>
      <c r="D137" s="6">
        <v>3.0</v>
      </c>
      <c r="E137" s="6">
        <v>4.0</v>
      </c>
      <c r="F137" s="6">
        <v>46375.0</v>
      </c>
      <c r="G137" s="6">
        <v>9347.0</v>
      </c>
      <c r="H137" s="515">
        <v>0.8062</v>
      </c>
      <c r="I137" s="515">
        <v>0.8406</v>
      </c>
      <c r="J137" s="6">
        <v>0.0</v>
      </c>
      <c r="K137" s="6">
        <v>2.0</v>
      </c>
      <c r="L137" s="6">
        <v>4.0</v>
      </c>
      <c r="M137" s="6">
        <v>7.0</v>
      </c>
      <c r="N137" s="6">
        <v>338.2</v>
      </c>
      <c r="O137" s="6">
        <v>0.0</v>
      </c>
      <c r="P137" s="515">
        <v>128.9239718863516</v>
      </c>
      <c r="Q137" s="515">
        <v>275.79284704949805</v>
      </c>
      <c r="R137" s="515">
        <v>463.9670917002581</v>
      </c>
    </row>
    <row r="138">
      <c r="A138" s="5" t="s">
        <v>69</v>
      </c>
      <c r="B138" s="5" t="s">
        <v>163</v>
      </c>
      <c r="C138" s="5" t="s">
        <v>59</v>
      </c>
      <c r="D138" s="6">
        <v>4.0</v>
      </c>
      <c r="E138" s="6">
        <v>4.0</v>
      </c>
      <c r="F138" s="6">
        <v>40277.0</v>
      </c>
      <c r="G138" s="6">
        <v>8838.0</v>
      </c>
      <c r="H138" s="515">
        <v>0.8777</v>
      </c>
      <c r="I138" s="515">
        <v>0.8934</v>
      </c>
      <c r="J138" s="6">
        <v>0.0</v>
      </c>
      <c r="K138" s="6">
        <v>1.0</v>
      </c>
      <c r="L138" s="6">
        <v>2.0</v>
      </c>
      <c r="M138" s="6">
        <v>4.0</v>
      </c>
      <c r="N138" s="6">
        <v>691.4</v>
      </c>
      <c r="O138" s="6">
        <v>0.0</v>
      </c>
      <c r="P138" s="515">
        <v>307.61674270704293</v>
      </c>
      <c r="Q138" s="515">
        <v>595.0816544218</v>
      </c>
      <c r="R138" s="515">
        <v>954.9455979893507</v>
      </c>
    </row>
    <row r="139">
      <c r="A139" s="5" t="s">
        <v>69</v>
      </c>
      <c r="B139" s="5" t="s">
        <v>1867</v>
      </c>
      <c r="C139" s="5" t="s">
        <v>59</v>
      </c>
      <c r="D139" s="6">
        <v>4.0</v>
      </c>
      <c r="E139" s="6">
        <v>4.0</v>
      </c>
      <c r="F139" s="6">
        <v>20001.0</v>
      </c>
      <c r="G139" s="6">
        <v>4218.0</v>
      </c>
      <c r="H139" s="515">
        <v>0.8435</v>
      </c>
      <c r="I139" s="515">
        <v>0.8617</v>
      </c>
      <c r="J139" s="6">
        <v>0.0</v>
      </c>
      <c r="K139" s="6">
        <v>1.0</v>
      </c>
      <c r="L139" s="6">
        <v>2.0</v>
      </c>
      <c r="M139" s="6">
        <v>4.0</v>
      </c>
      <c r="N139" s="6">
        <v>658.3</v>
      </c>
      <c r="O139" s="6">
        <v>0.0</v>
      </c>
      <c r="P139" s="515">
        <v>268.52245360453117</v>
      </c>
      <c r="Q139" s="515">
        <v>548.1899558687146</v>
      </c>
      <c r="R139" s="515">
        <v>899.5067559249</v>
      </c>
    </row>
    <row r="140">
      <c r="A140" s="5" t="s">
        <v>69</v>
      </c>
      <c r="B140" s="5" t="s">
        <v>163</v>
      </c>
      <c r="C140" s="5" t="s">
        <v>60</v>
      </c>
      <c r="D140" s="6">
        <v>5.0</v>
      </c>
      <c r="E140" s="6">
        <v>4.0</v>
      </c>
      <c r="F140" s="6">
        <v>5163.0</v>
      </c>
      <c r="G140" s="6">
        <v>1171.0</v>
      </c>
      <c r="H140" s="515">
        <v>0.907</v>
      </c>
      <c r="I140" s="515">
        <v>0.914</v>
      </c>
      <c r="J140" s="6">
        <v>0.0</v>
      </c>
      <c r="K140" s="6">
        <v>1.0</v>
      </c>
      <c r="L140" s="6">
        <v>1.0</v>
      </c>
      <c r="M140" s="6">
        <v>2.0</v>
      </c>
      <c r="N140" s="6">
        <v>1360.6</v>
      </c>
      <c r="O140" s="6">
        <v>0.0</v>
      </c>
      <c r="P140" s="515">
        <v>703.9462866991701</v>
      </c>
      <c r="Q140" s="515">
        <v>1275.1998932977026</v>
      </c>
      <c r="R140" s="515">
        <v>1868.4659424544918</v>
      </c>
    </row>
    <row r="141">
      <c r="A141" s="5" t="s">
        <v>69</v>
      </c>
      <c r="B141" s="5" t="s">
        <v>1867</v>
      </c>
      <c r="C141" s="5" t="s">
        <v>60</v>
      </c>
      <c r="D141" s="6">
        <v>5.0</v>
      </c>
      <c r="E141" s="6">
        <v>4.0</v>
      </c>
      <c r="F141" s="6">
        <v>2531.0</v>
      </c>
      <c r="G141" s="6">
        <v>554.0</v>
      </c>
      <c r="H141" s="515">
        <v>0.8751</v>
      </c>
      <c r="I141" s="515">
        <v>0.8834</v>
      </c>
      <c r="J141" s="6">
        <v>0.0</v>
      </c>
      <c r="K141" s="6">
        <v>1.0</v>
      </c>
      <c r="L141" s="6">
        <v>1.0</v>
      </c>
      <c r="M141" s="6">
        <v>2.0</v>
      </c>
      <c r="N141" s="6">
        <v>1342.4</v>
      </c>
      <c r="O141" s="6">
        <v>0.0</v>
      </c>
      <c r="P141" s="515">
        <v>589.6521014492755</v>
      </c>
      <c r="Q141" s="515">
        <v>1197.573056633153</v>
      </c>
      <c r="R141" s="515">
        <v>1885.1058381433384</v>
      </c>
    </row>
    <row r="142">
      <c r="A142" s="5" t="s">
        <v>134</v>
      </c>
      <c r="B142" s="5" t="s">
        <v>163</v>
      </c>
      <c r="C142" s="5" t="s">
        <v>56</v>
      </c>
      <c r="D142" s="6">
        <v>1.0</v>
      </c>
      <c r="E142" s="6">
        <v>2.0</v>
      </c>
      <c r="F142" s="6">
        <v>176282.0</v>
      </c>
      <c r="G142" s="6">
        <v>29651.0</v>
      </c>
      <c r="H142" s="515">
        <v>0.3364</v>
      </c>
      <c r="I142" s="515">
        <v>0.956</v>
      </c>
      <c r="J142" s="6">
        <v>0.315</v>
      </c>
      <c r="K142" s="6">
        <v>2.0</v>
      </c>
      <c r="L142" s="6">
        <v>3.0</v>
      </c>
      <c r="M142" s="6">
        <v>5.0</v>
      </c>
      <c r="N142" s="6">
        <v>1.0</v>
      </c>
      <c r="O142" s="5" t="s">
        <v>368</v>
      </c>
      <c r="P142" s="6">
        <v>0.0</v>
      </c>
      <c r="Q142" s="6">
        <v>0.0</v>
      </c>
      <c r="R142" s="6">
        <v>0.659911937397189</v>
      </c>
    </row>
    <row r="143">
      <c r="A143" s="5" t="s">
        <v>134</v>
      </c>
      <c r="B143" s="5" t="s">
        <v>1867</v>
      </c>
      <c r="C143" s="5" t="s">
        <v>56</v>
      </c>
      <c r="D143" s="6">
        <v>1.0</v>
      </c>
      <c r="E143" s="6">
        <v>2.0</v>
      </c>
      <c r="F143" s="6">
        <v>120262.0</v>
      </c>
      <c r="G143" s="6">
        <v>23559.0</v>
      </c>
      <c r="H143" s="515">
        <v>0.3918</v>
      </c>
      <c r="I143" s="515">
        <v>0.9737</v>
      </c>
      <c r="J143" s="6">
        <v>0.3365</v>
      </c>
      <c r="K143" s="6">
        <v>2.0</v>
      </c>
      <c r="L143" s="6">
        <v>4.0</v>
      </c>
      <c r="M143" s="6">
        <v>5.0</v>
      </c>
      <c r="N143" s="6">
        <v>0.7</v>
      </c>
      <c r="O143" s="5" t="s">
        <v>368</v>
      </c>
      <c r="P143" s="6">
        <v>0.0</v>
      </c>
      <c r="Q143" s="6">
        <v>0.0</v>
      </c>
      <c r="R143" s="6">
        <v>0.0</v>
      </c>
    </row>
    <row r="144">
      <c r="A144" s="5" t="s">
        <v>134</v>
      </c>
      <c r="B144" s="5" t="s">
        <v>163</v>
      </c>
      <c r="C144" s="5" t="s">
        <v>57</v>
      </c>
      <c r="D144" s="6">
        <v>2.0</v>
      </c>
      <c r="E144" s="6">
        <v>2.0</v>
      </c>
      <c r="F144" s="6">
        <v>101217.0</v>
      </c>
      <c r="G144" s="6">
        <v>27587.0</v>
      </c>
      <c r="H144" s="515">
        <v>0.5451</v>
      </c>
      <c r="I144" s="515">
        <v>0.9653</v>
      </c>
      <c r="J144" s="6">
        <v>0.3102</v>
      </c>
      <c r="K144" s="6">
        <v>2.0</v>
      </c>
      <c r="L144" s="6">
        <v>3.0</v>
      </c>
      <c r="M144" s="6">
        <v>5.0</v>
      </c>
      <c r="N144" s="6">
        <v>1.4</v>
      </c>
      <c r="O144" s="5" t="s">
        <v>368</v>
      </c>
      <c r="P144" s="6">
        <v>0.0</v>
      </c>
      <c r="Q144" s="6">
        <v>0.0</v>
      </c>
      <c r="R144" s="6">
        <v>0.6186350249900665</v>
      </c>
    </row>
    <row r="145">
      <c r="A145" s="5" t="s">
        <v>134</v>
      </c>
      <c r="B145" s="5" t="s">
        <v>1867</v>
      </c>
      <c r="C145" s="5" t="s">
        <v>57</v>
      </c>
      <c r="D145" s="6">
        <v>2.0</v>
      </c>
      <c r="E145" s="6">
        <v>2.0</v>
      </c>
      <c r="F145" s="6">
        <v>57003.0</v>
      </c>
      <c r="G145" s="6">
        <v>16511.0</v>
      </c>
      <c r="H145" s="515">
        <v>0.5793</v>
      </c>
      <c r="I145" s="515">
        <v>0.9738</v>
      </c>
      <c r="J145" s="6">
        <v>0.3092</v>
      </c>
      <c r="K145" s="6">
        <v>2.0</v>
      </c>
      <c r="L145" s="6">
        <v>4.0</v>
      </c>
      <c r="M145" s="6">
        <v>5.0</v>
      </c>
      <c r="N145" s="6">
        <v>1.1</v>
      </c>
      <c r="O145" s="5" t="s">
        <v>368</v>
      </c>
      <c r="P145" s="6">
        <v>0.0</v>
      </c>
      <c r="Q145" s="6">
        <v>0.0</v>
      </c>
      <c r="R145" s="6">
        <v>0.18980577925153982</v>
      </c>
    </row>
    <row r="146">
      <c r="A146" s="5" t="s">
        <v>134</v>
      </c>
      <c r="B146" s="5" t="s">
        <v>163</v>
      </c>
      <c r="C146" s="5" t="s">
        <v>58</v>
      </c>
      <c r="D146" s="6">
        <v>3.0</v>
      </c>
      <c r="E146" s="6">
        <v>2.0</v>
      </c>
      <c r="F146" s="6">
        <v>61955.0</v>
      </c>
      <c r="G146" s="6">
        <v>20416.0</v>
      </c>
      <c r="H146" s="515">
        <v>0.6591</v>
      </c>
      <c r="I146" s="515">
        <v>0.9578</v>
      </c>
      <c r="J146" s="6">
        <v>0.3052</v>
      </c>
      <c r="K146" s="6">
        <v>2.0</v>
      </c>
      <c r="L146" s="6">
        <v>3.0</v>
      </c>
      <c r="M146" s="6">
        <v>5.0</v>
      </c>
      <c r="N146" s="6">
        <v>1.9</v>
      </c>
      <c r="O146" s="5" t="s">
        <v>368</v>
      </c>
      <c r="P146" s="6">
        <v>0.0</v>
      </c>
      <c r="Q146" s="6">
        <v>0.0</v>
      </c>
      <c r="R146" s="6">
        <v>1.2002170790717113</v>
      </c>
    </row>
    <row r="147">
      <c r="A147" s="5" t="s">
        <v>134</v>
      </c>
      <c r="B147" s="5" t="s">
        <v>1867</v>
      </c>
      <c r="C147" s="5" t="s">
        <v>58</v>
      </c>
      <c r="D147" s="6">
        <v>3.0</v>
      </c>
      <c r="E147" s="6">
        <v>2.0</v>
      </c>
      <c r="F147" s="6">
        <v>33254.0</v>
      </c>
      <c r="G147" s="6">
        <v>11539.0</v>
      </c>
      <c r="H147" s="515">
        <v>0.694</v>
      </c>
      <c r="I147" s="515">
        <v>0.9678</v>
      </c>
      <c r="J147" s="6">
        <v>0.2881</v>
      </c>
      <c r="K147" s="6">
        <v>2.0</v>
      </c>
      <c r="L147" s="6">
        <v>4.0</v>
      </c>
      <c r="M147" s="6">
        <v>5.0</v>
      </c>
      <c r="N147" s="6">
        <v>1.6</v>
      </c>
      <c r="O147" s="5" t="s">
        <v>368</v>
      </c>
      <c r="P147" s="6">
        <v>0.0</v>
      </c>
      <c r="Q147" s="6">
        <v>0.0</v>
      </c>
      <c r="R147" s="6">
        <v>0.21567791373239978</v>
      </c>
    </row>
    <row r="148">
      <c r="A148" s="5" t="s">
        <v>134</v>
      </c>
      <c r="B148" s="5" t="s">
        <v>163</v>
      </c>
      <c r="C148" s="5" t="s">
        <v>59</v>
      </c>
      <c r="D148" s="6">
        <v>4.0</v>
      </c>
      <c r="E148" s="6">
        <v>2.0</v>
      </c>
      <c r="F148" s="6">
        <v>28243.0</v>
      </c>
      <c r="G148" s="6">
        <v>9445.0</v>
      </c>
      <c r="H148" s="515">
        <v>0.6688</v>
      </c>
      <c r="I148" s="515">
        <v>0.8442</v>
      </c>
      <c r="J148" s="6">
        <v>0.2827</v>
      </c>
      <c r="K148" s="6">
        <v>2.0</v>
      </c>
      <c r="L148" s="6">
        <v>3.0</v>
      </c>
      <c r="M148" s="6">
        <v>5.0</v>
      </c>
      <c r="N148" s="6">
        <v>2.4</v>
      </c>
      <c r="O148" s="5" t="s">
        <v>368</v>
      </c>
      <c r="P148" s="6">
        <v>0.0</v>
      </c>
      <c r="Q148" s="6">
        <v>0.0</v>
      </c>
      <c r="R148" s="6">
        <v>1.9644196774843574</v>
      </c>
    </row>
    <row r="149">
      <c r="A149" s="5" t="s">
        <v>134</v>
      </c>
      <c r="B149" s="5" t="s">
        <v>1867</v>
      </c>
      <c r="C149" s="5" t="s">
        <v>59</v>
      </c>
      <c r="D149" s="6">
        <v>4.0</v>
      </c>
      <c r="E149" s="6">
        <v>2.0</v>
      </c>
      <c r="F149" s="6">
        <v>14923.0</v>
      </c>
      <c r="G149" s="6">
        <v>5513.0</v>
      </c>
      <c r="H149" s="515">
        <v>0.7389</v>
      </c>
      <c r="I149" s="515">
        <v>0.9113</v>
      </c>
      <c r="J149" s="6">
        <v>0.2784</v>
      </c>
      <c r="K149" s="6">
        <v>2.0</v>
      </c>
      <c r="L149" s="6">
        <v>4.0</v>
      </c>
      <c r="M149" s="6">
        <v>5.0</v>
      </c>
      <c r="N149" s="6">
        <v>1.8</v>
      </c>
      <c r="O149" s="5" t="s">
        <v>368</v>
      </c>
      <c r="P149" s="6">
        <v>0.0</v>
      </c>
      <c r="Q149" s="6">
        <v>0.0</v>
      </c>
      <c r="R149" s="6">
        <v>0.5913176539612671</v>
      </c>
    </row>
    <row r="150">
      <c r="A150" s="5" t="s">
        <v>134</v>
      </c>
      <c r="B150" s="5" t="s">
        <v>163</v>
      </c>
      <c r="C150" s="5" t="s">
        <v>60</v>
      </c>
      <c r="D150" s="6">
        <v>5.0</v>
      </c>
      <c r="E150" s="6">
        <v>2.0</v>
      </c>
      <c r="F150" s="6">
        <v>3909.0</v>
      </c>
      <c r="G150" s="6">
        <v>904.0</v>
      </c>
      <c r="H150" s="515">
        <v>0.4623</v>
      </c>
      <c r="I150" s="515">
        <v>0.5226</v>
      </c>
      <c r="J150" s="6">
        <v>0.2573</v>
      </c>
      <c r="K150" s="6">
        <v>2.0</v>
      </c>
      <c r="L150" s="6">
        <v>3.0</v>
      </c>
      <c r="M150" s="6">
        <v>5.0</v>
      </c>
      <c r="N150" s="6">
        <v>2.7</v>
      </c>
      <c r="O150" s="5" t="s">
        <v>368</v>
      </c>
      <c r="P150" s="6">
        <v>0.0</v>
      </c>
      <c r="Q150" s="6">
        <v>0.0</v>
      </c>
      <c r="R150" s="6">
        <v>2.9977769034035013</v>
      </c>
    </row>
    <row r="151">
      <c r="A151" s="5" t="s">
        <v>134</v>
      </c>
      <c r="B151" s="5" t="s">
        <v>1867</v>
      </c>
      <c r="C151" s="5" t="s">
        <v>60</v>
      </c>
      <c r="D151" s="6">
        <v>5.0</v>
      </c>
      <c r="E151" s="6">
        <v>2.0</v>
      </c>
      <c r="F151" s="6">
        <v>1988.0</v>
      </c>
      <c r="G151" s="6">
        <v>601.0</v>
      </c>
      <c r="H151" s="515">
        <v>0.6041</v>
      </c>
      <c r="I151" s="515">
        <v>0.6876</v>
      </c>
      <c r="J151" s="6">
        <v>0.2689</v>
      </c>
      <c r="K151" s="6">
        <v>2.0</v>
      </c>
      <c r="L151" s="6">
        <v>4.0</v>
      </c>
      <c r="M151" s="6">
        <v>5.0</v>
      </c>
      <c r="N151" s="6">
        <v>2.1</v>
      </c>
      <c r="O151" s="5" t="s">
        <v>368</v>
      </c>
      <c r="P151" s="6">
        <v>0.0</v>
      </c>
      <c r="Q151" s="6">
        <v>0.0</v>
      </c>
      <c r="R151" s="6">
        <v>0.8554582210242587</v>
      </c>
    </row>
    <row r="152">
      <c r="A152" s="5" t="s">
        <v>32</v>
      </c>
      <c r="B152" s="5" t="s">
        <v>163</v>
      </c>
      <c r="C152" s="5" t="s">
        <v>56</v>
      </c>
      <c r="D152" s="6">
        <v>1.0</v>
      </c>
      <c r="E152" s="6">
        <v>4.0</v>
      </c>
      <c r="F152" s="6">
        <v>211541.0</v>
      </c>
      <c r="G152" s="6">
        <v>30597.0</v>
      </c>
      <c r="H152" s="515">
        <v>0.5785</v>
      </c>
      <c r="I152" s="515">
        <v>0.7423</v>
      </c>
      <c r="J152" s="515">
        <v>0.0</v>
      </c>
      <c r="K152" s="6">
        <v>5.0</v>
      </c>
      <c r="L152" s="6">
        <v>8.0</v>
      </c>
      <c r="M152" s="6">
        <v>12.0</v>
      </c>
      <c r="N152" s="6">
        <v>145.2</v>
      </c>
      <c r="O152" s="6">
        <v>0.0</v>
      </c>
      <c r="P152" s="515">
        <v>2.7029837964705576</v>
      </c>
      <c r="Q152" s="515">
        <v>13.265945698777642</v>
      </c>
      <c r="R152" s="515">
        <v>133.09446824354924</v>
      </c>
    </row>
    <row r="153">
      <c r="A153" s="5" t="s">
        <v>32</v>
      </c>
      <c r="B153" s="5" t="s">
        <v>1867</v>
      </c>
      <c r="C153" s="5" t="s">
        <v>56</v>
      </c>
      <c r="D153" s="6">
        <v>1.0</v>
      </c>
      <c r="E153" s="6">
        <v>4.0</v>
      </c>
      <c r="F153" s="6">
        <v>159583.0</v>
      </c>
      <c r="G153" s="6">
        <v>24968.0</v>
      </c>
      <c r="H153" s="515">
        <v>0.6258</v>
      </c>
      <c r="I153" s="515">
        <v>0.7798</v>
      </c>
      <c r="J153" s="515">
        <v>0.0</v>
      </c>
      <c r="K153" s="6">
        <v>6.0</v>
      </c>
      <c r="L153" s="6">
        <v>9.0</v>
      </c>
      <c r="M153" s="6">
        <v>13.0</v>
      </c>
      <c r="N153" s="6">
        <v>121.1</v>
      </c>
      <c r="O153" s="6">
        <v>0.0</v>
      </c>
      <c r="P153" s="515">
        <v>2.2112285764498814</v>
      </c>
      <c r="Q153" s="515">
        <v>9.012040429172151</v>
      </c>
      <c r="R153" s="515">
        <v>53.74726223197242</v>
      </c>
    </row>
    <row r="154">
      <c r="A154" s="5" t="s">
        <v>32</v>
      </c>
      <c r="B154" s="5" t="s">
        <v>163</v>
      </c>
      <c r="C154" s="5" t="s">
        <v>57</v>
      </c>
      <c r="D154" s="6">
        <v>2.0</v>
      </c>
      <c r="E154" s="6">
        <v>4.0</v>
      </c>
      <c r="F154" s="6">
        <v>138708.0</v>
      </c>
      <c r="G154" s="6">
        <v>25149.0</v>
      </c>
      <c r="H154" s="515">
        <v>0.7252</v>
      </c>
      <c r="I154" s="515">
        <v>0.7942</v>
      </c>
      <c r="J154" s="515">
        <v>0.0</v>
      </c>
      <c r="K154" s="6">
        <v>3.0</v>
      </c>
      <c r="L154" s="6">
        <v>6.0</v>
      </c>
      <c r="M154" s="6">
        <v>9.0</v>
      </c>
      <c r="N154" s="6">
        <v>689.5</v>
      </c>
      <c r="O154" s="6">
        <v>0.0</v>
      </c>
      <c r="P154" s="515">
        <v>26.61684432297434</v>
      </c>
      <c r="Q154" s="515">
        <v>316.9217801541151</v>
      </c>
      <c r="R154" s="515">
        <v>947.4880947194221</v>
      </c>
    </row>
    <row r="155">
      <c r="A155" s="5" t="s">
        <v>32</v>
      </c>
      <c r="B155" s="5" t="s">
        <v>1867</v>
      </c>
      <c r="C155" s="5" t="s">
        <v>57</v>
      </c>
      <c r="D155" s="6">
        <v>2.0</v>
      </c>
      <c r="E155" s="6">
        <v>4.0</v>
      </c>
      <c r="F155" s="6">
        <v>79801.0</v>
      </c>
      <c r="G155" s="6">
        <v>14573.0</v>
      </c>
      <c r="H155" s="515">
        <v>0.7305</v>
      </c>
      <c r="I155" s="515">
        <v>0.8057</v>
      </c>
      <c r="J155" s="515">
        <v>0.0</v>
      </c>
      <c r="K155" s="6">
        <v>3.0</v>
      </c>
      <c r="L155" s="6">
        <v>6.0</v>
      </c>
      <c r="M155" s="6">
        <v>10.0</v>
      </c>
      <c r="N155" s="6">
        <v>633.2</v>
      </c>
      <c r="O155" s="6">
        <v>0.0</v>
      </c>
      <c r="P155" s="515">
        <v>16.46329900057193</v>
      </c>
      <c r="Q155" s="515">
        <v>217.47921950449967</v>
      </c>
      <c r="R155" s="515">
        <v>838.1281212489444</v>
      </c>
    </row>
    <row r="156">
      <c r="A156" s="5" t="s">
        <v>32</v>
      </c>
      <c r="B156" s="5" t="s">
        <v>163</v>
      </c>
      <c r="C156" s="5" t="s">
        <v>58</v>
      </c>
      <c r="D156" s="6">
        <v>3.0</v>
      </c>
      <c r="E156" s="6">
        <v>4.0</v>
      </c>
      <c r="F156" s="6">
        <v>76593.0</v>
      </c>
      <c r="G156" s="6">
        <v>14617.0</v>
      </c>
      <c r="H156" s="515">
        <v>0.7634</v>
      </c>
      <c r="I156" s="515">
        <v>0.8022</v>
      </c>
      <c r="J156" s="515">
        <v>0.0</v>
      </c>
      <c r="K156" s="6">
        <v>2.0</v>
      </c>
      <c r="L156" s="6">
        <v>4.0</v>
      </c>
      <c r="M156" s="6">
        <v>7.0</v>
      </c>
      <c r="N156" s="6">
        <v>1496.6</v>
      </c>
      <c r="O156" s="6">
        <v>0.0</v>
      </c>
      <c r="P156" s="515">
        <v>315.41589081078286</v>
      </c>
      <c r="Q156" s="515">
        <v>1108.1798599067354</v>
      </c>
      <c r="R156" s="515">
        <v>2252.350514104177</v>
      </c>
    </row>
    <row r="157">
      <c r="A157" s="5" t="s">
        <v>32</v>
      </c>
      <c r="B157" s="5" t="s">
        <v>1867</v>
      </c>
      <c r="C157" s="5" t="s">
        <v>58</v>
      </c>
      <c r="D157" s="6">
        <v>3.0</v>
      </c>
      <c r="E157" s="6">
        <v>4.0</v>
      </c>
      <c r="F157" s="6">
        <v>41479.0</v>
      </c>
      <c r="G157" s="6">
        <v>7861.0</v>
      </c>
      <c r="H157" s="515">
        <v>0.7581</v>
      </c>
      <c r="I157" s="515">
        <v>0.8041</v>
      </c>
      <c r="J157" s="515">
        <v>0.0</v>
      </c>
      <c r="K157" s="6">
        <v>2.0</v>
      </c>
      <c r="L157" s="6">
        <v>4.0</v>
      </c>
      <c r="M157" s="6">
        <v>8.0</v>
      </c>
      <c r="N157" s="6">
        <v>1418.9</v>
      </c>
      <c r="O157" s="6">
        <v>0.0</v>
      </c>
      <c r="P157" s="515">
        <v>156.86723977293292</v>
      </c>
      <c r="Q157" s="515">
        <v>860.2938492005243</v>
      </c>
      <c r="R157" s="515">
        <v>2146.6707266796293</v>
      </c>
    </row>
    <row r="158">
      <c r="A158" s="5" t="s">
        <v>32</v>
      </c>
      <c r="B158" s="5" t="s">
        <v>163</v>
      </c>
      <c r="C158" s="5" t="s">
        <v>59</v>
      </c>
      <c r="D158" s="6">
        <v>4.0</v>
      </c>
      <c r="E158" s="6">
        <v>4.0</v>
      </c>
      <c r="F158" s="6">
        <v>35227.0</v>
      </c>
      <c r="G158" s="6">
        <v>7327.0</v>
      </c>
      <c r="H158" s="515">
        <v>0.832</v>
      </c>
      <c r="I158" s="515">
        <v>0.851</v>
      </c>
      <c r="J158" s="515">
        <v>0.0</v>
      </c>
      <c r="K158" s="6">
        <v>1.0</v>
      </c>
      <c r="L158" s="6">
        <v>2.0</v>
      </c>
      <c r="M158" s="6">
        <v>4.0</v>
      </c>
      <c r="N158" s="6">
        <v>3630.2</v>
      </c>
      <c r="O158" s="6">
        <v>0.0</v>
      </c>
      <c r="P158" s="515">
        <v>1229.0690941622863</v>
      </c>
      <c r="Q158" s="515">
        <v>2929.151664271021</v>
      </c>
      <c r="R158" s="515">
        <v>5225.9842036156215</v>
      </c>
    </row>
    <row r="159">
      <c r="A159" s="5" t="s">
        <v>32</v>
      </c>
      <c r="B159" s="5" t="s">
        <v>1867</v>
      </c>
      <c r="C159" s="5" t="s">
        <v>59</v>
      </c>
      <c r="D159" s="6">
        <v>4.0</v>
      </c>
      <c r="E159" s="6">
        <v>4.0</v>
      </c>
      <c r="F159" s="6">
        <v>18032.0</v>
      </c>
      <c r="G159" s="6">
        <v>3645.0</v>
      </c>
      <c r="H159" s="515">
        <v>0.8086</v>
      </c>
      <c r="I159" s="515">
        <v>0.8334</v>
      </c>
      <c r="J159" s="515">
        <v>0.0</v>
      </c>
      <c r="K159" s="6">
        <v>1.0</v>
      </c>
      <c r="L159" s="6">
        <v>2.0</v>
      </c>
      <c r="M159" s="6">
        <v>5.0</v>
      </c>
      <c r="N159" s="6">
        <v>3461.6</v>
      </c>
      <c r="O159" s="6">
        <v>0.0</v>
      </c>
      <c r="P159" s="515">
        <v>850.7889328780086</v>
      </c>
      <c r="Q159" s="515">
        <v>2564.610758990589</v>
      </c>
      <c r="R159" s="515">
        <v>5110.8600810642565</v>
      </c>
    </row>
    <row r="160">
      <c r="A160" s="5" t="s">
        <v>32</v>
      </c>
      <c r="B160" s="5" t="s">
        <v>163</v>
      </c>
      <c r="C160" s="5" t="s">
        <v>60</v>
      </c>
      <c r="D160" s="6">
        <v>5.0</v>
      </c>
      <c r="E160" s="6">
        <v>4.0</v>
      </c>
      <c r="F160" s="6">
        <v>4960.0</v>
      </c>
      <c r="G160" s="6">
        <v>1070.0</v>
      </c>
      <c r="H160" s="515">
        <v>0.8627</v>
      </c>
      <c r="I160" s="515">
        <v>0.8736</v>
      </c>
      <c r="J160" s="515">
        <v>0.0</v>
      </c>
      <c r="K160" s="6">
        <v>1.0</v>
      </c>
      <c r="L160" s="6">
        <v>1.0</v>
      </c>
      <c r="M160" s="6">
        <v>2.0</v>
      </c>
      <c r="N160" s="6">
        <v>9497.7</v>
      </c>
      <c r="O160" s="6">
        <v>0.0</v>
      </c>
      <c r="P160" s="515">
        <v>4980.472658875448</v>
      </c>
      <c r="Q160" s="515">
        <v>8642.14711681372</v>
      </c>
      <c r="R160" s="515">
        <v>12788.489319922632</v>
      </c>
    </row>
    <row r="161">
      <c r="A161" s="5" t="s">
        <v>32</v>
      </c>
      <c r="B161" s="5" t="s">
        <v>1867</v>
      </c>
      <c r="C161" s="5" t="s">
        <v>60</v>
      </c>
      <c r="D161" s="6">
        <v>5.0</v>
      </c>
      <c r="E161" s="6">
        <v>4.0</v>
      </c>
      <c r="F161" s="6">
        <v>2361.0</v>
      </c>
      <c r="G161" s="6">
        <v>498.0</v>
      </c>
      <c r="H161" s="515">
        <v>0.8429</v>
      </c>
      <c r="I161" s="515">
        <v>0.8568</v>
      </c>
      <c r="J161" s="515">
        <v>0.0</v>
      </c>
      <c r="K161" s="6">
        <v>1.0</v>
      </c>
      <c r="L161" s="6">
        <v>1.0</v>
      </c>
      <c r="M161" s="6">
        <v>2.0</v>
      </c>
      <c r="N161" s="6">
        <v>9369.9</v>
      </c>
      <c r="O161" s="6">
        <v>0.0</v>
      </c>
      <c r="P161" s="515">
        <v>4222.890770687645</v>
      </c>
      <c r="Q161" s="515">
        <v>8378.059611188259</v>
      </c>
      <c r="R161" s="515">
        <v>12881.550940081703</v>
      </c>
    </row>
    <row r="162">
      <c r="H162" s="516"/>
      <c r="I162" s="516"/>
      <c r="J162" s="516"/>
      <c r="P162" s="516"/>
      <c r="Q162" s="516"/>
      <c r="R162" s="516"/>
    </row>
    <row r="163">
      <c r="H163" s="516"/>
      <c r="I163" s="516"/>
      <c r="J163" s="516"/>
      <c r="P163" s="516"/>
      <c r="Q163" s="516"/>
      <c r="R163" s="516"/>
    </row>
    <row r="164">
      <c r="H164" s="516"/>
      <c r="I164" s="516"/>
      <c r="J164" s="516"/>
      <c r="P164" s="516"/>
      <c r="Q164" s="516"/>
      <c r="R164" s="516"/>
    </row>
    <row r="165">
      <c r="H165" s="516"/>
      <c r="I165" s="516"/>
      <c r="J165" s="516"/>
      <c r="P165" s="516"/>
      <c r="Q165" s="516"/>
      <c r="R165" s="516"/>
    </row>
    <row r="166">
      <c r="H166" s="516"/>
      <c r="I166" s="516"/>
      <c r="J166" s="516"/>
      <c r="P166" s="516"/>
      <c r="Q166" s="516"/>
      <c r="R166" s="516"/>
    </row>
    <row r="167">
      <c r="H167" s="516"/>
      <c r="I167" s="516"/>
      <c r="J167" s="516"/>
      <c r="P167" s="516"/>
      <c r="Q167" s="516"/>
      <c r="R167" s="516"/>
    </row>
    <row r="168">
      <c r="H168" s="516"/>
      <c r="I168" s="516"/>
      <c r="J168" s="516"/>
      <c r="P168" s="516"/>
      <c r="Q168" s="516"/>
      <c r="R168" s="516"/>
    </row>
    <row r="169">
      <c r="H169" s="516"/>
      <c r="I169" s="516"/>
      <c r="J169" s="516"/>
      <c r="P169" s="516"/>
      <c r="Q169" s="516"/>
      <c r="R169" s="516"/>
    </row>
    <row r="170">
      <c r="H170" s="516"/>
      <c r="I170" s="516"/>
      <c r="J170" s="516"/>
      <c r="P170" s="516"/>
      <c r="Q170" s="516"/>
      <c r="R170" s="516"/>
    </row>
    <row r="171">
      <c r="H171" s="516"/>
      <c r="I171" s="516"/>
      <c r="J171" s="516"/>
      <c r="P171" s="516"/>
      <c r="Q171" s="516"/>
      <c r="R171" s="516"/>
    </row>
    <row r="172">
      <c r="H172" s="516"/>
      <c r="I172" s="516"/>
      <c r="J172" s="516"/>
      <c r="P172" s="516"/>
      <c r="Q172" s="516"/>
      <c r="R172" s="516"/>
    </row>
    <row r="173">
      <c r="H173" s="516"/>
      <c r="I173" s="516"/>
      <c r="J173" s="516"/>
      <c r="P173" s="516"/>
      <c r="Q173" s="516"/>
      <c r="R173" s="516"/>
    </row>
    <row r="174">
      <c r="H174" s="516"/>
      <c r="I174" s="516"/>
      <c r="J174" s="516"/>
      <c r="P174" s="516"/>
      <c r="Q174" s="516"/>
      <c r="R174" s="516"/>
    </row>
    <row r="175">
      <c r="H175" s="516"/>
      <c r="I175" s="516"/>
      <c r="J175" s="516"/>
      <c r="P175" s="516"/>
      <c r="Q175" s="516"/>
      <c r="R175" s="516"/>
    </row>
    <row r="176">
      <c r="H176" s="516"/>
      <c r="I176" s="516"/>
      <c r="J176" s="516"/>
      <c r="P176" s="516"/>
      <c r="Q176" s="516"/>
      <c r="R176" s="516"/>
    </row>
    <row r="177">
      <c r="H177" s="516"/>
      <c r="I177" s="516"/>
      <c r="J177" s="516"/>
      <c r="P177" s="516"/>
      <c r="Q177" s="516"/>
      <c r="R177" s="516"/>
    </row>
    <row r="178">
      <c r="H178" s="516"/>
      <c r="I178" s="516"/>
      <c r="J178" s="516"/>
      <c r="P178" s="516"/>
      <c r="Q178" s="516"/>
      <c r="R178" s="516"/>
    </row>
    <row r="179">
      <c r="H179" s="516"/>
      <c r="I179" s="516"/>
      <c r="J179" s="516"/>
      <c r="P179" s="516"/>
      <c r="Q179" s="516"/>
      <c r="R179" s="516"/>
    </row>
    <row r="180">
      <c r="H180" s="516"/>
      <c r="I180" s="516"/>
      <c r="J180" s="516"/>
      <c r="P180" s="516"/>
      <c r="Q180" s="516"/>
      <c r="R180" s="516"/>
    </row>
    <row r="181">
      <c r="H181" s="516"/>
      <c r="I181" s="516"/>
      <c r="J181" s="516"/>
      <c r="P181" s="516"/>
      <c r="Q181" s="516"/>
      <c r="R181" s="516"/>
    </row>
    <row r="182">
      <c r="H182" s="516"/>
      <c r="I182" s="516"/>
      <c r="J182" s="516"/>
      <c r="P182" s="516"/>
      <c r="Q182" s="516"/>
      <c r="R182" s="516"/>
    </row>
    <row r="183">
      <c r="H183" s="516"/>
      <c r="I183" s="516"/>
      <c r="J183" s="516"/>
      <c r="P183" s="516"/>
      <c r="Q183" s="516"/>
      <c r="R183" s="516"/>
    </row>
    <row r="184">
      <c r="H184" s="516"/>
      <c r="I184" s="516"/>
      <c r="J184" s="516"/>
      <c r="P184" s="516"/>
      <c r="Q184" s="516"/>
      <c r="R184" s="516"/>
    </row>
    <row r="185">
      <c r="H185" s="516"/>
      <c r="I185" s="516"/>
      <c r="J185" s="516"/>
      <c r="P185" s="516"/>
      <c r="Q185" s="516"/>
      <c r="R185" s="516"/>
    </row>
    <row r="186">
      <c r="H186" s="516"/>
      <c r="I186" s="516"/>
      <c r="J186" s="516"/>
      <c r="P186" s="516"/>
      <c r="Q186" s="516"/>
      <c r="R186" s="516"/>
    </row>
    <row r="187">
      <c r="H187" s="516"/>
      <c r="I187" s="516"/>
      <c r="J187" s="516"/>
      <c r="P187" s="516"/>
      <c r="Q187" s="516"/>
      <c r="R187" s="516"/>
    </row>
    <row r="188">
      <c r="H188" s="516"/>
      <c r="I188" s="516"/>
      <c r="J188" s="516"/>
      <c r="P188" s="516"/>
      <c r="Q188" s="516"/>
      <c r="R188" s="516"/>
    </row>
    <row r="189">
      <c r="H189" s="516"/>
      <c r="I189" s="516"/>
      <c r="J189" s="516"/>
      <c r="P189" s="516"/>
      <c r="Q189" s="516"/>
      <c r="R189" s="516"/>
    </row>
    <row r="190">
      <c r="H190" s="516"/>
      <c r="I190" s="516"/>
      <c r="J190" s="516"/>
      <c r="P190" s="516"/>
      <c r="Q190" s="516"/>
      <c r="R190" s="516"/>
    </row>
    <row r="191">
      <c r="H191" s="516"/>
      <c r="I191" s="516"/>
      <c r="J191" s="516"/>
      <c r="P191" s="516"/>
      <c r="Q191" s="516"/>
      <c r="R191" s="516"/>
    </row>
    <row r="192">
      <c r="H192" s="516"/>
      <c r="I192" s="516"/>
      <c r="J192" s="516"/>
      <c r="P192" s="516"/>
      <c r="Q192" s="516"/>
      <c r="R192" s="516"/>
    </row>
    <row r="193">
      <c r="H193" s="516"/>
      <c r="I193" s="516"/>
      <c r="J193" s="516"/>
      <c r="P193" s="516"/>
      <c r="Q193" s="516"/>
      <c r="R193" s="516"/>
    </row>
    <row r="194">
      <c r="H194" s="516"/>
      <c r="I194" s="516"/>
      <c r="J194" s="516"/>
      <c r="P194" s="516"/>
      <c r="Q194" s="516"/>
      <c r="R194" s="516"/>
    </row>
    <row r="195">
      <c r="H195" s="516"/>
      <c r="I195" s="516"/>
      <c r="J195" s="516"/>
      <c r="P195" s="516"/>
      <c r="Q195" s="516"/>
      <c r="R195" s="516"/>
    </row>
    <row r="196">
      <c r="H196" s="516"/>
      <c r="I196" s="516"/>
      <c r="J196" s="516"/>
      <c r="P196" s="516"/>
      <c r="Q196" s="516"/>
      <c r="R196" s="516"/>
    </row>
    <row r="197">
      <c r="H197" s="516"/>
      <c r="I197" s="516"/>
      <c r="J197" s="516"/>
      <c r="P197" s="516"/>
      <c r="Q197" s="516"/>
      <c r="R197" s="516"/>
    </row>
    <row r="198">
      <c r="H198" s="516"/>
      <c r="I198" s="516"/>
      <c r="J198" s="516"/>
      <c r="P198" s="516"/>
      <c r="Q198" s="516"/>
      <c r="R198" s="516"/>
    </row>
    <row r="199">
      <c r="H199" s="516"/>
      <c r="I199" s="516"/>
      <c r="J199" s="516"/>
      <c r="P199" s="516"/>
      <c r="Q199" s="516"/>
      <c r="R199" s="516"/>
    </row>
    <row r="200">
      <c r="H200" s="516"/>
      <c r="I200" s="516"/>
      <c r="J200" s="516"/>
      <c r="P200" s="516"/>
      <c r="Q200" s="516"/>
      <c r="R200" s="516"/>
    </row>
    <row r="201">
      <c r="H201" s="516"/>
      <c r="I201" s="516"/>
      <c r="J201" s="516"/>
      <c r="P201" s="516"/>
      <c r="Q201" s="516"/>
      <c r="R201" s="516"/>
    </row>
    <row r="202">
      <c r="H202" s="516"/>
      <c r="I202" s="516"/>
      <c r="J202" s="516"/>
      <c r="P202" s="516"/>
      <c r="Q202" s="516"/>
      <c r="R202" s="516"/>
    </row>
    <row r="203">
      <c r="H203" s="516"/>
      <c r="I203" s="516"/>
      <c r="J203" s="516"/>
      <c r="P203" s="516"/>
      <c r="Q203" s="516"/>
      <c r="R203" s="516"/>
    </row>
    <row r="204">
      <c r="H204" s="516"/>
      <c r="I204" s="516"/>
      <c r="J204" s="516"/>
      <c r="P204" s="516"/>
      <c r="Q204" s="516"/>
      <c r="R204" s="516"/>
    </row>
    <row r="205">
      <c r="H205" s="516"/>
      <c r="I205" s="516"/>
      <c r="J205" s="516"/>
      <c r="P205" s="516"/>
      <c r="Q205" s="516"/>
      <c r="R205" s="516"/>
    </row>
    <row r="206">
      <c r="H206" s="516"/>
      <c r="I206" s="516"/>
      <c r="J206" s="516"/>
      <c r="P206" s="516"/>
      <c r="Q206" s="516"/>
      <c r="R206" s="516"/>
    </row>
    <row r="207">
      <c r="H207" s="516"/>
      <c r="I207" s="516"/>
      <c r="J207" s="516"/>
      <c r="P207" s="516"/>
      <c r="Q207" s="516"/>
      <c r="R207" s="516"/>
    </row>
    <row r="208">
      <c r="H208" s="516"/>
      <c r="I208" s="516"/>
      <c r="J208" s="516"/>
      <c r="P208" s="516"/>
      <c r="Q208" s="516"/>
      <c r="R208" s="516"/>
    </row>
    <row r="209">
      <c r="H209" s="516"/>
      <c r="I209" s="516"/>
      <c r="J209" s="516"/>
      <c r="P209" s="516"/>
      <c r="Q209" s="516"/>
      <c r="R209" s="516"/>
    </row>
    <row r="210">
      <c r="H210" s="516"/>
      <c r="I210" s="516"/>
      <c r="J210" s="516"/>
      <c r="P210" s="516"/>
      <c r="Q210" s="516"/>
      <c r="R210" s="516"/>
    </row>
    <row r="211">
      <c r="H211" s="516"/>
      <c r="I211" s="516"/>
      <c r="J211" s="516"/>
      <c r="P211" s="516"/>
      <c r="Q211" s="516"/>
      <c r="R211" s="516"/>
    </row>
    <row r="212">
      <c r="H212" s="516"/>
      <c r="I212" s="516"/>
      <c r="J212" s="516"/>
      <c r="P212" s="516"/>
      <c r="Q212" s="516"/>
      <c r="R212" s="516"/>
    </row>
    <row r="213">
      <c r="H213" s="516"/>
      <c r="I213" s="516"/>
      <c r="J213" s="516"/>
      <c r="P213" s="516"/>
      <c r="Q213" s="516"/>
      <c r="R213" s="516"/>
    </row>
    <row r="214">
      <c r="H214" s="516"/>
      <c r="I214" s="516"/>
      <c r="J214" s="516"/>
      <c r="P214" s="516"/>
      <c r="Q214" s="516"/>
      <c r="R214" s="516"/>
    </row>
    <row r="215">
      <c r="H215" s="516"/>
      <c r="I215" s="516"/>
      <c r="J215" s="516"/>
      <c r="P215" s="516"/>
      <c r="Q215" s="516"/>
      <c r="R215" s="516"/>
    </row>
    <row r="216">
      <c r="H216" s="516"/>
      <c r="I216" s="516"/>
      <c r="J216" s="516"/>
      <c r="P216" s="516"/>
      <c r="Q216" s="516"/>
      <c r="R216" s="516"/>
    </row>
    <row r="217">
      <c r="H217" s="516"/>
      <c r="I217" s="516"/>
      <c r="J217" s="516"/>
      <c r="P217" s="516"/>
      <c r="Q217" s="516"/>
      <c r="R217" s="516"/>
    </row>
    <row r="218">
      <c r="H218" s="516"/>
      <c r="I218" s="516"/>
      <c r="J218" s="516"/>
      <c r="P218" s="516"/>
      <c r="Q218" s="516"/>
      <c r="R218" s="516"/>
    </row>
    <row r="219">
      <c r="H219" s="516"/>
      <c r="I219" s="516"/>
      <c r="J219" s="516"/>
      <c r="P219" s="516"/>
      <c r="Q219" s="516"/>
      <c r="R219" s="516"/>
    </row>
    <row r="220">
      <c r="H220" s="516"/>
      <c r="I220" s="516"/>
      <c r="J220" s="516"/>
      <c r="P220" s="516"/>
      <c r="Q220" s="516"/>
      <c r="R220" s="516"/>
    </row>
    <row r="221">
      <c r="H221" s="516"/>
      <c r="I221" s="516"/>
      <c r="J221" s="516"/>
      <c r="P221" s="516"/>
      <c r="Q221" s="516"/>
      <c r="R221" s="516"/>
    </row>
    <row r="222">
      <c r="H222" s="516"/>
      <c r="I222" s="516"/>
      <c r="J222" s="516"/>
      <c r="P222" s="516"/>
      <c r="Q222" s="516"/>
      <c r="R222" s="516"/>
    </row>
    <row r="223">
      <c r="H223" s="516"/>
      <c r="I223" s="516"/>
      <c r="J223" s="516"/>
      <c r="P223" s="516"/>
      <c r="Q223" s="516"/>
      <c r="R223" s="516"/>
    </row>
    <row r="224">
      <c r="H224" s="516"/>
      <c r="I224" s="516"/>
      <c r="J224" s="516"/>
      <c r="P224" s="516"/>
      <c r="Q224" s="516"/>
      <c r="R224" s="516"/>
    </row>
    <row r="225">
      <c r="H225" s="516"/>
      <c r="I225" s="516"/>
      <c r="J225" s="516"/>
      <c r="P225" s="516"/>
      <c r="Q225" s="516"/>
      <c r="R225" s="516"/>
    </row>
    <row r="226">
      <c r="H226" s="516"/>
      <c r="I226" s="516"/>
      <c r="J226" s="516"/>
      <c r="P226" s="516"/>
      <c r="Q226" s="516"/>
      <c r="R226" s="516"/>
    </row>
    <row r="227">
      <c r="H227" s="516"/>
      <c r="I227" s="516"/>
      <c r="J227" s="516"/>
      <c r="P227" s="516"/>
      <c r="Q227" s="516"/>
      <c r="R227" s="516"/>
    </row>
    <row r="228">
      <c r="H228" s="516"/>
      <c r="I228" s="516"/>
      <c r="J228" s="516"/>
      <c r="P228" s="516"/>
      <c r="Q228" s="516"/>
      <c r="R228" s="516"/>
    </row>
    <row r="229">
      <c r="H229" s="516"/>
      <c r="I229" s="516"/>
      <c r="J229" s="516"/>
      <c r="P229" s="516"/>
      <c r="Q229" s="516"/>
      <c r="R229" s="516"/>
    </row>
    <row r="230">
      <c r="H230" s="516"/>
      <c r="I230" s="516"/>
      <c r="J230" s="516"/>
      <c r="P230" s="516"/>
      <c r="Q230" s="516"/>
      <c r="R230" s="516"/>
    </row>
    <row r="231">
      <c r="H231" s="516"/>
      <c r="I231" s="516"/>
      <c r="J231" s="516"/>
      <c r="P231" s="516"/>
      <c r="Q231" s="516"/>
      <c r="R231" s="516"/>
    </row>
    <row r="232">
      <c r="H232" s="516"/>
      <c r="I232" s="516"/>
      <c r="J232" s="516"/>
      <c r="P232" s="516"/>
      <c r="Q232" s="516"/>
      <c r="R232" s="516"/>
    </row>
    <row r="233">
      <c r="H233" s="516"/>
      <c r="I233" s="516"/>
      <c r="J233" s="516"/>
      <c r="P233" s="516"/>
      <c r="Q233" s="516"/>
      <c r="R233" s="516"/>
    </row>
    <row r="234">
      <c r="H234" s="516"/>
      <c r="I234" s="516"/>
      <c r="J234" s="516"/>
      <c r="P234" s="516"/>
      <c r="Q234" s="516"/>
      <c r="R234" s="516"/>
    </row>
    <row r="235">
      <c r="H235" s="516"/>
      <c r="I235" s="516"/>
      <c r="J235" s="516"/>
      <c r="P235" s="516"/>
      <c r="Q235" s="516"/>
      <c r="R235" s="516"/>
    </row>
    <row r="236">
      <c r="H236" s="516"/>
      <c r="I236" s="516"/>
      <c r="J236" s="516"/>
      <c r="P236" s="516"/>
      <c r="Q236" s="516"/>
      <c r="R236" s="516"/>
    </row>
    <row r="237">
      <c r="H237" s="516"/>
      <c r="I237" s="516"/>
      <c r="J237" s="516"/>
      <c r="P237" s="516"/>
      <c r="Q237" s="516"/>
      <c r="R237" s="516"/>
    </row>
    <row r="238">
      <c r="H238" s="516"/>
      <c r="I238" s="516"/>
      <c r="J238" s="516"/>
      <c r="P238" s="516"/>
      <c r="Q238" s="516"/>
      <c r="R238" s="516"/>
    </row>
    <row r="239">
      <c r="H239" s="516"/>
      <c r="I239" s="516"/>
      <c r="J239" s="516"/>
      <c r="P239" s="516"/>
      <c r="Q239" s="516"/>
      <c r="R239" s="516"/>
    </row>
    <row r="240">
      <c r="H240" s="516"/>
      <c r="I240" s="516"/>
      <c r="J240" s="516"/>
      <c r="P240" s="516"/>
      <c r="Q240" s="516"/>
      <c r="R240" s="516"/>
    </row>
    <row r="241">
      <c r="H241" s="516"/>
      <c r="I241" s="516"/>
      <c r="J241" s="516"/>
      <c r="P241" s="516"/>
      <c r="Q241" s="516"/>
      <c r="R241" s="516"/>
    </row>
    <row r="242">
      <c r="H242" s="516"/>
      <c r="I242" s="516"/>
      <c r="J242" s="516"/>
      <c r="P242" s="516"/>
      <c r="Q242" s="516"/>
      <c r="R242" s="516"/>
    </row>
    <row r="243">
      <c r="H243" s="516"/>
      <c r="I243" s="516"/>
      <c r="J243" s="516"/>
      <c r="P243" s="516"/>
      <c r="Q243" s="516"/>
      <c r="R243" s="516"/>
    </row>
    <row r="244">
      <c r="H244" s="516"/>
      <c r="I244" s="516"/>
      <c r="J244" s="516"/>
      <c r="P244" s="516"/>
      <c r="Q244" s="516"/>
      <c r="R244" s="516"/>
    </row>
    <row r="245">
      <c r="H245" s="516"/>
      <c r="I245" s="516"/>
      <c r="J245" s="516"/>
      <c r="P245" s="516"/>
      <c r="Q245" s="516"/>
      <c r="R245" s="516"/>
    </row>
    <row r="246">
      <c r="H246" s="516"/>
      <c r="I246" s="516"/>
      <c r="J246" s="516"/>
      <c r="P246" s="516"/>
      <c r="Q246" s="516"/>
      <c r="R246" s="516"/>
    </row>
    <row r="247">
      <c r="H247" s="516"/>
      <c r="I247" s="516"/>
      <c r="J247" s="516"/>
      <c r="P247" s="516"/>
      <c r="Q247" s="516"/>
      <c r="R247" s="516"/>
    </row>
    <row r="248">
      <c r="H248" s="516"/>
      <c r="I248" s="516"/>
      <c r="J248" s="516"/>
      <c r="P248" s="516"/>
      <c r="Q248" s="516"/>
      <c r="R248" s="516"/>
    </row>
    <row r="249">
      <c r="H249" s="516"/>
      <c r="I249" s="516"/>
      <c r="J249" s="516"/>
      <c r="P249" s="516"/>
      <c r="Q249" s="516"/>
      <c r="R249" s="516"/>
    </row>
    <row r="250">
      <c r="H250" s="516"/>
      <c r="I250" s="516"/>
      <c r="J250" s="516"/>
      <c r="P250" s="516"/>
      <c r="Q250" s="516"/>
      <c r="R250" s="516"/>
    </row>
    <row r="251">
      <c r="H251" s="516"/>
      <c r="I251" s="516"/>
      <c r="J251" s="516"/>
      <c r="P251" s="516"/>
      <c r="Q251" s="516"/>
      <c r="R251" s="516"/>
    </row>
    <row r="252">
      <c r="H252" s="516"/>
      <c r="I252" s="516"/>
      <c r="J252" s="516"/>
      <c r="P252" s="516"/>
      <c r="Q252" s="516"/>
      <c r="R252" s="516"/>
    </row>
    <row r="253">
      <c r="H253" s="516"/>
      <c r="I253" s="516"/>
      <c r="J253" s="516"/>
      <c r="P253" s="516"/>
      <c r="Q253" s="516"/>
      <c r="R253" s="516"/>
    </row>
    <row r="254">
      <c r="H254" s="516"/>
      <c r="I254" s="516"/>
      <c r="J254" s="516"/>
      <c r="P254" s="516"/>
      <c r="Q254" s="516"/>
      <c r="R254" s="516"/>
    </row>
    <row r="255">
      <c r="H255" s="516"/>
      <c r="I255" s="516"/>
      <c r="J255" s="516"/>
      <c r="P255" s="516"/>
      <c r="Q255" s="516"/>
      <c r="R255" s="516"/>
    </row>
    <row r="256">
      <c r="H256" s="516"/>
      <c r="I256" s="516"/>
      <c r="J256" s="516"/>
      <c r="P256" s="516"/>
      <c r="Q256" s="516"/>
      <c r="R256" s="516"/>
    </row>
    <row r="257">
      <c r="H257" s="516"/>
      <c r="I257" s="516"/>
      <c r="J257" s="516"/>
      <c r="P257" s="516"/>
      <c r="Q257" s="516"/>
      <c r="R257" s="516"/>
    </row>
    <row r="258">
      <c r="H258" s="516"/>
      <c r="I258" s="516"/>
      <c r="J258" s="516"/>
      <c r="P258" s="516"/>
      <c r="Q258" s="516"/>
      <c r="R258" s="516"/>
    </row>
    <row r="259">
      <c r="H259" s="516"/>
      <c r="I259" s="516"/>
      <c r="J259" s="516"/>
      <c r="P259" s="516"/>
      <c r="Q259" s="516"/>
      <c r="R259" s="516"/>
    </row>
    <row r="260">
      <c r="H260" s="516"/>
      <c r="I260" s="516"/>
      <c r="J260" s="516"/>
      <c r="P260" s="516"/>
      <c r="Q260" s="516"/>
      <c r="R260" s="516"/>
    </row>
    <row r="261">
      <c r="H261" s="516"/>
      <c r="I261" s="516"/>
      <c r="J261" s="516"/>
      <c r="P261" s="516"/>
      <c r="Q261" s="516"/>
      <c r="R261" s="516"/>
    </row>
    <row r="262">
      <c r="H262" s="516"/>
      <c r="I262" s="516"/>
      <c r="J262" s="516"/>
      <c r="P262" s="516"/>
      <c r="Q262" s="516"/>
      <c r="R262" s="516"/>
    </row>
    <row r="263">
      <c r="H263" s="516"/>
      <c r="I263" s="516"/>
      <c r="J263" s="516"/>
      <c r="P263" s="516"/>
      <c r="Q263" s="516"/>
      <c r="R263" s="516"/>
    </row>
    <row r="264">
      <c r="H264" s="516"/>
      <c r="I264" s="516"/>
      <c r="J264" s="516"/>
      <c r="P264" s="516"/>
      <c r="Q264" s="516"/>
      <c r="R264" s="516"/>
    </row>
    <row r="265">
      <c r="H265" s="516"/>
      <c r="I265" s="516"/>
      <c r="J265" s="516"/>
      <c r="P265" s="516"/>
      <c r="Q265" s="516"/>
      <c r="R265" s="516"/>
    </row>
    <row r="266">
      <c r="H266" s="516"/>
      <c r="I266" s="516"/>
      <c r="J266" s="516"/>
      <c r="P266" s="516"/>
      <c r="Q266" s="516"/>
      <c r="R266" s="516"/>
    </row>
    <row r="267">
      <c r="H267" s="516"/>
      <c r="I267" s="516"/>
      <c r="J267" s="516"/>
      <c r="P267" s="516"/>
      <c r="Q267" s="516"/>
      <c r="R267" s="516"/>
    </row>
    <row r="268">
      <c r="H268" s="516"/>
      <c r="I268" s="516"/>
      <c r="J268" s="516"/>
      <c r="P268" s="516"/>
      <c r="Q268" s="516"/>
      <c r="R268" s="516"/>
    </row>
    <row r="269">
      <c r="H269" s="516"/>
      <c r="I269" s="516"/>
      <c r="J269" s="516"/>
      <c r="P269" s="516"/>
      <c r="Q269" s="516"/>
      <c r="R269" s="516"/>
    </row>
    <row r="270">
      <c r="H270" s="516"/>
      <c r="I270" s="516"/>
      <c r="J270" s="516"/>
      <c r="P270" s="516"/>
      <c r="Q270" s="516"/>
      <c r="R270" s="516"/>
    </row>
    <row r="271">
      <c r="H271" s="516"/>
      <c r="I271" s="516"/>
      <c r="J271" s="516"/>
      <c r="P271" s="516"/>
      <c r="Q271" s="516"/>
      <c r="R271" s="516"/>
    </row>
    <row r="272">
      <c r="H272" s="516"/>
      <c r="I272" s="516"/>
      <c r="J272" s="516"/>
      <c r="P272" s="516"/>
      <c r="Q272" s="516"/>
      <c r="R272" s="516"/>
    </row>
    <row r="273">
      <c r="H273" s="516"/>
      <c r="I273" s="516"/>
      <c r="J273" s="516"/>
      <c r="P273" s="516"/>
      <c r="Q273" s="516"/>
      <c r="R273" s="516"/>
    </row>
    <row r="274">
      <c r="H274" s="516"/>
      <c r="I274" s="516"/>
      <c r="J274" s="516"/>
      <c r="P274" s="516"/>
      <c r="Q274" s="516"/>
      <c r="R274" s="516"/>
    </row>
    <row r="275">
      <c r="H275" s="516"/>
      <c r="I275" s="516"/>
      <c r="J275" s="516"/>
      <c r="P275" s="516"/>
      <c r="Q275" s="516"/>
      <c r="R275" s="516"/>
    </row>
    <row r="276">
      <c r="H276" s="516"/>
      <c r="I276" s="516"/>
      <c r="J276" s="516"/>
      <c r="P276" s="516"/>
      <c r="Q276" s="516"/>
      <c r="R276" s="516"/>
    </row>
    <row r="277">
      <c r="H277" s="516"/>
      <c r="I277" s="516"/>
      <c r="J277" s="516"/>
      <c r="P277" s="516"/>
      <c r="Q277" s="516"/>
      <c r="R277" s="516"/>
    </row>
    <row r="278">
      <c r="H278" s="516"/>
      <c r="I278" s="516"/>
      <c r="J278" s="516"/>
      <c r="P278" s="516"/>
      <c r="Q278" s="516"/>
      <c r="R278" s="516"/>
    </row>
    <row r="279">
      <c r="H279" s="516"/>
      <c r="I279" s="516"/>
      <c r="J279" s="516"/>
      <c r="P279" s="516"/>
      <c r="Q279" s="516"/>
      <c r="R279" s="516"/>
    </row>
    <row r="280">
      <c r="H280" s="516"/>
      <c r="I280" s="516"/>
      <c r="J280" s="516"/>
      <c r="P280" s="516"/>
      <c r="Q280" s="516"/>
      <c r="R280" s="516"/>
    </row>
    <row r="281">
      <c r="H281" s="516"/>
      <c r="I281" s="516"/>
      <c r="J281" s="516"/>
      <c r="P281" s="516"/>
      <c r="Q281" s="516"/>
      <c r="R281" s="516"/>
    </row>
    <row r="282">
      <c r="H282" s="516"/>
      <c r="I282" s="516"/>
      <c r="J282" s="516"/>
      <c r="P282" s="516"/>
      <c r="Q282" s="516"/>
      <c r="R282" s="516"/>
    </row>
    <row r="283">
      <c r="H283" s="516"/>
      <c r="I283" s="516"/>
      <c r="J283" s="516"/>
      <c r="P283" s="516"/>
      <c r="Q283" s="516"/>
      <c r="R283" s="516"/>
    </row>
    <row r="284">
      <c r="H284" s="516"/>
      <c r="I284" s="516"/>
      <c r="J284" s="516"/>
      <c r="P284" s="516"/>
      <c r="Q284" s="516"/>
      <c r="R284" s="516"/>
    </row>
    <row r="285">
      <c r="H285" s="516"/>
      <c r="I285" s="516"/>
      <c r="J285" s="516"/>
      <c r="P285" s="516"/>
      <c r="Q285" s="516"/>
      <c r="R285" s="516"/>
    </row>
    <row r="286">
      <c r="H286" s="516"/>
      <c r="I286" s="516"/>
      <c r="J286" s="516"/>
      <c r="P286" s="516"/>
      <c r="Q286" s="516"/>
      <c r="R286" s="516"/>
    </row>
    <row r="287">
      <c r="H287" s="516"/>
      <c r="I287" s="516"/>
      <c r="J287" s="516"/>
      <c r="P287" s="516"/>
      <c r="Q287" s="516"/>
      <c r="R287" s="516"/>
    </row>
    <row r="288">
      <c r="H288" s="516"/>
      <c r="I288" s="516"/>
      <c r="J288" s="516"/>
      <c r="P288" s="516"/>
      <c r="Q288" s="516"/>
      <c r="R288" s="516"/>
    </row>
    <row r="289">
      <c r="H289" s="516"/>
      <c r="I289" s="516"/>
      <c r="J289" s="516"/>
      <c r="P289" s="516"/>
      <c r="Q289" s="516"/>
      <c r="R289" s="516"/>
    </row>
    <row r="290">
      <c r="H290" s="516"/>
      <c r="I290" s="516"/>
      <c r="J290" s="516"/>
      <c r="P290" s="516"/>
      <c r="Q290" s="516"/>
      <c r="R290" s="516"/>
    </row>
    <row r="291">
      <c r="H291" s="516"/>
      <c r="I291" s="516"/>
      <c r="J291" s="516"/>
      <c r="P291" s="516"/>
      <c r="Q291" s="516"/>
      <c r="R291" s="516"/>
    </row>
    <row r="292">
      <c r="H292" s="516"/>
      <c r="I292" s="516"/>
      <c r="J292" s="516"/>
      <c r="P292" s="516"/>
      <c r="Q292" s="516"/>
      <c r="R292" s="516"/>
    </row>
    <row r="293">
      <c r="H293" s="516"/>
      <c r="I293" s="516"/>
      <c r="J293" s="516"/>
      <c r="P293" s="516"/>
      <c r="Q293" s="516"/>
      <c r="R293" s="516"/>
    </row>
    <row r="294">
      <c r="H294" s="516"/>
      <c r="I294" s="516"/>
      <c r="J294" s="516"/>
      <c r="P294" s="516"/>
      <c r="Q294" s="516"/>
      <c r="R294" s="516"/>
    </row>
    <row r="295">
      <c r="H295" s="516"/>
      <c r="I295" s="516"/>
      <c r="J295" s="516"/>
      <c r="P295" s="516"/>
      <c r="Q295" s="516"/>
      <c r="R295" s="516"/>
    </row>
    <row r="296">
      <c r="H296" s="516"/>
      <c r="I296" s="516"/>
      <c r="J296" s="516"/>
      <c r="P296" s="516"/>
      <c r="Q296" s="516"/>
      <c r="R296" s="516"/>
    </row>
    <row r="297">
      <c r="H297" s="516"/>
      <c r="I297" s="516"/>
      <c r="J297" s="516"/>
      <c r="P297" s="516"/>
      <c r="Q297" s="516"/>
      <c r="R297" s="516"/>
    </row>
    <row r="298">
      <c r="H298" s="516"/>
      <c r="I298" s="516"/>
      <c r="J298" s="516"/>
      <c r="P298" s="516"/>
      <c r="Q298" s="516"/>
      <c r="R298" s="516"/>
    </row>
    <row r="299">
      <c r="H299" s="516"/>
      <c r="I299" s="516"/>
      <c r="J299" s="516"/>
      <c r="P299" s="516"/>
      <c r="Q299" s="516"/>
      <c r="R299" s="516"/>
    </row>
    <row r="300">
      <c r="H300" s="516"/>
      <c r="I300" s="516"/>
      <c r="J300" s="516"/>
      <c r="P300" s="516"/>
      <c r="Q300" s="516"/>
      <c r="R300" s="516"/>
    </row>
    <row r="301">
      <c r="H301" s="516"/>
      <c r="I301" s="516"/>
      <c r="J301" s="516"/>
      <c r="P301" s="516"/>
      <c r="Q301" s="516"/>
      <c r="R301" s="516"/>
    </row>
    <row r="302">
      <c r="H302" s="516"/>
      <c r="I302" s="516"/>
      <c r="J302" s="516"/>
      <c r="P302" s="516"/>
      <c r="Q302" s="516"/>
      <c r="R302" s="516"/>
    </row>
    <row r="303">
      <c r="H303" s="516"/>
      <c r="I303" s="516"/>
      <c r="J303" s="516"/>
      <c r="P303" s="516"/>
      <c r="Q303" s="516"/>
      <c r="R303" s="516"/>
    </row>
    <row r="304">
      <c r="H304" s="516"/>
      <c r="I304" s="516"/>
      <c r="J304" s="516"/>
      <c r="P304" s="516"/>
      <c r="Q304" s="516"/>
      <c r="R304" s="516"/>
    </row>
    <row r="305">
      <c r="H305" s="516"/>
      <c r="I305" s="516"/>
      <c r="J305" s="516"/>
      <c r="P305" s="516"/>
      <c r="Q305" s="516"/>
      <c r="R305" s="516"/>
    </row>
    <row r="306">
      <c r="H306" s="516"/>
      <c r="I306" s="516"/>
      <c r="J306" s="516"/>
      <c r="P306" s="516"/>
      <c r="Q306" s="516"/>
      <c r="R306" s="516"/>
    </row>
    <row r="307">
      <c r="H307" s="516"/>
      <c r="I307" s="516"/>
      <c r="J307" s="516"/>
      <c r="P307" s="516"/>
      <c r="Q307" s="516"/>
      <c r="R307" s="516"/>
    </row>
    <row r="308">
      <c r="H308" s="516"/>
      <c r="I308" s="516"/>
      <c r="J308" s="516"/>
      <c r="P308" s="516"/>
      <c r="Q308" s="516"/>
      <c r="R308" s="516"/>
    </row>
    <row r="309">
      <c r="H309" s="516"/>
      <c r="I309" s="516"/>
      <c r="J309" s="516"/>
      <c r="P309" s="516"/>
      <c r="Q309" s="516"/>
      <c r="R309" s="516"/>
    </row>
    <row r="310">
      <c r="H310" s="516"/>
      <c r="I310" s="516"/>
      <c r="J310" s="516"/>
      <c r="P310" s="516"/>
      <c r="Q310" s="516"/>
      <c r="R310" s="516"/>
    </row>
    <row r="311">
      <c r="H311" s="516"/>
      <c r="I311" s="516"/>
      <c r="J311" s="516"/>
      <c r="P311" s="516"/>
      <c r="Q311" s="516"/>
      <c r="R311" s="516"/>
    </row>
    <row r="312">
      <c r="H312" s="516"/>
      <c r="I312" s="516"/>
      <c r="J312" s="516"/>
      <c r="P312" s="516"/>
      <c r="Q312" s="516"/>
      <c r="R312" s="516"/>
    </row>
    <row r="313">
      <c r="H313" s="516"/>
      <c r="I313" s="516"/>
      <c r="J313" s="516"/>
      <c r="P313" s="516"/>
      <c r="Q313" s="516"/>
      <c r="R313" s="516"/>
    </row>
    <row r="314">
      <c r="H314" s="516"/>
      <c r="I314" s="516"/>
      <c r="J314" s="516"/>
      <c r="P314" s="516"/>
      <c r="Q314" s="516"/>
      <c r="R314" s="516"/>
    </row>
    <row r="315">
      <c r="H315" s="516"/>
      <c r="I315" s="516"/>
      <c r="J315" s="516"/>
      <c r="P315" s="516"/>
      <c r="Q315" s="516"/>
      <c r="R315" s="516"/>
    </row>
    <row r="316">
      <c r="H316" s="516"/>
      <c r="I316" s="516"/>
      <c r="J316" s="516"/>
      <c r="P316" s="516"/>
      <c r="Q316" s="516"/>
      <c r="R316" s="516"/>
    </row>
    <row r="317">
      <c r="H317" s="516"/>
      <c r="I317" s="516"/>
      <c r="J317" s="516"/>
      <c r="P317" s="516"/>
      <c r="Q317" s="516"/>
      <c r="R317" s="516"/>
    </row>
    <row r="318">
      <c r="H318" s="516"/>
      <c r="I318" s="516"/>
      <c r="J318" s="516"/>
      <c r="P318" s="516"/>
      <c r="Q318" s="516"/>
      <c r="R318" s="516"/>
    </row>
    <row r="319">
      <c r="H319" s="516"/>
      <c r="I319" s="516"/>
      <c r="J319" s="516"/>
      <c r="P319" s="516"/>
      <c r="Q319" s="516"/>
      <c r="R319" s="516"/>
    </row>
    <row r="320">
      <c r="H320" s="516"/>
      <c r="I320" s="516"/>
      <c r="J320" s="516"/>
      <c r="P320" s="516"/>
      <c r="Q320" s="516"/>
      <c r="R320" s="516"/>
    </row>
    <row r="321">
      <c r="H321" s="516"/>
      <c r="I321" s="516"/>
      <c r="J321" s="516"/>
      <c r="P321" s="516"/>
      <c r="Q321" s="516"/>
      <c r="R321" s="516"/>
    </row>
    <row r="322">
      <c r="H322" s="516"/>
      <c r="I322" s="516"/>
      <c r="J322" s="516"/>
      <c r="P322" s="516"/>
      <c r="Q322" s="516"/>
      <c r="R322" s="516"/>
    </row>
    <row r="323">
      <c r="H323" s="516"/>
      <c r="I323" s="516"/>
      <c r="J323" s="516"/>
      <c r="P323" s="516"/>
      <c r="Q323" s="516"/>
      <c r="R323" s="516"/>
    </row>
    <row r="324">
      <c r="H324" s="516"/>
      <c r="I324" s="516"/>
      <c r="J324" s="516"/>
      <c r="P324" s="516"/>
      <c r="Q324" s="516"/>
      <c r="R324" s="516"/>
    </row>
    <row r="325">
      <c r="H325" s="516"/>
      <c r="I325" s="516"/>
      <c r="J325" s="516"/>
      <c r="P325" s="516"/>
      <c r="Q325" s="516"/>
      <c r="R325" s="516"/>
    </row>
    <row r="326">
      <c r="H326" s="516"/>
      <c r="I326" s="516"/>
      <c r="J326" s="516"/>
      <c r="P326" s="516"/>
      <c r="Q326" s="516"/>
      <c r="R326" s="516"/>
    </row>
    <row r="327">
      <c r="H327" s="516"/>
      <c r="I327" s="516"/>
      <c r="J327" s="516"/>
      <c r="P327" s="516"/>
      <c r="Q327" s="516"/>
      <c r="R327" s="516"/>
    </row>
    <row r="328">
      <c r="H328" s="516"/>
      <c r="I328" s="516"/>
      <c r="J328" s="516"/>
      <c r="P328" s="516"/>
      <c r="Q328" s="516"/>
      <c r="R328" s="516"/>
    </row>
    <row r="329">
      <c r="H329" s="516"/>
      <c r="I329" s="516"/>
      <c r="J329" s="516"/>
      <c r="P329" s="516"/>
      <c r="Q329" s="516"/>
      <c r="R329" s="516"/>
    </row>
    <row r="330">
      <c r="H330" s="516"/>
      <c r="I330" s="516"/>
      <c r="J330" s="516"/>
      <c r="P330" s="516"/>
      <c r="Q330" s="516"/>
      <c r="R330" s="516"/>
    </row>
    <row r="331">
      <c r="H331" s="516"/>
      <c r="I331" s="516"/>
      <c r="J331" s="516"/>
      <c r="P331" s="516"/>
      <c r="Q331" s="516"/>
      <c r="R331" s="516"/>
    </row>
    <row r="332">
      <c r="H332" s="516"/>
      <c r="I332" s="516"/>
      <c r="J332" s="516"/>
      <c r="P332" s="516"/>
      <c r="Q332" s="516"/>
      <c r="R332" s="516"/>
    </row>
    <row r="333">
      <c r="H333" s="516"/>
      <c r="I333" s="516"/>
      <c r="J333" s="516"/>
      <c r="P333" s="516"/>
      <c r="Q333" s="516"/>
      <c r="R333" s="516"/>
    </row>
    <row r="334">
      <c r="H334" s="516"/>
      <c r="I334" s="516"/>
      <c r="J334" s="516"/>
      <c r="P334" s="516"/>
      <c r="Q334" s="516"/>
      <c r="R334" s="516"/>
    </row>
    <row r="335">
      <c r="H335" s="516"/>
      <c r="I335" s="516"/>
      <c r="J335" s="516"/>
      <c r="P335" s="516"/>
      <c r="Q335" s="516"/>
      <c r="R335" s="516"/>
    </row>
    <row r="336">
      <c r="H336" s="516"/>
      <c r="I336" s="516"/>
      <c r="J336" s="516"/>
      <c r="P336" s="516"/>
      <c r="Q336" s="516"/>
      <c r="R336" s="516"/>
    </row>
    <row r="337">
      <c r="H337" s="516"/>
      <c r="I337" s="516"/>
      <c r="J337" s="516"/>
      <c r="P337" s="516"/>
      <c r="Q337" s="516"/>
      <c r="R337" s="516"/>
    </row>
    <row r="338">
      <c r="H338" s="516"/>
      <c r="I338" s="516"/>
      <c r="J338" s="516"/>
      <c r="P338" s="516"/>
      <c r="Q338" s="516"/>
      <c r="R338" s="516"/>
    </row>
    <row r="339">
      <c r="H339" s="516"/>
      <c r="I339" s="516"/>
      <c r="J339" s="516"/>
      <c r="P339" s="516"/>
      <c r="Q339" s="516"/>
      <c r="R339" s="516"/>
    </row>
    <row r="340">
      <c r="H340" s="516"/>
      <c r="I340" s="516"/>
      <c r="J340" s="516"/>
      <c r="P340" s="516"/>
      <c r="Q340" s="516"/>
      <c r="R340" s="516"/>
    </row>
    <row r="341">
      <c r="H341" s="516"/>
      <c r="I341" s="516"/>
      <c r="J341" s="516"/>
      <c r="P341" s="516"/>
      <c r="Q341" s="516"/>
      <c r="R341" s="516"/>
    </row>
    <row r="342">
      <c r="H342" s="516"/>
      <c r="I342" s="516"/>
      <c r="J342" s="516"/>
      <c r="P342" s="516"/>
      <c r="Q342" s="516"/>
      <c r="R342" s="516"/>
    </row>
    <row r="343">
      <c r="H343" s="516"/>
      <c r="I343" s="516"/>
      <c r="J343" s="516"/>
      <c r="P343" s="516"/>
      <c r="Q343" s="516"/>
      <c r="R343" s="516"/>
    </row>
    <row r="344">
      <c r="H344" s="516"/>
      <c r="I344" s="516"/>
      <c r="J344" s="516"/>
      <c r="P344" s="516"/>
      <c r="Q344" s="516"/>
      <c r="R344" s="516"/>
    </row>
    <row r="345">
      <c r="H345" s="516"/>
      <c r="I345" s="516"/>
      <c r="J345" s="516"/>
      <c r="P345" s="516"/>
      <c r="Q345" s="516"/>
      <c r="R345" s="516"/>
    </row>
    <row r="346">
      <c r="H346" s="516"/>
      <c r="I346" s="516"/>
      <c r="J346" s="516"/>
      <c r="P346" s="516"/>
      <c r="Q346" s="516"/>
      <c r="R346" s="516"/>
    </row>
    <row r="347">
      <c r="H347" s="516"/>
      <c r="I347" s="516"/>
      <c r="J347" s="516"/>
      <c r="P347" s="516"/>
      <c r="Q347" s="516"/>
      <c r="R347" s="516"/>
    </row>
    <row r="348">
      <c r="H348" s="516"/>
      <c r="I348" s="516"/>
      <c r="J348" s="516"/>
      <c r="P348" s="516"/>
      <c r="Q348" s="516"/>
      <c r="R348" s="516"/>
    </row>
    <row r="349">
      <c r="H349" s="516"/>
      <c r="I349" s="516"/>
      <c r="J349" s="516"/>
      <c r="P349" s="516"/>
      <c r="Q349" s="516"/>
      <c r="R349" s="516"/>
    </row>
    <row r="350">
      <c r="H350" s="516"/>
      <c r="I350" s="516"/>
      <c r="J350" s="516"/>
      <c r="P350" s="516"/>
      <c r="Q350" s="516"/>
      <c r="R350" s="516"/>
    </row>
    <row r="351">
      <c r="H351" s="516"/>
      <c r="I351" s="516"/>
      <c r="J351" s="516"/>
      <c r="P351" s="516"/>
      <c r="Q351" s="516"/>
      <c r="R351" s="516"/>
    </row>
    <row r="352">
      <c r="H352" s="516"/>
      <c r="I352" s="516"/>
      <c r="J352" s="516"/>
      <c r="P352" s="516"/>
      <c r="Q352" s="516"/>
      <c r="R352" s="516"/>
    </row>
    <row r="353">
      <c r="H353" s="516"/>
      <c r="I353" s="516"/>
      <c r="J353" s="516"/>
      <c r="P353" s="516"/>
      <c r="Q353" s="516"/>
      <c r="R353" s="516"/>
    </row>
    <row r="354">
      <c r="H354" s="516"/>
      <c r="I354" s="516"/>
      <c r="J354" s="516"/>
      <c r="P354" s="516"/>
      <c r="Q354" s="516"/>
      <c r="R354" s="516"/>
    </row>
    <row r="355">
      <c r="H355" s="516"/>
      <c r="I355" s="516"/>
      <c r="J355" s="516"/>
      <c r="P355" s="516"/>
      <c r="Q355" s="516"/>
      <c r="R355" s="516"/>
    </row>
    <row r="356">
      <c r="H356" s="516"/>
      <c r="I356" s="516"/>
      <c r="J356" s="516"/>
      <c r="P356" s="516"/>
      <c r="Q356" s="516"/>
      <c r="R356" s="516"/>
    </row>
    <row r="357">
      <c r="H357" s="516"/>
      <c r="I357" s="516"/>
      <c r="J357" s="516"/>
      <c r="P357" s="516"/>
      <c r="Q357" s="516"/>
      <c r="R357" s="516"/>
    </row>
    <row r="358">
      <c r="H358" s="516"/>
      <c r="I358" s="516"/>
      <c r="J358" s="516"/>
      <c r="P358" s="516"/>
      <c r="Q358" s="516"/>
      <c r="R358" s="516"/>
    </row>
    <row r="359">
      <c r="H359" s="516"/>
      <c r="I359" s="516"/>
      <c r="J359" s="516"/>
      <c r="P359" s="516"/>
      <c r="Q359" s="516"/>
      <c r="R359" s="516"/>
    </row>
    <row r="360">
      <c r="H360" s="516"/>
      <c r="I360" s="516"/>
      <c r="J360" s="516"/>
      <c r="P360" s="516"/>
      <c r="Q360" s="516"/>
      <c r="R360" s="516"/>
    </row>
    <row r="361">
      <c r="H361" s="516"/>
      <c r="I361" s="516"/>
      <c r="J361" s="516"/>
      <c r="P361" s="516"/>
      <c r="Q361" s="516"/>
      <c r="R361" s="516"/>
    </row>
    <row r="362">
      <c r="H362" s="516"/>
      <c r="I362" s="516"/>
      <c r="J362" s="516"/>
      <c r="P362" s="516"/>
      <c r="Q362" s="516"/>
      <c r="R362" s="516"/>
    </row>
    <row r="363">
      <c r="H363" s="516"/>
      <c r="I363" s="516"/>
      <c r="J363" s="516"/>
      <c r="P363" s="516"/>
      <c r="Q363" s="516"/>
      <c r="R363" s="516"/>
    </row>
    <row r="364">
      <c r="H364" s="516"/>
      <c r="I364" s="516"/>
      <c r="J364" s="516"/>
      <c r="P364" s="516"/>
      <c r="Q364" s="516"/>
      <c r="R364" s="516"/>
    </row>
    <row r="365">
      <c r="H365" s="516"/>
      <c r="I365" s="516"/>
      <c r="J365" s="516"/>
      <c r="P365" s="516"/>
      <c r="Q365" s="516"/>
      <c r="R365" s="516"/>
    </row>
    <row r="366">
      <c r="H366" s="516"/>
      <c r="I366" s="516"/>
      <c r="J366" s="516"/>
      <c r="P366" s="516"/>
      <c r="Q366" s="516"/>
      <c r="R366" s="516"/>
    </row>
    <row r="367">
      <c r="H367" s="516"/>
      <c r="I367" s="516"/>
      <c r="J367" s="516"/>
      <c r="P367" s="516"/>
      <c r="Q367" s="516"/>
      <c r="R367" s="516"/>
    </row>
    <row r="368">
      <c r="H368" s="516"/>
      <c r="I368" s="516"/>
      <c r="J368" s="516"/>
      <c r="P368" s="516"/>
      <c r="Q368" s="516"/>
      <c r="R368" s="516"/>
    </row>
    <row r="369">
      <c r="H369" s="516"/>
      <c r="I369" s="516"/>
      <c r="J369" s="516"/>
      <c r="P369" s="516"/>
      <c r="Q369" s="516"/>
      <c r="R369" s="516"/>
    </row>
    <row r="370">
      <c r="H370" s="516"/>
      <c r="I370" s="516"/>
      <c r="J370" s="516"/>
      <c r="P370" s="516"/>
      <c r="Q370" s="516"/>
      <c r="R370" s="516"/>
    </row>
    <row r="371">
      <c r="H371" s="516"/>
      <c r="I371" s="516"/>
      <c r="J371" s="516"/>
      <c r="P371" s="516"/>
      <c r="Q371" s="516"/>
      <c r="R371" s="516"/>
    </row>
    <row r="372">
      <c r="H372" s="516"/>
      <c r="I372" s="516"/>
      <c r="J372" s="516"/>
      <c r="P372" s="516"/>
      <c r="Q372" s="516"/>
      <c r="R372" s="516"/>
    </row>
    <row r="373">
      <c r="H373" s="516"/>
      <c r="I373" s="516"/>
      <c r="J373" s="516"/>
      <c r="P373" s="516"/>
      <c r="Q373" s="516"/>
      <c r="R373" s="516"/>
    </row>
    <row r="374">
      <c r="H374" s="516"/>
      <c r="I374" s="516"/>
      <c r="J374" s="516"/>
      <c r="P374" s="516"/>
      <c r="Q374" s="516"/>
      <c r="R374" s="516"/>
    </row>
    <row r="375">
      <c r="H375" s="516"/>
      <c r="I375" s="516"/>
      <c r="J375" s="516"/>
      <c r="P375" s="516"/>
      <c r="Q375" s="516"/>
      <c r="R375" s="516"/>
    </row>
    <row r="376">
      <c r="H376" s="516"/>
      <c r="I376" s="516"/>
      <c r="J376" s="516"/>
      <c r="P376" s="516"/>
      <c r="Q376" s="516"/>
      <c r="R376" s="516"/>
    </row>
    <row r="377">
      <c r="H377" s="516"/>
      <c r="I377" s="516"/>
      <c r="J377" s="516"/>
      <c r="P377" s="516"/>
      <c r="Q377" s="516"/>
      <c r="R377" s="516"/>
    </row>
    <row r="378">
      <c r="H378" s="516"/>
      <c r="I378" s="516"/>
      <c r="J378" s="516"/>
      <c r="P378" s="516"/>
      <c r="Q378" s="516"/>
      <c r="R378" s="516"/>
    </row>
    <row r="379">
      <c r="H379" s="516"/>
      <c r="I379" s="516"/>
      <c r="J379" s="516"/>
      <c r="P379" s="516"/>
      <c r="Q379" s="516"/>
      <c r="R379" s="516"/>
    </row>
    <row r="380">
      <c r="H380" s="516"/>
      <c r="I380" s="516"/>
      <c r="J380" s="516"/>
      <c r="P380" s="516"/>
      <c r="Q380" s="516"/>
      <c r="R380" s="516"/>
    </row>
    <row r="381">
      <c r="H381" s="516"/>
      <c r="I381" s="516"/>
      <c r="J381" s="516"/>
      <c r="P381" s="516"/>
      <c r="Q381" s="516"/>
      <c r="R381" s="516"/>
    </row>
    <row r="382">
      <c r="H382" s="516"/>
      <c r="I382" s="516"/>
      <c r="J382" s="516"/>
      <c r="P382" s="516"/>
      <c r="Q382" s="516"/>
      <c r="R382" s="516"/>
    </row>
    <row r="383">
      <c r="H383" s="516"/>
      <c r="I383" s="516"/>
      <c r="J383" s="516"/>
      <c r="P383" s="516"/>
      <c r="Q383" s="516"/>
      <c r="R383" s="516"/>
    </row>
    <row r="384">
      <c r="H384" s="516"/>
      <c r="I384" s="516"/>
      <c r="J384" s="516"/>
      <c r="P384" s="516"/>
      <c r="Q384" s="516"/>
      <c r="R384" s="516"/>
    </row>
    <row r="385">
      <c r="H385" s="516"/>
      <c r="I385" s="516"/>
      <c r="J385" s="516"/>
      <c r="P385" s="516"/>
      <c r="Q385" s="516"/>
      <c r="R385" s="516"/>
    </row>
    <row r="386">
      <c r="H386" s="516"/>
      <c r="I386" s="516"/>
      <c r="J386" s="516"/>
      <c r="P386" s="516"/>
      <c r="Q386" s="516"/>
      <c r="R386" s="516"/>
    </row>
    <row r="387">
      <c r="H387" s="516"/>
      <c r="I387" s="516"/>
      <c r="J387" s="516"/>
      <c r="P387" s="516"/>
      <c r="Q387" s="516"/>
      <c r="R387" s="516"/>
    </row>
    <row r="388">
      <c r="H388" s="516"/>
      <c r="I388" s="516"/>
      <c r="J388" s="516"/>
      <c r="P388" s="516"/>
      <c r="Q388" s="516"/>
      <c r="R388" s="516"/>
    </row>
    <row r="389">
      <c r="H389" s="516"/>
      <c r="I389" s="516"/>
      <c r="J389" s="516"/>
      <c r="P389" s="516"/>
      <c r="Q389" s="516"/>
      <c r="R389" s="516"/>
    </row>
    <row r="390">
      <c r="H390" s="516"/>
      <c r="I390" s="516"/>
      <c r="J390" s="516"/>
      <c r="P390" s="516"/>
      <c r="Q390" s="516"/>
      <c r="R390" s="516"/>
    </row>
    <row r="391">
      <c r="H391" s="516"/>
      <c r="I391" s="516"/>
      <c r="J391" s="516"/>
      <c r="P391" s="516"/>
      <c r="Q391" s="516"/>
      <c r="R391" s="516"/>
    </row>
    <row r="392">
      <c r="H392" s="516"/>
      <c r="I392" s="516"/>
      <c r="J392" s="516"/>
      <c r="P392" s="516"/>
      <c r="Q392" s="516"/>
      <c r="R392" s="516"/>
    </row>
    <row r="393">
      <c r="H393" s="516"/>
      <c r="I393" s="516"/>
      <c r="J393" s="516"/>
      <c r="P393" s="516"/>
      <c r="Q393" s="516"/>
      <c r="R393" s="516"/>
    </row>
    <row r="394">
      <c r="H394" s="516"/>
      <c r="I394" s="516"/>
      <c r="J394" s="516"/>
      <c r="P394" s="516"/>
      <c r="Q394" s="516"/>
      <c r="R394" s="516"/>
    </row>
    <row r="395">
      <c r="H395" s="516"/>
      <c r="I395" s="516"/>
      <c r="J395" s="516"/>
      <c r="P395" s="516"/>
      <c r="Q395" s="516"/>
      <c r="R395" s="516"/>
    </row>
    <row r="396">
      <c r="H396" s="516"/>
      <c r="I396" s="516"/>
      <c r="J396" s="516"/>
      <c r="P396" s="516"/>
      <c r="Q396" s="516"/>
      <c r="R396" s="516"/>
    </row>
    <row r="397">
      <c r="H397" s="516"/>
      <c r="I397" s="516"/>
      <c r="J397" s="516"/>
      <c r="P397" s="516"/>
      <c r="Q397" s="516"/>
      <c r="R397" s="516"/>
    </row>
    <row r="398">
      <c r="H398" s="516"/>
      <c r="I398" s="516"/>
      <c r="J398" s="516"/>
      <c r="P398" s="516"/>
      <c r="Q398" s="516"/>
      <c r="R398" s="516"/>
    </row>
    <row r="399">
      <c r="H399" s="516"/>
      <c r="I399" s="516"/>
      <c r="J399" s="516"/>
      <c r="P399" s="516"/>
      <c r="Q399" s="516"/>
      <c r="R399" s="516"/>
    </row>
    <row r="400">
      <c r="H400" s="516"/>
      <c r="I400" s="516"/>
      <c r="J400" s="516"/>
      <c r="P400" s="516"/>
      <c r="Q400" s="516"/>
      <c r="R400" s="516"/>
    </row>
    <row r="401">
      <c r="H401" s="516"/>
      <c r="I401" s="516"/>
      <c r="J401" s="516"/>
      <c r="P401" s="516"/>
      <c r="Q401" s="516"/>
      <c r="R401" s="516"/>
    </row>
    <row r="402">
      <c r="H402" s="516"/>
      <c r="I402" s="516"/>
      <c r="J402" s="516"/>
      <c r="P402" s="516"/>
      <c r="Q402" s="516"/>
      <c r="R402" s="516"/>
    </row>
    <row r="403">
      <c r="H403" s="516"/>
      <c r="I403" s="516"/>
      <c r="J403" s="516"/>
      <c r="P403" s="516"/>
      <c r="Q403" s="516"/>
      <c r="R403" s="516"/>
    </row>
    <row r="404">
      <c r="H404" s="516"/>
      <c r="I404" s="516"/>
      <c r="J404" s="516"/>
      <c r="P404" s="516"/>
      <c r="Q404" s="516"/>
      <c r="R404" s="516"/>
    </row>
    <row r="405">
      <c r="H405" s="516"/>
      <c r="I405" s="516"/>
      <c r="J405" s="516"/>
      <c r="P405" s="516"/>
      <c r="Q405" s="516"/>
      <c r="R405" s="516"/>
    </row>
    <row r="406">
      <c r="H406" s="516"/>
      <c r="I406" s="516"/>
      <c r="J406" s="516"/>
      <c r="P406" s="516"/>
      <c r="Q406" s="516"/>
      <c r="R406" s="516"/>
    </row>
    <row r="407">
      <c r="H407" s="516"/>
      <c r="I407" s="516"/>
      <c r="J407" s="516"/>
      <c r="P407" s="516"/>
      <c r="Q407" s="516"/>
      <c r="R407" s="516"/>
    </row>
    <row r="408">
      <c r="H408" s="516"/>
      <c r="I408" s="516"/>
      <c r="J408" s="516"/>
      <c r="P408" s="516"/>
      <c r="Q408" s="516"/>
      <c r="R408" s="516"/>
    </row>
    <row r="409">
      <c r="H409" s="516"/>
      <c r="I409" s="516"/>
      <c r="J409" s="516"/>
      <c r="P409" s="516"/>
      <c r="Q409" s="516"/>
      <c r="R409" s="516"/>
    </row>
    <row r="410">
      <c r="H410" s="516"/>
      <c r="I410" s="516"/>
      <c r="J410" s="516"/>
      <c r="P410" s="516"/>
      <c r="Q410" s="516"/>
      <c r="R410" s="516"/>
    </row>
    <row r="411">
      <c r="H411" s="516"/>
      <c r="I411" s="516"/>
      <c r="J411" s="516"/>
      <c r="P411" s="516"/>
      <c r="Q411" s="516"/>
      <c r="R411" s="516"/>
    </row>
    <row r="412">
      <c r="H412" s="516"/>
      <c r="I412" s="516"/>
      <c r="J412" s="516"/>
      <c r="P412" s="516"/>
      <c r="Q412" s="516"/>
      <c r="R412" s="516"/>
    </row>
    <row r="413">
      <c r="H413" s="516"/>
      <c r="I413" s="516"/>
      <c r="J413" s="516"/>
      <c r="P413" s="516"/>
      <c r="Q413" s="516"/>
      <c r="R413" s="516"/>
    </row>
    <row r="414">
      <c r="H414" s="516"/>
      <c r="I414" s="516"/>
      <c r="J414" s="516"/>
      <c r="P414" s="516"/>
      <c r="Q414" s="516"/>
      <c r="R414" s="516"/>
    </row>
    <row r="415">
      <c r="H415" s="516"/>
      <c r="I415" s="516"/>
      <c r="J415" s="516"/>
      <c r="P415" s="516"/>
      <c r="Q415" s="516"/>
      <c r="R415" s="516"/>
    </row>
    <row r="416">
      <c r="H416" s="516"/>
      <c r="I416" s="516"/>
      <c r="J416" s="516"/>
      <c r="P416" s="516"/>
      <c r="Q416" s="516"/>
      <c r="R416" s="516"/>
    </row>
    <row r="417">
      <c r="H417" s="516"/>
      <c r="I417" s="516"/>
      <c r="J417" s="516"/>
      <c r="P417" s="516"/>
      <c r="Q417" s="516"/>
      <c r="R417" s="516"/>
    </row>
    <row r="418">
      <c r="H418" s="516"/>
      <c r="I418" s="516"/>
      <c r="J418" s="516"/>
      <c r="P418" s="516"/>
      <c r="Q418" s="516"/>
      <c r="R418" s="516"/>
    </row>
    <row r="419">
      <c r="H419" s="516"/>
      <c r="I419" s="516"/>
      <c r="J419" s="516"/>
      <c r="P419" s="516"/>
      <c r="Q419" s="516"/>
      <c r="R419" s="516"/>
    </row>
    <row r="420">
      <c r="H420" s="516"/>
      <c r="I420" s="516"/>
      <c r="J420" s="516"/>
      <c r="P420" s="516"/>
      <c r="Q420" s="516"/>
      <c r="R420" s="516"/>
    </row>
    <row r="421">
      <c r="H421" s="516"/>
      <c r="I421" s="516"/>
      <c r="J421" s="516"/>
      <c r="P421" s="516"/>
      <c r="Q421" s="516"/>
      <c r="R421" s="516"/>
    </row>
    <row r="422">
      <c r="H422" s="516"/>
      <c r="I422" s="516"/>
      <c r="J422" s="516"/>
      <c r="P422" s="516"/>
      <c r="Q422" s="516"/>
      <c r="R422" s="516"/>
    </row>
    <row r="423">
      <c r="H423" s="516"/>
      <c r="I423" s="516"/>
      <c r="J423" s="516"/>
      <c r="P423" s="516"/>
      <c r="Q423" s="516"/>
      <c r="R423" s="516"/>
    </row>
    <row r="424">
      <c r="H424" s="516"/>
      <c r="I424" s="516"/>
      <c r="J424" s="516"/>
      <c r="P424" s="516"/>
      <c r="Q424" s="516"/>
      <c r="R424" s="516"/>
    </row>
    <row r="425">
      <c r="H425" s="516"/>
      <c r="I425" s="516"/>
      <c r="J425" s="516"/>
      <c r="P425" s="516"/>
      <c r="Q425" s="516"/>
      <c r="R425" s="516"/>
    </row>
    <row r="426">
      <c r="H426" s="516"/>
      <c r="I426" s="516"/>
      <c r="J426" s="516"/>
      <c r="P426" s="516"/>
      <c r="Q426" s="516"/>
      <c r="R426" s="516"/>
    </row>
    <row r="427">
      <c r="H427" s="516"/>
      <c r="I427" s="516"/>
      <c r="J427" s="516"/>
      <c r="P427" s="516"/>
      <c r="Q427" s="516"/>
      <c r="R427" s="516"/>
    </row>
    <row r="428">
      <c r="H428" s="516"/>
      <c r="I428" s="516"/>
      <c r="J428" s="516"/>
      <c r="P428" s="516"/>
      <c r="Q428" s="516"/>
      <c r="R428" s="516"/>
    </row>
    <row r="429">
      <c r="H429" s="516"/>
      <c r="I429" s="516"/>
      <c r="J429" s="516"/>
      <c r="P429" s="516"/>
      <c r="Q429" s="516"/>
      <c r="R429" s="516"/>
    </row>
    <row r="430">
      <c r="H430" s="516"/>
      <c r="I430" s="516"/>
      <c r="J430" s="516"/>
      <c r="P430" s="516"/>
      <c r="Q430" s="516"/>
      <c r="R430" s="516"/>
    </row>
    <row r="431">
      <c r="H431" s="516"/>
      <c r="I431" s="516"/>
      <c r="J431" s="516"/>
      <c r="P431" s="516"/>
      <c r="Q431" s="516"/>
      <c r="R431" s="516"/>
    </row>
    <row r="432">
      <c r="H432" s="516"/>
      <c r="I432" s="516"/>
      <c r="J432" s="516"/>
      <c r="P432" s="516"/>
      <c r="Q432" s="516"/>
      <c r="R432" s="516"/>
    </row>
    <row r="433">
      <c r="H433" s="516"/>
      <c r="I433" s="516"/>
      <c r="J433" s="516"/>
      <c r="P433" s="516"/>
      <c r="Q433" s="516"/>
      <c r="R433" s="516"/>
    </row>
    <row r="434">
      <c r="H434" s="516"/>
      <c r="I434" s="516"/>
      <c r="J434" s="516"/>
      <c r="P434" s="516"/>
      <c r="Q434" s="516"/>
      <c r="R434" s="516"/>
    </row>
    <row r="435">
      <c r="H435" s="516"/>
      <c r="I435" s="516"/>
      <c r="J435" s="516"/>
      <c r="P435" s="516"/>
      <c r="Q435" s="516"/>
      <c r="R435" s="516"/>
    </row>
    <row r="436">
      <c r="H436" s="516"/>
      <c r="I436" s="516"/>
      <c r="J436" s="516"/>
      <c r="P436" s="516"/>
      <c r="Q436" s="516"/>
      <c r="R436" s="516"/>
    </row>
    <row r="437">
      <c r="H437" s="516"/>
      <c r="I437" s="516"/>
      <c r="J437" s="516"/>
      <c r="P437" s="516"/>
      <c r="Q437" s="516"/>
      <c r="R437" s="516"/>
    </row>
    <row r="438">
      <c r="H438" s="516"/>
      <c r="I438" s="516"/>
      <c r="J438" s="516"/>
      <c r="P438" s="516"/>
      <c r="Q438" s="516"/>
      <c r="R438" s="516"/>
    </row>
    <row r="439">
      <c r="H439" s="516"/>
      <c r="I439" s="516"/>
      <c r="J439" s="516"/>
      <c r="P439" s="516"/>
      <c r="Q439" s="516"/>
      <c r="R439" s="516"/>
    </row>
    <row r="440">
      <c r="H440" s="516"/>
      <c r="I440" s="516"/>
      <c r="J440" s="516"/>
      <c r="P440" s="516"/>
      <c r="Q440" s="516"/>
      <c r="R440" s="516"/>
    </row>
    <row r="441">
      <c r="H441" s="516"/>
      <c r="I441" s="516"/>
      <c r="J441" s="516"/>
      <c r="P441" s="516"/>
      <c r="Q441" s="516"/>
      <c r="R441" s="516"/>
    </row>
    <row r="442">
      <c r="H442" s="516"/>
      <c r="I442" s="516"/>
      <c r="J442" s="516"/>
      <c r="P442" s="516"/>
      <c r="Q442" s="516"/>
      <c r="R442" s="516"/>
    </row>
    <row r="443">
      <c r="H443" s="516"/>
      <c r="I443" s="516"/>
      <c r="J443" s="516"/>
      <c r="P443" s="516"/>
      <c r="Q443" s="516"/>
      <c r="R443" s="516"/>
    </row>
    <row r="444">
      <c r="H444" s="516"/>
      <c r="I444" s="516"/>
      <c r="J444" s="516"/>
      <c r="P444" s="516"/>
      <c r="Q444" s="516"/>
      <c r="R444" s="516"/>
    </row>
    <row r="445">
      <c r="H445" s="516"/>
      <c r="I445" s="516"/>
      <c r="J445" s="516"/>
      <c r="P445" s="516"/>
      <c r="Q445" s="516"/>
      <c r="R445" s="516"/>
    </row>
    <row r="446">
      <c r="H446" s="516"/>
      <c r="I446" s="516"/>
      <c r="J446" s="516"/>
      <c r="P446" s="516"/>
      <c r="Q446" s="516"/>
      <c r="R446" s="516"/>
    </row>
    <row r="447">
      <c r="H447" s="516"/>
      <c r="I447" s="516"/>
      <c r="J447" s="516"/>
      <c r="P447" s="516"/>
      <c r="Q447" s="516"/>
      <c r="R447" s="516"/>
    </row>
    <row r="448">
      <c r="H448" s="516"/>
      <c r="I448" s="516"/>
      <c r="J448" s="516"/>
      <c r="P448" s="516"/>
      <c r="Q448" s="516"/>
      <c r="R448" s="516"/>
    </row>
    <row r="449">
      <c r="H449" s="516"/>
      <c r="I449" s="516"/>
      <c r="J449" s="516"/>
      <c r="P449" s="516"/>
      <c r="Q449" s="516"/>
      <c r="R449" s="516"/>
    </row>
    <row r="450">
      <c r="H450" s="516"/>
      <c r="I450" s="516"/>
      <c r="J450" s="516"/>
      <c r="P450" s="516"/>
      <c r="Q450" s="516"/>
      <c r="R450" s="516"/>
    </row>
    <row r="451">
      <c r="H451" s="516"/>
      <c r="I451" s="516"/>
      <c r="J451" s="516"/>
      <c r="P451" s="516"/>
      <c r="Q451" s="516"/>
      <c r="R451" s="516"/>
    </row>
    <row r="452">
      <c r="H452" s="516"/>
      <c r="I452" s="516"/>
      <c r="J452" s="516"/>
      <c r="P452" s="516"/>
      <c r="Q452" s="516"/>
      <c r="R452" s="516"/>
    </row>
    <row r="453">
      <c r="H453" s="516"/>
      <c r="I453" s="516"/>
      <c r="J453" s="516"/>
      <c r="P453" s="516"/>
      <c r="Q453" s="516"/>
      <c r="R453" s="516"/>
    </row>
    <row r="454">
      <c r="H454" s="516"/>
      <c r="I454" s="516"/>
      <c r="J454" s="516"/>
      <c r="P454" s="516"/>
      <c r="Q454" s="516"/>
      <c r="R454" s="516"/>
    </row>
    <row r="455">
      <c r="H455" s="516"/>
      <c r="I455" s="516"/>
      <c r="J455" s="516"/>
      <c r="P455" s="516"/>
      <c r="Q455" s="516"/>
      <c r="R455" s="516"/>
    </row>
    <row r="456">
      <c r="H456" s="516"/>
      <c r="I456" s="516"/>
      <c r="J456" s="516"/>
      <c r="P456" s="516"/>
      <c r="Q456" s="516"/>
      <c r="R456" s="516"/>
    </row>
    <row r="457">
      <c r="H457" s="516"/>
      <c r="I457" s="516"/>
      <c r="J457" s="516"/>
      <c r="P457" s="516"/>
      <c r="Q457" s="516"/>
      <c r="R457" s="516"/>
    </row>
    <row r="458">
      <c r="H458" s="516"/>
      <c r="I458" s="516"/>
      <c r="J458" s="516"/>
      <c r="P458" s="516"/>
      <c r="Q458" s="516"/>
      <c r="R458" s="516"/>
    </row>
    <row r="459">
      <c r="H459" s="516"/>
      <c r="I459" s="516"/>
      <c r="J459" s="516"/>
      <c r="P459" s="516"/>
      <c r="Q459" s="516"/>
      <c r="R459" s="516"/>
    </row>
    <row r="460">
      <c r="H460" s="516"/>
      <c r="I460" s="516"/>
      <c r="J460" s="516"/>
      <c r="P460" s="516"/>
      <c r="Q460" s="516"/>
      <c r="R460" s="516"/>
    </row>
    <row r="461">
      <c r="H461" s="516"/>
      <c r="I461" s="516"/>
      <c r="J461" s="516"/>
      <c r="P461" s="516"/>
      <c r="Q461" s="516"/>
      <c r="R461" s="516"/>
    </row>
    <row r="462">
      <c r="H462" s="516"/>
      <c r="I462" s="516"/>
      <c r="J462" s="516"/>
      <c r="P462" s="516"/>
      <c r="Q462" s="516"/>
      <c r="R462" s="516"/>
    </row>
    <row r="463">
      <c r="H463" s="516"/>
      <c r="I463" s="516"/>
      <c r="J463" s="516"/>
      <c r="P463" s="516"/>
      <c r="Q463" s="516"/>
      <c r="R463" s="516"/>
    </row>
    <row r="464">
      <c r="H464" s="516"/>
      <c r="I464" s="516"/>
      <c r="J464" s="516"/>
      <c r="P464" s="516"/>
      <c r="Q464" s="516"/>
      <c r="R464" s="516"/>
    </row>
    <row r="465">
      <c r="H465" s="516"/>
      <c r="I465" s="516"/>
      <c r="J465" s="516"/>
      <c r="P465" s="516"/>
      <c r="Q465" s="516"/>
      <c r="R465" s="516"/>
    </row>
    <row r="466">
      <c r="H466" s="516"/>
      <c r="I466" s="516"/>
      <c r="J466" s="516"/>
      <c r="P466" s="516"/>
      <c r="Q466" s="516"/>
      <c r="R466" s="516"/>
    </row>
    <row r="467">
      <c r="H467" s="516"/>
      <c r="I467" s="516"/>
      <c r="J467" s="516"/>
      <c r="P467" s="516"/>
      <c r="Q467" s="516"/>
      <c r="R467" s="516"/>
    </row>
    <row r="468">
      <c r="H468" s="516"/>
      <c r="I468" s="516"/>
      <c r="J468" s="516"/>
      <c r="P468" s="516"/>
      <c r="Q468" s="516"/>
      <c r="R468" s="516"/>
    </row>
    <row r="469">
      <c r="H469" s="516"/>
      <c r="I469" s="516"/>
      <c r="J469" s="516"/>
      <c r="P469" s="516"/>
      <c r="Q469" s="516"/>
      <c r="R469" s="516"/>
    </row>
    <row r="470">
      <c r="H470" s="516"/>
      <c r="I470" s="516"/>
      <c r="J470" s="516"/>
      <c r="P470" s="516"/>
      <c r="Q470" s="516"/>
      <c r="R470" s="516"/>
    </row>
    <row r="471">
      <c r="H471" s="516"/>
      <c r="I471" s="516"/>
      <c r="J471" s="516"/>
      <c r="P471" s="516"/>
      <c r="Q471" s="516"/>
      <c r="R471" s="516"/>
    </row>
    <row r="472">
      <c r="H472" s="516"/>
      <c r="I472" s="516"/>
      <c r="J472" s="516"/>
      <c r="P472" s="516"/>
      <c r="Q472" s="516"/>
      <c r="R472" s="516"/>
    </row>
    <row r="473">
      <c r="H473" s="516"/>
      <c r="I473" s="516"/>
      <c r="J473" s="516"/>
      <c r="P473" s="516"/>
      <c r="Q473" s="516"/>
      <c r="R473" s="516"/>
    </row>
    <row r="474">
      <c r="H474" s="516"/>
      <c r="I474" s="516"/>
      <c r="J474" s="516"/>
      <c r="P474" s="516"/>
      <c r="Q474" s="516"/>
      <c r="R474" s="516"/>
    </row>
    <row r="475">
      <c r="H475" s="516"/>
      <c r="I475" s="516"/>
      <c r="J475" s="516"/>
      <c r="P475" s="516"/>
      <c r="Q475" s="516"/>
      <c r="R475" s="516"/>
    </row>
    <row r="476">
      <c r="H476" s="516"/>
      <c r="I476" s="516"/>
      <c r="J476" s="516"/>
      <c r="P476" s="516"/>
      <c r="Q476" s="516"/>
      <c r="R476" s="516"/>
    </row>
    <row r="477">
      <c r="H477" s="516"/>
      <c r="I477" s="516"/>
      <c r="J477" s="516"/>
      <c r="P477" s="516"/>
      <c r="Q477" s="516"/>
      <c r="R477" s="516"/>
    </row>
    <row r="478">
      <c r="H478" s="516"/>
      <c r="I478" s="516"/>
      <c r="J478" s="516"/>
      <c r="P478" s="516"/>
      <c r="Q478" s="516"/>
      <c r="R478" s="516"/>
    </row>
    <row r="479">
      <c r="H479" s="516"/>
      <c r="I479" s="516"/>
      <c r="J479" s="516"/>
      <c r="P479" s="516"/>
      <c r="Q479" s="516"/>
      <c r="R479" s="516"/>
    </row>
    <row r="480">
      <c r="H480" s="516"/>
      <c r="I480" s="516"/>
      <c r="J480" s="516"/>
      <c r="P480" s="516"/>
      <c r="Q480" s="516"/>
      <c r="R480" s="516"/>
    </row>
    <row r="481">
      <c r="H481" s="516"/>
      <c r="I481" s="516"/>
      <c r="J481" s="516"/>
      <c r="P481" s="516"/>
      <c r="Q481" s="516"/>
      <c r="R481" s="516"/>
    </row>
    <row r="482">
      <c r="H482" s="516"/>
      <c r="I482" s="516"/>
      <c r="J482" s="516"/>
      <c r="P482" s="516"/>
      <c r="Q482" s="516"/>
      <c r="R482" s="516"/>
    </row>
    <row r="483">
      <c r="H483" s="516"/>
      <c r="I483" s="516"/>
      <c r="J483" s="516"/>
      <c r="P483" s="516"/>
      <c r="Q483" s="516"/>
      <c r="R483" s="516"/>
    </row>
    <row r="484">
      <c r="H484" s="516"/>
      <c r="I484" s="516"/>
      <c r="J484" s="516"/>
      <c r="P484" s="516"/>
      <c r="Q484" s="516"/>
      <c r="R484" s="516"/>
    </row>
    <row r="485">
      <c r="H485" s="516"/>
      <c r="I485" s="516"/>
      <c r="J485" s="516"/>
      <c r="P485" s="516"/>
      <c r="Q485" s="516"/>
      <c r="R485" s="516"/>
    </row>
    <row r="486">
      <c r="H486" s="516"/>
      <c r="I486" s="516"/>
      <c r="J486" s="516"/>
      <c r="P486" s="516"/>
      <c r="Q486" s="516"/>
      <c r="R486" s="516"/>
    </row>
    <row r="487">
      <c r="H487" s="516"/>
      <c r="I487" s="516"/>
      <c r="J487" s="516"/>
      <c r="P487" s="516"/>
      <c r="Q487" s="516"/>
      <c r="R487" s="516"/>
    </row>
    <row r="488">
      <c r="H488" s="516"/>
      <c r="I488" s="516"/>
      <c r="J488" s="516"/>
      <c r="P488" s="516"/>
      <c r="Q488" s="516"/>
      <c r="R488" s="516"/>
    </row>
    <row r="489">
      <c r="H489" s="516"/>
      <c r="I489" s="516"/>
      <c r="J489" s="516"/>
      <c r="P489" s="516"/>
      <c r="Q489" s="516"/>
      <c r="R489" s="516"/>
    </row>
    <row r="490">
      <c r="H490" s="516"/>
      <c r="I490" s="516"/>
      <c r="J490" s="516"/>
      <c r="P490" s="516"/>
      <c r="Q490" s="516"/>
      <c r="R490" s="516"/>
    </row>
    <row r="491">
      <c r="H491" s="516"/>
      <c r="I491" s="516"/>
      <c r="J491" s="516"/>
      <c r="P491" s="516"/>
      <c r="Q491" s="516"/>
      <c r="R491" s="516"/>
    </row>
    <row r="492">
      <c r="H492" s="516"/>
      <c r="I492" s="516"/>
      <c r="J492" s="516"/>
      <c r="P492" s="516"/>
      <c r="Q492" s="516"/>
      <c r="R492" s="516"/>
    </row>
    <row r="493">
      <c r="H493" s="516"/>
      <c r="I493" s="516"/>
      <c r="J493" s="516"/>
      <c r="P493" s="516"/>
      <c r="Q493" s="516"/>
      <c r="R493" s="516"/>
    </row>
    <row r="494">
      <c r="H494" s="516"/>
      <c r="I494" s="516"/>
      <c r="J494" s="516"/>
      <c r="P494" s="516"/>
      <c r="Q494" s="516"/>
      <c r="R494" s="516"/>
    </row>
    <row r="495">
      <c r="H495" s="516"/>
      <c r="I495" s="516"/>
      <c r="J495" s="516"/>
      <c r="P495" s="516"/>
      <c r="Q495" s="516"/>
      <c r="R495" s="516"/>
    </row>
    <row r="496">
      <c r="H496" s="516"/>
      <c r="I496" s="516"/>
      <c r="J496" s="516"/>
      <c r="P496" s="516"/>
      <c r="Q496" s="516"/>
      <c r="R496" s="516"/>
    </row>
    <row r="497">
      <c r="H497" s="516"/>
      <c r="I497" s="516"/>
      <c r="J497" s="516"/>
      <c r="P497" s="516"/>
      <c r="Q497" s="516"/>
      <c r="R497" s="516"/>
    </row>
    <row r="498">
      <c r="H498" s="516"/>
      <c r="I498" s="516"/>
      <c r="J498" s="516"/>
      <c r="P498" s="516"/>
      <c r="Q498" s="516"/>
      <c r="R498" s="516"/>
    </row>
    <row r="499">
      <c r="H499" s="516"/>
      <c r="I499" s="516"/>
      <c r="J499" s="516"/>
      <c r="P499" s="516"/>
      <c r="Q499" s="516"/>
      <c r="R499" s="516"/>
    </row>
    <row r="500">
      <c r="H500" s="516"/>
      <c r="I500" s="516"/>
      <c r="J500" s="516"/>
      <c r="P500" s="516"/>
      <c r="Q500" s="516"/>
      <c r="R500" s="516"/>
    </row>
    <row r="501">
      <c r="H501" s="516"/>
      <c r="I501" s="516"/>
      <c r="J501" s="516"/>
      <c r="P501" s="516"/>
      <c r="Q501" s="516"/>
      <c r="R501" s="516"/>
    </row>
    <row r="502">
      <c r="H502" s="516"/>
      <c r="I502" s="516"/>
      <c r="J502" s="516"/>
      <c r="P502" s="516"/>
      <c r="Q502" s="516"/>
      <c r="R502" s="516"/>
    </row>
    <row r="503">
      <c r="H503" s="516"/>
      <c r="I503" s="516"/>
      <c r="J503" s="516"/>
      <c r="P503" s="516"/>
      <c r="Q503" s="516"/>
      <c r="R503" s="516"/>
    </row>
    <row r="504">
      <c r="H504" s="516"/>
      <c r="I504" s="516"/>
      <c r="J504" s="516"/>
      <c r="P504" s="516"/>
      <c r="Q504" s="516"/>
      <c r="R504" s="516"/>
    </row>
    <row r="505">
      <c r="H505" s="516"/>
      <c r="I505" s="516"/>
      <c r="J505" s="516"/>
      <c r="P505" s="516"/>
      <c r="Q505" s="516"/>
      <c r="R505" s="516"/>
    </row>
    <row r="506">
      <c r="H506" s="516"/>
      <c r="I506" s="516"/>
      <c r="J506" s="516"/>
      <c r="P506" s="516"/>
      <c r="Q506" s="516"/>
      <c r="R506" s="516"/>
    </row>
    <row r="507">
      <c r="H507" s="516"/>
      <c r="I507" s="516"/>
      <c r="J507" s="516"/>
      <c r="P507" s="516"/>
      <c r="Q507" s="516"/>
      <c r="R507" s="516"/>
    </row>
    <row r="508">
      <c r="H508" s="516"/>
      <c r="I508" s="516"/>
      <c r="J508" s="516"/>
      <c r="P508" s="516"/>
      <c r="Q508" s="516"/>
      <c r="R508" s="516"/>
    </row>
    <row r="509">
      <c r="H509" s="516"/>
      <c r="I509" s="516"/>
      <c r="J509" s="516"/>
      <c r="P509" s="516"/>
      <c r="Q509" s="516"/>
      <c r="R509" s="516"/>
    </row>
    <row r="510">
      <c r="H510" s="516"/>
      <c r="I510" s="516"/>
      <c r="J510" s="516"/>
      <c r="P510" s="516"/>
      <c r="Q510" s="516"/>
      <c r="R510" s="516"/>
    </row>
    <row r="511">
      <c r="H511" s="516"/>
      <c r="I511" s="516"/>
      <c r="J511" s="516"/>
      <c r="P511" s="516"/>
      <c r="Q511" s="516"/>
      <c r="R511" s="516"/>
    </row>
    <row r="512">
      <c r="H512" s="516"/>
      <c r="I512" s="516"/>
      <c r="J512" s="516"/>
      <c r="P512" s="516"/>
      <c r="Q512" s="516"/>
      <c r="R512" s="516"/>
    </row>
    <row r="513">
      <c r="H513" s="516"/>
      <c r="I513" s="516"/>
      <c r="J513" s="516"/>
      <c r="P513" s="516"/>
      <c r="Q513" s="516"/>
      <c r="R513" s="516"/>
    </row>
    <row r="514">
      <c r="H514" s="516"/>
      <c r="I514" s="516"/>
      <c r="J514" s="516"/>
      <c r="P514" s="516"/>
      <c r="Q514" s="516"/>
      <c r="R514" s="516"/>
    </row>
    <row r="515">
      <c r="H515" s="516"/>
      <c r="I515" s="516"/>
      <c r="J515" s="516"/>
      <c r="P515" s="516"/>
      <c r="Q515" s="516"/>
      <c r="R515" s="516"/>
    </row>
    <row r="516">
      <c r="H516" s="516"/>
      <c r="I516" s="516"/>
      <c r="J516" s="516"/>
      <c r="P516" s="516"/>
      <c r="Q516" s="516"/>
      <c r="R516" s="516"/>
    </row>
    <row r="517">
      <c r="H517" s="516"/>
      <c r="I517" s="516"/>
      <c r="J517" s="516"/>
      <c r="P517" s="516"/>
      <c r="Q517" s="516"/>
      <c r="R517" s="516"/>
    </row>
    <row r="518">
      <c r="H518" s="516"/>
      <c r="I518" s="516"/>
      <c r="J518" s="516"/>
      <c r="P518" s="516"/>
      <c r="Q518" s="516"/>
      <c r="R518" s="516"/>
    </row>
    <row r="519">
      <c r="H519" s="516"/>
      <c r="I519" s="516"/>
      <c r="J519" s="516"/>
      <c r="P519" s="516"/>
      <c r="Q519" s="516"/>
      <c r="R519" s="516"/>
    </row>
    <row r="520">
      <c r="H520" s="516"/>
      <c r="I520" s="516"/>
      <c r="J520" s="516"/>
      <c r="P520" s="516"/>
      <c r="Q520" s="516"/>
      <c r="R520" s="516"/>
    </row>
    <row r="521">
      <c r="H521" s="516"/>
      <c r="I521" s="516"/>
      <c r="J521" s="516"/>
      <c r="P521" s="516"/>
      <c r="Q521" s="516"/>
      <c r="R521" s="516"/>
    </row>
    <row r="522">
      <c r="H522" s="516"/>
      <c r="I522" s="516"/>
      <c r="J522" s="516"/>
      <c r="P522" s="516"/>
      <c r="Q522" s="516"/>
      <c r="R522" s="516"/>
    </row>
    <row r="523">
      <c r="H523" s="516"/>
      <c r="I523" s="516"/>
      <c r="J523" s="516"/>
      <c r="P523" s="516"/>
      <c r="Q523" s="516"/>
      <c r="R523" s="516"/>
    </row>
    <row r="524">
      <c r="H524" s="516"/>
      <c r="I524" s="516"/>
      <c r="J524" s="516"/>
      <c r="P524" s="516"/>
      <c r="Q524" s="516"/>
      <c r="R524" s="516"/>
    </row>
    <row r="525">
      <c r="H525" s="516"/>
      <c r="I525" s="516"/>
      <c r="J525" s="516"/>
      <c r="P525" s="516"/>
      <c r="Q525" s="516"/>
      <c r="R525" s="516"/>
    </row>
    <row r="526">
      <c r="H526" s="516"/>
      <c r="I526" s="516"/>
      <c r="J526" s="516"/>
      <c r="P526" s="516"/>
      <c r="Q526" s="516"/>
      <c r="R526" s="516"/>
    </row>
    <row r="527">
      <c r="H527" s="516"/>
      <c r="I527" s="516"/>
      <c r="J527" s="516"/>
      <c r="P527" s="516"/>
      <c r="Q527" s="516"/>
      <c r="R527" s="516"/>
    </row>
    <row r="528">
      <c r="H528" s="516"/>
      <c r="I528" s="516"/>
      <c r="J528" s="516"/>
      <c r="P528" s="516"/>
      <c r="Q528" s="516"/>
      <c r="R528" s="516"/>
    </row>
    <row r="529">
      <c r="H529" s="516"/>
      <c r="I529" s="516"/>
      <c r="J529" s="516"/>
      <c r="P529" s="516"/>
      <c r="Q529" s="516"/>
      <c r="R529" s="516"/>
    </row>
    <row r="530">
      <c r="H530" s="516"/>
      <c r="I530" s="516"/>
      <c r="J530" s="516"/>
      <c r="P530" s="516"/>
      <c r="Q530" s="516"/>
      <c r="R530" s="516"/>
    </row>
    <row r="531">
      <c r="H531" s="516"/>
      <c r="I531" s="516"/>
      <c r="J531" s="516"/>
      <c r="P531" s="516"/>
      <c r="Q531" s="516"/>
      <c r="R531" s="516"/>
    </row>
    <row r="532">
      <c r="H532" s="516"/>
      <c r="I532" s="516"/>
      <c r="J532" s="516"/>
      <c r="P532" s="516"/>
      <c r="Q532" s="516"/>
      <c r="R532" s="516"/>
    </row>
    <row r="533">
      <c r="H533" s="516"/>
      <c r="I533" s="516"/>
      <c r="J533" s="516"/>
      <c r="P533" s="516"/>
      <c r="Q533" s="516"/>
      <c r="R533" s="516"/>
    </row>
    <row r="534">
      <c r="H534" s="516"/>
      <c r="I534" s="516"/>
      <c r="J534" s="516"/>
      <c r="P534" s="516"/>
      <c r="Q534" s="516"/>
      <c r="R534" s="516"/>
    </row>
    <row r="535">
      <c r="H535" s="516"/>
      <c r="I535" s="516"/>
      <c r="J535" s="516"/>
      <c r="P535" s="516"/>
      <c r="Q535" s="516"/>
      <c r="R535" s="516"/>
    </row>
    <row r="536">
      <c r="H536" s="516"/>
      <c r="I536" s="516"/>
      <c r="J536" s="516"/>
      <c r="P536" s="516"/>
      <c r="Q536" s="516"/>
      <c r="R536" s="516"/>
    </row>
    <row r="537">
      <c r="H537" s="516"/>
      <c r="I537" s="516"/>
      <c r="J537" s="516"/>
      <c r="P537" s="516"/>
      <c r="Q537" s="516"/>
      <c r="R537" s="516"/>
    </row>
    <row r="538">
      <c r="H538" s="516"/>
      <c r="I538" s="516"/>
      <c r="J538" s="516"/>
      <c r="P538" s="516"/>
      <c r="Q538" s="516"/>
      <c r="R538" s="516"/>
    </row>
    <row r="539">
      <c r="H539" s="516"/>
      <c r="I539" s="516"/>
      <c r="J539" s="516"/>
      <c r="P539" s="516"/>
      <c r="Q539" s="516"/>
      <c r="R539" s="516"/>
    </row>
    <row r="540">
      <c r="H540" s="516"/>
      <c r="I540" s="516"/>
      <c r="J540" s="516"/>
      <c r="P540" s="516"/>
      <c r="Q540" s="516"/>
      <c r="R540" s="516"/>
    </row>
    <row r="541">
      <c r="H541" s="516"/>
      <c r="I541" s="516"/>
      <c r="J541" s="516"/>
      <c r="P541" s="516"/>
      <c r="Q541" s="516"/>
      <c r="R541" s="516"/>
    </row>
    <row r="542">
      <c r="H542" s="516"/>
      <c r="I542" s="516"/>
      <c r="J542" s="516"/>
      <c r="P542" s="516"/>
      <c r="Q542" s="516"/>
      <c r="R542" s="516"/>
    </row>
    <row r="543">
      <c r="H543" s="516"/>
      <c r="I543" s="516"/>
      <c r="J543" s="516"/>
      <c r="P543" s="516"/>
      <c r="Q543" s="516"/>
      <c r="R543" s="516"/>
    </row>
    <row r="544">
      <c r="H544" s="516"/>
      <c r="I544" s="516"/>
      <c r="J544" s="516"/>
      <c r="P544" s="516"/>
      <c r="Q544" s="516"/>
      <c r="R544" s="516"/>
    </row>
    <row r="545">
      <c r="H545" s="516"/>
      <c r="I545" s="516"/>
      <c r="J545" s="516"/>
      <c r="P545" s="516"/>
      <c r="Q545" s="516"/>
      <c r="R545" s="516"/>
    </row>
    <row r="546">
      <c r="H546" s="516"/>
      <c r="I546" s="516"/>
      <c r="J546" s="516"/>
      <c r="P546" s="516"/>
      <c r="Q546" s="516"/>
      <c r="R546" s="516"/>
    </row>
    <row r="547">
      <c r="H547" s="516"/>
      <c r="I547" s="516"/>
      <c r="J547" s="516"/>
      <c r="P547" s="516"/>
      <c r="Q547" s="516"/>
      <c r="R547" s="516"/>
    </row>
    <row r="548">
      <c r="H548" s="516"/>
      <c r="I548" s="516"/>
      <c r="J548" s="516"/>
      <c r="P548" s="516"/>
      <c r="Q548" s="516"/>
      <c r="R548" s="516"/>
    </row>
    <row r="549">
      <c r="H549" s="516"/>
      <c r="I549" s="516"/>
      <c r="J549" s="516"/>
      <c r="P549" s="516"/>
      <c r="Q549" s="516"/>
      <c r="R549" s="516"/>
    </row>
    <row r="550">
      <c r="H550" s="516"/>
      <c r="I550" s="516"/>
      <c r="J550" s="516"/>
      <c r="P550" s="516"/>
      <c r="Q550" s="516"/>
      <c r="R550" s="516"/>
    </row>
    <row r="551">
      <c r="H551" s="516"/>
      <c r="I551" s="516"/>
      <c r="J551" s="516"/>
      <c r="P551" s="516"/>
      <c r="Q551" s="516"/>
      <c r="R551" s="516"/>
    </row>
    <row r="552">
      <c r="H552" s="516"/>
      <c r="I552" s="516"/>
      <c r="J552" s="516"/>
      <c r="P552" s="516"/>
      <c r="Q552" s="516"/>
      <c r="R552" s="516"/>
    </row>
    <row r="553">
      <c r="H553" s="516"/>
      <c r="I553" s="516"/>
      <c r="J553" s="516"/>
      <c r="P553" s="516"/>
      <c r="Q553" s="516"/>
      <c r="R553" s="516"/>
    </row>
    <row r="554">
      <c r="H554" s="516"/>
      <c r="I554" s="516"/>
      <c r="J554" s="516"/>
      <c r="P554" s="516"/>
      <c r="Q554" s="516"/>
      <c r="R554" s="516"/>
    </row>
    <row r="555">
      <c r="H555" s="516"/>
      <c r="I555" s="516"/>
      <c r="J555" s="516"/>
      <c r="P555" s="516"/>
      <c r="Q555" s="516"/>
      <c r="R555" s="516"/>
    </row>
    <row r="556">
      <c r="H556" s="516"/>
      <c r="I556" s="516"/>
      <c r="J556" s="516"/>
      <c r="P556" s="516"/>
      <c r="Q556" s="516"/>
      <c r="R556" s="516"/>
    </row>
    <row r="557">
      <c r="H557" s="516"/>
      <c r="I557" s="516"/>
      <c r="J557" s="516"/>
      <c r="P557" s="516"/>
      <c r="Q557" s="516"/>
      <c r="R557" s="516"/>
    </row>
    <row r="558">
      <c r="H558" s="516"/>
      <c r="I558" s="516"/>
      <c r="J558" s="516"/>
      <c r="P558" s="516"/>
      <c r="Q558" s="516"/>
      <c r="R558" s="516"/>
    </row>
    <row r="559">
      <c r="H559" s="516"/>
      <c r="I559" s="516"/>
      <c r="J559" s="516"/>
      <c r="P559" s="516"/>
      <c r="Q559" s="516"/>
      <c r="R559" s="516"/>
    </row>
    <row r="560">
      <c r="H560" s="516"/>
      <c r="I560" s="516"/>
      <c r="J560" s="516"/>
      <c r="P560" s="516"/>
      <c r="Q560" s="516"/>
      <c r="R560" s="516"/>
    </row>
    <row r="561">
      <c r="H561" s="516"/>
      <c r="I561" s="516"/>
      <c r="J561" s="516"/>
      <c r="P561" s="516"/>
      <c r="Q561" s="516"/>
      <c r="R561" s="516"/>
    </row>
    <row r="562">
      <c r="H562" s="516"/>
      <c r="I562" s="516"/>
      <c r="J562" s="516"/>
      <c r="P562" s="516"/>
      <c r="Q562" s="516"/>
      <c r="R562" s="516"/>
    </row>
    <row r="563">
      <c r="H563" s="516"/>
      <c r="I563" s="516"/>
      <c r="J563" s="516"/>
      <c r="P563" s="516"/>
      <c r="Q563" s="516"/>
      <c r="R563" s="516"/>
    </row>
    <row r="564">
      <c r="H564" s="516"/>
      <c r="I564" s="516"/>
      <c r="J564" s="516"/>
      <c r="P564" s="516"/>
      <c r="Q564" s="516"/>
      <c r="R564" s="516"/>
    </row>
    <row r="565">
      <c r="H565" s="516"/>
      <c r="I565" s="516"/>
      <c r="J565" s="516"/>
      <c r="P565" s="516"/>
      <c r="Q565" s="516"/>
      <c r="R565" s="516"/>
    </row>
    <row r="566">
      <c r="H566" s="516"/>
      <c r="I566" s="516"/>
      <c r="J566" s="516"/>
      <c r="P566" s="516"/>
      <c r="Q566" s="516"/>
      <c r="R566" s="516"/>
    </row>
    <row r="567">
      <c r="H567" s="516"/>
      <c r="I567" s="516"/>
      <c r="J567" s="516"/>
      <c r="P567" s="516"/>
      <c r="Q567" s="516"/>
      <c r="R567" s="516"/>
    </row>
    <row r="568">
      <c r="H568" s="516"/>
      <c r="I568" s="516"/>
      <c r="J568" s="516"/>
      <c r="P568" s="516"/>
      <c r="Q568" s="516"/>
      <c r="R568" s="516"/>
    </row>
    <row r="569">
      <c r="H569" s="516"/>
      <c r="I569" s="516"/>
      <c r="J569" s="516"/>
      <c r="P569" s="516"/>
      <c r="Q569" s="516"/>
      <c r="R569" s="516"/>
    </row>
    <row r="570">
      <c r="H570" s="516"/>
      <c r="I570" s="516"/>
      <c r="J570" s="516"/>
      <c r="P570" s="516"/>
      <c r="Q570" s="516"/>
      <c r="R570" s="516"/>
    </row>
    <row r="571">
      <c r="H571" s="516"/>
      <c r="I571" s="516"/>
      <c r="J571" s="516"/>
      <c r="P571" s="516"/>
      <c r="Q571" s="516"/>
      <c r="R571" s="516"/>
    </row>
    <row r="572">
      <c r="H572" s="516"/>
      <c r="I572" s="516"/>
      <c r="J572" s="516"/>
      <c r="P572" s="516"/>
      <c r="Q572" s="516"/>
      <c r="R572" s="516"/>
    </row>
    <row r="573">
      <c r="H573" s="516"/>
      <c r="I573" s="516"/>
      <c r="J573" s="516"/>
      <c r="P573" s="516"/>
      <c r="Q573" s="516"/>
      <c r="R573" s="516"/>
    </row>
    <row r="574">
      <c r="H574" s="516"/>
      <c r="I574" s="516"/>
      <c r="J574" s="516"/>
      <c r="P574" s="516"/>
      <c r="Q574" s="516"/>
      <c r="R574" s="516"/>
    </row>
    <row r="575">
      <c r="H575" s="516"/>
      <c r="I575" s="516"/>
      <c r="J575" s="516"/>
      <c r="P575" s="516"/>
      <c r="Q575" s="516"/>
      <c r="R575" s="516"/>
    </row>
    <row r="576">
      <c r="H576" s="516"/>
      <c r="I576" s="516"/>
      <c r="J576" s="516"/>
      <c r="P576" s="516"/>
      <c r="Q576" s="516"/>
      <c r="R576" s="516"/>
    </row>
    <row r="577">
      <c r="H577" s="516"/>
      <c r="I577" s="516"/>
      <c r="J577" s="516"/>
      <c r="P577" s="516"/>
      <c r="Q577" s="516"/>
      <c r="R577" s="516"/>
    </row>
    <row r="578">
      <c r="H578" s="516"/>
      <c r="I578" s="516"/>
      <c r="J578" s="516"/>
      <c r="P578" s="516"/>
      <c r="Q578" s="516"/>
      <c r="R578" s="516"/>
    </row>
    <row r="579">
      <c r="H579" s="516"/>
      <c r="I579" s="516"/>
      <c r="J579" s="516"/>
      <c r="P579" s="516"/>
      <c r="Q579" s="516"/>
      <c r="R579" s="516"/>
    </row>
    <row r="580">
      <c r="H580" s="516"/>
      <c r="I580" s="516"/>
      <c r="J580" s="516"/>
      <c r="P580" s="516"/>
      <c r="Q580" s="516"/>
      <c r="R580" s="516"/>
    </row>
    <row r="581">
      <c r="H581" s="516"/>
      <c r="I581" s="516"/>
      <c r="J581" s="516"/>
      <c r="P581" s="516"/>
      <c r="Q581" s="516"/>
      <c r="R581" s="516"/>
    </row>
    <row r="582">
      <c r="H582" s="516"/>
      <c r="I582" s="516"/>
      <c r="J582" s="516"/>
      <c r="P582" s="516"/>
      <c r="Q582" s="516"/>
      <c r="R582" s="516"/>
    </row>
    <row r="583">
      <c r="H583" s="516"/>
      <c r="I583" s="516"/>
      <c r="J583" s="516"/>
      <c r="P583" s="516"/>
      <c r="Q583" s="516"/>
      <c r="R583" s="516"/>
    </row>
    <row r="584">
      <c r="H584" s="516"/>
      <c r="I584" s="516"/>
      <c r="J584" s="516"/>
      <c r="P584" s="516"/>
      <c r="Q584" s="516"/>
      <c r="R584" s="516"/>
    </row>
    <row r="585">
      <c r="H585" s="516"/>
      <c r="I585" s="516"/>
      <c r="J585" s="516"/>
      <c r="P585" s="516"/>
      <c r="Q585" s="516"/>
      <c r="R585" s="516"/>
    </row>
    <row r="586">
      <c r="H586" s="516"/>
      <c r="I586" s="516"/>
      <c r="J586" s="516"/>
      <c r="P586" s="516"/>
      <c r="Q586" s="516"/>
      <c r="R586" s="516"/>
    </row>
    <row r="587">
      <c r="H587" s="516"/>
      <c r="I587" s="516"/>
      <c r="J587" s="516"/>
      <c r="P587" s="516"/>
      <c r="Q587" s="516"/>
      <c r="R587" s="516"/>
    </row>
    <row r="588">
      <c r="H588" s="516"/>
      <c r="I588" s="516"/>
      <c r="J588" s="516"/>
      <c r="P588" s="516"/>
      <c r="Q588" s="516"/>
      <c r="R588" s="516"/>
    </row>
    <row r="589">
      <c r="H589" s="516"/>
      <c r="I589" s="516"/>
      <c r="J589" s="516"/>
      <c r="P589" s="516"/>
      <c r="Q589" s="516"/>
      <c r="R589" s="516"/>
    </row>
    <row r="590">
      <c r="H590" s="516"/>
      <c r="I590" s="516"/>
      <c r="J590" s="516"/>
      <c r="P590" s="516"/>
      <c r="Q590" s="516"/>
      <c r="R590" s="516"/>
    </row>
    <row r="591">
      <c r="H591" s="516"/>
      <c r="I591" s="516"/>
      <c r="J591" s="516"/>
      <c r="P591" s="516"/>
      <c r="Q591" s="516"/>
      <c r="R591" s="516"/>
    </row>
    <row r="592">
      <c r="H592" s="516"/>
      <c r="I592" s="516"/>
      <c r="J592" s="516"/>
      <c r="P592" s="516"/>
      <c r="Q592" s="516"/>
      <c r="R592" s="516"/>
    </row>
    <row r="593">
      <c r="H593" s="516"/>
      <c r="I593" s="516"/>
      <c r="J593" s="516"/>
      <c r="P593" s="516"/>
      <c r="Q593" s="516"/>
      <c r="R593" s="516"/>
    </row>
    <row r="594">
      <c r="H594" s="516"/>
      <c r="I594" s="516"/>
      <c r="J594" s="516"/>
      <c r="P594" s="516"/>
      <c r="Q594" s="516"/>
      <c r="R594" s="516"/>
    </row>
    <row r="595">
      <c r="H595" s="516"/>
      <c r="I595" s="516"/>
      <c r="J595" s="516"/>
      <c r="P595" s="516"/>
      <c r="Q595" s="516"/>
      <c r="R595" s="516"/>
    </row>
    <row r="596">
      <c r="H596" s="516"/>
      <c r="I596" s="516"/>
      <c r="J596" s="516"/>
      <c r="P596" s="516"/>
      <c r="Q596" s="516"/>
      <c r="R596" s="516"/>
    </row>
    <row r="597">
      <c r="H597" s="516"/>
      <c r="I597" s="516"/>
      <c r="J597" s="516"/>
      <c r="P597" s="516"/>
      <c r="Q597" s="516"/>
      <c r="R597" s="516"/>
    </row>
    <row r="598">
      <c r="H598" s="516"/>
      <c r="I598" s="516"/>
      <c r="J598" s="516"/>
      <c r="P598" s="516"/>
      <c r="Q598" s="516"/>
      <c r="R598" s="516"/>
    </row>
    <row r="599">
      <c r="H599" s="516"/>
      <c r="I599" s="516"/>
      <c r="J599" s="516"/>
      <c r="P599" s="516"/>
      <c r="Q599" s="516"/>
      <c r="R599" s="516"/>
    </row>
    <row r="600">
      <c r="H600" s="516"/>
      <c r="I600" s="516"/>
      <c r="J600" s="516"/>
      <c r="P600" s="516"/>
      <c r="Q600" s="516"/>
      <c r="R600" s="516"/>
    </row>
    <row r="601">
      <c r="H601" s="516"/>
      <c r="I601" s="516"/>
      <c r="J601" s="516"/>
      <c r="P601" s="516"/>
      <c r="Q601" s="516"/>
      <c r="R601" s="516"/>
    </row>
    <row r="602">
      <c r="H602" s="516"/>
      <c r="I602" s="516"/>
      <c r="J602" s="516"/>
      <c r="P602" s="516"/>
      <c r="Q602" s="516"/>
      <c r="R602" s="516"/>
    </row>
    <row r="603">
      <c r="H603" s="516"/>
      <c r="I603" s="516"/>
      <c r="J603" s="516"/>
      <c r="P603" s="516"/>
      <c r="Q603" s="516"/>
      <c r="R603" s="516"/>
    </row>
    <row r="604">
      <c r="H604" s="516"/>
      <c r="I604" s="516"/>
      <c r="J604" s="516"/>
      <c r="P604" s="516"/>
      <c r="Q604" s="516"/>
      <c r="R604" s="516"/>
    </row>
    <row r="605">
      <c r="H605" s="516"/>
      <c r="I605" s="516"/>
      <c r="J605" s="516"/>
      <c r="P605" s="516"/>
      <c r="Q605" s="516"/>
      <c r="R605" s="516"/>
    </row>
    <row r="606">
      <c r="H606" s="516"/>
      <c r="I606" s="516"/>
      <c r="J606" s="516"/>
      <c r="P606" s="516"/>
      <c r="Q606" s="516"/>
      <c r="R606" s="516"/>
    </row>
    <row r="607">
      <c r="H607" s="516"/>
      <c r="I607" s="516"/>
      <c r="J607" s="516"/>
      <c r="P607" s="516"/>
      <c r="Q607" s="516"/>
      <c r="R607" s="516"/>
    </row>
    <row r="608">
      <c r="H608" s="516"/>
      <c r="I608" s="516"/>
      <c r="J608" s="516"/>
      <c r="P608" s="516"/>
      <c r="Q608" s="516"/>
      <c r="R608" s="516"/>
    </row>
    <row r="609">
      <c r="H609" s="516"/>
      <c r="I609" s="516"/>
      <c r="J609" s="516"/>
      <c r="P609" s="516"/>
      <c r="Q609" s="516"/>
      <c r="R609" s="516"/>
    </row>
    <row r="610">
      <c r="H610" s="516"/>
      <c r="I610" s="516"/>
      <c r="J610" s="516"/>
      <c r="P610" s="516"/>
      <c r="Q610" s="516"/>
      <c r="R610" s="516"/>
    </row>
    <row r="611">
      <c r="H611" s="516"/>
      <c r="I611" s="516"/>
      <c r="J611" s="516"/>
      <c r="P611" s="516"/>
      <c r="Q611" s="516"/>
      <c r="R611" s="516"/>
    </row>
    <row r="612">
      <c r="H612" s="516"/>
      <c r="I612" s="516"/>
      <c r="J612" s="516"/>
      <c r="P612" s="516"/>
      <c r="Q612" s="516"/>
      <c r="R612" s="516"/>
    </row>
    <row r="613">
      <c r="H613" s="516"/>
      <c r="I613" s="516"/>
      <c r="J613" s="516"/>
      <c r="P613" s="516"/>
      <c r="Q613" s="516"/>
      <c r="R613" s="516"/>
    </row>
    <row r="614">
      <c r="H614" s="516"/>
      <c r="I614" s="516"/>
      <c r="J614" s="516"/>
      <c r="P614" s="516"/>
      <c r="Q614" s="516"/>
      <c r="R614" s="516"/>
    </row>
    <row r="615">
      <c r="H615" s="516"/>
      <c r="I615" s="516"/>
      <c r="J615" s="516"/>
      <c r="P615" s="516"/>
      <c r="Q615" s="516"/>
      <c r="R615" s="516"/>
    </row>
    <row r="616">
      <c r="H616" s="516"/>
      <c r="I616" s="516"/>
      <c r="J616" s="516"/>
      <c r="P616" s="516"/>
      <c r="Q616" s="516"/>
      <c r="R616" s="516"/>
    </row>
    <row r="617">
      <c r="H617" s="516"/>
      <c r="I617" s="516"/>
      <c r="J617" s="516"/>
      <c r="P617" s="516"/>
      <c r="Q617" s="516"/>
      <c r="R617" s="516"/>
    </row>
    <row r="618">
      <c r="H618" s="516"/>
      <c r="I618" s="516"/>
      <c r="J618" s="516"/>
      <c r="P618" s="516"/>
      <c r="Q618" s="516"/>
      <c r="R618" s="516"/>
    </row>
    <row r="619">
      <c r="H619" s="516"/>
      <c r="I619" s="516"/>
      <c r="J619" s="516"/>
      <c r="P619" s="516"/>
      <c r="Q619" s="516"/>
      <c r="R619" s="516"/>
    </row>
    <row r="620">
      <c r="H620" s="516"/>
      <c r="I620" s="516"/>
      <c r="J620" s="516"/>
      <c r="P620" s="516"/>
      <c r="Q620" s="516"/>
      <c r="R620" s="516"/>
    </row>
    <row r="621">
      <c r="H621" s="516"/>
      <c r="I621" s="516"/>
      <c r="J621" s="516"/>
      <c r="P621" s="516"/>
      <c r="Q621" s="516"/>
      <c r="R621" s="516"/>
    </row>
    <row r="622">
      <c r="H622" s="516"/>
      <c r="I622" s="516"/>
      <c r="J622" s="516"/>
      <c r="P622" s="516"/>
      <c r="Q622" s="516"/>
      <c r="R622" s="516"/>
    </row>
    <row r="623">
      <c r="H623" s="516"/>
      <c r="I623" s="516"/>
      <c r="J623" s="516"/>
      <c r="P623" s="516"/>
      <c r="Q623" s="516"/>
      <c r="R623" s="516"/>
    </row>
    <row r="624">
      <c r="H624" s="516"/>
      <c r="I624" s="516"/>
      <c r="J624" s="516"/>
      <c r="P624" s="516"/>
      <c r="Q624" s="516"/>
      <c r="R624" s="516"/>
    </row>
    <row r="625">
      <c r="H625" s="516"/>
      <c r="I625" s="516"/>
      <c r="J625" s="516"/>
      <c r="P625" s="516"/>
      <c r="Q625" s="516"/>
      <c r="R625" s="516"/>
    </row>
    <row r="626">
      <c r="H626" s="516"/>
      <c r="I626" s="516"/>
      <c r="J626" s="516"/>
      <c r="P626" s="516"/>
      <c r="Q626" s="516"/>
      <c r="R626" s="516"/>
    </row>
    <row r="627">
      <c r="H627" s="516"/>
      <c r="I627" s="516"/>
      <c r="J627" s="516"/>
      <c r="P627" s="516"/>
      <c r="Q627" s="516"/>
      <c r="R627" s="516"/>
    </row>
    <row r="628">
      <c r="H628" s="516"/>
      <c r="I628" s="516"/>
      <c r="J628" s="516"/>
      <c r="P628" s="516"/>
      <c r="Q628" s="516"/>
      <c r="R628" s="516"/>
    </row>
    <row r="629">
      <c r="H629" s="516"/>
      <c r="I629" s="516"/>
      <c r="J629" s="516"/>
      <c r="P629" s="516"/>
      <c r="Q629" s="516"/>
      <c r="R629" s="516"/>
    </row>
    <row r="630">
      <c r="H630" s="516"/>
      <c r="I630" s="516"/>
      <c r="J630" s="516"/>
      <c r="P630" s="516"/>
      <c r="Q630" s="516"/>
      <c r="R630" s="516"/>
    </row>
    <row r="631">
      <c r="H631" s="516"/>
      <c r="I631" s="516"/>
      <c r="J631" s="516"/>
      <c r="P631" s="516"/>
      <c r="Q631" s="516"/>
      <c r="R631" s="516"/>
    </row>
    <row r="632">
      <c r="H632" s="516"/>
      <c r="I632" s="516"/>
      <c r="J632" s="516"/>
      <c r="P632" s="516"/>
      <c r="Q632" s="516"/>
      <c r="R632" s="516"/>
    </row>
    <row r="633">
      <c r="H633" s="516"/>
      <c r="I633" s="516"/>
      <c r="J633" s="516"/>
      <c r="P633" s="516"/>
      <c r="Q633" s="516"/>
      <c r="R633" s="516"/>
    </row>
    <row r="634">
      <c r="H634" s="516"/>
      <c r="I634" s="516"/>
      <c r="J634" s="516"/>
      <c r="P634" s="516"/>
      <c r="Q634" s="516"/>
      <c r="R634" s="516"/>
    </row>
    <row r="635">
      <c r="H635" s="516"/>
      <c r="I635" s="516"/>
      <c r="J635" s="516"/>
      <c r="P635" s="516"/>
      <c r="Q635" s="516"/>
      <c r="R635" s="516"/>
    </row>
    <row r="636">
      <c r="H636" s="516"/>
      <c r="I636" s="516"/>
      <c r="J636" s="516"/>
      <c r="P636" s="516"/>
      <c r="Q636" s="516"/>
      <c r="R636" s="516"/>
    </row>
    <row r="637">
      <c r="H637" s="516"/>
      <c r="I637" s="516"/>
      <c r="J637" s="516"/>
      <c r="P637" s="516"/>
      <c r="Q637" s="516"/>
      <c r="R637" s="516"/>
    </row>
    <row r="638">
      <c r="H638" s="516"/>
      <c r="I638" s="516"/>
      <c r="J638" s="516"/>
      <c r="P638" s="516"/>
      <c r="Q638" s="516"/>
      <c r="R638" s="516"/>
    </row>
    <row r="639">
      <c r="H639" s="516"/>
      <c r="I639" s="516"/>
      <c r="J639" s="516"/>
      <c r="P639" s="516"/>
      <c r="Q639" s="516"/>
      <c r="R639" s="516"/>
    </row>
    <row r="640">
      <c r="H640" s="516"/>
      <c r="I640" s="516"/>
      <c r="J640" s="516"/>
      <c r="P640" s="516"/>
      <c r="Q640" s="516"/>
      <c r="R640" s="516"/>
    </row>
    <row r="641">
      <c r="H641" s="516"/>
      <c r="I641" s="516"/>
      <c r="J641" s="516"/>
      <c r="P641" s="516"/>
      <c r="Q641" s="516"/>
      <c r="R641" s="516"/>
    </row>
    <row r="642">
      <c r="H642" s="516"/>
      <c r="I642" s="516"/>
      <c r="J642" s="516"/>
      <c r="P642" s="516"/>
      <c r="Q642" s="516"/>
      <c r="R642" s="516"/>
    </row>
    <row r="643">
      <c r="H643" s="516"/>
      <c r="I643" s="516"/>
      <c r="J643" s="516"/>
      <c r="P643" s="516"/>
      <c r="Q643" s="516"/>
      <c r="R643" s="516"/>
    </row>
    <row r="644">
      <c r="H644" s="516"/>
      <c r="I644" s="516"/>
      <c r="J644" s="516"/>
      <c r="P644" s="516"/>
      <c r="Q644" s="516"/>
      <c r="R644" s="516"/>
    </row>
    <row r="645">
      <c r="H645" s="516"/>
      <c r="I645" s="516"/>
      <c r="J645" s="516"/>
      <c r="P645" s="516"/>
      <c r="Q645" s="516"/>
      <c r="R645" s="516"/>
    </row>
    <row r="646">
      <c r="H646" s="516"/>
      <c r="I646" s="516"/>
      <c r="J646" s="516"/>
      <c r="P646" s="516"/>
      <c r="Q646" s="516"/>
      <c r="R646" s="516"/>
    </row>
    <row r="647">
      <c r="H647" s="516"/>
      <c r="I647" s="516"/>
      <c r="J647" s="516"/>
      <c r="P647" s="516"/>
      <c r="Q647" s="516"/>
      <c r="R647" s="516"/>
    </row>
    <row r="648">
      <c r="H648" s="516"/>
      <c r="I648" s="516"/>
      <c r="J648" s="516"/>
      <c r="P648" s="516"/>
      <c r="Q648" s="516"/>
      <c r="R648" s="516"/>
    </row>
    <row r="649">
      <c r="H649" s="516"/>
      <c r="I649" s="516"/>
      <c r="J649" s="516"/>
      <c r="P649" s="516"/>
      <c r="Q649" s="516"/>
      <c r="R649" s="516"/>
    </row>
    <row r="650">
      <c r="H650" s="516"/>
      <c r="I650" s="516"/>
      <c r="J650" s="516"/>
      <c r="P650" s="516"/>
      <c r="Q650" s="516"/>
      <c r="R650" s="516"/>
    </row>
    <row r="651">
      <c r="H651" s="516"/>
      <c r="I651" s="516"/>
      <c r="J651" s="516"/>
      <c r="P651" s="516"/>
      <c r="Q651" s="516"/>
      <c r="R651" s="516"/>
    </row>
    <row r="652">
      <c r="H652" s="516"/>
      <c r="I652" s="516"/>
      <c r="J652" s="516"/>
      <c r="P652" s="516"/>
      <c r="Q652" s="516"/>
      <c r="R652" s="516"/>
    </row>
    <row r="653">
      <c r="H653" s="516"/>
      <c r="I653" s="516"/>
      <c r="J653" s="516"/>
      <c r="P653" s="516"/>
      <c r="Q653" s="516"/>
      <c r="R653" s="516"/>
    </row>
    <row r="654">
      <c r="H654" s="516"/>
      <c r="I654" s="516"/>
      <c r="J654" s="516"/>
      <c r="P654" s="516"/>
      <c r="Q654" s="516"/>
      <c r="R654" s="516"/>
    </row>
    <row r="655">
      <c r="H655" s="516"/>
      <c r="I655" s="516"/>
      <c r="J655" s="516"/>
      <c r="P655" s="516"/>
      <c r="Q655" s="516"/>
      <c r="R655" s="516"/>
    </row>
    <row r="656">
      <c r="H656" s="516"/>
      <c r="I656" s="516"/>
      <c r="J656" s="516"/>
      <c r="P656" s="516"/>
      <c r="Q656" s="516"/>
      <c r="R656" s="516"/>
    </row>
    <row r="657">
      <c r="H657" s="516"/>
      <c r="I657" s="516"/>
      <c r="J657" s="516"/>
      <c r="P657" s="516"/>
      <c r="Q657" s="516"/>
      <c r="R657" s="516"/>
    </row>
    <row r="658">
      <c r="H658" s="516"/>
      <c r="I658" s="516"/>
      <c r="J658" s="516"/>
      <c r="P658" s="516"/>
      <c r="Q658" s="516"/>
      <c r="R658" s="516"/>
    </row>
    <row r="659">
      <c r="H659" s="516"/>
      <c r="I659" s="516"/>
      <c r="J659" s="516"/>
      <c r="P659" s="516"/>
      <c r="Q659" s="516"/>
      <c r="R659" s="516"/>
    </row>
    <row r="660">
      <c r="H660" s="516"/>
      <c r="I660" s="516"/>
      <c r="J660" s="516"/>
      <c r="P660" s="516"/>
      <c r="Q660" s="516"/>
      <c r="R660" s="516"/>
    </row>
    <row r="661">
      <c r="H661" s="516"/>
      <c r="I661" s="516"/>
      <c r="J661" s="516"/>
      <c r="P661" s="516"/>
      <c r="Q661" s="516"/>
      <c r="R661" s="516"/>
    </row>
    <row r="662">
      <c r="H662" s="516"/>
      <c r="I662" s="516"/>
      <c r="J662" s="516"/>
      <c r="P662" s="516"/>
      <c r="Q662" s="516"/>
      <c r="R662" s="516"/>
    </row>
    <row r="663">
      <c r="H663" s="516"/>
      <c r="I663" s="516"/>
      <c r="J663" s="516"/>
      <c r="P663" s="516"/>
      <c r="Q663" s="516"/>
      <c r="R663" s="516"/>
    </row>
    <row r="664">
      <c r="H664" s="516"/>
      <c r="I664" s="516"/>
      <c r="J664" s="516"/>
      <c r="P664" s="516"/>
      <c r="Q664" s="516"/>
      <c r="R664" s="516"/>
    </row>
    <row r="665">
      <c r="H665" s="516"/>
      <c r="I665" s="516"/>
      <c r="J665" s="516"/>
      <c r="P665" s="516"/>
      <c r="Q665" s="516"/>
      <c r="R665" s="516"/>
    </row>
    <row r="666">
      <c r="H666" s="516"/>
      <c r="I666" s="516"/>
      <c r="J666" s="516"/>
      <c r="P666" s="516"/>
      <c r="Q666" s="516"/>
      <c r="R666" s="516"/>
    </row>
    <row r="667">
      <c r="H667" s="516"/>
      <c r="I667" s="516"/>
      <c r="J667" s="516"/>
      <c r="P667" s="516"/>
      <c r="Q667" s="516"/>
      <c r="R667" s="516"/>
    </row>
    <row r="668">
      <c r="H668" s="516"/>
      <c r="I668" s="516"/>
      <c r="J668" s="516"/>
      <c r="P668" s="516"/>
      <c r="Q668" s="516"/>
      <c r="R668" s="516"/>
    </row>
    <row r="669">
      <c r="H669" s="516"/>
      <c r="I669" s="516"/>
      <c r="J669" s="516"/>
      <c r="P669" s="516"/>
      <c r="Q669" s="516"/>
      <c r="R669" s="516"/>
    </row>
    <row r="670">
      <c r="H670" s="516"/>
      <c r="I670" s="516"/>
      <c r="J670" s="516"/>
      <c r="P670" s="516"/>
      <c r="Q670" s="516"/>
      <c r="R670" s="516"/>
    </row>
    <row r="671">
      <c r="H671" s="516"/>
      <c r="I671" s="516"/>
      <c r="J671" s="516"/>
      <c r="P671" s="516"/>
      <c r="Q671" s="516"/>
      <c r="R671" s="516"/>
    </row>
    <row r="672">
      <c r="H672" s="516"/>
      <c r="I672" s="516"/>
      <c r="J672" s="516"/>
      <c r="P672" s="516"/>
      <c r="Q672" s="516"/>
      <c r="R672" s="516"/>
    </row>
    <row r="673">
      <c r="H673" s="516"/>
      <c r="I673" s="516"/>
      <c r="J673" s="516"/>
      <c r="P673" s="516"/>
      <c r="Q673" s="516"/>
      <c r="R673" s="516"/>
    </row>
    <row r="674">
      <c r="H674" s="516"/>
      <c r="I674" s="516"/>
      <c r="J674" s="516"/>
      <c r="P674" s="516"/>
      <c r="Q674" s="516"/>
      <c r="R674" s="516"/>
    </row>
    <row r="675">
      <c r="H675" s="516"/>
      <c r="I675" s="516"/>
      <c r="J675" s="516"/>
      <c r="P675" s="516"/>
      <c r="Q675" s="516"/>
      <c r="R675" s="516"/>
    </row>
    <row r="676">
      <c r="H676" s="516"/>
      <c r="I676" s="516"/>
      <c r="J676" s="516"/>
      <c r="P676" s="516"/>
      <c r="Q676" s="516"/>
      <c r="R676" s="516"/>
    </row>
    <row r="677">
      <c r="H677" s="516"/>
      <c r="I677" s="516"/>
      <c r="J677" s="516"/>
      <c r="P677" s="516"/>
      <c r="Q677" s="516"/>
      <c r="R677" s="516"/>
    </row>
    <row r="678">
      <c r="H678" s="516"/>
      <c r="I678" s="516"/>
      <c r="J678" s="516"/>
      <c r="P678" s="516"/>
      <c r="Q678" s="516"/>
      <c r="R678" s="516"/>
    </row>
    <row r="679">
      <c r="H679" s="516"/>
      <c r="I679" s="516"/>
      <c r="J679" s="516"/>
      <c r="P679" s="516"/>
      <c r="Q679" s="516"/>
      <c r="R679" s="516"/>
    </row>
    <row r="680">
      <c r="H680" s="516"/>
      <c r="I680" s="516"/>
      <c r="J680" s="516"/>
      <c r="P680" s="516"/>
      <c r="Q680" s="516"/>
      <c r="R680" s="516"/>
    </row>
    <row r="681">
      <c r="H681" s="516"/>
      <c r="I681" s="516"/>
      <c r="J681" s="516"/>
      <c r="P681" s="516"/>
      <c r="Q681" s="516"/>
      <c r="R681" s="516"/>
    </row>
    <row r="682">
      <c r="H682" s="516"/>
      <c r="I682" s="516"/>
      <c r="J682" s="516"/>
      <c r="P682" s="516"/>
      <c r="Q682" s="516"/>
      <c r="R682" s="516"/>
    </row>
    <row r="683">
      <c r="H683" s="516"/>
      <c r="I683" s="516"/>
      <c r="J683" s="516"/>
      <c r="P683" s="516"/>
      <c r="Q683" s="516"/>
      <c r="R683" s="516"/>
    </row>
    <row r="684">
      <c r="H684" s="516"/>
      <c r="I684" s="516"/>
      <c r="J684" s="516"/>
      <c r="P684" s="516"/>
      <c r="Q684" s="516"/>
      <c r="R684" s="516"/>
    </row>
    <row r="685">
      <c r="H685" s="516"/>
      <c r="I685" s="516"/>
      <c r="J685" s="516"/>
      <c r="P685" s="516"/>
      <c r="Q685" s="516"/>
      <c r="R685" s="516"/>
    </row>
    <row r="686">
      <c r="H686" s="516"/>
      <c r="I686" s="516"/>
      <c r="J686" s="516"/>
      <c r="P686" s="516"/>
      <c r="Q686" s="516"/>
      <c r="R686" s="516"/>
    </row>
    <row r="687">
      <c r="H687" s="516"/>
      <c r="I687" s="516"/>
      <c r="J687" s="516"/>
      <c r="P687" s="516"/>
      <c r="Q687" s="516"/>
      <c r="R687" s="516"/>
    </row>
    <row r="688">
      <c r="H688" s="516"/>
      <c r="I688" s="516"/>
      <c r="J688" s="516"/>
      <c r="P688" s="516"/>
      <c r="Q688" s="516"/>
      <c r="R688" s="516"/>
    </row>
    <row r="689">
      <c r="H689" s="516"/>
      <c r="I689" s="516"/>
      <c r="J689" s="516"/>
      <c r="P689" s="516"/>
      <c r="Q689" s="516"/>
      <c r="R689" s="516"/>
    </row>
    <row r="690">
      <c r="H690" s="516"/>
      <c r="I690" s="516"/>
      <c r="J690" s="516"/>
      <c r="P690" s="516"/>
      <c r="Q690" s="516"/>
      <c r="R690" s="516"/>
    </row>
    <row r="691">
      <c r="H691" s="516"/>
      <c r="I691" s="516"/>
      <c r="J691" s="516"/>
      <c r="P691" s="516"/>
      <c r="Q691" s="516"/>
      <c r="R691" s="516"/>
    </row>
    <row r="692">
      <c r="H692" s="516"/>
      <c r="I692" s="516"/>
      <c r="J692" s="516"/>
      <c r="P692" s="516"/>
      <c r="Q692" s="516"/>
      <c r="R692" s="516"/>
    </row>
    <row r="693">
      <c r="H693" s="516"/>
      <c r="I693" s="516"/>
      <c r="J693" s="516"/>
      <c r="P693" s="516"/>
      <c r="Q693" s="516"/>
      <c r="R693" s="516"/>
    </row>
    <row r="694">
      <c r="H694" s="516"/>
      <c r="I694" s="516"/>
      <c r="J694" s="516"/>
      <c r="P694" s="516"/>
      <c r="Q694" s="516"/>
      <c r="R694" s="516"/>
    </row>
    <row r="695">
      <c r="H695" s="516"/>
      <c r="I695" s="516"/>
      <c r="J695" s="516"/>
      <c r="P695" s="516"/>
      <c r="Q695" s="516"/>
      <c r="R695" s="516"/>
    </row>
    <row r="696">
      <c r="H696" s="516"/>
      <c r="I696" s="516"/>
      <c r="J696" s="516"/>
      <c r="P696" s="516"/>
      <c r="Q696" s="516"/>
      <c r="R696" s="516"/>
    </row>
    <row r="697">
      <c r="H697" s="516"/>
      <c r="I697" s="516"/>
      <c r="J697" s="516"/>
      <c r="P697" s="516"/>
      <c r="Q697" s="516"/>
      <c r="R697" s="516"/>
    </row>
    <row r="698">
      <c r="H698" s="516"/>
      <c r="I698" s="516"/>
      <c r="J698" s="516"/>
      <c r="P698" s="516"/>
      <c r="Q698" s="516"/>
      <c r="R698" s="516"/>
    </row>
    <row r="699">
      <c r="H699" s="516"/>
      <c r="I699" s="516"/>
      <c r="J699" s="516"/>
      <c r="P699" s="516"/>
      <c r="Q699" s="516"/>
      <c r="R699" s="516"/>
    </row>
    <row r="700">
      <c r="H700" s="516"/>
      <c r="I700" s="516"/>
      <c r="J700" s="516"/>
      <c r="P700" s="516"/>
      <c r="Q700" s="516"/>
      <c r="R700" s="516"/>
    </row>
    <row r="701">
      <c r="H701" s="516"/>
      <c r="I701" s="516"/>
      <c r="J701" s="516"/>
      <c r="P701" s="516"/>
      <c r="Q701" s="516"/>
      <c r="R701" s="516"/>
    </row>
    <row r="702">
      <c r="H702" s="516"/>
      <c r="I702" s="516"/>
      <c r="J702" s="516"/>
      <c r="P702" s="516"/>
      <c r="Q702" s="516"/>
      <c r="R702" s="516"/>
    </row>
    <row r="703">
      <c r="H703" s="516"/>
      <c r="I703" s="516"/>
      <c r="J703" s="516"/>
      <c r="P703" s="516"/>
      <c r="Q703" s="516"/>
      <c r="R703" s="516"/>
    </row>
    <row r="704">
      <c r="H704" s="516"/>
      <c r="I704" s="516"/>
      <c r="J704" s="516"/>
      <c r="P704" s="516"/>
      <c r="Q704" s="516"/>
      <c r="R704" s="516"/>
    </row>
    <row r="705">
      <c r="H705" s="516"/>
      <c r="I705" s="516"/>
      <c r="J705" s="516"/>
      <c r="P705" s="516"/>
      <c r="Q705" s="516"/>
      <c r="R705" s="516"/>
    </row>
    <row r="706">
      <c r="H706" s="516"/>
      <c r="I706" s="516"/>
      <c r="J706" s="516"/>
      <c r="P706" s="516"/>
      <c r="Q706" s="516"/>
      <c r="R706" s="516"/>
    </row>
    <row r="707">
      <c r="H707" s="516"/>
      <c r="I707" s="516"/>
      <c r="J707" s="516"/>
      <c r="P707" s="516"/>
      <c r="Q707" s="516"/>
      <c r="R707" s="516"/>
    </row>
    <row r="708">
      <c r="H708" s="516"/>
      <c r="I708" s="516"/>
      <c r="J708" s="516"/>
      <c r="P708" s="516"/>
      <c r="Q708" s="516"/>
      <c r="R708" s="516"/>
    </row>
    <row r="709">
      <c r="H709" s="516"/>
      <c r="I709" s="516"/>
      <c r="J709" s="516"/>
      <c r="P709" s="516"/>
      <c r="Q709" s="516"/>
      <c r="R709" s="516"/>
    </row>
    <row r="710">
      <c r="H710" s="516"/>
      <c r="I710" s="516"/>
      <c r="J710" s="516"/>
      <c r="P710" s="516"/>
      <c r="Q710" s="516"/>
      <c r="R710" s="516"/>
    </row>
    <row r="711">
      <c r="H711" s="516"/>
      <c r="I711" s="516"/>
      <c r="J711" s="516"/>
      <c r="P711" s="516"/>
      <c r="Q711" s="516"/>
      <c r="R711" s="516"/>
    </row>
    <row r="712">
      <c r="H712" s="516"/>
      <c r="I712" s="516"/>
      <c r="J712" s="516"/>
      <c r="P712" s="516"/>
      <c r="Q712" s="516"/>
      <c r="R712" s="516"/>
    </row>
    <row r="713">
      <c r="H713" s="516"/>
      <c r="I713" s="516"/>
      <c r="J713" s="516"/>
      <c r="P713" s="516"/>
      <c r="Q713" s="516"/>
      <c r="R713" s="516"/>
    </row>
    <row r="714">
      <c r="H714" s="516"/>
      <c r="I714" s="516"/>
      <c r="J714" s="516"/>
      <c r="P714" s="516"/>
      <c r="Q714" s="516"/>
      <c r="R714" s="516"/>
    </row>
    <row r="715">
      <c r="H715" s="516"/>
      <c r="I715" s="516"/>
      <c r="J715" s="516"/>
      <c r="P715" s="516"/>
      <c r="Q715" s="516"/>
      <c r="R715" s="516"/>
    </row>
    <row r="716">
      <c r="H716" s="516"/>
      <c r="I716" s="516"/>
      <c r="J716" s="516"/>
      <c r="P716" s="516"/>
      <c r="Q716" s="516"/>
      <c r="R716" s="516"/>
    </row>
    <row r="717">
      <c r="H717" s="516"/>
      <c r="I717" s="516"/>
      <c r="J717" s="516"/>
      <c r="P717" s="516"/>
      <c r="Q717" s="516"/>
      <c r="R717" s="516"/>
    </row>
    <row r="718">
      <c r="H718" s="516"/>
      <c r="I718" s="516"/>
      <c r="J718" s="516"/>
      <c r="P718" s="516"/>
      <c r="Q718" s="516"/>
      <c r="R718" s="516"/>
    </row>
    <row r="719">
      <c r="H719" s="516"/>
      <c r="I719" s="516"/>
      <c r="J719" s="516"/>
      <c r="P719" s="516"/>
      <c r="Q719" s="516"/>
      <c r="R719" s="516"/>
    </row>
    <row r="720">
      <c r="H720" s="516"/>
      <c r="I720" s="516"/>
      <c r="J720" s="516"/>
      <c r="P720" s="516"/>
      <c r="Q720" s="516"/>
      <c r="R720" s="516"/>
    </row>
    <row r="721">
      <c r="H721" s="516"/>
      <c r="I721" s="516"/>
      <c r="J721" s="516"/>
      <c r="P721" s="516"/>
      <c r="Q721" s="516"/>
      <c r="R721" s="516"/>
    </row>
    <row r="722">
      <c r="H722" s="516"/>
      <c r="I722" s="516"/>
      <c r="J722" s="516"/>
      <c r="P722" s="516"/>
      <c r="Q722" s="516"/>
      <c r="R722" s="516"/>
    </row>
    <row r="723">
      <c r="H723" s="516"/>
      <c r="I723" s="516"/>
      <c r="J723" s="516"/>
      <c r="P723" s="516"/>
      <c r="Q723" s="516"/>
      <c r="R723" s="516"/>
    </row>
    <row r="724">
      <c r="H724" s="516"/>
      <c r="I724" s="516"/>
      <c r="J724" s="516"/>
      <c r="P724" s="516"/>
      <c r="Q724" s="516"/>
      <c r="R724" s="516"/>
    </row>
    <row r="725">
      <c r="H725" s="516"/>
      <c r="I725" s="516"/>
      <c r="J725" s="516"/>
      <c r="P725" s="516"/>
      <c r="Q725" s="516"/>
      <c r="R725" s="516"/>
    </row>
    <row r="726">
      <c r="H726" s="516"/>
      <c r="I726" s="516"/>
      <c r="J726" s="516"/>
      <c r="P726" s="516"/>
      <c r="Q726" s="516"/>
      <c r="R726" s="516"/>
    </row>
    <row r="727">
      <c r="H727" s="516"/>
      <c r="I727" s="516"/>
      <c r="J727" s="516"/>
      <c r="P727" s="516"/>
      <c r="Q727" s="516"/>
      <c r="R727" s="516"/>
    </row>
    <row r="728">
      <c r="H728" s="516"/>
      <c r="I728" s="516"/>
      <c r="J728" s="516"/>
      <c r="P728" s="516"/>
      <c r="Q728" s="516"/>
      <c r="R728" s="516"/>
    </row>
    <row r="729">
      <c r="H729" s="516"/>
      <c r="I729" s="516"/>
      <c r="J729" s="516"/>
      <c r="P729" s="516"/>
      <c r="Q729" s="516"/>
      <c r="R729" s="516"/>
    </row>
    <row r="730">
      <c r="H730" s="516"/>
      <c r="I730" s="516"/>
      <c r="J730" s="516"/>
      <c r="P730" s="516"/>
      <c r="Q730" s="516"/>
      <c r="R730" s="516"/>
    </row>
    <row r="731">
      <c r="H731" s="516"/>
      <c r="I731" s="516"/>
      <c r="J731" s="516"/>
      <c r="P731" s="516"/>
      <c r="Q731" s="516"/>
      <c r="R731" s="516"/>
    </row>
    <row r="732">
      <c r="H732" s="516"/>
      <c r="I732" s="516"/>
      <c r="J732" s="516"/>
      <c r="P732" s="516"/>
      <c r="Q732" s="516"/>
      <c r="R732" s="516"/>
    </row>
    <row r="733">
      <c r="H733" s="516"/>
      <c r="I733" s="516"/>
      <c r="J733" s="516"/>
      <c r="P733" s="516"/>
      <c r="Q733" s="516"/>
      <c r="R733" s="516"/>
    </row>
    <row r="734">
      <c r="H734" s="516"/>
      <c r="I734" s="516"/>
      <c r="J734" s="516"/>
      <c r="P734" s="516"/>
      <c r="Q734" s="516"/>
      <c r="R734" s="516"/>
    </row>
    <row r="735">
      <c r="H735" s="516"/>
      <c r="I735" s="516"/>
      <c r="J735" s="516"/>
      <c r="P735" s="516"/>
      <c r="Q735" s="516"/>
      <c r="R735" s="516"/>
    </row>
    <row r="736">
      <c r="H736" s="516"/>
      <c r="I736" s="516"/>
      <c r="J736" s="516"/>
      <c r="P736" s="516"/>
      <c r="Q736" s="516"/>
      <c r="R736" s="516"/>
    </row>
    <row r="737">
      <c r="H737" s="516"/>
      <c r="I737" s="516"/>
      <c r="J737" s="516"/>
      <c r="P737" s="516"/>
      <c r="Q737" s="516"/>
      <c r="R737" s="516"/>
    </row>
    <row r="738">
      <c r="H738" s="516"/>
      <c r="I738" s="516"/>
      <c r="J738" s="516"/>
      <c r="P738" s="516"/>
      <c r="Q738" s="516"/>
      <c r="R738" s="516"/>
    </row>
    <row r="739">
      <c r="H739" s="516"/>
      <c r="I739" s="516"/>
      <c r="J739" s="516"/>
      <c r="P739" s="516"/>
      <c r="Q739" s="516"/>
      <c r="R739" s="516"/>
    </row>
    <row r="740">
      <c r="H740" s="516"/>
      <c r="I740" s="516"/>
      <c r="J740" s="516"/>
      <c r="P740" s="516"/>
      <c r="Q740" s="516"/>
      <c r="R740" s="516"/>
    </row>
    <row r="741">
      <c r="H741" s="516"/>
      <c r="I741" s="516"/>
      <c r="J741" s="516"/>
      <c r="P741" s="516"/>
      <c r="Q741" s="516"/>
      <c r="R741" s="516"/>
    </row>
    <row r="742">
      <c r="H742" s="516"/>
      <c r="I742" s="516"/>
      <c r="J742" s="516"/>
      <c r="P742" s="516"/>
      <c r="Q742" s="516"/>
      <c r="R742" s="516"/>
    </row>
    <row r="743">
      <c r="H743" s="516"/>
      <c r="I743" s="516"/>
      <c r="J743" s="516"/>
      <c r="P743" s="516"/>
      <c r="Q743" s="516"/>
      <c r="R743" s="516"/>
    </row>
    <row r="744">
      <c r="H744" s="516"/>
      <c r="I744" s="516"/>
      <c r="J744" s="516"/>
      <c r="P744" s="516"/>
      <c r="Q744" s="516"/>
      <c r="R744" s="516"/>
    </row>
    <row r="745">
      <c r="H745" s="516"/>
      <c r="I745" s="516"/>
      <c r="J745" s="516"/>
      <c r="P745" s="516"/>
      <c r="Q745" s="516"/>
      <c r="R745" s="516"/>
    </row>
    <row r="746">
      <c r="H746" s="516"/>
      <c r="I746" s="516"/>
      <c r="J746" s="516"/>
      <c r="P746" s="516"/>
      <c r="Q746" s="516"/>
      <c r="R746" s="516"/>
    </row>
    <row r="747">
      <c r="H747" s="516"/>
      <c r="I747" s="516"/>
      <c r="J747" s="516"/>
      <c r="P747" s="516"/>
      <c r="Q747" s="516"/>
      <c r="R747" s="516"/>
    </row>
    <row r="748">
      <c r="H748" s="516"/>
      <c r="I748" s="516"/>
      <c r="J748" s="516"/>
      <c r="P748" s="516"/>
      <c r="Q748" s="516"/>
      <c r="R748" s="516"/>
    </row>
    <row r="749">
      <c r="H749" s="516"/>
      <c r="I749" s="516"/>
      <c r="J749" s="516"/>
      <c r="P749" s="516"/>
      <c r="Q749" s="516"/>
      <c r="R749" s="516"/>
    </row>
    <row r="750">
      <c r="H750" s="516"/>
      <c r="I750" s="516"/>
      <c r="J750" s="516"/>
      <c r="P750" s="516"/>
      <c r="Q750" s="516"/>
      <c r="R750" s="516"/>
    </row>
    <row r="751">
      <c r="H751" s="516"/>
      <c r="I751" s="516"/>
      <c r="J751" s="516"/>
      <c r="P751" s="516"/>
      <c r="Q751" s="516"/>
      <c r="R751" s="516"/>
    </row>
    <row r="752">
      <c r="H752" s="516"/>
      <c r="I752" s="516"/>
      <c r="J752" s="516"/>
      <c r="P752" s="516"/>
      <c r="Q752" s="516"/>
      <c r="R752" s="516"/>
    </row>
    <row r="753">
      <c r="H753" s="516"/>
      <c r="I753" s="516"/>
      <c r="J753" s="516"/>
      <c r="P753" s="516"/>
      <c r="Q753" s="516"/>
      <c r="R753" s="516"/>
    </row>
    <row r="754">
      <c r="H754" s="516"/>
      <c r="I754" s="516"/>
      <c r="J754" s="516"/>
      <c r="P754" s="516"/>
      <c r="Q754" s="516"/>
      <c r="R754" s="516"/>
    </row>
    <row r="755">
      <c r="H755" s="516"/>
      <c r="I755" s="516"/>
      <c r="J755" s="516"/>
      <c r="P755" s="516"/>
      <c r="Q755" s="516"/>
      <c r="R755" s="516"/>
    </row>
    <row r="756">
      <c r="H756" s="516"/>
      <c r="I756" s="516"/>
      <c r="J756" s="516"/>
      <c r="P756" s="516"/>
      <c r="Q756" s="516"/>
      <c r="R756" s="516"/>
    </row>
    <row r="757">
      <c r="H757" s="516"/>
      <c r="I757" s="516"/>
      <c r="J757" s="516"/>
      <c r="P757" s="516"/>
      <c r="Q757" s="516"/>
      <c r="R757" s="516"/>
    </row>
    <row r="758">
      <c r="H758" s="516"/>
      <c r="I758" s="516"/>
      <c r="J758" s="516"/>
      <c r="P758" s="516"/>
      <c r="Q758" s="516"/>
      <c r="R758" s="516"/>
    </row>
    <row r="759">
      <c r="H759" s="516"/>
      <c r="I759" s="516"/>
      <c r="J759" s="516"/>
      <c r="P759" s="516"/>
      <c r="Q759" s="516"/>
      <c r="R759" s="516"/>
    </row>
    <row r="760">
      <c r="H760" s="516"/>
      <c r="I760" s="516"/>
      <c r="J760" s="516"/>
      <c r="P760" s="516"/>
      <c r="Q760" s="516"/>
      <c r="R760" s="516"/>
    </row>
    <row r="761">
      <c r="H761" s="516"/>
      <c r="I761" s="516"/>
      <c r="J761" s="516"/>
      <c r="P761" s="516"/>
      <c r="Q761" s="516"/>
      <c r="R761" s="516"/>
    </row>
    <row r="762">
      <c r="H762" s="516"/>
      <c r="I762" s="516"/>
      <c r="J762" s="516"/>
      <c r="P762" s="516"/>
      <c r="Q762" s="516"/>
      <c r="R762" s="516"/>
    </row>
    <row r="763">
      <c r="H763" s="516"/>
      <c r="I763" s="516"/>
      <c r="J763" s="516"/>
      <c r="P763" s="516"/>
      <c r="Q763" s="516"/>
      <c r="R763" s="516"/>
    </row>
    <row r="764">
      <c r="H764" s="516"/>
      <c r="I764" s="516"/>
      <c r="J764" s="516"/>
      <c r="P764" s="516"/>
      <c r="Q764" s="516"/>
      <c r="R764" s="516"/>
    </row>
    <row r="765">
      <c r="H765" s="516"/>
      <c r="I765" s="516"/>
      <c r="J765" s="516"/>
      <c r="P765" s="516"/>
      <c r="Q765" s="516"/>
      <c r="R765" s="516"/>
    </row>
    <row r="766">
      <c r="H766" s="516"/>
      <c r="I766" s="516"/>
      <c r="J766" s="516"/>
      <c r="P766" s="516"/>
      <c r="Q766" s="516"/>
      <c r="R766" s="516"/>
    </row>
    <row r="767">
      <c r="H767" s="516"/>
      <c r="I767" s="516"/>
      <c r="J767" s="516"/>
      <c r="P767" s="516"/>
      <c r="Q767" s="516"/>
      <c r="R767" s="516"/>
    </row>
    <row r="768">
      <c r="H768" s="516"/>
      <c r="I768" s="516"/>
      <c r="J768" s="516"/>
      <c r="P768" s="516"/>
      <c r="Q768" s="516"/>
      <c r="R768" s="516"/>
    </row>
    <row r="769">
      <c r="H769" s="516"/>
      <c r="I769" s="516"/>
      <c r="J769" s="516"/>
      <c r="P769" s="516"/>
      <c r="Q769" s="516"/>
      <c r="R769" s="516"/>
    </row>
    <row r="770">
      <c r="H770" s="516"/>
      <c r="I770" s="516"/>
      <c r="J770" s="516"/>
      <c r="P770" s="516"/>
      <c r="Q770" s="516"/>
      <c r="R770" s="516"/>
    </row>
    <row r="771">
      <c r="H771" s="516"/>
      <c r="I771" s="516"/>
      <c r="J771" s="516"/>
      <c r="P771" s="516"/>
      <c r="Q771" s="516"/>
      <c r="R771" s="516"/>
    </row>
    <row r="772">
      <c r="H772" s="516"/>
      <c r="I772" s="516"/>
      <c r="J772" s="516"/>
      <c r="P772" s="516"/>
      <c r="Q772" s="516"/>
      <c r="R772" s="516"/>
    </row>
    <row r="773">
      <c r="H773" s="516"/>
      <c r="I773" s="516"/>
      <c r="J773" s="516"/>
      <c r="P773" s="516"/>
      <c r="Q773" s="516"/>
      <c r="R773" s="516"/>
    </row>
    <row r="774">
      <c r="H774" s="516"/>
      <c r="I774" s="516"/>
      <c r="J774" s="516"/>
      <c r="P774" s="516"/>
      <c r="Q774" s="516"/>
      <c r="R774" s="516"/>
    </row>
    <row r="775">
      <c r="H775" s="516"/>
      <c r="I775" s="516"/>
      <c r="J775" s="516"/>
      <c r="P775" s="516"/>
      <c r="Q775" s="516"/>
      <c r="R775" s="516"/>
    </row>
    <row r="776">
      <c r="H776" s="516"/>
      <c r="I776" s="516"/>
      <c r="J776" s="516"/>
      <c r="P776" s="516"/>
      <c r="Q776" s="516"/>
      <c r="R776" s="516"/>
    </row>
    <row r="777">
      <c r="H777" s="516"/>
      <c r="I777" s="516"/>
      <c r="J777" s="516"/>
      <c r="P777" s="516"/>
      <c r="Q777" s="516"/>
      <c r="R777" s="516"/>
    </row>
    <row r="778">
      <c r="H778" s="516"/>
      <c r="I778" s="516"/>
      <c r="J778" s="516"/>
      <c r="P778" s="516"/>
      <c r="Q778" s="516"/>
      <c r="R778" s="516"/>
    </row>
    <row r="779">
      <c r="H779" s="516"/>
      <c r="I779" s="516"/>
      <c r="J779" s="516"/>
      <c r="P779" s="516"/>
      <c r="Q779" s="516"/>
      <c r="R779" s="516"/>
    </row>
    <row r="780">
      <c r="H780" s="516"/>
      <c r="I780" s="516"/>
      <c r="J780" s="516"/>
      <c r="P780" s="516"/>
      <c r="Q780" s="516"/>
      <c r="R780" s="516"/>
    </row>
    <row r="781">
      <c r="H781" s="516"/>
      <c r="I781" s="516"/>
      <c r="J781" s="516"/>
      <c r="P781" s="516"/>
      <c r="Q781" s="516"/>
      <c r="R781" s="516"/>
    </row>
    <row r="782">
      <c r="H782" s="516"/>
      <c r="I782" s="516"/>
      <c r="J782" s="516"/>
      <c r="P782" s="516"/>
      <c r="Q782" s="516"/>
      <c r="R782" s="516"/>
    </row>
    <row r="783">
      <c r="H783" s="516"/>
      <c r="I783" s="516"/>
      <c r="J783" s="516"/>
      <c r="P783" s="516"/>
      <c r="Q783" s="516"/>
      <c r="R783" s="516"/>
    </row>
    <row r="784">
      <c r="H784" s="516"/>
      <c r="I784" s="516"/>
      <c r="J784" s="516"/>
      <c r="P784" s="516"/>
      <c r="Q784" s="516"/>
      <c r="R784" s="516"/>
    </row>
    <row r="785">
      <c r="H785" s="516"/>
      <c r="I785" s="516"/>
      <c r="J785" s="516"/>
      <c r="P785" s="516"/>
      <c r="Q785" s="516"/>
      <c r="R785" s="516"/>
    </row>
    <row r="786">
      <c r="H786" s="516"/>
      <c r="I786" s="516"/>
      <c r="J786" s="516"/>
      <c r="P786" s="516"/>
      <c r="Q786" s="516"/>
      <c r="R786" s="516"/>
    </row>
    <row r="787">
      <c r="H787" s="516"/>
      <c r="I787" s="516"/>
      <c r="J787" s="516"/>
      <c r="P787" s="516"/>
      <c r="Q787" s="516"/>
      <c r="R787" s="516"/>
    </row>
    <row r="788">
      <c r="H788" s="516"/>
      <c r="I788" s="516"/>
      <c r="J788" s="516"/>
      <c r="P788" s="516"/>
      <c r="Q788" s="516"/>
      <c r="R788" s="516"/>
    </row>
    <row r="789">
      <c r="H789" s="516"/>
      <c r="I789" s="516"/>
      <c r="J789" s="516"/>
      <c r="P789" s="516"/>
      <c r="Q789" s="516"/>
      <c r="R789" s="516"/>
    </row>
    <row r="790">
      <c r="H790" s="516"/>
      <c r="I790" s="516"/>
      <c r="J790" s="516"/>
      <c r="P790" s="516"/>
      <c r="Q790" s="516"/>
      <c r="R790" s="516"/>
    </row>
    <row r="791">
      <c r="H791" s="516"/>
      <c r="I791" s="516"/>
      <c r="J791" s="516"/>
      <c r="P791" s="516"/>
      <c r="Q791" s="516"/>
      <c r="R791" s="516"/>
    </row>
    <row r="792">
      <c r="H792" s="516"/>
      <c r="I792" s="516"/>
      <c r="J792" s="516"/>
      <c r="P792" s="516"/>
      <c r="Q792" s="516"/>
      <c r="R792" s="516"/>
    </row>
    <row r="793">
      <c r="H793" s="516"/>
      <c r="I793" s="516"/>
      <c r="J793" s="516"/>
      <c r="P793" s="516"/>
      <c r="Q793" s="516"/>
      <c r="R793" s="516"/>
    </row>
    <row r="794">
      <c r="H794" s="516"/>
      <c r="I794" s="516"/>
      <c r="J794" s="516"/>
      <c r="P794" s="516"/>
      <c r="Q794" s="516"/>
      <c r="R794" s="516"/>
    </row>
    <row r="795">
      <c r="H795" s="516"/>
      <c r="I795" s="516"/>
      <c r="J795" s="516"/>
      <c r="P795" s="516"/>
      <c r="Q795" s="516"/>
      <c r="R795" s="516"/>
    </row>
    <row r="796">
      <c r="H796" s="516"/>
      <c r="I796" s="516"/>
      <c r="J796" s="516"/>
      <c r="P796" s="516"/>
      <c r="Q796" s="516"/>
      <c r="R796" s="516"/>
    </row>
    <row r="797">
      <c r="H797" s="516"/>
      <c r="I797" s="516"/>
      <c r="J797" s="516"/>
      <c r="P797" s="516"/>
      <c r="Q797" s="516"/>
      <c r="R797" s="516"/>
    </row>
    <row r="798">
      <c r="H798" s="516"/>
      <c r="I798" s="516"/>
      <c r="J798" s="516"/>
      <c r="P798" s="516"/>
      <c r="Q798" s="516"/>
      <c r="R798" s="516"/>
    </row>
    <row r="799">
      <c r="H799" s="516"/>
      <c r="I799" s="516"/>
      <c r="J799" s="516"/>
      <c r="P799" s="516"/>
      <c r="Q799" s="516"/>
      <c r="R799" s="516"/>
    </row>
    <row r="800">
      <c r="H800" s="516"/>
      <c r="I800" s="516"/>
      <c r="J800" s="516"/>
      <c r="P800" s="516"/>
      <c r="Q800" s="516"/>
      <c r="R800" s="516"/>
    </row>
    <row r="801">
      <c r="H801" s="516"/>
      <c r="I801" s="516"/>
      <c r="J801" s="516"/>
      <c r="P801" s="516"/>
      <c r="Q801" s="516"/>
      <c r="R801" s="516"/>
    </row>
    <row r="802">
      <c r="H802" s="516"/>
      <c r="I802" s="516"/>
      <c r="J802" s="516"/>
      <c r="P802" s="516"/>
      <c r="Q802" s="516"/>
      <c r="R802" s="516"/>
    </row>
    <row r="803">
      <c r="H803" s="516"/>
      <c r="I803" s="516"/>
      <c r="J803" s="516"/>
      <c r="P803" s="516"/>
      <c r="Q803" s="516"/>
      <c r="R803" s="516"/>
    </row>
    <row r="804">
      <c r="H804" s="516"/>
      <c r="I804" s="516"/>
      <c r="J804" s="516"/>
      <c r="P804" s="516"/>
      <c r="Q804" s="516"/>
      <c r="R804" s="516"/>
    </row>
    <row r="805">
      <c r="H805" s="516"/>
      <c r="I805" s="516"/>
      <c r="J805" s="516"/>
      <c r="P805" s="516"/>
      <c r="Q805" s="516"/>
      <c r="R805" s="516"/>
    </row>
    <row r="806">
      <c r="H806" s="516"/>
      <c r="I806" s="516"/>
      <c r="J806" s="516"/>
      <c r="P806" s="516"/>
      <c r="Q806" s="516"/>
      <c r="R806" s="516"/>
    </row>
    <row r="807">
      <c r="H807" s="516"/>
      <c r="I807" s="516"/>
      <c r="J807" s="516"/>
      <c r="P807" s="516"/>
      <c r="Q807" s="516"/>
      <c r="R807" s="516"/>
    </row>
    <row r="808">
      <c r="H808" s="516"/>
      <c r="I808" s="516"/>
      <c r="J808" s="516"/>
      <c r="P808" s="516"/>
      <c r="Q808" s="516"/>
      <c r="R808" s="516"/>
    </row>
    <row r="809">
      <c r="H809" s="516"/>
      <c r="I809" s="516"/>
      <c r="J809" s="516"/>
      <c r="P809" s="516"/>
      <c r="Q809" s="516"/>
      <c r="R809" s="516"/>
    </row>
    <row r="810">
      <c r="H810" s="516"/>
      <c r="I810" s="516"/>
      <c r="J810" s="516"/>
      <c r="P810" s="516"/>
      <c r="Q810" s="516"/>
      <c r="R810" s="516"/>
    </row>
    <row r="811">
      <c r="H811" s="516"/>
      <c r="I811" s="516"/>
      <c r="J811" s="516"/>
      <c r="P811" s="516"/>
      <c r="Q811" s="516"/>
      <c r="R811" s="516"/>
    </row>
    <row r="812">
      <c r="H812" s="516"/>
      <c r="I812" s="516"/>
      <c r="J812" s="516"/>
      <c r="P812" s="516"/>
      <c r="Q812" s="516"/>
      <c r="R812" s="516"/>
    </row>
    <row r="813">
      <c r="H813" s="516"/>
      <c r="I813" s="516"/>
      <c r="J813" s="516"/>
      <c r="P813" s="516"/>
      <c r="Q813" s="516"/>
      <c r="R813" s="516"/>
    </row>
    <row r="814">
      <c r="H814" s="516"/>
      <c r="I814" s="516"/>
      <c r="J814" s="516"/>
      <c r="P814" s="516"/>
      <c r="Q814" s="516"/>
      <c r="R814" s="516"/>
    </row>
    <row r="815">
      <c r="H815" s="516"/>
      <c r="I815" s="516"/>
      <c r="J815" s="516"/>
      <c r="P815" s="516"/>
      <c r="Q815" s="516"/>
      <c r="R815" s="516"/>
    </row>
    <row r="816">
      <c r="H816" s="516"/>
      <c r="I816" s="516"/>
      <c r="J816" s="516"/>
      <c r="P816" s="516"/>
      <c r="Q816" s="516"/>
      <c r="R816" s="516"/>
    </row>
    <row r="817">
      <c r="H817" s="516"/>
      <c r="I817" s="516"/>
      <c r="J817" s="516"/>
      <c r="P817" s="516"/>
      <c r="Q817" s="516"/>
      <c r="R817" s="516"/>
    </row>
    <row r="818">
      <c r="H818" s="516"/>
      <c r="I818" s="516"/>
      <c r="J818" s="516"/>
      <c r="P818" s="516"/>
      <c r="Q818" s="516"/>
      <c r="R818" s="516"/>
    </row>
    <row r="819">
      <c r="H819" s="516"/>
      <c r="I819" s="516"/>
      <c r="J819" s="516"/>
      <c r="P819" s="516"/>
      <c r="Q819" s="516"/>
      <c r="R819" s="516"/>
    </row>
    <row r="820">
      <c r="H820" s="516"/>
      <c r="I820" s="516"/>
      <c r="J820" s="516"/>
      <c r="P820" s="516"/>
      <c r="Q820" s="516"/>
      <c r="R820" s="516"/>
    </row>
    <row r="821">
      <c r="H821" s="516"/>
      <c r="I821" s="516"/>
      <c r="J821" s="516"/>
      <c r="P821" s="516"/>
      <c r="Q821" s="516"/>
      <c r="R821" s="516"/>
    </row>
    <row r="822">
      <c r="H822" s="516"/>
      <c r="I822" s="516"/>
      <c r="J822" s="516"/>
      <c r="P822" s="516"/>
      <c r="Q822" s="516"/>
      <c r="R822" s="516"/>
    </row>
    <row r="823">
      <c r="H823" s="516"/>
      <c r="I823" s="516"/>
      <c r="J823" s="516"/>
      <c r="P823" s="516"/>
      <c r="Q823" s="516"/>
      <c r="R823" s="516"/>
    </row>
    <row r="824">
      <c r="H824" s="516"/>
      <c r="I824" s="516"/>
      <c r="J824" s="516"/>
      <c r="P824" s="516"/>
      <c r="Q824" s="516"/>
      <c r="R824" s="516"/>
    </row>
    <row r="825">
      <c r="H825" s="516"/>
      <c r="I825" s="516"/>
      <c r="J825" s="516"/>
      <c r="P825" s="516"/>
      <c r="Q825" s="516"/>
      <c r="R825" s="516"/>
    </row>
    <row r="826">
      <c r="H826" s="516"/>
      <c r="I826" s="516"/>
      <c r="J826" s="516"/>
      <c r="P826" s="516"/>
      <c r="Q826" s="516"/>
      <c r="R826" s="516"/>
    </row>
    <row r="827">
      <c r="H827" s="516"/>
      <c r="I827" s="516"/>
      <c r="J827" s="516"/>
      <c r="P827" s="516"/>
      <c r="Q827" s="516"/>
      <c r="R827" s="516"/>
    </row>
    <row r="828">
      <c r="H828" s="516"/>
      <c r="I828" s="516"/>
      <c r="J828" s="516"/>
      <c r="P828" s="516"/>
      <c r="Q828" s="516"/>
      <c r="R828" s="516"/>
    </row>
    <row r="829">
      <c r="H829" s="516"/>
      <c r="I829" s="516"/>
      <c r="J829" s="516"/>
      <c r="P829" s="516"/>
      <c r="Q829" s="516"/>
      <c r="R829" s="516"/>
    </row>
    <row r="830">
      <c r="H830" s="516"/>
      <c r="I830" s="516"/>
      <c r="J830" s="516"/>
      <c r="P830" s="516"/>
      <c r="Q830" s="516"/>
      <c r="R830" s="516"/>
    </row>
    <row r="831">
      <c r="H831" s="516"/>
      <c r="I831" s="516"/>
      <c r="J831" s="516"/>
      <c r="P831" s="516"/>
      <c r="Q831" s="516"/>
      <c r="R831" s="516"/>
    </row>
    <row r="832">
      <c r="H832" s="516"/>
      <c r="I832" s="516"/>
      <c r="J832" s="516"/>
      <c r="P832" s="516"/>
      <c r="Q832" s="516"/>
      <c r="R832" s="516"/>
    </row>
    <row r="833">
      <c r="H833" s="516"/>
      <c r="I833" s="516"/>
      <c r="J833" s="516"/>
      <c r="P833" s="516"/>
      <c r="Q833" s="516"/>
      <c r="R833" s="516"/>
    </row>
    <row r="834">
      <c r="H834" s="516"/>
      <c r="I834" s="516"/>
      <c r="J834" s="516"/>
      <c r="P834" s="516"/>
      <c r="Q834" s="516"/>
      <c r="R834" s="516"/>
    </row>
    <row r="835">
      <c r="H835" s="516"/>
      <c r="I835" s="516"/>
      <c r="J835" s="516"/>
      <c r="P835" s="516"/>
      <c r="Q835" s="516"/>
      <c r="R835" s="516"/>
    </row>
    <row r="836">
      <c r="H836" s="516"/>
      <c r="I836" s="516"/>
      <c r="J836" s="516"/>
      <c r="P836" s="516"/>
      <c r="Q836" s="516"/>
      <c r="R836" s="516"/>
    </row>
    <row r="837">
      <c r="H837" s="516"/>
      <c r="I837" s="516"/>
      <c r="J837" s="516"/>
      <c r="P837" s="516"/>
      <c r="Q837" s="516"/>
      <c r="R837" s="516"/>
    </row>
    <row r="838">
      <c r="H838" s="516"/>
      <c r="I838" s="516"/>
      <c r="J838" s="516"/>
      <c r="P838" s="516"/>
      <c r="Q838" s="516"/>
      <c r="R838" s="516"/>
    </row>
    <row r="839">
      <c r="H839" s="516"/>
      <c r="I839" s="516"/>
      <c r="J839" s="516"/>
      <c r="P839" s="516"/>
      <c r="Q839" s="516"/>
      <c r="R839" s="516"/>
    </row>
    <row r="840">
      <c r="H840" s="516"/>
      <c r="I840" s="516"/>
      <c r="J840" s="516"/>
      <c r="P840" s="516"/>
      <c r="Q840" s="516"/>
      <c r="R840" s="516"/>
    </row>
    <row r="841">
      <c r="H841" s="516"/>
      <c r="I841" s="516"/>
      <c r="J841" s="516"/>
      <c r="P841" s="516"/>
      <c r="Q841" s="516"/>
      <c r="R841" s="516"/>
    </row>
    <row r="842">
      <c r="H842" s="516"/>
      <c r="I842" s="516"/>
      <c r="J842" s="516"/>
      <c r="P842" s="516"/>
      <c r="Q842" s="516"/>
      <c r="R842" s="516"/>
    </row>
    <row r="843">
      <c r="H843" s="516"/>
      <c r="I843" s="516"/>
      <c r="J843" s="516"/>
      <c r="P843" s="516"/>
      <c r="Q843" s="516"/>
      <c r="R843" s="516"/>
    </row>
    <row r="844">
      <c r="H844" s="516"/>
      <c r="I844" s="516"/>
      <c r="J844" s="516"/>
      <c r="P844" s="516"/>
      <c r="Q844" s="516"/>
      <c r="R844" s="516"/>
    </row>
    <row r="845">
      <c r="H845" s="516"/>
      <c r="I845" s="516"/>
      <c r="J845" s="516"/>
      <c r="P845" s="516"/>
      <c r="Q845" s="516"/>
      <c r="R845" s="516"/>
    </row>
    <row r="846">
      <c r="H846" s="516"/>
      <c r="I846" s="516"/>
      <c r="J846" s="516"/>
      <c r="P846" s="516"/>
      <c r="Q846" s="516"/>
      <c r="R846" s="516"/>
    </row>
    <row r="847">
      <c r="H847" s="516"/>
      <c r="I847" s="516"/>
      <c r="J847" s="516"/>
      <c r="P847" s="516"/>
      <c r="Q847" s="516"/>
      <c r="R847" s="516"/>
    </row>
    <row r="848">
      <c r="H848" s="516"/>
      <c r="I848" s="516"/>
      <c r="J848" s="516"/>
      <c r="P848" s="516"/>
      <c r="Q848" s="516"/>
      <c r="R848" s="516"/>
    </row>
    <row r="849">
      <c r="H849" s="516"/>
      <c r="I849" s="516"/>
      <c r="J849" s="516"/>
      <c r="P849" s="516"/>
      <c r="Q849" s="516"/>
      <c r="R849" s="516"/>
    </row>
    <row r="850">
      <c r="H850" s="516"/>
      <c r="I850" s="516"/>
      <c r="J850" s="516"/>
      <c r="P850" s="516"/>
      <c r="Q850" s="516"/>
      <c r="R850" s="516"/>
    </row>
    <row r="851">
      <c r="H851" s="516"/>
      <c r="I851" s="516"/>
      <c r="J851" s="516"/>
      <c r="P851" s="516"/>
      <c r="Q851" s="516"/>
      <c r="R851" s="516"/>
    </row>
    <row r="852">
      <c r="H852" s="516"/>
      <c r="I852" s="516"/>
      <c r="J852" s="516"/>
      <c r="P852" s="516"/>
      <c r="Q852" s="516"/>
      <c r="R852" s="516"/>
    </row>
    <row r="853">
      <c r="H853" s="516"/>
      <c r="I853" s="516"/>
      <c r="J853" s="516"/>
      <c r="P853" s="516"/>
      <c r="Q853" s="516"/>
      <c r="R853" s="516"/>
    </row>
    <row r="854">
      <c r="H854" s="516"/>
      <c r="I854" s="516"/>
      <c r="J854" s="516"/>
      <c r="P854" s="516"/>
      <c r="Q854" s="516"/>
      <c r="R854" s="516"/>
    </row>
    <row r="855">
      <c r="H855" s="516"/>
      <c r="I855" s="516"/>
      <c r="J855" s="516"/>
      <c r="P855" s="516"/>
      <c r="Q855" s="516"/>
      <c r="R855" s="516"/>
    </row>
    <row r="856">
      <c r="H856" s="516"/>
      <c r="I856" s="516"/>
      <c r="J856" s="516"/>
      <c r="P856" s="516"/>
      <c r="Q856" s="516"/>
      <c r="R856" s="516"/>
    </row>
    <row r="857">
      <c r="H857" s="516"/>
      <c r="I857" s="516"/>
      <c r="J857" s="516"/>
      <c r="P857" s="516"/>
      <c r="Q857" s="516"/>
      <c r="R857" s="516"/>
    </row>
    <row r="858">
      <c r="H858" s="516"/>
      <c r="I858" s="516"/>
      <c r="J858" s="516"/>
      <c r="P858" s="516"/>
      <c r="Q858" s="516"/>
      <c r="R858" s="516"/>
    </row>
    <row r="859">
      <c r="H859" s="516"/>
      <c r="I859" s="516"/>
      <c r="J859" s="516"/>
      <c r="P859" s="516"/>
      <c r="Q859" s="516"/>
      <c r="R859" s="516"/>
    </row>
    <row r="860">
      <c r="H860" s="516"/>
      <c r="I860" s="516"/>
      <c r="J860" s="516"/>
      <c r="P860" s="516"/>
      <c r="Q860" s="516"/>
      <c r="R860" s="516"/>
    </row>
    <row r="861">
      <c r="H861" s="516"/>
      <c r="I861" s="516"/>
      <c r="J861" s="516"/>
      <c r="P861" s="516"/>
      <c r="Q861" s="516"/>
      <c r="R861" s="516"/>
    </row>
    <row r="862">
      <c r="H862" s="516"/>
      <c r="I862" s="516"/>
      <c r="J862" s="516"/>
      <c r="P862" s="516"/>
      <c r="Q862" s="516"/>
      <c r="R862" s="516"/>
    </row>
    <row r="863">
      <c r="H863" s="516"/>
      <c r="I863" s="516"/>
      <c r="J863" s="516"/>
      <c r="P863" s="516"/>
      <c r="Q863" s="516"/>
      <c r="R863" s="516"/>
    </row>
    <row r="864">
      <c r="H864" s="516"/>
      <c r="I864" s="516"/>
      <c r="J864" s="516"/>
      <c r="P864" s="516"/>
      <c r="Q864" s="516"/>
      <c r="R864" s="516"/>
    </row>
    <row r="865">
      <c r="H865" s="516"/>
      <c r="I865" s="516"/>
      <c r="J865" s="516"/>
      <c r="P865" s="516"/>
      <c r="Q865" s="516"/>
      <c r="R865" s="516"/>
    </row>
    <row r="866">
      <c r="H866" s="516"/>
      <c r="I866" s="516"/>
      <c r="J866" s="516"/>
      <c r="P866" s="516"/>
      <c r="Q866" s="516"/>
      <c r="R866" s="516"/>
    </row>
    <row r="867">
      <c r="H867" s="516"/>
      <c r="I867" s="516"/>
      <c r="J867" s="516"/>
      <c r="P867" s="516"/>
      <c r="Q867" s="516"/>
      <c r="R867" s="516"/>
    </row>
    <row r="868">
      <c r="H868" s="516"/>
      <c r="I868" s="516"/>
      <c r="J868" s="516"/>
      <c r="P868" s="516"/>
      <c r="Q868" s="516"/>
      <c r="R868" s="516"/>
    </row>
    <row r="869">
      <c r="H869" s="516"/>
      <c r="I869" s="516"/>
      <c r="J869" s="516"/>
      <c r="P869" s="516"/>
      <c r="Q869" s="516"/>
      <c r="R869" s="516"/>
    </row>
    <row r="870">
      <c r="H870" s="516"/>
      <c r="I870" s="516"/>
      <c r="J870" s="516"/>
      <c r="P870" s="516"/>
      <c r="Q870" s="516"/>
      <c r="R870" s="516"/>
    </row>
    <row r="871">
      <c r="H871" s="516"/>
      <c r="I871" s="516"/>
      <c r="J871" s="516"/>
      <c r="P871" s="516"/>
      <c r="Q871" s="516"/>
      <c r="R871" s="516"/>
    </row>
    <row r="872">
      <c r="H872" s="516"/>
      <c r="I872" s="516"/>
      <c r="J872" s="516"/>
      <c r="P872" s="516"/>
      <c r="Q872" s="516"/>
      <c r="R872" s="516"/>
    </row>
    <row r="873">
      <c r="H873" s="516"/>
      <c r="I873" s="516"/>
      <c r="J873" s="516"/>
      <c r="P873" s="516"/>
      <c r="Q873" s="516"/>
      <c r="R873" s="516"/>
    </row>
    <row r="874">
      <c r="H874" s="516"/>
      <c r="I874" s="516"/>
      <c r="J874" s="516"/>
      <c r="P874" s="516"/>
      <c r="Q874" s="516"/>
      <c r="R874" s="516"/>
    </row>
    <row r="875">
      <c r="H875" s="516"/>
      <c r="I875" s="516"/>
      <c r="J875" s="516"/>
      <c r="P875" s="516"/>
      <c r="Q875" s="516"/>
      <c r="R875" s="516"/>
    </row>
    <row r="876">
      <c r="H876" s="516"/>
      <c r="I876" s="516"/>
      <c r="J876" s="516"/>
      <c r="P876" s="516"/>
      <c r="Q876" s="516"/>
      <c r="R876" s="516"/>
    </row>
    <row r="877">
      <c r="H877" s="516"/>
      <c r="I877" s="516"/>
      <c r="J877" s="516"/>
      <c r="P877" s="516"/>
      <c r="Q877" s="516"/>
      <c r="R877" s="516"/>
    </row>
    <row r="878">
      <c r="H878" s="516"/>
      <c r="I878" s="516"/>
      <c r="J878" s="516"/>
      <c r="P878" s="516"/>
      <c r="Q878" s="516"/>
      <c r="R878" s="516"/>
    </row>
    <row r="879">
      <c r="H879" s="516"/>
      <c r="I879" s="516"/>
      <c r="J879" s="516"/>
      <c r="P879" s="516"/>
      <c r="Q879" s="516"/>
      <c r="R879" s="516"/>
    </row>
    <row r="880">
      <c r="H880" s="516"/>
      <c r="I880" s="516"/>
      <c r="J880" s="516"/>
      <c r="P880" s="516"/>
      <c r="Q880" s="516"/>
      <c r="R880" s="516"/>
    </row>
    <row r="881">
      <c r="H881" s="516"/>
      <c r="I881" s="516"/>
      <c r="J881" s="516"/>
      <c r="P881" s="516"/>
      <c r="Q881" s="516"/>
      <c r="R881" s="516"/>
    </row>
    <row r="882">
      <c r="H882" s="516"/>
      <c r="I882" s="516"/>
      <c r="J882" s="516"/>
      <c r="P882" s="516"/>
      <c r="Q882" s="516"/>
      <c r="R882" s="516"/>
    </row>
    <row r="883">
      <c r="H883" s="516"/>
      <c r="I883" s="516"/>
      <c r="J883" s="516"/>
      <c r="P883" s="516"/>
      <c r="Q883" s="516"/>
      <c r="R883" s="516"/>
    </row>
    <row r="884">
      <c r="H884" s="516"/>
      <c r="I884" s="516"/>
      <c r="J884" s="516"/>
      <c r="P884" s="516"/>
      <c r="Q884" s="516"/>
      <c r="R884" s="516"/>
    </row>
    <row r="885">
      <c r="H885" s="516"/>
      <c r="I885" s="516"/>
      <c r="J885" s="516"/>
      <c r="P885" s="516"/>
      <c r="Q885" s="516"/>
      <c r="R885" s="516"/>
    </row>
    <row r="886">
      <c r="H886" s="516"/>
      <c r="I886" s="516"/>
      <c r="J886" s="516"/>
      <c r="P886" s="516"/>
      <c r="Q886" s="516"/>
      <c r="R886" s="516"/>
    </row>
    <row r="887">
      <c r="H887" s="516"/>
      <c r="I887" s="516"/>
      <c r="J887" s="516"/>
      <c r="P887" s="516"/>
      <c r="Q887" s="516"/>
      <c r="R887" s="516"/>
    </row>
    <row r="888">
      <c r="H888" s="516"/>
      <c r="I888" s="516"/>
      <c r="J888" s="516"/>
      <c r="P888" s="516"/>
      <c r="Q888" s="516"/>
      <c r="R888" s="516"/>
    </row>
    <row r="889">
      <c r="H889" s="516"/>
      <c r="I889" s="516"/>
      <c r="J889" s="516"/>
      <c r="P889" s="516"/>
      <c r="Q889" s="516"/>
      <c r="R889" s="516"/>
    </row>
    <row r="890">
      <c r="H890" s="516"/>
      <c r="I890" s="516"/>
      <c r="J890" s="516"/>
      <c r="P890" s="516"/>
      <c r="Q890" s="516"/>
      <c r="R890" s="516"/>
    </row>
    <row r="891">
      <c r="H891" s="516"/>
      <c r="I891" s="516"/>
      <c r="J891" s="516"/>
      <c r="P891" s="516"/>
      <c r="Q891" s="516"/>
      <c r="R891" s="516"/>
    </row>
    <row r="892">
      <c r="H892" s="516"/>
      <c r="I892" s="516"/>
      <c r="J892" s="516"/>
      <c r="P892" s="516"/>
      <c r="Q892" s="516"/>
      <c r="R892" s="516"/>
    </row>
    <row r="893">
      <c r="H893" s="516"/>
      <c r="I893" s="516"/>
      <c r="J893" s="516"/>
      <c r="P893" s="516"/>
      <c r="Q893" s="516"/>
      <c r="R893" s="516"/>
    </row>
    <row r="894">
      <c r="H894" s="516"/>
      <c r="I894" s="516"/>
      <c r="J894" s="516"/>
      <c r="P894" s="516"/>
      <c r="Q894" s="516"/>
      <c r="R894" s="516"/>
    </row>
    <row r="895">
      <c r="H895" s="516"/>
      <c r="I895" s="516"/>
      <c r="J895" s="516"/>
      <c r="P895" s="516"/>
      <c r="Q895" s="516"/>
      <c r="R895" s="516"/>
    </row>
    <row r="896">
      <c r="H896" s="516"/>
      <c r="I896" s="516"/>
      <c r="J896" s="516"/>
      <c r="P896" s="516"/>
      <c r="Q896" s="516"/>
      <c r="R896" s="516"/>
    </row>
    <row r="897">
      <c r="H897" s="516"/>
      <c r="I897" s="516"/>
      <c r="J897" s="516"/>
      <c r="P897" s="516"/>
      <c r="Q897" s="516"/>
      <c r="R897" s="516"/>
    </row>
    <row r="898">
      <c r="H898" s="516"/>
      <c r="I898" s="516"/>
      <c r="J898" s="516"/>
      <c r="P898" s="516"/>
      <c r="Q898" s="516"/>
      <c r="R898" s="516"/>
    </row>
    <row r="899">
      <c r="H899" s="516"/>
      <c r="I899" s="516"/>
      <c r="J899" s="516"/>
      <c r="P899" s="516"/>
      <c r="Q899" s="516"/>
      <c r="R899" s="516"/>
    </row>
    <row r="900">
      <c r="H900" s="516"/>
      <c r="I900" s="516"/>
      <c r="J900" s="516"/>
      <c r="P900" s="516"/>
      <c r="Q900" s="516"/>
      <c r="R900" s="516"/>
    </row>
    <row r="901">
      <c r="H901" s="516"/>
      <c r="I901" s="516"/>
      <c r="J901" s="516"/>
      <c r="P901" s="516"/>
      <c r="Q901" s="516"/>
      <c r="R901" s="516"/>
    </row>
    <row r="902">
      <c r="H902" s="516"/>
      <c r="I902" s="516"/>
      <c r="J902" s="516"/>
      <c r="P902" s="516"/>
      <c r="Q902" s="516"/>
      <c r="R902" s="516"/>
    </row>
    <row r="903">
      <c r="H903" s="516"/>
      <c r="I903" s="516"/>
      <c r="J903" s="516"/>
      <c r="P903" s="516"/>
      <c r="Q903" s="516"/>
      <c r="R903" s="516"/>
    </row>
    <row r="904">
      <c r="H904" s="516"/>
      <c r="I904" s="516"/>
      <c r="J904" s="516"/>
      <c r="P904" s="516"/>
      <c r="Q904" s="516"/>
      <c r="R904" s="516"/>
    </row>
    <row r="905">
      <c r="H905" s="516"/>
      <c r="I905" s="516"/>
      <c r="J905" s="516"/>
      <c r="P905" s="516"/>
      <c r="Q905" s="516"/>
      <c r="R905" s="516"/>
    </row>
    <row r="906">
      <c r="H906" s="516"/>
      <c r="I906" s="516"/>
      <c r="J906" s="516"/>
      <c r="P906" s="516"/>
      <c r="Q906" s="516"/>
      <c r="R906" s="516"/>
    </row>
    <row r="907">
      <c r="H907" s="516"/>
      <c r="I907" s="516"/>
      <c r="J907" s="516"/>
      <c r="P907" s="516"/>
      <c r="Q907" s="516"/>
      <c r="R907" s="516"/>
    </row>
    <row r="908">
      <c r="H908" s="516"/>
      <c r="I908" s="516"/>
      <c r="J908" s="516"/>
      <c r="P908" s="516"/>
      <c r="Q908" s="516"/>
      <c r="R908" s="516"/>
    </row>
    <row r="909">
      <c r="H909" s="516"/>
      <c r="I909" s="516"/>
      <c r="J909" s="516"/>
      <c r="P909" s="516"/>
      <c r="Q909" s="516"/>
      <c r="R909" s="516"/>
    </row>
    <row r="910">
      <c r="H910" s="516"/>
      <c r="I910" s="516"/>
      <c r="J910" s="516"/>
      <c r="P910" s="516"/>
      <c r="Q910" s="516"/>
      <c r="R910" s="516"/>
    </row>
    <row r="911">
      <c r="H911" s="516"/>
      <c r="I911" s="516"/>
      <c r="J911" s="516"/>
      <c r="P911" s="516"/>
      <c r="Q911" s="516"/>
      <c r="R911" s="516"/>
    </row>
    <row r="912">
      <c r="H912" s="516"/>
      <c r="I912" s="516"/>
      <c r="J912" s="516"/>
      <c r="P912" s="516"/>
      <c r="Q912" s="516"/>
      <c r="R912" s="516"/>
    </row>
    <row r="913">
      <c r="H913" s="516"/>
      <c r="I913" s="516"/>
      <c r="J913" s="516"/>
      <c r="P913" s="516"/>
      <c r="Q913" s="516"/>
      <c r="R913" s="516"/>
    </row>
    <row r="914">
      <c r="H914" s="516"/>
      <c r="I914" s="516"/>
      <c r="J914" s="516"/>
      <c r="P914" s="516"/>
      <c r="Q914" s="516"/>
      <c r="R914" s="516"/>
    </row>
    <row r="915">
      <c r="H915" s="516"/>
      <c r="I915" s="516"/>
      <c r="J915" s="516"/>
      <c r="P915" s="516"/>
      <c r="Q915" s="516"/>
      <c r="R915" s="516"/>
    </row>
    <row r="916">
      <c r="H916" s="516"/>
      <c r="I916" s="516"/>
      <c r="J916" s="516"/>
      <c r="P916" s="516"/>
      <c r="Q916" s="516"/>
      <c r="R916" s="516"/>
    </row>
    <row r="917">
      <c r="H917" s="516"/>
      <c r="I917" s="516"/>
      <c r="J917" s="516"/>
      <c r="P917" s="516"/>
      <c r="Q917" s="516"/>
      <c r="R917" s="516"/>
    </row>
    <row r="918">
      <c r="H918" s="516"/>
      <c r="I918" s="516"/>
      <c r="J918" s="516"/>
      <c r="P918" s="516"/>
      <c r="Q918" s="516"/>
      <c r="R918" s="516"/>
    </row>
    <row r="919">
      <c r="H919" s="516"/>
      <c r="I919" s="516"/>
      <c r="J919" s="516"/>
      <c r="P919" s="516"/>
      <c r="Q919" s="516"/>
      <c r="R919" s="516"/>
    </row>
    <row r="920">
      <c r="H920" s="516"/>
      <c r="I920" s="516"/>
      <c r="J920" s="516"/>
      <c r="P920" s="516"/>
      <c r="Q920" s="516"/>
      <c r="R920" s="516"/>
    </row>
    <row r="921">
      <c r="H921" s="516"/>
      <c r="I921" s="516"/>
      <c r="J921" s="516"/>
      <c r="P921" s="516"/>
      <c r="Q921" s="516"/>
      <c r="R921" s="516"/>
    </row>
    <row r="922">
      <c r="H922" s="516"/>
      <c r="I922" s="516"/>
      <c r="J922" s="516"/>
      <c r="P922" s="516"/>
      <c r="Q922" s="516"/>
      <c r="R922" s="516"/>
    </row>
    <row r="923">
      <c r="H923" s="516"/>
      <c r="I923" s="516"/>
      <c r="J923" s="516"/>
      <c r="P923" s="516"/>
      <c r="Q923" s="516"/>
      <c r="R923" s="516"/>
    </row>
    <row r="924">
      <c r="H924" s="516"/>
      <c r="I924" s="516"/>
      <c r="J924" s="516"/>
      <c r="P924" s="516"/>
      <c r="Q924" s="516"/>
      <c r="R924" s="516"/>
    </row>
    <row r="925">
      <c r="H925" s="516"/>
      <c r="I925" s="516"/>
      <c r="J925" s="516"/>
      <c r="P925" s="516"/>
      <c r="Q925" s="516"/>
      <c r="R925" s="516"/>
    </row>
    <row r="926">
      <c r="H926" s="516"/>
      <c r="I926" s="516"/>
      <c r="J926" s="516"/>
      <c r="P926" s="516"/>
      <c r="Q926" s="516"/>
      <c r="R926" s="516"/>
    </row>
    <row r="927">
      <c r="H927" s="516"/>
      <c r="I927" s="516"/>
      <c r="J927" s="516"/>
      <c r="P927" s="516"/>
      <c r="Q927" s="516"/>
      <c r="R927" s="516"/>
    </row>
    <row r="928">
      <c r="H928" s="516"/>
      <c r="I928" s="516"/>
      <c r="J928" s="516"/>
      <c r="P928" s="516"/>
      <c r="Q928" s="516"/>
      <c r="R928" s="516"/>
    </row>
    <row r="929">
      <c r="H929" s="516"/>
      <c r="I929" s="516"/>
      <c r="J929" s="516"/>
      <c r="P929" s="516"/>
      <c r="Q929" s="516"/>
      <c r="R929" s="516"/>
    </row>
    <row r="930">
      <c r="H930" s="516"/>
      <c r="I930" s="516"/>
      <c r="J930" s="516"/>
      <c r="P930" s="516"/>
      <c r="Q930" s="516"/>
      <c r="R930" s="516"/>
    </row>
    <row r="931">
      <c r="H931" s="516"/>
      <c r="I931" s="516"/>
      <c r="J931" s="516"/>
      <c r="P931" s="516"/>
      <c r="Q931" s="516"/>
      <c r="R931" s="516"/>
    </row>
    <row r="932">
      <c r="H932" s="516"/>
      <c r="I932" s="516"/>
      <c r="J932" s="516"/>
      <c r="P932" s="516"/>
      <c r="Q932" s="516"/>
      <c r="R932" s="516"/>
    </row>
    <row r="933">
      <c r="H933" s="516"/>
      <c r="I933" s="516"/>
      <c r="J933" s="516"/>
      <c r="P933" s="516"/>
      <c r="Q933" s="516"/>
      <c r="R933" s="516"/>
    </row>
    <row r="934">
      <c r="H934" s="516"/>
      <c r="I934" s="516"/>
      <c r="J934" s="516"/>
      <c r="P934" s="516"/>
      <c r="Q934" s="516"/>
      <c r="R934" s="516"/>
    </row>
    <row r="935">
      <c r="H935" s="516"/>
      <c r="I935" s="516"/>
      <c r="J935" s="516"/>
      <c r="P935" s="516"/>
      <c r="Q935" s="516"/>
      <c r="R935" s="516"/>
    </row>
    <row r="936">
      <c r="H936" s="516"/>
      <c r="I936" s="516"/>
      <c r="J936" s="516"/>
      <c r="P936" s="516"/>
      <c r="Q936" s="516"/>
      <c r="R936" s="516"/>
    </row>
    <row r="937">
      <c r="H937" s="516"/>
      <c r="I937" s="516"/>
      <c r="J937" s="516"/>
      <c r="P937" s="516"/>
      <c r="Q937" s="516"/>
      <c r="R937" s="516"/>
    </row>
    <row r="938">
      <c r="H938" s="516"/>
      <c r="I938" s="516"/>
      <c r="J938" s="516"/>
      <c r="P938" s="516"/>
      <c r="Q938" s="516"/>
      <c r="R938" s="516"/>
    </row>
    <row r="939">
      <c r="H939" s="516"/>
      <c r="I939" s="516"/>
      <c r="J939" s="516"/>
      <c r="P939" s="516"/>
      <c r="Q939" s="516"/>
      <c r="R939" s="516"/>
    </row>
    <row r="940">
      <c r="H940" s="516"/>
      <c r="I940" s="516"/>
      <c r="J940" s="516"/>
      <c r="P940" s="516"/>
      <c r="Q940" s="516"/>
      <c r="R940" s="516"/>
    </row>
    <row r="941">
      <c r="H941" s="516"/>
      <c r="I941" s="516"/>
      <c r="J941" s="516"/>
      <c r="P941" s="516"/>
      <c r="Q941" s="516"/>
      <c r="R941" s="516"/>
    </row>
    <row r="942">
      <c r="H942" s="516"/>
      <c r="I942" s="516"/>
      <c r="J942" s="516"/>
      <c r="P942" s="516"/>
      <c r="Q942" s="516"/>
      <c r="R942" s="516"/>
    </row>
    <row r="943">
      <c r="H943" s="516"/>
      <c r="I943" s="516"/>
      <c r="J943" s="516"/>
      <c r="P943" s="516"/>
      <c r="Q943" s="516"/>
      <c r="R943" s="516"/>
    </row>
    <row r="944">
      <c r="H944" s="516"/>
      <c r="I944" s="516"/>
      <c r="J944" s="516"/>
      <c r="P944" s="516"/>
      <c r="Q944" s="516"/>
      <c r="R944" s="516"/>
    </row>
    <row r="945">
      <c r="H945" s="516"/>
      <c r="I945" s="516"/>
      <c r="J945" s="516"/>
      <c r="P945" s="516"/>
      <c r="Q945" s="516"/>
      <c r="R945" s="516"/>
    </row>
    <row r="946">
      <c r="H946" s="516"/>
      <c r="I946" s="516"/>
      <c r="J946" s="516"/>
      <c r="P946" s="516"/>
      <c r="Q946" s="516"/>
      <c r="R946" s="516"/>
    </row>
    <row r="947">
      <c r="H947" s="516"/>
      <c r="I947" s="516"/>
      <c r="J947" s="516"/>
      <c r="P947" s="516"/>
      <c r="Q947" s="516"/>
      <c r="R947" s="516"/>
    </row>
    <row r="948">
      <c r="H948" s="516"/>
      <c r="I948" s="516"/>
      <c r="J948" s="516"/>
      <c r="P948" s="516"/>
      <c r="Q948" s="516"/>
      <c r="R948" s="516"/>
    </row>
    <row r="949">
      <c r="H949" s="516"/>
      <c r="I949" s="516"/>
      <c r="J949" s="516"/>
      <c r="P949" s="516"/>
      <c r="Q949" s="516"/>
      <c r="R949" s="516"/>
    </row>
    <row r="950">
      <c r="H950" s="516"/>
      <c r="I950" s="516"/>
      <c r="J950" s="516"/>
      <c r="P950" s="516"/>
      <c r="Q950" s="516"/>
      <c r="R950" s="516"/>
    </row>
    <row r="951">
      <c r="H951" s="516"/>
      <c r="I951" s="516"/>
      <c r="J951" s="516"/>
      <c r="P951" s="516"/>
      <c r="Q951" s="516"/>
      <c r="R951" s="516"/>
    </row>
    <row r="952">
      <c r="H952" s="516"/>
      <c r="I952" s="516"/>
      <c r="J952" s="516"/>
      <c r="P952" s="516"/>
      <c r="Q952" s="516"/>
      <c r="R952" s="516"/>
    </row>
    <row r="953">
      <c r="H953" s="516"/>
      <c r="I953" s="516"/>
      <c r="J953" s="516"/>
      <c r="P953" s="516"/>
      <c r="Q953" s="516"/>
      <c r="R953" s="516"/>
    </row>
    <row r="954">
      <c r="H954" s="516"/>
      <c r="I954" s="516"/>
      <c r="J954" s="516"/>
      <c r="P954" s="516"/>
      <c r="Q954" s="516"/>
      <c r="R954" s="516"/>
    </row>
    <row r="955">
      <c r="H955" s="516"/>
      <c r="I955" s="516"/>
      <c r="J955" s="516"/>
      <c r="P955" s="516"/>
      <c r="Q955" s="516"/>
      <c r="R955" s="516"/>
    </row>
    <row r="956">
      <c r="H956" s="516"/>
      <c r="I956" s="516"/>
      <c r="J956" s="516"/>
      <c r="P956" s="516"/>
      <c r="Q956" s="516"/>
      <c r="R956" s="516"/>
    </row>
    <row r="957">
      <c r="H957" s="516"/>
      <c r="I957" s="516"/>
      <c r="J957" s="516"/>
      <c r="P957" s="516"/>
      <c r="Q957" s="516"/>
      <c r="R957" s="516"/>
    </row>
    <row r="958">
      <c r="H958" s="516"/>
      <c r="I958" s="516"/>
      <c r="J958" s="516"/>
      <c r="P958" s="516"/>
      <c r="Q958" s="516"/>
      <c r="R958" s="516"/>
    </row>
    <row r="959">
      <c r="H959" s="516"/>
      <c r="I959" s="516"/>
      <c r="J959" s="516"/>
      <c r="P959" s="516"/>
      <c r="Q959" s="516"/>
      <c r="R959" s="516"/>
    </row>
    <row r="960">
      <c r="H960" s="516"/>
      <c r="I960" s="516"/>
      <c r="J960" s="516"/>
      <c r="P960" s="516"/>
      <c r="Q960" s="516"/>
      <c r="R960" s="516"/>
    </row>
    <row r="961">
      <c r="H961" s="516"/>
      <c r="I961" s="516"/>
      <c r="J961" s="516"/>
      <c r="P961" s="516"/>
      <c r="Q961" s="516"/>
      <c r="R961" s="516"/>
    </row>
    <row r="962">
      <c r="H962" s="516"/>
      <c r="I962" s="516"/>
      <c r="J962" s="516"/>
      <c r="P962" s="516"/>
      <c r="Q962" s="516"/>
      <c r="R962" s="516"/>
    </row>
    <row r="963">
      <c r="H963" s="516"/>
      <c r="I963" s="516"/>
      <c r="J963" s="516"/>
      <c r="P963" s="516"/>
      <c r="Q963" s="516"/>
      <c r="R963" s="516"/>
    </row>
    <row r="964">
      <c r="H964" s="516"/>
      <c r="I964" s="516"/>
      <c r="J964" s="516"/>
      <c r="P964" s="516"/>
      <c r="Q964" s="516"/>
      <c r="R964" s="516"/>
    </row>
    <row r="965">
      <c r="H965" s="516"/>
      <c r="I965" s="516"/>
      <c r="J965" s="516"/>
      <c r="P965" s="516"/>
      <c r="Q965" s="516"/>
      <c r="R965" s="516"/>
    </row>
    <row r="966">
      <c r="H966" s="516"/>
      <c r="I966" s="516"/>
      <c r="J966" s="516"/>
      <c r="P966" s="516"/>
      <c r="Q966" s="516"/>
      <c r="R966" s="516"/>
    </row>
    <row r="967">
      <c r="H967" s="516"/>
      <c r="I967" s="516"/>
      <c r="J967" s="516"/>
      <c r="P967" s="516"/>
      <c r="Q967" s="516"/>
      <c r="R967" s="516"/>
    </row>
    <row r="968">
      <c r="H968" s="516"/>
      <c r="I968" s="516"/>
      <c r="J968" s="516"/>
      <c r="P968" s="516"/>
      <c r="Q968" s="516"/>
      <c r="R968" s="516"/>
    </row>
    <row r="969">
      <c r="H969" s="516"/>
      <c r="I969" s="516"/>
      <c r="J969" s="516"/>
      <c r="P969" s="516"/>
      <c r="Q969" s="516"/>
      <c r="R969" s="516"/>
    </row>
    <row r="970">
      <c r="H970" s="516"/>
      <c r="I970" s="516"/>
      <c r="J970" s="516"/>
      <c r="P970" s="516"/>
      <c r="Q970" s="516"/>
      <c r="R970" s="516"/>
    </row>
    <row r="971">
      <c r="H971" s="516"/>
      <c r="I971" s="516"/>
      <c r="J971" s="516"/>
      <c r="P971" s="516"/>
      <c r="Q971" s="516"/>
      <c r="R971" s="516"/>
    </row>
    <row r="972">
      <c r="H972" s="516"/>
      <c r="I972" s="516"/>
      <c r="J972" s="516"/>
      <c r="P972" s="516"/>
      <c r="Q972" s="516"/>
      <c r="R972" s="516"/>
    </row>
    <row r="973">
      <c r="H973" s="516"/>
      <c r="I973" s="516"/>
      <c r="J973" s="516"/>
      <c r="P973" s="516"/>
      <c r="Q973" s="516"/>
      <c r="R973" s="516"/>
    </row>
    <row r="974">
      <c r="H974" s="516"/>
      <c r="I974" s="516"/>
      <c r="J974" s="516"/>
      <c r="P974" s="516"/>
      <c r="Q974" s="516"/>
      <c r="R974" s="516"/>
    </row>
    <row r="975">
      <c r="H975" s="516"/>
      <c r="I975" s="516"/>
      <c r="J975" s="516"/>
      <c r="P975" s="516"/>
      <c r="Q975" s="516"/>
      <c r="R975" s="516"/>
    </row>
    <row r="976">
      <c r="H976" s="516"/>
      <c r="I976" s="516"/>
      <c r="J976" s="516"/>
      <c r="P976" s="516"/>
      <c r="Q976" s="516"/>
      <c r="R976" s="516"/>
    </row>
    <row r="977">
      <c r="H977" s="516"/>
      <c r="I977" s="516"/>
      <c r="J977" s="516"/>
      <c r="P977" s="516"/>
      <c r="Q977" s="516"/>
      <c r="R977" s="516"/>
    </row>
    <row r="978">
      <c r="H978" s="516"/>
      <c r="I978" s="516"/>
      <c r="J978" s="516"/>
      <c r="P978" s="516"/>
      <c r="Q978" s="516"/>
      <c r="R978" s="516"/>
    </row>
    <row r="979">
      <c r="H979" s="516"/>
      <c r="I979" s="516"/>
      <c r="J979" s="516"/>
      <c r="P979" s="516"/>
      <c r="Q979" s="516"/>
      <c r="R979" s="516"/>
    </row>
    <row r="980">
      <c r="H980" s="516"/>
      <c r="I980" s="516"/>
      <c r="J980" s="516"/>
      <c r="P980" s="516"/>
      <c r="Q980" s="516"/>
      <c r="R980" s="516"/>
    </row>
    <row r="981">
      <c r="H981" s="516"/>
      <c r="I981" s="516"/>
      <c r="J981" s="516"/>
      <c r="P981" s="516"/>
      <c r="Q981" s="516"/>
      <c r="R981" s="516"/>
    </row>
    <row r="982">
      <c r="H982" s="516"/>
      <c r="I982" s="516"/>
      <c r="J982" s="516"/>
      <c r="P982" s="516"/>
      <c r="Q982" s="516"/>
      <c r="R982" s="516"/>
    </row>
    <row r="983">
      <c r="H983" s="516"/>
      <c r="I983" s="516"/>
      <c r="J983" s="516"/>
      <c r="P983" s="516"/>
      <c r="Q983" s="516"/>
      <c r="R983" s="516"/>
    </row>
    <row r="984">
      <c r="H984" s="516"/>
      <c r="I984" s="516"/>
      <c r="J984" s="516"/>
      <c r="P984" s="516"/>
      <c r="Q984" s="516"/>
      <c r="R984" s="516"/>
    </row>
    <row r="985">
      <c r="H985" s="516"/>
      <c r="I985" s="516"/>
      <c r="J985" s="516"/>
      <c r="P985" s="516"/>
      <c r="Q985" s="516"/>
      <c r="R985" s="516"/>
    </row>
    <row r="986">
      <c r="H986" s="516"/>
      <c r="I986" s="516"/>
      <c r="J986" s="516"/>
      <c r="P986" s="516"/>
      <c r="Q986" s="516"/>
      <c r="R986" s="516"/>
    </row>
    <row r="987">
      <c r="H987" s="516"/>
      <c r="I987" s="516"/>
      <c r="J987" s="516"/>
      <c r="P987" s="516"/>
      <c r="Q987" s="516"/>
      <c r="R987" s="516"/>
    </row>
    <row r="988">
      <c r="H988" s="516"/>
      <c r="I988" s="516"/>
      <c r="J988" s="516"/>
      <c r="P988" s="516"/>
      <c r="Q988" s="516"/>
      <c r="R988" s="516"/>
    </row>
    <row r="989">
      <c r="H989" s="516"/>
      <c r="I989" s="516"/>
      <c r="J989" s="516"/>
      <c r="P989" s="516"/>
      <c r="Q989" s="516"/>
      <c r="R989" s="516"/>
    </row>
    <row r="990">
      <c r="H990" s="516"/>
      <c r="I990" s="516"/>
      <c r="J990" s="516"/>
      <c r="P990" s="516"/>
      <c r="Q990" s="516"/>
      <c r="R990" s="516"/>
    </row>
    <row r="991">
      <c r="H991" s="516"/>
      <c r="I991" s="516"/>
      <c r="J991" s="516"/>
      <c r="P991" s="516"/>
      <c r="Q991" s="516"/>
      <c r="R991" s="516"/>
    </row>
    <row r="992">
      <c r="H992" s="516"/>
      <c r="I992" s="516"/>
      <c r="J992" s="516"/>
      <c r="P992" s="516"/>
      <c r="Q992" s="516"/>
      <c r="R992" s="516"/>
    </row>
    <row r="993">
      <c r="H993" s="516"/>
      <c r="I993" s="516"/>
      <c r="J993" s="516"/>
      <c r="P993" s="516"/>
      <c r="Q993" s="516"/>
      <c r="R993" s="516"/>
    </row>
    <row r="994">
      <c r="H994" s="516"/>
      <c r="I994" s="516"/>
      <c r="J994" s="516"/>
      <c r="P994" s="516"/>
      <c r="Q994" s="516"/>
      <c r="R994" s="516"/>
    </row>
    <row r="995">
      <c r="H995" s="516"/>
      <c r="I995" s="516"/>
      <c r="J995" s="516"/>
      <c r="P995" s="516"/>
      <c r="Q995" s="516"/>
      <c r="R995" s="516"/>
    </row>
    <row r="996">
      <c r="H996" s="516"/>
      <c r="I996" s="516"/>
      <c r="J996" s="516"/>
      <c r="P996" s="516"/>
      <c r="Q996" s="516"/>
      <c r="R996" s="516"/>
    </row>
    <row r="997">
      <c r="H997" s="516"/>
      <c r="I997" s="516"/>
      <c r="J997" s="516"/>
      <c r="P997" s="516"/>
      <c r="Q997" s="516"/>
      <c r="R997" s="516"/>
    </row>
    <row r="998">
      <c r="H998" s="516"/>
      <c r="I998" s="516"/>
      <c r="J998" s="516"/>
      <c r="P998" s="516"/>
      <c r="Q998" s="516"/>
      <c r="R998" s="516"/>
    </row>
    <row r="999">
      <c r="H999" s="516"/>
      <c r="I999" s="516"/>
      <c r="J999" s="516"/>
      <c r="P999" s="516"/>
      <c r="Q999" s="516"/>
      <c r="R999" s="516"/>
    </row>
    <row r="1000">
      <c r="H1000" s="516"/>
      <c r="I1000" s="516"/>
      <c r="J1000" s="516"/>
      <c r="P1000" s="516"/>
      <c r="Q1000" s="516"/>
      <c r="R1000" s="516"/>
    </row>
  </sheetData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10" t="s">
        <v>2077</v>
      </c>
      <c r="B1" s="510" t="s">
        <v>2022</v>
      </c>
      <c r="C1" s="510" t="s">
        <v>2042</v>
      </c>
      <c r="D1" s="510" t="s">
        <v>2043</v>
      </c>
      <c r="E1" s="510" t="s">
        <v>2095</v>
      </c>
      <c r="F1" s="510" t="s">
        <v>2096</v>
      </c>
      <c r="G1" s="510" t="s">
        <v>2078</v>
      </c>
      <c r="H1" s="510" t="s">
        <v>2097</v>
      </c>
      <c r="I1" s="510" t="s">
        <v>2098</v>
      </c>
      <c r="J1" s="510" t="s">
        <v>2099</v>
      </c>
      <c r="K1" s="510" t="s">
        <v>2100</v>
      </c>
      <c r="L1" s="510" t="s">
        <v>2101</v>
      </c>
      <c r="M1" s="510" t="s">
        <v>2102</v>
      </c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" t="s">
        <v>71</v>
      </c>
      <c r="B2" s="5" t="s">
        <v>163</v>
      </c>
      <c r="C2" s="5" t="s">
        <v>56</v>
      </c>
      <c r="D2" s="6">
        <v>1.0</v>
      </c>
      <c r="E2" s="6">
        <v>1.0</v>
      </c>
      <c r="F2" s="6">
        <v>2.0</v>
      </c>
      <c r="G2" s="6">
        <v>5.0</v>
      </c>
      <c r="H2" s="6">
        <v>77758.0</v>
      </c>
      <c r="I2" s="6">
        <v>0.9244</v>
      </c>
      <c r="J2" s="6">
        <v>1.0</v>
      </c>
      <c r="K2" s="6">
        <v>1.0</v>
      </c>
      <c r="L2" s="6">
        <v>1.0</v>
      </c>
      <c r="M2" s="6">
        <v>0.9246</v>
      </c>
    </row>
    <row r="3">
      <c r="A3" s="5" t="s">
        <v>71</v>
      </c>
      <c r="B3" s="5" t="s">
        <v>163</v>
      </c>
      <c r="C3" s="5" t="s">
        <v>56</v>
      </c>
      <c r="D3" s="6">
        <v>1.0</v>
      </c>
      <c r="E3" s="6">
        <v>2.0</v>
      </c>
      <c r="F3" s="6">
        <v>2.0</v>
      </c>
      <c r="G3" s="6">
        <v>5.0</v>
      </c>
      <c r="H3" s="6">
        <v>77758.0</v>
      </c>
      <c r="I3" s="6">
        <v>1.0</v>
      </c>
      <c r="J3" s="6">
        <v>1.0</v>
      </c>
      <c r="K3" s="6">
        <v>1.0</v>
      </c>
      <c r="L3" s="6">
        <v>1.0</v>
      </c>
      <c r="M3" s="6">
        <v>1.0</v>
      </c>
    </row>
    <row r="4">
      <c r="A4" s="5" t="s">
        <v>71</v>
      </c>
      <c r="B4" s="5" t="s">
        <v>1867</v>
      </c>
      <c r="C4" s="5" t="s">
        <v>56</v>
      </c>
      <c r="D4" s="6">
        <v>1.0</v>
      </c>
      <c r="E4" s="6">
        <v>1.0</v>
      </c>
      <c r="F4" s="6">
        <v>2.0</v>
      </c>
      <c r="G4" s="6">
        <v>5.0</v>
      </c>
      <c r="H4" s="6">
        <v>56711.0</v>
      </c>
      <c r="I4" s="6">
        <v>0.9229</v>
      </c>
      <c r="J4" s="6">
        <v>1.0</v>
      </c>
      <c r="K4" s="6">
        <v>1.0</v>
      </c>
      <c r="L4" s="6">
        <v>1.0</v>
      </c>
      <c r="M4" s="6">
        <v>0.9231</v>
      </c>
    </row>
    <row r="5">
      <c r="A5" s="5" t="s">
        <v>71</v>
      </c>
      <c r="B5" s="5" t="s">
        <v>1867</v>
      </c>
      <c r="C5" s="5" t="s">
        <v>56</v>
      </c>
      <c r="D5" s="6">
        <v>1.0</v>
      </c>
      <c r="E5" s="6">
        <v>2.0</v>
      </c>
      <c r="F5" s="6">
        <v>2.0</v>
      </c>
      <c r="G5" s="6">
        <v>5.0</v>
      </c>
      <c r="H5" s="6">
        <v>56711.0</v>
      </c>
      <c r="I5" s="6">
        <v>1.0</v>
      </c>
      <c r="J5" s="6">
        <v>1.0</v>
      </c>
      <c r="K5" s="6">
        <v>1.0</v>
      </c>
      <c r="L5" s="6">
        <v>1.0</v>
      </c>
      <c r="M5" s="6">
        <v>1.0</v>
      </c>
    </row>
    <row r="6">
      <c r="A6" s="5" t="s">
        <v>71</v>
      </c>
      <c r="B6" s="5" t="s">
        <v>163</v>
      </c>
      <c r="C6" s="5" t="s">
        <v>57</v>
      </c>
      <c r="D6" s="6">
        <v>2.0</v>
      </c>
      <c r="E6" s="6">
        <v>1.0</v>
      </c>
      <c r="F6" s="6">
        <v>2.0</v>
      </c>
      <c r="G6" s="6">
        <v>5.0</v>
      </c>
      <c r="H6" s="6">
        <v>70421.0</v>
      </c>
      <c r="I6" s="6">
        <v>0.9273</v>
      </c>
      <c r="J6" s="6">
        <v>1.0</v>
      </c>
      <c r="K6" s="6">
        <v>1.0</v>
      </c>
      <c r="L6" s="6">
        <v>1.0</v>
      </c>
      <c r="M6" s="6">
        <v>0.9279</v>
      </c>
    </row>
    <row r="7">
      <c r="A7" s="5" t="s">
        <v>71</v>
      </c>
      <c r="B7" s="5" t="s">
        <v>163</v>
      </c>
      <c r="C7" s="5" t="s">
        <v>57</v>
      </c>
      <c r="D7" s="6">
        <v>2.0</v>
      </c>
      <c r="E7" s="6">
        <v>2.0</v>
      </c>
      <c r="F7" s="6">
        <v>2.0</v>
      </c>
      <c r="G7" s="6">
        <v>5.0</v>
      </c>
      <c r="H7" s="6">
        <v>70421.0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</row>
    <row r="8">
      <c r="A8" s="5" t="s">
        <v>71</v>
      </c>
      <c r="B8" s="5" t="s">
        <v>1867</v>
      </c>
      <c r="C8" s="5" t="s">
        <v>57</v>
      </c>
      <c r="D8" s="6">
        <v>2.0</v>
      </c>
      <c r="E8" s="6">
        <v>1.0</v>
      </c>
      <c r="F8" s="6">
        <v>2.0</v>
      </c>
      <c r="G8" s="6">
        <v>5.0</v>
      </c>
      <c r="H8" s="6">
        <v>41213.0</v>
      </c>
      <c r="I8" s="6">
        <v>0.9221</v>
      </c>
      <c r="J8" s="6">
        <v>1.0</v>
      </c>
      <c r="K8" s="6">
        <v>1.0</v>
      </c>
      <c r="L8" s="6">
        <v>1.0</v>
      </c>
      <c r="M8" s="6">
        <v>0.9225</v>
      </c>
    </row>
    <row r="9">
      <c r="A9" s="5" t="s">
        <v>71</v>
      </c>
      <c r="B9" s="5" t="s">
        <v>1867</v>
      </c>
      <c r="C9" s="5" t="s">
        <v>57</v>
      </c>
      <c r="D9" s="6">
        <v>2.0</v>
      </c>
      <c r="E9" s="6">
        <v>2.0</v>
      </c>
      <c r="F9" s="6">
        <v>2.0</v>
      </c>
      <c r="G9" s="6">
        <v>5.0</v>
      </c>
      <c r="H9" s="6">
        <v>41213.0</v>
      </c>
      <c r="I9" s="6">
        <v>1.0</v>
      </c>
      <c r="J9" s="6">
        <v>1.0</v>
      </c>
      <c r="K9" s="6">
        <v>1.0</v>
      </c>
      <c r="L9" s="6">
        <v>1.0</v>
      </c>
      <c r="M9" s="6">
        <v>1.0</v>
      </c>
    </row>
    <row r="10">
      <c r="A10" s="5" t="s">
        <v>71</v>
      </c>
      <c r="B10" s="5" t="s">
        <v>163</v>
      </c>
      <c r="C10" s="5" t="s">
        <v>58</v>
      </c>
      <c r="D10" s="6">
        <v>3.0</v>
      </c>
      <c r="E10" s="6">
        <v>1.0</v>
      </c>
      <c r="F10" s="6">
        <v>2.0</v>
      </c>
      <c r="G10" s="6">
        <v>5.0</v>
      </c>
      <c r="H10" s="6">
        <v>45703.0</v>
      </c>
      <c r="I10" s="6">
        <v>0.9293</v>
      </c>
      <c r="J10" s="6">
        <v>1.0</v>
      </c>
      <c r="K10" s="6">
        <v>0.9992</v>
      </c>
      <c r="L10" s="6">
        <v>1.0</v>
      </c>
      <c r="M10" s="6">
        <v>0.9297</v>
      </c>
    </row>
    <row r="11">
      <c r="A11" s="5" t="s">
        <v>71</v>
      </c>
      <c r="B11" s="5" t="s">
        <v>163</v>
      </c>
      <c r="C11" s="5" t="s">
        <v>58</v>
      </c>
      <c r="D11" s="6">
        <v>3.0</v>
      </c>
      <c r="E11" s="6">
        <v>2.0</v>
      </c>
      <c r="F11" s="6">
        <v>2.0</v>
      </c>
      <c r="G11" s="6">
        <v>5.0</v>
      </c>
      <c r="H11" s="6">
        <v>45703.0</v>
      </c>
      <c r="I11" s="6">
        <v>1.0</v>
      </c>
      <c r="J11" s="6">
        <v>1.0</v>
      </c>
      <c r="K11" s="6">
        <v>1.0</v>
      </c>
      <c r="L11" s="6">
        <v>1.0</v>
      </c>
      <c r="M11" s="6">
        <v>1.0</v>
      </c>
    </row>
    <row r="12">
      <c r="A12" s="5" t="s">
        <v>71</v>
      </c>
      <c r="B12" s="5" t="s">
        <v>1867</v>
      </c>
      <c r="C12" s="5" t="s">
        <v>58</v>
      </c>
      <c r="D12" s="6">
        <v>3.0</v>
      </c>
      <c r="E12" s="6">
        <v>1.0</v>
      </c>
      <c r="F12" s="6">
        <v>2.0</v>
      </c>
      <c r="G12" s="6">
        <v>5.0</v>
      </c>
      <c r="H12" s="6">
        <v>25054.0</v>
      </c>
      <c r="I12" s="6">
        <v>0.9193</v>
      </c>
      <c r="J12" s="6">
        <v>1.0</v>
      </c>
      <c r="K12" s="6">
        <v>0.9995</v>
      </c>
      <c r="L12" s="6">
        <v>1.0</v>
      </c>
      <c r="M12" s="6">
        <v>0.9196</v>
      </c>
    </row>
    <row r="13">
      <c r="A13" s="5" t="s">
        <v>71</v>
      </c>
      <c r="B13" s="5" t="s">
        <v>1867</v>
      </c>
      <c r="C13" s="5" t="s">
        <v>58</v>
      </c>
      <c r="D13" s="6">
        <v>3.0</v>
      </c>
      <c r="E13" s="6">
        <v>2.0</v>
      </c>
      <c r="F13" s="6">
        <v>2.0</v>
      </c>
      <c r="G13" s="6">
        <v>5.0</v>
      </c>
      <c r="H13" s="6">
        <v>25054.0</v>
      </c>
      <c r="I13" s="6">
        <v>1.0</v>
      </c>
      <c r="J13" s="6">
        <v>1.0</v>
      </c>
      <c r="K13" s="6">
        <v>1.0</v>
      </c>
      <c r="L13" s="6">
        <v>1.0</v>
      </c>
      <c r="M13" s="6">
        <v>1.0</v>
      </c>
    </row>
    <row r="14">
      <c r="A14" s="5" t="s">
        <v>71</v>
      </c>
      <c r="B14" s="5" t="s">
        <v>163</v>
      </c>
      <c r="C14" s="5" t="s">
        <v>59</v>
      </c>
      <c r="D14" s="6">
        <v>4.0</v>
      </c>
      <c r="E14" s="6">
        <v>1.0</v>
      </c>
      <c r="F14" s="6">
        <v>2.0</v>
      </c>
      <c r="G14" s="6">
        <v>5.0</v>
      </c>
      <c r="H14" s="6">
        <v>23022.0</v>
      </c>
      <c r="I14" s="6">
        <v>0.9351</v>
      </c>
      <c r="J14" s="6">
        <v>1.0</v>
      </c>
      <c r="K14" s="6">
        <v>0.9857</v>
      </c>
      <c r="L14" s="6">
        <v>1.0</v>
      </c>
      <c r="M14" s="6">
        <v>0.9352</v>
      </c>
    </row>
    <row r="15">
      <c r="A15" s="5" t="s">
        <v>71</v>
      </c>
      <c r="B15" s="5" t="s">
        <v>163</v>
      </c>
      <c r="C15" s="5" t="s">
        <v>59</v>
      </c>
      <c r="D15" s="6">
        <v>4.0</v>
      </c>
      <c r="E15" s="6">
        <v>2.0</v>
      </c>
      <c r="F15" s="6">
        <v>2.0</v>
      </c>
      <c r="G15" s="6">
        <v>5.0</v>
      </c>
      <c r="H15" s="6">
        <v>23022.0</v>
      </c>
      <c r="I15" s="6">
        <v>1.0</v>
      </c>
      <c r="J15" s="6">
        <v>1.0</v>
      </c>
      <c r="K15" s="6">
        <v>1.0</v>
      </c>
      <c r="L15" s="6">
        <v>1.0</v>
      </c>
      <c r="M15" s="6">
        <v>1.0</v>
      </c>
    </row>
    <row r="16">
      <c r="A16" s="5" t="s">
        <v>71</v>
      </c>
      <c r="B16" s="5" t="s">
        <v>1867</v>
      </c>
      <c r="C16" s="5" t="s">
        <v>59</v>
      </c>
      <c r="D16" s="6">
        <v>4.0</v>
      </c>
      <c r="E16" s="6">
        <v>1.0</v>
      </c>
      <c r="F16" s="6">
        <v>2.0</v>
      </c>
      <c r="G16" s="6">
        <v>5.0</v>
      </c>
      <c r="H16" s="6">
        <v>11884.0</v>
      </c>
      <c r="I16" s="6">
        <v>0.9208</v>
      </c>
      <c r="J16" s="6">
        <v>1.0</v>
      </c>
      <c r="K16" s="6">
        <v>0.9846</v>
      </c>
      <c r="L16" s="6">
        <v>1.0</v>
      </c>
      <c r="M16" s="6">
        <v>0.9209</v>
      </c>
    </row>
    <row r="17">
      <c r="A17" s="5" t="s">
        <v>71</v>
      </c>
      <c r="B17" s="5" t="s">
        <v>1867</v>
      </c>
      <c r="C17" s="5" t="s">
        <v>59</v>
      </c>
      <c r="D17" s="6">
        <v>4.0</v>
      </c>
      <c r="E17" s="6">
        <v>2.0</v>
      </c>
      <c r="F17" s="6">
        <v>2.0</v>
      </c>
      <c r="G17" s="6">
        <v>5.0</v>
      </c>
      <c r="H17" s="6">
        <v>11884.0</v>
      </c>
      <c r="I17" s="6">
        <v>1.0</v>
      </c>
      <c r="J17" s="6">
        <v>1.0</v>
      </c>
      <c r="K17" s="6">
        <v>1.0</v>
      </c>
      <c r="L17" s="6">
        <v>1.0</v>
      </c>
      <c r="M17" s="6">
        <v>1.0</v>
      </c>
    </row>
    <row r="18">
      <c r="A18" s="5" t="s">
        <v>71</v>
      </c>
      <c r="B18" s="5" t="s">
        <v>163</v>
      </c>
      <c r="C18" s="5" t="s">
        <v>60</v>
      </c>
      <c r="D18" s="6">
        <v>5.0</v>
      </c>
      <c r="E18" s="6">
        <v>1.0</v>
      </c>
      <c r="F18" s="6">
        <v>2.0</v>
      </c>
      <c r="G18" s="6">
        <v>5.0</v>
      </c>
      <c r="H18" s="6">
        <v>3783.0</v>
      </c>
      <c r="I18" s="6">
        <v>0.9339</v>
      </c>
      <c r="J18" s="6">
        <v>1.0</v>
      </c>
      <c r="K18" s="6">
        <v>0.9622</v>
      </c>
      <c r="L18" s="6">
        <v>1.0</v>
      </c>
      <c r="M18" s="6">
        <v>0.9352</v>
      </c>
    </row>
    <row r="19">
      <c r="A19" s="5" t="s">
        <v>71</v>
      </c>
      <c r="B19" s="5" t="s">
        <v>163</v>
      </c>
      <c r="C19" s="5" t="s">
        <v>60</v>
      </c>
      <c r="D19" s="6">
        <v>5.0</v>
      </c>
      <c r="E19" s="6">
        <v>2.0</v>
      </c>
      <c r="F19" s="6">
        <v>2.0</v>
      </c>
      <c r="G19" s="6">
        <v>5.0</v>
      </c>
      <c r="H19" s="6">
        <v>3783.0</v>
      </c>
      <c r="I19" s="6">
        <v>1.0</v>
      </c>
      <c r="J19" s="6">
        <v>1.0</v>
      </c>
      <c r="K19" s="6">
        <v>1.0</v>
      </c>
      <c r="L19" s="6">
        <v>1.0</v>
      </c>
      <c r="M19" s="6">
        <v>1.0</v>
      </c>
    </row>
    <row r="20">
      <c r="A20" s="5" t="s">
        <v>71</v>
      </c>
      <c r="B20" s="5" t="s">
        <v>1867</v>
      </c>
      <c r="C20" s="5" t="s">
        <v>60</v>
      </c>
      <c r="D20" s="6">
        <v>5.0</v>
      </c>
      <c r="E20" s="6">
        <v>1.0</v>
      </c>
      <c r="F20" s="6">
        <v>2.0</v>
      </c>
      <c r="G20" s="6">
        <v>5.0</v>
      </c>
      <c r="H20" s="6">
        <v>1932.0</v>
      </c>
      <c r="I20" s="6">
        <v>0.9193</v>
      </c>
      <c r="J20" s="6">
        <v>1.0</v>
      </c>
      <c r="K20" s="6">
        <v>0.9569</v>
      </c>
      <c r="L20" s="6">
        <v>1.0</v>
      </c>
      <c r="M20" s="6">
        <v>0.9201</v>
      </c>
    </row>
    <row r="21">
      <c r="A21" s="5" t="s">
        <v>71</v>
      </c>
      <c r="B21" s="5" t="s">
        <v>1867</v>
      </c>
      <c r="C21" s="5" t="s">
        <v>60</v>
      </c>
      <c r="D21" s="6">
        <v>5.0</v>
      </c>
      <c r="E21" s="6">
        <v>2.0</v>
      </c>
      <c r="F21" s="6">
        <v>2.0</v>
      </c>
      <c r="G21" s="6">
        <v>5.0</v>
      </c>
      <c r="H21" s="6">
        <v>1932.0</v>
      </c>
      <c r="I21" s="6">
        <v>1.0</v>
      </c>
      <c r="J21" s="6">
        <v>1.0</v>
      </c>
      <c r="K21" s="6">
        <v>1.0</v>
      </c>
      <c r="L21" s="6">
        <v>1.0</v>
      </c>
      <c r="M21" s="6">
        <v>1.0</v>
      </c>
    </row>
    <row r="22">
      <c r="A22" s="5" t="s">
        <v>2092</v>
      </c>
      <c r="B22" s="5" t="s">
        <v>163</v>
      </c>
      <c r="C22" s="5" t="s">
        <v>56</v>
      </c>
      <c r="D22" s="6">
        <v>1.0</v>
      </c>
      <c r="E22" s="6">
        <v>1.0</v>
      </c>
      <c r="F22" s="6">
        <v>5.0</v>
      </c>
      <c r="G22" s="6">
        <v>1.0</v>
      </c>
      <c r="H22" s="6">
        <v>53697.0</v>
      </c>
      <c r="I22" s="6">
        <v>0.2495</v>
      </c>
      <c r="J22" s="6">
        <v>0.025</v>
      </c>
      <c r="K22" s="6">
        <v>0.0</v>
      </c>
      <c r="L22" s="6">
        <v>0.4196</v>
      </c>
      <c r="M22" s="6">
        <v>0.2495</v>
      </c>
    </row>
    <row r="23">
      <c r="A23" s="5" t="s">
        <v>2092</v>
      </c>
      <c r="B23" s="5" t="s">
        <v>163</v>
      </c>
      <c r="C23" s="5" t="s">
        <v>56</v>
      </c>
      <c r="D23" s="6">
        <v>1.0</v>
      </c>
      <c r="E23" s="6">
        <v>2.0</v>
      </c>
      <c r="F23" s="6">
        <v>5.0</v>
      </c>
      <c r="G23" s="6">
        <v>1.0</v>
      </c>
      <c r="H23" s="6">
        <v>53697.0</v>
      </c>
      <c r="I23" s="6">
        <v>0.5009</v>
      </c>
      <c r="J23" s="6">
        <v>0.4939</v>
      </c>
      <c r="K23" s="6">
        <v>0.0309</v>
      </c>
      <c r="L23" s="6">
        <v>0.992</v>
      </c>
      <c r="M23" s="6">
        <v>0.5009</v>
      </c>
    </row>
    <row r="24">
      <c r="A24" s="5" t="s">
        <v>2092</v>
      </c>
      <c r="B24" s="5" t="s">
        <v>163</v>
      </c>
      <c r="C24" s="5" t="s">
        <v>56</v>
      </c>
      <c r="D24" s="6">
        <v>1.0</v>
      </c>
      <c r="E24" s="6">
        <v>3.0</v>
      </c>
      <c r="F24" s="6">
        <v>5.0</v>
      </c>
      <c r="G24" s="6">
        <v>1.0</v>
      </c>
      <c r="H24" s="6">
        <v>53697.0</v>
      </c>
      <c r="I24" s="6">
        <v>0.7543</v>
      </c>
      <c r="J24" s="6">
        <v>0.9881</v>
      </c>
      <c r="K24" s="6">
        <v>0.573</v>
      </c>
      <c r="L24" s="6">
        <v>1.0</v>
      </c>
      <c r="M24" s="6">
        <v>0.7543</v>
      </c>
    </row>
    <row r="25">
      <c r="A25" s="5" t="s">
        <v>2092</v>
      </c>
      <c r="B25" s="5" t="s">
        <v>163</v>
      </c>
      <c r="C25" s="5" t="s">
        <v>56</v>
      </c>
      <c r="D25" s="6">
        <v>1.0</v>
      </c>
      <c r="E25" s="6">
        <v>4.0</v>
      </c>
      <c r="F25" s="6">
        <v>5.0</v>
      </c>
      <c r="G25" s="6">
        <v>1.0</v>
      </c>
      <c r="H25" s="6">
        <v>53697.0</v>
      </c>
      <c r="I25" s="6">
        <v>0.9843</v>
      </c>
      <c r="J25" s="6">
        <v>1.0</v>
      </c>
      <c r="K25" s="6">
        <v>1.0</v>
      </c>
      <c r="L25" s="6">
        <v>1.0</v>
      </c>
      <c r="M25" s="6">
        <v>0.9843</v>
      </c>
    </row>
    <row r="26">
      <c r="A26" s="5" t="s">
        <v>2092</v>
      </c>
      <c r="B26" s="5" t="s">
        <v>163</v>
      </c>
      <c r="C26" s="5" t="s">
        <v>56</v>
      </c>
      <c r="D26" s="6">
        <v>1.0</v>
      </c>
      <c r="E26" s="6">
        <v>5.0</v>
      </c>
      <c r="F26" s="6">
        <v>5.0</v>
      </c>
      <c r="G26" s="6">
        <v>1.0</v>
      </c>
      <c r="H26" s="6">
        <v>53697.0</v>
      </c>
      <c r="I26" s="6">
        <v>1.0</v>
      </c>
      <c r="J26" s="6">
        <v>1.0</v>
      </c>
      <c r="K26" s="6">
        <v>1.0</v>
      </c>
      <c r="L26" s="6">
        <v>1.0</v>
      </c>
      <c r="M26" s="6">
        <v>1.0</v>
      </c>
    </row>
    <row r="27">
      <c r="A27" s="5" t="s">
        <v>2092</v>
      </c>
      <c r="B27" s="5" t="s">
        <v>1867</v>
      </c>
      <c r="C27" s="5" t="s">
        <v>56</v>
      </c>
      <c r="D27" s="6">
        <v>1.0</v>
      </c>
      <c r="E27" s="6">
        <v>1.0</v>
      </c>
      <c r="F27" s="6">
        <v>5.0</v>
      </c>
      <c r="G27" s="6">
        <v>1.0</v>
      </c>
      <c r="H27" s="6">
        <v>41029.0</v>
      </c>
      <c r="I27" s="6">
        <v>0.2628</v>
      </c>
      <c r="J27" s="6">
        <v>0.0336</v>
      </c>
      <c r="K27" s="6">
        <v>0.0</v>
      </c>
      <c r="L27" s="6">
        <v>0.4664</v>
      </c>
      <c r="M27" s="6">
        <v>0.2627</v>
      </c>
    </row>
    <row r="28">
      <c r="A28" s="5" t="s">
        <v>2092</v>
      </c>
      <c r="B28" s="5" t="s">
        <v>1867</v>
      </c>
      <c r="C28" s="5" t="s">
        <v>56</v>
      </c>
      <c r="D28" s="6">
        <v>1.0</v>
      </c>
      <c r="E28" s="6">
        <v>2.0</v>
      </c>
      <c r="F28" s="6">
        <v>5.0</v>
      </c>
      <c r="G28" s="6">
        <v>1.0</v>
      </c>
      <c r="H28" s="6">
        <v>41029.0</v>
      </c>
      <c r="I28" s="6">
        <v>0.5134</v>
      </c>
      <c r="J28" s="6">
        <v>0.516</v>
      </c>
      <c r="K28" s="6">
        <v>0.0404</v>
      </c>
      <c r="L28" s="6">
        <v>0.9964</v>
      </c>
      <c r="M28" s="6">
        <v>0.5134</v>
      </c>
    </row>
    <row r="29">
      <c r="A29" s="5" t="s">
        <v>2092</v>
      </c>
      <c r="B29" s="5" t="s">
        <v>1867</v>
      </c>
      <c r="C29" s="5" t="s">
        <v>56</v>
      </c>
      <c r="D29" s="6">
        <v>1.0</v>
      </c>
      <c r="E29" s="6">
        <v>3.0</v>
      </c>
      <c r="F29" s="6">
        <v>5.0</v>
      </c>
      <c r="G29" s="6">
        <v>1.0</v>
      </c>
      <c r="H29" s="6">
        <v>41029.0</v>
      </c>
      <c r="I29" s="6">
        <v>0.7612</v>
      </c>
      <c r="J29" s="6">
        <v>0.992</v>
      </c>
      <c r="K29" s="6">
        <v>0.5816</v>
      </c>
      <c r="L29" s="6">
        <v>1.0</v>
      </c>
      <c r="M29" s="6">
        <v>0.7612</v>
      </c>
    </row>
    <row r="30">
      <c r="A30" s="5" t="s">
        <v>2092</v>
      </c>
      <c r="B30" s="5" t="s">
        <v>1867</v>
      </c>
      <c r="C30" s="5" t="s">
        <v>56</v>
      </c>
      <c r="D30" s="6">
        <v>1.0</v>
      </c>
      <c r="E30" s="6">
        <v>4.0</v>
      </c>
      <c r="F30" s="6">
        <v>5.0</v>
      </c>
      <c r="G30" s="6">
        <v>1.0</v>
      </c>
      <c r="H30" s="6">
        <v>41029.0</v>
      </c>
      <c r="I30" s="6">
        <v>0.9859</v>
      </c>
      <c r="J30" s="6">
        <v>1.0</v>
      </c>
      <c r="K30" s="6">
        <v>1.0</v>
      </c>
      <c r="L30" s="6">
        <v>1.0</v>
      </c>
      <c r="M30" s="6">
        <v>0.986</v>
      </c>
    </row>
    <row r="31">
      <c r="A31" s="5" t="s">
        <v>2092</v>
      </c>
      <c r="B31" s="5" t="s">
        <v>1867</v>
      </c>
      <c r="C31" s="5" t="s">
        <v>56</v>
      </c>
      <c r="D31" s="6">
        <v>1.0</v>
      </c>
      <c r="E31" s="6">
        <v>5.0</v>
      </c>
      <c r="F31" s="6">
        <v>5.0</v>
      </c>
      <c r="G31" s="6">
        <v>1.0</v>
      </c>
      <c r="H31" s="6">
        <v>41029.0</v>
      </c>
      <c r="I31" s="6">
        <v>1.0</v>
      </c>
      <c r="J31" s="6">
        <v>1.0</v>
      </c>
      <c r="K31" s="6">
        <v>1.0</v>
      </c>
      <c r="L31" s="6">
        <v>1.0</v>
      </c>
      <c r="M31" s="6">
        <v>1.0</v>
      </c>
    </row>
    <row r="32">
      <c r="A32" s="5" t="s">
        <v>2092</v>
      </c>
      <c r="B32" s="5" t="s">
        <v>163</v>
      </c>
      <c r="C32" s="5" t="s">
        <v>57</v>
      </c>
      <c r="D32" s="6">
        <v>2.0</v>
      </c>
      <c r="E32" s="6">
        <v>1.0</v>
      </c>
      <c r="F32" s="6">
        <v>5.0</v>
      </c>
      <c r="G32" s="6">
        <v>1.0</v>
      </c>
      <c r="H32" s="6">
        <v>40748.0</v>
      </c>
      <c r="I32" s="6">
        <v>0.2681</v>
      </c>
      <c r="J32" s="6">
        <v>0.1556</v>
      </c>
      <c r="K32" s="6">
        <v>0.0</v>
      </c>
      <c r="L32" s="6">
        <v>0.4318</v>
      </c>
      <c r="M32" s="6">
        <v>0.268</v>
      </c>
    </row>
    <row r="33">
      <c r="A33" s="5" t="s">
        <v>2092</v>
      </c>
      <c r="B33" s="5" t="s">
        <v>163</v>
      </c>
      <c r="C33" s="5" t="s">
        <v>57</v>
      </c>
      <c r="D33" s="6">
        <v>2.0</v>
      </c>
      <c r="E33" s="6">
        <v>2.0</v>
      </c>
      <c r="F33" s="6">
        <v>5.0</v>
      </c>
      <c r="G33" s="6">
        <v>1.0</v>
      </c>
      <c r="H33" s="6">
        <v>40748.0</v>
      </c>
      <c r="I33" s="6">
        <v>0.5212</v>
      </c>
      <c r="J33" s="6">
        <v>0.5259</v>
      </c>
      <c r="K33" s="6">
        <v>0.2181</v>
      </c>
      <c r="L33" s="6">
        <v>0.8544</v>
      </c>
      <c r="M33" s="6">
        <v>0.5211</v>
      </c>
    </row>
    <row r="34">
      <c r="A34" s="5" t="s">
        <v>2092</v>
      </c>
      <c r="B34" s="5" t="s">
        <v>163</v>
      </c>
      <c r="C34" s="5" t="s">
        <v>57</v>
      </c>
      <c r="D34" s="6">
        <v>2.0</v>
      </c>
      <c r="E34" s="6">
        <v>3.0</v>
      </c>
      <c r="F34" s="6">
        <v>5.0</v>
      </c>
      <c r="G34" s="6">
        <v>1.0</v>
      </c>
      <c r="H34" s="6">
        <v>40748.0</v>
      </c>
      <c r="I34" s="6">
        <v>0.7657</v>
      </c>
      <c r="J34" s="6">
        <v>0.8909</v>
      </c>
      <c r="K34" s="6">
        <v>0.6281</v>
      </c>
      <c r="L34" s="6">
        <v>1.0</v>
      </c>
      <c r="M34" s="6">
        <v>0.7656</v>
      </c>
    </row>
    <row r="35">
      <c r="A35" s="5" t="s">
        <v>2092</v>
      </c>
      <c r="B35" s="5" t="s">
        <v>163</v>
      </c>
      <c r="C35" s="5" t="s">
        <v>57</v>
      </c>
      <c r="D35" s="6">
        <v>2.0</v>
      </c>
      <c r="E35" s="6">
        <v>4.0</v>
      </c>
      <c r="F35" s="6">
        <v>5.0</v>
      </c>
      <c r="G35" s="6">
        <v>1.0</v>
      </c>
      <c r="H35" s="6">
        <v>40748.0</v>
      </c>
      <c r="I35" s="6">
        <v>0.9873</v>
      </c>
      <c r="J35" s="6">
        <v>1.0</v>
      </c>
      <c r="K35" s="6">
        <v>1.0</v>
      </c>
      <c r="L35" s="6">
        <v>1.0</v>
      </c>
      <c r="M35" s="6">
        <v>0.9873</v>
      </c>
    </row>
    <row r="36">
      <c r="A36" s="5" t="s">
        <v>2092</v>
      </c>
      <c r="B36" s="5" t="s">
        <v>163</v>
      </c>
      <c r="C36" s="5" t="s">
        <v>57</v>
      </c>
      <c r="D36" s="6">
        <v>2.0</v>
      </c>
      <c r="E36" s="6">
        <v>5.0</v>
      </c>
      <c r="F36" s="6">
        <v>5.0</v>
      </c>
      <c r="G36" s="6">
        <v>1.0</v>
      </c>
      <c r="H36" s="6">
        <v>40748.0</v>
      </c>
      <c r="I36" s="6">
        <v>1.0</v>
      </c>
      <c r="J36" s="6">
        <v>1.0</v>
      </c>
      <c r="K36" s="6">
        <v>1.0</v>
      </c>
      <c r="L36" s="6">
        <v>1.0</v>
      </c>
      <c r="M36" s="6">
        <v>1.0</v>
      </c>
    </row>
    <row r="37">
      <c r="A37" s="5" t="s">
        <v>2092</v>
      </c>
      <c r="B37" s="5" t="s">
        <v>1867</v>
      </c>
      <c r="C37" s="5" t="s">
        <v>57</v>
      </c>
      <c r="D37" s="6">
        <v>2.0</v>
      </c>
      <c r="E37" s="6">
        <v>1.0</v>
      </c>
      <c r="F37" s="6">
        <v>5.0</v>
      </c>
      <c r="G37" s="6">
        <v>1.0</v>
      </c>
      <c r="H37" s="6">
        <v>23616.0</v>
      </c>
      <c r="I37" s="6">
        <v>0.2692</v>
      </c>
      <c r="J37" s="6">
        <v>0.1377</v>
      </c>
      <c r="K37" s="6">
        <v>0.0</v>
      </c>
      <c r="L37" s="6">
        <v>0.4498</v>
      </c>
      <c r="M37" s="6">
        <v>0.2692</v>
      </c>
    </row>
    <row r="38">
      <c r="A38" s="5" t="s">
        <v>2092</v>
      </c>
      <c r="B38" s="5" t="s">
        <v>1867</v>
      </c>
      <c r="C38" s="5" t="s">
        <v>57</v>
      </c>
      <c r="D38" s="6">
        <v>2.0</v>
      </c>
      <c r="E38" s="6">
        <v>2.0</v>
      </c>
      <c r="F38" s="6">
        <v>5.0</v>
      </c>
      <c r="G38" s="6">
        <v>1.0</v>
      </c>
      <c r="H38" s="6">
        <v>23616.0</v>
      </c>
      <c r="I38" s="6">
        <v>0.5228</v>
      </c>
      <c r="J38" s="6">
        <v>0.5323</v>
      </c>
      <c r="K38" s="6">
        <v>0.191</v>
      </c>
      <c r="L38" s="6">
        <v>0.88</v>
      </c>
      <c r="M38" s="6">
        <v>0.5228</v>
      </c>
    </row>
    <row r="39">
      <c r="A39" s="5" t="s">
        <v>2092</v>
      </c>
      <c r="B39" s="5" t="s">
        <v>1867</v>
      </c>
      <c r="C39" s="5" t="s">
        <v>57</v>
      </c>
      <c r="D39" s="6">
        <v>2.0</v>
      </c>
      <c r="E39" s="6">
        <v>3.0</v>
      </c>
      <c r="F39" s="6">
        <v>5.0</v>
      </c>
      <c r="G39" s="6">
        <v>1.0</v>
      </c>
      <c r="H39" s="6">
        <v>23616.0</v>
      </c>
      <c r="I39" s="6">
        <v>0.7647</v>
      </c>
      <c r="J39" s="6">
        <v>0.9098</v>
      </c>
      <c r="K39" s="6">
        <v>0.6201</v>
      </c>
      <c r="L39" s="6">
        <v>1.0</v>
      </c>
      <c r="M39" s="6">
        <v>0.7647</v>
      </c>
    </row>
    <row r="40">
      <c r="A40" s="5" t="s">
        <v>2092</v>
      </c>
      <c r="B40" s="5" t="s">
        <v>1867</v>
      </c>
      <c r="C40" s="5" t="s">
        <v>57</v>
      </c>
      <c r="D40" s="6">
        <v>2.0</v>
      </c>
      <c r="E40" s="6">
        <v>4.0</v>
      </c>
      <c r="F40" s="6">
        <v>5.0</v>
      </c>
      <c r="G40" s="6">
        <v>1.0</v>
      </c>
      <c r="H40" s="6">
        <v>23616.0</v>
      </c>
      <c r="I40" s="6">
        <v>0.9873</v>
      </c>
      <c r="J40" s="6">
        <v>1.0</v>
      </c>
      <c r="K40" s="6">
        <v>1.0</v>
      </c>
      <c r="L40" s="6">
        <v>1.0</v>
      </c>
      <c r="M40" s="6">
        <v>0.9872</v>
      </c>
    </row>
    <row r="41">
      <c r="A41" s="5" t="s">
        <v>2092</v>
      </c>
      <c r="B41" s="5" t="s">
        <v>1867</v>
      </c>
      <c r="C41" s="5" t="s">
        <v>57</v>
      </c>
      <c r="D41" s="6">
        <v>2.0</v>
      </c>
      <c r="E41" s="6">
        <v>5.0</v>
      </c>
      <c r="F41" s="6">
        <v>5.0</v>
      </c>
      <c r="G41" s="6">
        <v>1.0</v>
      </c>
      <c r="H41" s="6">
        <v>23616.0</v>
      </c>
      <c r="I41" s="6">
        <v>1.0</v>
      </c>
      <c r="J41" s="6">
        <v>1.0</v>
      </c>
      <c r="K41" s="6">
        <v>1.0</v>
      </c>
      <c r="L41" s="6">
        <v>1.0</v>
      </c>
      <c r="M41" s="6">
        <v>1.0</v>
      </c>
    </row>
    <row r="42">
      <c r="A42" s="5" t="s">
        <v>2092</v>
      </c>
      <c r="B42" s="5" t="s">
        <v>163</v>
      </c>
      <c r="C42" s="5" t="s">
        <v>58</v>
      </c>
      <c r="D42" s="6">
        <v>3.0</v>
      </c>
      <c r="E42" s="6">
        <v>1.0</v>
      </c>
      <c r="F42" s="6">
        <v>5.0</v>
      </c>
      <c r="G42" s="6">
        <v>1.0</v>
      </c>
      <c r="H42" s="6">
        <v>24627.0</v>
      </c>
      <c r="I42" s="6">
        <v>0.2763</v>
      </c>
      <c r="J42" s="6">
        <v>0.2042</v>
      </c>
      <c r="K42" s="6">
        <v>5.0E-4</v>
      </c>
      <c r="L42" s="6">
        <v>0.4176</v>
      </c>
      <c r="M42" s="6">
        <v>0.2762</v>
      </c>
    </row>
    <row r="43">
      <c r="A43" s="5" t="s">
        <v>2092</v>
      </c>
      <c r="B43" s="5" t="s">
        <v>163</v>
      </c>
      <c r="C43" s="5" t="s">
        <v>58</v>
      </c>
      <c r="D43" s="6">
        <v>3.0</v>
      </c>
      <c r="E43" s="6">
        <v>2.0</v>
      </c>
      <c r="F43" s="6">
        <v>5.0</v>
      </c>
      <c r="G43" s="6">
        <v>1.0</v>
      </c>
      <c r="H43" s="6">
        <v>24627.0</v>
      </c>
      <c r="I43" s="6">
        <v>0.5362</v>
      </c>
      <c r="J43" s="6">
        <v>0.5451</v>
      </c>
      <c r="K43" s="6">
        <v>0.3016</v>
      </c>
      <c r="L43" s="6">
        <v>0.8116</v>
      </c>
      <c r="M43" s="6">
        <v>0.536</v>
      </c>
    </row>
    <row r="44">
      <c r="A44" s="5" t="s">
        <v>2092</v>
      </c>
      <c r="B44" s="5" t="s">
        <v>163</v>
      </c>
      <c r="C44" s="5" t="s">
        <v>58</v>
      </c>
      <c r="D44" s="6">
        <v>3.0</v>
      </c>
      <c r="E44" s="6">
        <v>3.0</v>
      </c>
      <c r="F44" s="6">
        <v>5.0</v>
      </c>
      <c r="G44" s="6">
        <v>1.0</v>
      </c>
      <c r="H44" s="6">
        <v>24627.0</v>
      </c>
      <c r="I44" s="6">
        <v>0.7733</v>
      </c>
      <c r="J44" s="6">
        <v>0.8595</v>
      </c>
      <c r="K44" s="6">
        <v>0.6609</v>
      </c>
      <c r="L44" s="6">
        <v>1.0</v>
      </c>
      <c r="M44" s="6">
        <v>0.7733</v>
      </c>
    </row>
    <row r="45">
      <c r="A45" s="5" t="s">
        <v>2092</v>
      </c>
      <c r="B45" s="5" t="s">
        <v>163</v>
      </c>
      <c r="C45" s="5" t="s">
        <v>58</v>
      </c>
      <c r="D45" s="6">
        <v>3.0</v>
      </c>
      <c r="E45" s="6">
        <v>4.0</v>
      </c>
      <c r="F45" s="6">
        <v>5.0</v>
      </c>
      <c r="G45" s="6">
        <v>1.0</v>
      </c>
      <c r="H45" s="6">
        <v>24627.0</v>
      </c>
      <c r="I45" s="6">
        <v>0.9887</v>
      </c>
      <c r="J45" s="6">
        <v>1.0</v>
      </c>
      <c r="K45" s="6">
        <v>1.0</v>
      </c>
      <c r="L45" s="6">
        <v>1.0</v>
      </c>
      <c r="M45" s="6">
        <v>0.9886</v>
      </c>
    </row>
    <row r="46">
      <c r="A46" s="5" t="s">
        <v>2092</v>
      </c>
      <c r="B46" s="5" t="s">
        <v>163</v>
      </c>
      <c r="C46" s="5" t="s">
        <v>58</v>
      </c>
      <c r="D46" s="6">
        <v>3.0</v>
      </c>
      <c r="E46" s="6">
        <v>5.0</v>
      </c>
      <c r="F46" s="6">
        <v>5.0</v>
      </c>
      <c r="G46" s="6">
        <v>1.0</v>
      </c>
      <c r="H46" s="6">
        <v>24627.0</v>
      </c>
      <c r="I46" s="6">
        <v>1.0</v>
      </c>
      <c r="J46" s="6">
        <v>1.0</v>
      </c>
      <c r="K46" s="6">
        <v>1.0</v>
      </c>
      <c r="L46" s="6">
        <v>1.0</v>
      </c>
      <c r="M46" s="6">
        <v>1.0</v>
      </c>
    </row>
    <row r="47">
      <c r="A47" s="5" t="s">
        <v>2092</v>
      </c>
      <c r="B47" s="5" t="s">
        <v>1867</v>
      </c>
      <c r="C47" s="5" t="s">
        <v>58</v>
      </c>
      <c r="D47" s="6">
        <v>3.0</v>
      </c>
      <c r="E47" s="6">
        <v>1.0</v>
      </c>
      <c r="F47" s="6">
        <v>5.0</v>
      </c>
      <c r="G47" s="6">
        <v>1.0</v>
      </c>
      <c r="H47" s="6">
        <v>13176.0</v>
      </c>
      <c r="I47" s="6">
        <v>0.2749</v>
      </c>
      <c r="J47" s="6">
        <v>0.1779</v>
      </c>
      <c r="K47" s="6">
        <v>0.0</v>
      </c>
      <c r="L47" s="6">
        <v>0.4428</v>
      </c>
      <c r="M47" s="6">
        <v>0.275</v>
      </c>
    </row>
    <row r="48">
      <c r="A48" s="5" t="s">
        <v>2092</v>
      </c>
      <c r="B48" s="5" t="s">
        <v>1867</v>
      </c>
      <c r="C48" s="5" t="s">
        <v>58</v>
      </c>
      <c r="D48" s="6">
        <v>3.0</v>
      </c>
      <c r="E48" s="6">
        <v>2.0</v>
      </c>
      <c r="F48" s="6">
        <v>5.0</v>
      </c>
      <c r="G48" s="6">
        <v>1.0</v>
      </c>
      <c r="H48" s="6">
        <v>13176.0</v>
      </c>
      <c r="I48" s="6">
        <v>0.528</v>
      </c>
      <c r="J48" s="6">
        <v>0.5424</v>
      </c>
      <c r="K48" s="6">
        <v>0.2428</v>
      </c>
      <c r="L48" s="6">
        <v>0.8449</v>
      </c>
      <c r="M48" s="6">
        <v>0.528</v>
      </c>
    </row>
    <row r="49">
      <c r="A49" s="5" t="s">
        <v>2092</v>
      </c>
      <c r="B49" s="5" t="s">
        <v>1867</v>
      </c>
      <c r="C49" s="5" t="s">
        <v>58</v>
      </c>
      <c r="D49" s="6">
        <v>3.0</v>
      </c>
      <c r="E49" s="6">
        <v>3.0</v>
      </c>
      <c r="F49" s="6">
        <v>5.0</v>
      </c>
      <c r="G49" s="6">
        <v>1.0</v>
      </c>
      <c r="H49" s="6">
        <v>13176.0</v>
      </c>
      <c r="I49" s="6">
        <v>0.7665</v>
      </c>
      <c r="J49" s="6">
        <v>0.884</v>
      </c>
      <c r="K49" s="6">
        <v>0.6472</v>
      </c>
      <c r="L49" s="6">
        <v>1.0</v>
      </c>
      <c r="M49" s="6">
        <v>0.7664</v>
      </c>
    </row>
    <row r="50">
      <c r="A50" s="5" t="s">
        <v>2092</v>
      </c>
      <c r="B50" s="5" t="s">
        <v>1867</v>
      </c>
      <c r="C50" s="5" t="s">
        <v>58</v>
      </c>
      <c r="D50" s="6">
        <v>3.0</v>
      </c>
      <c r="E50" s="6">
        <v>4.0</v>
      </c>
      <c r="F50" s="6">
        <v>5.0</v>
      </c>
      <c r="G50" s="6">
        <v>1.0</v>
      </c>
      <c r="H50" s="6">
        <v>13176.0</v>
      </c>
      <c r="I50" s="6">
        <v>0.9882</v>
      </c>
      <c r="J50" s="6">
        <v>1.0</v>
      </c>
      <c r="K50" s="6">
        <v>1.0</v>
      </c>
      <c r="L50" s="6">
        <v>1.0</v>
      </c>
      <c r="M50" s="6">
        <v>0.9882</v>
      </c>
    </row>
    <row r="51">
      <c r="A51" s="5" t="s">
        <v>2092</v>
      </c>
      <c r="B51" s="5" t="s">
        <v>1867</v>
      </c>
      <c r="C51" s="5" t="s">
        <v>58</v>
      </c>
      <c r="D51" s="6">
        <v>3.0</v>
      </c>
      <c r="E51" s="6">
        <v>5.0</v>
      </c>
      <c r="F51" s="6">
        <v>5.0</v>
      </c>
      <c r="G51" s="6">
        <v>1.0</v>
      </c>
      <c r="H51" s="6">
        <v>13176.0</v>
      </c>
      <c r="I51" s="6">
        <v>1.0</v>
      </c>
      <c r="J51" s="6">
        <v>1.0</v>
      </c>
      <c r="K51" s="6">
        <v>1.0</v>
      </c>
      <c r="L51" s="6">
        <v>1.0</v>
      </c>
      <c r="M51" s="6">
        <v>1.0</v>
      </c>
    </row>
    <row r="52">
      <c r="A52" s="5" t="s">
        <v>2092</v>
      </c>
      <c r="B52" s="5" t="s">
        <v>163</v>
      </c>
      <c r="C52" s="5" t="s">
        <v>59</v>
      </c>
      <c r="D52" s="6">
        <v>4.0</v>
      </c>
      <c r="E52" s="6">
        <v>1.0</v>
      </c>
      <c r="F52" s="6">
        <v>5.0</v>
      </c>
      <c r="G52" s="6">
        <v>1.0</v>
      </c>
      <c r="H52" s="6">
        <v>11322.0</v>
      </c>
      <c r="I52" s="6">
        <v>0.2988</v>
      </c>
      <c r="J52" s="6">
        <v>0.2595</v>
      </c>
      <c r="K52" s="6">
        <v>0.03</v>
      </c>
      <c r="L52" s="6">
        <v>0.436</v>
      </c>
      <c r="M52" s="6">
        <v>0.2989</v>
      </c>
    </row>
    <row r="53">
      <c r="A53" s="5" t="s">
        <v>2092</v>
      </c>
      <c r="B53" s="5" t="s">
        <v>163</v>
      </c>
      <c r="C53" s="5" t="s">
        <v>59</v>
      </c>
      <c r="D53" s="6">
        <v>4.0</v>
      </c>
      <c r="E53" s="6">
        <v>2.0</v>
      </c>
      <c r="F53" s="6">
        <v>5.0</v>
      </c>
      <c r="G53" s="6">
        <v>1.0</v>
      </c>
      <c r="H53" s="6">
        <v>11322.0</v>
      </c>
      <c r="I53" s="6">
        <v>0.5673</v>
      </c>
      <c r="J53" s="6">
        <v>0.5828</v>
      </c>
      <c r="K53" s="6">
        <v>0.3772</v>
      </c>
      <c r="L53" s="6">
        <v>0.8138</v>
      </c>
      <c r="M53" s="6">
        <v>0.5674</v>
      </c>
    </row>
    <row r="54">
      <c r="A54" s="5" t="s">
        <v>2092</v>
      </c>
      <c r="B54" s="5" t="s">
        <v>163</v>
      </c>
      <c r="C54" s="5" t="s">
        <v>59</v>
      </c>
      <c r="D54" s="6">
        <v>4.0</v>
      </c>
      <c r="E54" s="6">
        <v>3.0</v>
      </c>
      <c r="F54" s="6">
        <v>5.0</v>
      </c>
      <c r="G54" s="6">
        <v>1.0</v>
      </c>
      <c r="H54" s="6">
        <v>11322.0</v>
      </c>
      <c r="I54" s="6">
        <v>0.7907</v>
      </c>
      <c r="J54" s="6">
        <v>0.8672</v>
      </c>
      <c r="K54" s="6">
        <v>0.694</v>
      </c>
      <c r="L54" s="6">
        <v>1.0</v>
      </c>
      <c r="M54" s="6">
        <v>0.7908</v>
      </c>
    </row>
    <row r="55">
      <c r="A55" s="5" t="s">
        <v>2092</v>
      </c>
      <c r="B55" s="5" t="s">
        <v>163</v>
      </c>
      <c r="C55" s="5" t="s">
        <v>59</v>
      </c>
      <c r="D55" s="6">
        <v>4.0</v>
      </c>
      <c r="E55" s="6">
        <v>4.0</v>
      </c>
      <c r="F55" s="6">
        <v>5.0</v>
      </c>
      <c r="G55" s="6">
        <v>1.0</v>
      </c>
      <c r="H55" s="6">
        <v>11322.0</v>
      </c>
      <c r="I55" s="6">
        <v>0.9906</v>
      </c>
      <c r="J55" s="6">
        <v>1.0</v>
      </c>
      <c r="K55" s="6">
        <v>1.0</v>
      </c>
      <c r="L55" s="6">
        <v>1.0</v>
      </c>
      <c r="M55" s="6">
        <v>0.9906</v>
      </c>
    </row>
    <row r="56">
      <c r="A56" s="5" t="s">
        <v>2092</v>
      </c>
      <c r="B56" s="5" t="s">
        <v>163</v>
      </c>
      <c r="C56" s="5" t="s">
        <v>59</v>
      </c>
      <c r="D56" s="6">
        <v>4.0</v>
      </c>
      <c r="E56" s="6">
        <v>5.0</v>
      </c>
      <c r="F56" s="6">
        <v>5.0</v>
      </c>
      <c r="G56" s="6">
        <v>1.0</v>
      </c>
      <c r="H56" s="6">
        <v>11322.0</v>
      </c>
      <c r="I56" s="6">
        <v>1.0</v>
      </c>
      <c r="J56" s="6">
        <v>1.0</v>
      </c>
      <c r="K56" s="6">
        <v>1.0</v>
      </c>
      <c r="L56" s="6">
        <v>1.0</v>
      </c>
      <c r="M56" s="6">
        <v>1.0</v>
      </c>
    </row>
    <row r="57">
      <c r="A57" s="5" t="s">
        <v>2092</v>
      </c>
      <c r="B57" s="5" t="s">
        <v>1867</v>
      </c>
      <c r="C57" s="5" t="s">
        <v>59</v>
      </c>
      <c r="D57" s="6">
        <v>4.0</v>
      </c>
      <c r="E57" s="6">
        <v>1.0</v>
      </c>
      <c r="F57" s="6">
        <v>5.0</v>
      </c>
      <c r="G57" s="6">
        <v>1.0</v>
      </c>
      <c r="H57" s="6">
        <v>5639.0</v>
      </c>
      <c r="I57" s="6">
        <v>0.2866</v>
      </c>
      <c r="J57" s="6">
        <v>0.2225</v>
      </c>
      <c r="K57" s="6">
        <v>0.0</v>
      </c>
      <c r="L57" s="6">
        <v>0.4474</v>
      </c>
      <c r="M57" s="6">
        <v>0.2869</v>
      </c>
    </row>
    <row r="58">
      <c r="A58" s="5" t="s">
        <v>2092</v>
      </c>
      <c r="B58" s="5" t="s">
        <v>1867</v>
      </c>
      <c r="C58" s="5" t="s">
        <v>59</v>
      </c>
      <c r="D58" s="6">
        <v>4.0</v>
      </c>
      <c r="E58" s="6">
        <v>2.0</v>
      </c>
      <c r="F58" s="6">
        <v>5.0</v>
      </c>
      <c r="G58" s="6">
        <v>1.0</v>
      </c>
      <c r="H58" s="6">
        <v>5639.0</v>
      </c>
      <c r="I58" s="6">
        <v>0.539</v>
      </c>
      <c r="J58" s="6">
        <v>0.5633</v>
      </c>
      <c r="K58" s="6">
        <v>0.2807</v>
      </c>
      <c r="L58" s="6">
        <v>0.8435</v>
      </c>
      <c r="M58" s="6">
        <v>0.5391</v>
      </c>
    </row>
    <row r="59">
      <c r="A59" s="5" t="s">
        <v>2092</v>
      </c>
      <c r="B59" s="5" t="s">
        <v>1867</v>
      </c>
      <c r="C59" s="5" t="s">
        <v>59</v>
      </c>
      <c r="D59" s="6">
        <v>4.0</v>
      </c>
      <c r="E59" s="6">
        <v>3.0</v>
      </c>
      <c r="F59" s="6">
        <v>5.0</v>
      </c>
      <c r="G59" s="6">
        <v>1.0</v>
      </c>
      <c r="H59" s="6">
        <v>5639.0</v>
      </c>
      <c r="I59" s="6">
        <v>0.7692</v>
      </c>
      <c r="J59" s="6">
        <v>0.8804</v>
      </c>
      <c r="K59" s="6">
        <v>0.6627</v>
      </c>
      <c r="L59" s="6">
        <v>1.0</v>
      </c>
      <c r="M59" s="6">
        <v>0.7693</v>
      </c>
    </row>
    <row r="60">
      <c r="A60" s="5" t="s">
        <v>2092</v>
      </c>
      <c r="B60" s="5" t="s">
        <v>1867</v>
      </c>
      <c r="C60" s="5" t="s">
        <v>59</v>
      </c>
      <c r="D60" s="6">
        <v>4.0</v>
      </c>
      <c r="E60" s="6">
        <v>4.0</v>
      </c>
      <c r="F60" s="6">
        <v>5.0</v>
      </c>
      <c r="G60" s="6">
        <v>1.0</v>
      </c>
      <c r="H60" s="6">
        <v>5639.0</v>
      </c>
      <c r="I60" s="6">
        <v>0.9873</v>
      </c>
      <c r="J60" s="6">
        <v>1.0</v>
      </c>
      <c r="K60" s="6">
        <v>1.0</v>
      </c>
      <c r="L60" s="6">
        <v>1.0</v>
      </c>
      <c r="M60" s="6">
        <v>0.9873</v>
      </c>
    </row>
    <row r="61">
      <c r="A61" s="5" t="s">
        <v>2092</v>
      </c>
      <c r="B61" s="5" t="s">
        <v>1867</v>
      </c>
      <c r="C61" s="5" t="s">
        <v>59</v>
      </c>
      <c r="D61" s="6">
        <v>4.0</v>
      </c>
      <c r="E61" s="6">
        <v>5.0</v>
      </c>
      <c r="F61" s="6">
        <v>5.0</v>
      </c>
      <c r="G61" s="6">
        <v>1.0</v>
      </c>
      <c r="H61" s="6">
        <v>5639.0</v>
      </c>
      <c r="I61" s="6">
        <v>1.0</v>
      </c>
      <c r="J61" s="6">
        <v>1.0</v>
      </c>
      <c r="K61" s="6">
        <v>1.0</v>
      </c>
      <c r="L61" s="6">
        <v>1.0</v>
      </c>
      <c r="M61" s="6">
        <v>1.0</v>
      </c>
    </row>
    <row r="62">
      <c r="A62" s="5" t="s">
        <v>2092</v>
      </c>
      <c r="B62" s="5" t="s">
        <v>163</v>
      </c>
      <c r="C62" s="5" t="s">
        <v>60</v>
      </c>
      <c r="D62" s="6">
        <v>5.0</v>
      </c>
      <c r="E62" s="6">
        <v>1.0</v>
      </c>
      <c r="F62" s="6">
        <v>5.0</v>
      </c>
      <c r="G62" s="6">
        <v>1.0</v>
      </c>
      <c r="H62" s="6">
        <v>1511.0</v>
      </c>
      <c r="I62" s="6">
        <v>0.3256</v>
      </c>
      <c r="J62" s="6">
        <v>0.2607</v>
      </c>
      <c r="K62" s="6">
        <v>0.0</v>
      </c>
      <c r="L62" s="6">
        <v>0.568</v>
      </c>
      <c r="M62" s="6">
        <v>0.3262</v>
      </c>
    </row>
    <row r="63">
      <c r="A63" s="5" t="s">
        <v>2092</v>
      </c>
      <c r="B63" s="5" t="s">
        <v>163</v>
      </c>
      <c r="C63" s="5" t="s">
        <v>60</v>
      </c>
      <c r="D63" s="6">
        <v>5.0</v>
      </c>
      <c r="E63" s="6">
        <v>2.0</v>
      </c>
      <c r="F63" s="6">
        <v>5.0</v>
      </c>
      <c r="G63" s="6">
        <v>1.0</v>
      </c>
      <c r="H63" s="6">
        <v>1511.0</v>
      </c>
      <c r="I63" s="6">
        <v>0.5954</v>
      </c>
      <c r="J63" s="6">
        <v>0.7272</v>
      </c>
      <c r="K63" s="6">
        <v>0.0989</v>
      </c>
      <c r="L63" s="6">
        <v>1.0</v>
      </c>
      <c r="M63" s="6">
        <v>0.5962</v>
      </c>
    </row>
    <row r="64">
      <c r="A64" s="5" t="s">
        <v>2092</v>
      </c>
      <c r="B64" s="5" t="s">
        <v>163</v>
      </c>
      <c r="C64" s="5" t="s">
        <v>60</v>
      </c>
      <c r="D64" s="6">
        <v>5.0</v>
      </c>
      <c r="E64" s="6">
        <v>3.0</v>
      </c>
      <c r="F64" s="6">
        <v>5.0</v>
      </c>
      <c r="G64" s="6">
        <v>1.0</v>
      </c>
      <c r="H64" s="6">
        <v>1511.0</v>
      </c>
      <c r="I64" s="6">
        <v>0.7974</v>
      </c>
      <c r="J64" s="6">
        <v>1.0</v>
      </c>
      <c r="K64" s="6">
        <v>0.7279</v>
      </c>
      <c r="L64" s="6">
        <v>1.0</v>
      </c>
      <c r="M64" s="6">
        <v>0.7982</v>
      </c>
    </row>
    <row r="65">
      <c r="A65" s="5" t="s">
        <v>2092</v>
      </c>
      <c r="B65" s="5" t="s">
        <v>163</v>
      </c>
      <c r="C65" s="5" t="s">
        <v>60</v>
      </c>
      <c r="D65" s="6">
        <v>5.0</v>
      </c>
      <c r="E65" s="6">
        <v>4.0</v>
      </c>
      <c r="F65" s="6">
        <v>5.0</v>
      </c>
      <c r="G65" s="6">
        <v>1.0</v>
      </c>
      <c r="H65" s="6">
        <v>1511.0</v>
      </c>
      <c r="I65" s="6">
        <v>0.9907</v>
      </c>
      <c r="J65" s="6">
        <v>1.0</v>
      </c>
      <c r="K65" s="6">
        <v>1.0</v>
      </c>
      <c r="L65" s="6">
        <v>1.0</v>
      </c>
      <c r="M65" s="6">
        <v>0.9909</v>
      </c>
    </row>
    <row r="66">
      <c r="A66" s="5" t="s">
        <v>2092</v>
      </c>
      <c r="B66" s="5" t="s">
        <v>163</v>
      </c>
      <c r="C66" s="5" t="s">
        <v>60</v>
      </c>
      <c r="D66" s="6">
        <v>5.0</v>
      </c>
      <c r="E66" s="6">
        <v>5.0</v>
      </c>
      <c r="F66" s="6">
        <v>5.0</v>
      </c>
      <c r="G66" s="6">
        <v>1.0</v>
      </c>
      <c r="H66" s="6">
        <v>1511.0</v>
      </c>
      <c r="I66" s="6">
        <v>1.0</v>
      </c>
      <c r="J66" s="6">
        <v>1.0</v>
      </c>
      <c r="K66" s="6">
        <v>1.0</v>
      </c>
      <c r="L66" s="6">
        <v>1.0</v>
      </c>
      <c r="M66" s="6">
        <v>1.0</v>
      </c>
    </row>
    <row r="67">
      <c r="A67" s="5" t="s">
        <v>2092</v>
      </c>
      <c r="B67" s="5" t="s">
        <v>1867</v>
      </c>
      <c r="C67" s="5" t="s">
        <v>60</v>
      </c>
      <c r="D67" s="6">
        <v>5.0</v>
      </c>
      <c r="E67" s="6">
        <v>1.0</v>
      </c>
      <c r="F67" s="6">
        <v>5.0</v>
      </c>
      <c r="G67" s="6">
        <v>1.0</v>
      </c>
      <c r="H67" s="6">
        <v>748.0</v>
      </c>
      <c r="I67" s="6">
        <v>0.3104</v>
      </c>
      <c r="J67" s="6">
        <v>0.2142</v>
      </c>
      <c r="K67" s="6">
        <v>0.0</v>
      </c>
      <c r="L67" s="6">
        <v>0.5407</v>
      </c>
      <c r="M67" s="6">
        <v>0.3108</v>
      </c>
    </row>
    <row r="68">
      <c r="A68" s="5" t="s">
        <v>2092</v>
      </c>
      <c r="B68" s="5" t="s">
        <v>1867</v>
      </c>
      <c r="C68" s="5" t="s">
        <v>60</v>
      </c>
      <c r="D68" s="6">
        <v>5.0</v>
      </c>
      <c r="E68" s="6">
        <v>2.0</v>
      </c>
      <c r="F68" s="6">
        <v>5.0</v>
      </c>
      <c r="G68" s="6">
        <v>1.0</v>
      </c>
      <c r="H68" s="6">
        <v>748.0</v>
      </c>
      <c r="I68" s="6">
        <v>0.5578</v>
      </c>
      <c r="J68" s="6">
        <v>0.6528</v>
      </c>
      <c r="K68" s="6">
        <v>0.0046</v>
      </c>
      <c r="L68" s="6">
        <v>0.9988</v>
      </c>
      <c r="M68" s="6">
        <v>0.5584</v>
      </c>
    </row>
    <row r="69">
      <c r="A69" s="5" t="s">
        <v>2092</v>
      </c>
      <c r="B69" s="5" t="s">
        <v>1867</v>
      </c>
      <c r="C69" s="5" t="s">
        <v>60</v>
      </c>
      <c r="D69" s="6">
        <v>5.0</v>
      </c>
      <c r="E69" s="6">
        <v>3.0</v>
      </c>
      <c r="F69" s="6">
        <v>5.0</v>
      </c>
      <c r="G69" s="6">
        <v>1.0</v>
      </c>
      <c r="H69" s="6">
        <v>748.0</v>
      </c>
      <c r="I69" s="6">
        <v>0.7845</v>
      </c>
      <c r="J69" s="6">
        <v>0.9998</v>
      </c>
      <c r="K69" s="6">
        <v>0.6736</v>
      </c>
      <c r="L69" s="6">
        <v>1.0</v>
      </c>
      <c r="M69" s="6">
        <v>0.7853</v>
      </c>
    </row>
    <row r="70">
      <c r="A70" s="5" t="s">
        <v>2092</v>
      </c>
      <c r="B70" s="5" t="s">
        <v>1867</v>
      </c>
      <c r="C70" s="5" t="s">
        <v>60</v>
      </c>
      <c r="D70" s="6">
        <v>5.0</v>
      </c>
      <c r="E70" s="6">
        <v>4.0</v>
      </c>
      <c r="F70" s="6">
        <v>5.0</v>
      </c>
      <c r="G70" s="6">
        <v>1.0</v>
      </c>
      <c r="H70" s="6">
        <v>748.0</v>
      </c>
      <c r="I70" s="6">
        <v>0.9883</v>
      </c>
      <c r="J70" s="6">
        <v>1.0</v>
      </c>
      <c r="K70" s="6">
        <v>1.0</v>
      </c>
      <c r="L70" s="6">
        <v>1.0</v>
      </c>
      <c r="M70" s="6">
        <v>0.9885</v>
      </c>
    </row>
    <row r="71">
      <c r="A71" s="5" t="s">
        <v>2092</v>
      </c>
      <c r="B71" s="5" t="s">
        <v>1867</v>
      </c>
      <c r="C71" s="5" t="s">
        <v>60</v>
      </c>
      <c r="D71" s="6">
        <v>5.0</v>
      </c>
      <c r="E71" s="6">
        <v>5.0</v>
      </c>
      <c r="F71" s="6">
        <v>5.0</v>
      </c>
      <c r="G71" s="6">
        <v>1.0</v>
      </c>
      <c r="H71" s="6">
        <v>748.0</v>
      </c>
      <c r="I71" s="6">
        <v>1.0</v>
      </c>
      <c r="J71" s="6">
        <v>1.0</v>
      </c>
      <c r="K71" s="6">
        <v>1.0</v>
      </c>
      <c r="L71" s="6">
        <v>1.0</v>
      </c>
      <c r="M71" s="6">
        <v>1.0</v>
      </c>
    </row>
    <row r="72">
      <c r="A72" s="5" t="s">
        <v>70</v>
      </c>
      <c r="B72" s="5" t="s">
        <v>163</v>
      </c>
      <c r="C72" s="5" t="s">
        <v>56</v>
      </c>
      <c r="D72" s="6">
        <v>1.0</v>
      </c>
      <c r="E72" s="6">
        <v>1.0</v>
      </c>
      <c r="F72" s="6">
        <v>2.0</v>
      </c>
      <c r="G72" s="6">
        <v>1.0</v>
      </c>
      <c r="H72" s="6">
        <v>32093.0</v>
      </c>
      <c r="I72" s="6">
        <v>0.9235</v>
      </c>
      <c r="J72" s="6">
        <v>1.0</v>
      </c>
      <c r="K72" s="6">
        <v>1.0</v>
      </c>
      <c r="L72" s="6">
        <v>1.0</v>
      </c>
      <c r="M72" s="6">
        <v>0.9234</v>
      </c>
    </row>
    <row r="73">
      <c r="A73" s="5" t="s">
        <v>70</v>
      </c>
      <c r="B73" s="5" t="s">
        <v>163</v>
      </c>
      <c r="C73" s="5" t="s">
        <v>56</v>
      </c>
      <c r="D73" s="6">
        <v>1.0</v>
      </c>
      <c r="E73" s="6">
        <v>2.0</v>
      </c>
      <c r="F73" s="6">
        <v>2.0</v>
      </c>
      <c r="G73" s="6">
        <v>1.0</v>
      </c>
      <c r="H73" s="6">
        <v>32093.0</v>
      </c>
      <c r="I73" s="6">
        <v>1.0</v>
      </c>
      <c r="J73" s="6">
        <v>1.0</v>
      </c>
      <c r="K73" s="6">
        <v>1.0</v>
      </c>
      <c r="L73" s="6">
        <v>1.0</v>
      </c>
      <c r="M73" s="6">
        <v>1.0</v>
      </c>
    </row>
    <row r="74">
      <c r="A74" s="5" t="s">
        <v>70</v>
      </c>
      <c r="B74" s="5" t="s">
        <v>1867</v>
      </c>
      <c r="C74" s="5" t="s">
        <v>56</v>
      </c>
      <c r="D74" s="6">
        <v>1.0</v>
      </c>
      <c r="E74" s="6">
        <v>1.0</v>
      </c>
      <c r="F74" s="6">
        <v>2.0</v>
      </c>
      <c r="G74" s="6">
        <v>1.0</v>
      </c>
      <c r="H74" s="6">
        <v>25618.0</v>
      </c>
      <c r="I74" s="6">
        <v>0.9203</v>
      </c>
      <c r="J74" s="6">
        <v>1.0</v>
      </c>
      <c r="K74" s="6">
        <v>1.0</v>
      </c>
      <c r="L74" s="6">
        <v>1.0</v>
      </c>
      <c r="M74" s="6">
        <v>0.9203</v>
      </c>
    </row>
    <row r="75">
      <c r="A75" s="5" t="s">
        <v>70</v>
      </c>
      <c r="B75" s="5" t="s">
        <v>1867</v>
      </c>
      <c r="C75" s="5" t="s">
        <v>56</v>
      </c>
      <c r="D75" s="6">
        <v>1.0</v>
      </c>
      <c r="E75" s="6">
        <v>2.0</v>
      </c>
      <c r="F75" s="6">
        <v>2.0</v>
      </c>
      <c r="G75" s="6">
        <v>1.0</v>
      </c>
      <c r="H75" s="6">
        <v>25618.0</v>
      </c>
      <c r="I75" s="6">
        <v>1.0</v>
      </c>
      <c r="J75" s="6">
        <v>1.0</v>
      </c>
      <c r="K75" s="6">
        <v>1.0</v>
      </c>
      <c r="L75" s="6">
        <v>1.0</v>
      </c>
      <c r="M75" s="6">
        <v>1.0</v>
      </c>
    </row>
    <row r="76">
      <c r="A76" s="5" t="s">
        <v>70</v>
      </c>
      <c r="B76" s="5" t="s">
        <v>163</v>
      </c>
      <c r="C76" s="5" t="s">
        <v>57</v>
      </c>
      <c r="D76" s="6">
        <v>2.0</v>
      </c>
      <c r="E76" s="6">
        <v>1.0</v>
      </c>
      <c r="F76" s="6">
        <v>2.0</v>
      </c>
      <c r="G76" s="6">
        <v>1.0</v>
      </c>
      <c r="H76" s="6">
        <v>26789.0</v>
      </c>
      <c r="I76" s="6">
        <v>0.928</v>
      </c>
      <c r="J76" s="6">
        <v>1.0</v>
      </c>
      <c r="K76" s="6">
        <v>1.0</v>
      </c>
      <c r="L76" s="6">
        <v>1.0</v>
      </c>
      <c r="M76" s="6">
        <v>0.9277</v>
      </c>
    </row>
    <row r="77">
      <c r="A77" s="5" t="s">
        <v>70</v>
      </c>
      <c r="B77" s="5" t="s">
        <v>163</v>
      </c>
      <c r="C77" s="5" t="s">
        <v>57</v>
      </c>
      <c r="D77" s="6">
        <v>2.0</v>
      </c>
      <c r="E77" s="6">
        <v>2.0</v>
      </c>
      <c r="F77" s="6">
        <v>2.0</v>
      </c>
      <c r="G77" s="6">
        <v>1.0</v>
      </c>
      <c r="H77" s="6">
        <v>26789.0</v>
      </c>
      <c r="I77" s="6">
        <v>1.0</v>
      </c>
      <c r="J77" s="6">
        <v>1.0</v>
      </c>
      <c r="K77" s="6">
        <v>1.0</v>
      </c>
      <c r="L77" s="6">
        <v>1.0</v>
      </c>
      <c r="M77" s="6">
        <v>1.0</v>
      </c>
    </row>
    <row r="78">
      <c r="A78" s="5" t="s">
        <v>70</v>
      </c>
      <c r="B78" s="5" t="s">
        <v>1867</v>
      </c>
      <c r="C78" s="5" t="s">
        <v>57</v>
      </c>
      <c r="D78" s="6">
        <v>2.0</v>
      </c>
      <c r="E78" s="6">
        <v>1.0</v>
      </c>
      <c r="F78" s="6">
        <v>2.0</v>
      </c>
      <c r="G78" s="6">
        <v>1.0</v>
      </c>
      <c r="H78" s="6">
        <v>15397.0</v>
      </c>
      <c r="I78" s="6">
        <v>0.9184</v>
      </c>
      <c r="J78" s="6">
        <v>1.0</v>
      </c>
      <c r="K78" s="6">
        <v>1.0</v>
      </c>
      <c r="L78" s="6">
        <v>1.0</v>
      </c>
      <c r="M78" s="6">
        <v>0.9185</v>
      </c>
    </row>
    <row r="79">
      <c r="A79" s="5" t="s">
        <v>70</v>
      </c>
      <c r="B79" s="5" t="s">
        <v>1867</v>
      </c>
      <c r="C79" s="5" t="s">
        <v>57</v>
      </c>
      <c r="D79" s="6">
        <v>2.0</v>
      </c>
      <c r="E79" s="6">
        <v>2.0</v>
      </c>
      <c r="F79" s="6">
        <v>2.0</v>
      </c>
      <c r="G79" s="6">
        <v>1.0</v>
      </c>
      <c r="H79" s="6">
        <v>15397.0</v>
      </c>
      <c r="I79" s="6">
        <v>1.0</v>
      </c>
      <c r="J79" s="6">
        <v>1.0</v>
      </c>
      <c r="K79" s="6">
        <v>1.0</v>
      </c>
      <c r="L79" s="6">
        <v>1.0</v>
      </c>
      <c r="M79" s="6">
        <v>1.0</v>
      </c>
    </row>
    <row r="80">
      <c r="A80" s="5" t="s">
        <v>70</v>
      </c>
      <c r="B80" s="5" t="s">
        <v>163</v>
      </c>
      <c r="C80" s="5" t="s">
        <v>58</v>
      </c>
      <c r="D80" s="6">
        <v>3.0</v>
      </c>
      <c r="E80" s="6">
        <v>1.0</v>
      </c>
      <c r="F80" s="6">
        <v>2.0</v>
      </c>
      <c r="G80" s="6">
        <v>1.0</v>
      </c>
      <c r="H80" s="6">
        <v>15666.0</v>
      </c>
      <c r="I80" s="6">
        <v>0.9319</v>
      </c>
      <c r="J80" s="6">
        <v>1.0</v>
      </c>
      <c r="K80" s="6">
        <v>0.995</v>
      </c>
      <c r="L80" s="6">
        <v>1.0</v>
      </c>
      <c r="M80" s="6">
        <v>0.9321</v>
      </c>
    </row>
    <row r="81">
      <c r="A81" s="5" t="s">
        <v>70</v>
      </c>
      <c r="B81" s="5" t="s">
        <v>163</v>
      </c>
      <c r="C81" s="5" t="s">
        <v>58</v>
      </c>
      <c r="D81" s="6">
        <v>3.0</v>
      </c>
      <c r="E81" s="6">
        <v>2.0</v>
      </c>
      <c r="F81" s="6">
        <v>2.0</v>
      </c>
      <c r="G81" s="6">
        <v>1.0</v>
      </c>
      <c r="H81" s="6">
        <v>15666.0</v>
      </c>
      <c r="I81" s="6">
        <v>1.0</v>
      </c>
      <c r="J81" s="6">
        <v>1.0</v>
      </c>
      <c r="K81" s="6">
        <v>1.0</v>
      </c>
      <c r="L81" s="6">
        <v>1.0</v>
      </c>
      <c r="M81" s="6">
        <v>1.0</v>
      </c>
    </row>
    <row r="82">
      <c r="A82" s="5" t="s">
        <v>70</v>
      </c>
      <c r="B82" s="5" t="s">
        <v>1867</v>
      </c>
      <c r="C82" s="5" t="s">
        <v>58</v>
      </c>
      <c r="D82" s="6">
        <v>3.0</v>
      </c>
      <c r="E82" s="6">
        <v>1.0</v>
      </c>
      <c r="F82" s="6">
        <v>2.0</v>
      </c>
      <c r="G82" s="6">
        <v>1.0</v>
      </c>
      <c r="H82" s="6">
        <v>8133.0</v>
      </c>
      <c r="I82" s="6">
        <v>0.9184</v>
      </c>
      <c r="J82" s="6">
        <v>1.0</v>
      </c>
      <c r="K82" s="6">
        <v>0.9922</v>
      </c>
      <c r="L82" s="6">
        <v>1.0</v>
      </c>
      <c r="M82" s="6">
        <v>0.9181</v>
      </c>
    </row>
    <row r="83">
      <c r="A83" s="5" t="s">
        <v>70</v>
      </c>
      <c r="B83" s="5" t="s">
        <v>1867</v>
      </c>
      <c r="C83" s="5" t="s">
        <v>58</v>
      </c>
      <c r="D83" s="6">
        <v>3.0</v>
      </c>
      <c r="E83" s="6">
        <v>2.0</v>
      </c>
      <c r="F83" s="6">
        <v>2.0</v>
      </c>
      <c r="G83" s="6">
        <v>1.0</v>
      </c>
      <c r="H83" s="6">
        <v>8133.0</v>
      </c>
      <c r="I83" s="6">
        <v>1.0</v>
      </c>
      <c r="J83" s="6">
        <v>1.0</v>
      </c>
      <c r="K83" s="6">
        <v>1.0</v>
      </c>
      <c r="L83" s="6">
        <v>1.0</v>
      </c>
      <c r="M83" s="6">
        <v>1.0</v>
      </c>
    </row>
    <row r="84">
      <c r="A84" s="5" t="s">
        <v>70</v>
      </c>
      <c r="B84" s="5" t="s">
        <v>163</v>
      </c>
      <c r="C84" s="5" t="s">
        <v>59</v>
      </c>
      <c r="D84" s="6">
        <v>4.0</v>
      </c>
      <c r="E84" s="6">
        <v>1.0</v>
      </c>
      <c r="F84" s="6">
        <v>2.0</v>
      </c>
      <c r="G84" s="6">
        <v>1.0</v>
      </c>
      <c r="H84" s="6">
        <v>7967.0</v>
      </c>
      <c r="I84" s="6">
        <v>0.9353</v>
      </c>
      <c r="J84" s="6">
        <v>1.0</v>
      </c>
      <c r="K84" s="6">
        <v>0.9812</v>
      </c>
      <c r="L84" s="6">
        <v>1.0</v>
      </c>
      <c r="M84" s="6">
        <v>0.9352</v>
      </c>
    </row>
    <row r="85">
      <c r="A85" s="5" t="s">
        <v>70</v>
      </c>
      <c r="B85" s="5" t="s">
        <v>163</v>
      </c>
      <c r="C85" s="5" t="s">
        <v>59</v>
      </c>
      <c r="D85" s="6">
        <v>4.0</v>
      </c>
      <c r="E85" s="6">
        <v>2.0</v>
      </c>
      <c r="F85" s="6">
        <v>2.0</v>
      </c>
      <c r="G85" s="6">
        <v>1.0</v>
      </c>
      <c r="H85" s="6">
        <v>7967.0</v>
      </c>
      <c r="I85" s="6">
        <v>1.0</v>
      </c>
      <c r="J85" s="6">
        <v>1.0</v>
      </c>
      <c r="K85" s="6">
        <v>1.0</v>
      </c>
      <c r="L85" s="6">
        <v>1.0</v>
      </c>
      <c r="M85" s="6">
        <v>1.0</v>
      </c>
    </row>
    <row r="86">
      <c r="A86" s="5" t="s">
        <v>70</v>
      </c>
      <c r="B86" s="5" t="s">
        <v>1867</v>
      </c>
      <c r="C86" s="5" t="s">
        <v>59</v>
      </c>
      <c r="D86" s="6">
        <v>4.0</v>
      </c>
      <c r="E86" s="6">
        <v>1.0</v>
      </c>
      <c r="F86" s="6">
        <v>2.0</v>
      </c>
      <c r="G86" s="6">
        <v>1.0</v>
      </c>
      <c r="H86" s="6">
        <v>3712.0</v>
      </c>
      <c r="I86" s="6">
        <v>0.9131</v>
      </c>
      <c r="J86" s="6">
        <v>1.0</v>
      </c>
      <c r="K86" s="6">
        <v>0.9696</v>
      </c>
      <c r="L86" s="6">
        <v>1.0</v>
      </c>
      <c r="M86" s="6">
        <v>0.9127</v>
      </c>
    </row>
    <row r="87">
      <c r="A87" s="5" t="s">
        <v>70</v>
      </c>
      <c r="B87" s="5" t="s">
        <v>1867</v>
      </c>
      <c r="C87" s="5" t="s">
        <v>59</v>
      </c>
      <c r="D87" s="6">
        <v>4.0</v>
      </c>
      <c r="E87" s="6">
        <v>2.0</v>
      </c>
      <c r="F87" s="6">
        <v>2.0</v>
      </c>
      <c r="G87" s="6">
        <v>1.0</v>
      </c>
      <c r="H87" s="6">
        <v>3712.0</v>
      </c>
      <c r="I87" s="6">
        <v>1.0</v>
      </c>
      <c r="J87" s="6">
        <v>1.0</v>
      </c>
      <c r="K87" s="6">
        <v>1.0</v>
      </c>
      <c r="L87" s="6">
        <v>1.0</v>
      </c>
      <c r="M87" s="6">
        <v>1.0</v>
      </c>
    </row>
    <row r="88">
      <c r="A88" s="5" t="s">
        <v>70</v>
      </c>
      <c r="B88" s="5" t="s">
        <v>163</v>
      </c>
      <c r="C88" s="5" t="s">
        <v>60</v>
      </c>
      <c r="D88" s="6">
        <v>5.0</v>
      </c>
      <c r="E88" s="6">
        <v>1.0</v>
      </c>
      <c r="F88" s="6">
        <v>2.0</v>
      </c>
      <c r="G88" s="6">
        <v>1.0</v>
      </c>
      <c r="H88" s="6">
        <v>1156.0</v>
      </c>
      <c r="I88" s="6">
        <v>0.9331</v>
      </c>
      <c r="J88" s="6">
        <v>1.0</v>
      </c>
      <c r="K88" s="6">
        <v>0.9411</v>
      </c>
      <c r="L88" s="6">
        <v>1.0</v>
      </c>
      <c r="M88" s="6">
        <v>0.9338</v>
      </c>
    </row>
    <row r="89">
      <c r="A89" s="5" t="s">
        <v>70</v>
      </c>
      <c r="B89" s="5" t="s">
        <v>163</v>
      </c>
      <c r="C89" s="5" t="s">
        <v>60</v>
      </c>
      <c r="D89" s="6">
        <v>5.0</v>
      </c>
      <c r="E89" s="6">
        <v>2.0</v>
      </c>
      <c r="F89" s="6">
        <v>2.0</v>
      </c>
      <c r="G89" s="6">
        <v>1.0</v>
      </c>
      <c r="H89" s="6">
        <v>1156.0</v>
      </c>
      <c r="I89" s="6">
        <v>1.0</v>
      </c>
      <c r="J89" s="6">
        <v>1.0</v>
      </c>
      <c r="K89" s="6">
        <v>1.0</v>
      </c>
      <c r="L89" s="6">
        <v>1.0</v>
      </c>
      <c r="M89" s="6">
        <v>1.0</v>
      </c>
    </row>
    <row r="90">
      <c r="A90" s="5" t="s">
        <v>70</v>
      </c>
      <c r="B90" s="5" t="s">
        <v>1867</v>
      </c>
      <c r="C90" s="5" t="s">
        <v>60</v>
      </c>
      <c r="D90" s="6">
        <v>5.0</v>
      </c>
      <c r="E90" s="6">
        <v>1.0</v>
      </c>
      <c r="F90" s="6">
        <v>2.0</v>
      </c>
      <c r="G90" s="6">
        <v>1.0</v>
      </c>
      <c r="H90" s="6">
        <v>537.0</v>
      </c>
      <c r="I90" s="6">
        <v>0.9124</v>
      </c>
      <c r="J90" s="6">
        <v>1.0</v>
      </c>
      <c r="K90" s="6">
        <v>0.9169</v>
      </c>
      <c r="L90" s="6">
        <v>1.0</v>
      </c>
      <c r="M90" s="6">
        <v>0.9128</v>
      </c>
    </row>
    <row r="91">
      <c r="A91" s="5" t="s">
        <v>70</v>
      </c>
      <c r="B91" s="5" t="s">
        <v>1867</v>
      </c>
      <c r="C91" s="5" t="s">
        <v>60</v>
      </c>
      <c r="D91" s="6">
        <v>5.0</v>
      </c>
      <c r="E91" s="6">
        <v>2.0</v>
      </c>
      <c r="F91" s="6">
        <v>2.0</v>
      </c>
      <c r="G91" s="6">
        <v>1.0</v>
      </c>
      <c r="H91" s="6">
        <v>537.0</v>
      </c>
      <c r="I91" s="6">
        <v>1.0</v>
      </c>
      <c r="J91" s="6">
        <v>1.0</v>
      </c>
      <c r="K91" s="6">
        <v>1.0</v>
      </c>
      <c r="L91" s="6">
        <v>1.0</v>
      </c>
      <c r="M91" s="6">
        <v>1.0</v>
      </c>
    </row>
    <row r="92">
      <c r="A92" s="5" t="s">
        <v>2093</v>
      </c>
      <c r="B92" s="5" t="s">
        <v>163</v>
      </c>
      <c r="C92" s="5" t="s">
        <v>56</v>
      </c>
      <c r="D92" s="6">
        <v>1.0</v>
      </c>
      <c r="E92" s="6">
        <v>1.0</v>
      </c>
      <c r="F92" s="6">
        <v>2.0</v>
      </c>
      <c r="G92" s="6">
        <v>165.0</v>
      </c>
      <c r="H92" s="6">
        <v>80632.0</v>
      </c>
      <c r="I92" s="6">
        <v>0.9442</v>
      </c>
      <c r="J92" s="6">
        <v>1.0</v>
      </c>
      <c r="K92" s="6">
        <v>1.0</v>
      </c>
      <c r="L92" s="6">
        <v>1.0</v>
      </c>
      <c r="M92" s="6">
        <v>0.9466</v>
      </c>
    </row>
    <row r="93">
      <c r="A93" s="5" t="s">
        <v>2093</v>
      </c>
      <c r="B93" s="5" t="s">
        <v>163</v>
      </c>
      <c r="C93" s="5" t="s">
        <v>56</v>
      </c>
      <c r="D93" s="6">
        <v>1.0</v>
      </c>
      <c r="E93" s="6">
        <v>2.0</v>
      </c>
      <c r="F93" s="6">
        <v>2.0</v>
      </c>
      <c r="G93" s="6">
        <v>165.0</v>
      </c>
      <c r="H93" s="6">
        <v>80632.0</v>
      </c>
      <c r="I93" s="6">
        <v>1.0</v>
      </c>
      <c r="J93" s="6">
        <v>1.0</v>
      </c>
      <c r="K93" s="6">
        <v>1.0</v>
      </c>
      <c r="L93" s="6">
        <v>1.0</v>
      </c>
      <c r="M93" s="6">
        <v>1.0</v>
      </c>
    </row>
    <row r="94">
      <c r="A94" s="5" t="s">
        <v>2093</v>
      </c>
      <c r="B94" s="5" t="s">
        <v>1867</v>
      </c>
      <c r="C94" s="5" t="s">
        <v>56</v>
      </c>
      <c r="D94" s="6">
        <v>1.0</v>
      </c>
      <c r="E94" s="6">
        <v>1.0</v>
      </c>
      <c r="F94" s="6">
        <v>2.0</v>
      </c>
      <c r="G94" s="6">
        <v>165.0</v>
      </c>
      <c r="H94" s="6">
        <v>53127.0</v>
      </c>
      <c r="I94" s="6">
        <v>0.9453</v>
      </c>
      <c r="J94" s="6">
        <v>1.0</v>
      </c>
      <c r="K94" s="6">
        <v>1.0</v>
      </c>
      <c r="L94" s="6">
        <v>1.0</v>
      </c>
      <c r="M94" s="6">
        <v>0.947</v>
      </c>
    </row>
    <row r="95">
      <c r="A95" s="5" t="s">
        <v>2093</v>
      </c>
      <c r="B95" s="5" t="s">
        <v>1867</v>
      </c>
      <c r="C95" s="5" t="s">
        <v>56</v>
      </c>
      <c r="D95" s="6">
        <v>1.0</v>
      </c>
      <c r="E95" s="6">
        <v>2.0</v>
      </c>
      <c r="F95" s="6">
        <v>2.0</v>
      </c>
      <c r="G95" s="6">
        <v>165.0</v>
      </c>
      <c r="H95" s="6">
        <v>53127.0</v>
      </c>
      <c r="I95" s="6">
        <v>1.0</v>
      </c>
      <c r="J95" s="6">
        <v>1.0</v>
      </c>
      <c r="K95" s="6">
        <v>1.0</v>
      </c>
      <c r="L95" s="6">
        <v>1.0</v>
      </c>
      <c r="M95" s="6">
        <v>1.0</v>
      </c>
    </row>
    <row r="96">
      <c r="A96" s="5" t="s">
        <v>2093</v>
      </c>
      <c r="B96" s="5" t="s">
        <v>163</v>
      </c>
      <c r="C96" s="5" t="s">
        <v>57</v>
      </c>
      <c r="D96" s="6">
        <v>2.0</v>
      </c>
      <c r="E96" s="6">
        <v>1.0</v>
      </c>
      <c r="F96" s="6">
        <v>2.0</v>
      </c>
      <c r="G96" s="6">
        <v>165.0</v>
      </c>
      <c r="H96" s="6">
        <v>69733.0</v>
      </c>
      <c r="I96" s="6">
        <v>0.9487</v>
      </c>
      <c r="J96" s="6">
        <v>1.0</v>
      </c>
      <c r="K96" s="6">
        <v>1.0</v>
      </c>
      <c r="L96" s="6">
        <v>1.0</v>
      </c>
      <c r="M96" s="6">
        <v>0.9524</v>
      </c>
    </row>
    <row r="97">
      <c r="A97" s="5" t="s">
        <v>2093</v>
      </c>
      <c r="B97" s="5" t="s">
        <v>163</v>
      </c>
      <c r="C97" s="5" t="s">
        <v>57</v>
      </c>
      <c r="D97" s="6">
        <v>2.0</v>
      </c>
      <c r="E97" s="6">
        <v>2.0</v>
      </c>
      <c r="F97" s="6">
        <v>2.0</v>
      </c>
      <c r="G97" s="6">
        <v>165.0</v>
      </c>
      <c r="H97" s="6">
        <v>69733.0</v>
      </c>
      <c r="I97" s="6">
        <v>1.0</v>
      </c>
      <c r="J97" s="6">
        <v>1.0</v>
      </c>
      <c r="K97" s="6">
        <v>1.0</v>
      </c>
      <c r="L97" s="6">
        <v>1.0</v>
      </c>
      <c r="M97" s="6">
        <v>1.0</v>
      </c>
    </row>
    <row r="98">
      <c r="A98" s="5" t="s">
        <v>2093</v>
      </c>
      <c r="B98" s="5" t="s">
        <v>1867</v>
      </c>
      <c r="C98" s="5" t="s">
        <v>57</v>
      </c>
      <c r="D98" s="6">
        <v>2.0</v>
      </c>
      <c r="E98" s="6">
        <v>1.0</v>
      </c>
      <c r="F98" s="6">
        <v>2.0</v>
      </c>
      <c r="G98" s="6">
        <v>165.0</v>
      </c>
      <c r="H98" s="6">
        <v>42594.0</v>
      </c>
      <c r="I98" s="6">
        <v>0.9457</v>
      </c>
      <c r="J98" s="6">
        <v>1.0</v>
      </c>
      <c r="K98" s="6">
        <v>1.0</v>
      </c>
      <c r="L98" s="6">
        <v>1.0</v>
      </c>
      <c r="M98" s="6">
        <v>0.9488</v>
      </c>
    </row>
    <row r="99">
      <c r="A99" s="5" t="s">
        <v>2093</v>
      </c>
      <c r="B99" s="5" t="s">
        <v>1867</v>
      </c>
      <c r="C99" s="5" t="s">
        <v>57</v>
      </c>
      <c r="D99" s="6">
        <v>2.0</v>
      </c>
      <c r="E99" s="6">
        <v>2.0</v>
      </c>
      <c r="F99" s="6">
        <v>2.0</v>
      </c>
      <c r="G99" s="6">
        <v>165.0</v>
      </c>
      <c r="H99" s="6">
        <v>42594.0</v>
      </c>
      <c r="I99" s="6">
        <v>1.0</v>
      </c>
      <c r="J99" s="6">
        <v>1.0</v>
      </c>
      <c r="K99" s="6">
        <v>1.0</v>
      </c>
      <c r="L99" s="6">
        <v>1.0</v>
      </c>
      <c r="M99" s="6">
        <v>1.0</v>
      </c>
    </row>
    <row r="100">
      <c r="A100" s="5" t="s">
        <v>2093</v>
      </c>
      <c r="B100" s="5" t="s">
        <v>163</v>
      </c>
      <c r="C100" s="5" t="s">
        <v>58</v>
      </c>
      <c r="D100" s="6">
        <v>3.0</v>
      </c>
      <c r="E100" s="6">
        <v>1.0</v>
      </c>
      <c r="F100" s="6">
        <v>2.0</v>
      </c>
      <c r="G100" s="6">
        <v>165.0</v>
      </c>
      <c r="H100" s="6">
        <v>46703.0</v>
      </c>
      <c r="I100" s="6">
        <v>0.9508</v>
      </c>
      <c r="J100" s="6">
        <v>1.0</v>
      </c>
      <c r="K100" s="6">
        <v>1.0</v>
      </c>
      <c r="L100" s="6">
        <v>1.0</v>
      </c>
      <c r="M100" s="6">
        <v>0.9554</v>
      </c>
    </row>
    <row r="101">
      <c r="A101" s="5" t="s">
        <v>2093</v>
      </c>
      <c r="B101" s="5" t="s">
        <v>163</v>
      </c>
      <c r="C101" s="5" t="s">
        <v>58</v>
      </c>
      <c r="D101" s="6">
        <v>3.0</v>
      </c>
      <c r="E101" s="6">
        <v>2.0</v>
      </c>
      <c r="F101" s="6">
        <v>2.0</v>
      </c>
      <c r="G101" s="6">
        <v>165.0</v>
      </c>
      <c r="H101" s="6">
        <v>46703.0</v>
      </c>
      <c r="I101" s="6">
        <v>1.0</v>
      </c>
      <c r="J101" s="6">
        <v>1.0</v>
      </c>
      <c r="K101" s="6">
        <v>1.0</v>
      </c>
      <c r="L101" s="6">
        <v>1.0</v>
      </c>
      <c r="M101" s="6">
        <v>1.0</v>
      </c>
    </row>
    <row r="102">
      <c r="A102" s="5" t="s">
        <v>2093</v>
      </c>
      <c r="B102" s="5" t="s">
        <v>1867</v>
      </c>
      <c r="C102" s="5" t="s">
        <v>58</v>
      </c>
      <c r="D102" s="6">
        <v>3.0</v>
      </c>
      <c r="E102" s="6">
        <v>1.0</v>
      </c>
      <c r="F102" s="6">
        <v>2.0</v>
      </c>
      <c r="G102" s="6">
        <v>165.0</v>
      </c>
      <c r="H102" s="6">
        <v>27389.0</v>
      </c>
      <c r="I102" s="6">
        <v>0.9466</v>
      </c>
      <c r="J102" s="6">
        <v>1.0</v>
      </c>
      <c r="K102" s="6">
        <v>1.0</v>
      </c>
      <c r="L102" s="6">
        <v>1.0</v>
      </c>
      <c r="M102" s="6">
        <v>0.9506</v>
      </c>
    </row>
    <row r="103">
      <c r="A103" s="5" t="s">
        <v>2093</v>
      </c>
      <c r="B103" s="5" t="s">
        <v>1867</v>
      </c>
      <c r="C103" s="5" t="s">
        <v>58</v>
      </c>
      <c r="D103" s="6">
        <v>3.0</v>
      </c>
      <c r="E103" s="6">
        <v>2.0</v>
      </c>
      <c r="F103" s="6">
        <v>2.0</v>
      </c>
      <c r="G103" s="6">
        <v>165.0</v>
      </c>
      <c r="H103" s="6">
        <v>27389.0</v>
      </c>
      <c r="I103" s="6">
        <v>1.0</v>
      </c>
      <c r="J103" s="6">
        <v>1.0</v>
      </c>
      <c r="K103" s="6">
        <v>1.0</v>
      </c>
      <c r="L103" s="6">
        <v>1.0</v>
      </c>
      <c r="M103" s="6">
        <v>1.0</v>
      </c>
    </row>
    <row r="104">
      <c r="A104" s="5" t="s">
        <v>2093</v>
      </c>
      <c r="B104" s="5" t="s">
        <v>163</v>
      </c>
      <c r="C104" s="5" t="s">
        <v>59</v>
      </c>
      <c r="D104" s="6">
        <v>4.0</v>
      </c>
      <c r="E104" s="6">
        <v>1.0</v>
      </c>
      <c r="F104" s="6">
        <v>2.0</v>
      </c>
      <c r="G104" s="6">
        <v>165.0</v>
      </c>
      <c r="H104" s="6">
        <v>21903.0</v>
      </c>
      <c r="I104" s="6">
        <v>0.9587</v>
      </c>
      <c r="J104" s="6">
        <v>1.0</v>
      </c>
      <c r="K104" s="6">
        <v>1.0</v>
      </c>
      <c r="L104" s="6">
        <v>1.0</v>
      </c>
      <c r="M104" s="6">
        <v>0.9633</v>
      </c>
    </row>
    <row r="105">
      <c r="A105" s="5" t="s">
        <v>2093</v>
      </c>
      <c r="B105" s="5" t="s">
        <v>163</v>
      </c>
      <c r="C105" s="5" t="s">
        <v>59</v>
      </c>
      <c r="D105" s="6">
        <v>4.0</v>
      </c>
      <c r="E105" s="6">
        <v>2.0</v>
      </c>
      <c r="F105" s="6">
        <v>2.0</v>
      </c>
      <c r="G105" s="6">
        <v>165.0</v>
      </c>
      <c r="H105" s="6">
        <v>21903.0</v>
      </c>
      <c r="I105" s="6">
        <v>1.0</v>
      </c>
      <c r="J105" s="6">
        <v>1.0</v>
      </c>
      <c r="K105" s="6">
        <v>1.0</v>
      </c>
      <c r="L105" s="6">
        <v>1.0</v>
      </c>
      <c r="M105" s="6">
        <v>1.0</v>
      </c>
    </row>
    <row r="106">
      <c r="A106" s="5" t="s">
        <v>2093</v>
      </c>
      <c r="B106" s="5" t="s">
        <v>1867</v>
      </c>
      <c r="C106" s="5" t="s">
        <v>59</v>
      </c>
      <c r="D106" s="6">
        <v>4.0</v>
      </c>
      <c r="E106" s="6">
        <v>1.0</v>
      </c>
      <c r="F106" s="6">
        <v>2.0</v>
      </c>
      <c r="G106" s="6">
        <v>165.0</v>
      </c>
      <c r="H106" s="6">
        <v>12496.0</v>
      </c>
      <c r="I106" s="6">
        <v>0.9515</v>
      </c>
      <c r="J106" s="6">
        <v>1.0</v>
      </c>
      <c r="K106" s="6">
        <v>1.0</v>
      </c>
      <c r="L106" s="6">
        <v>1.0</v>
      </c>
      <c r="M106" s="6">
        <v>0.9562</v>
      </c>
    </row>
    <row r="107">
      <c r="A107" s="5" t="s">
        <v>2093</v>
      </c>
      <c r="B107" s="5" t="s">
        <v>1867</v>
      </c>
      <c r="C107" s="5" t="s">
        <v>59</v>
      </c>
      <c r="D107" s="6">
        <v>4.0</v>
      </c>
      <c r="E107" s="6">
        <v>2.0</v>
      </c>
      <c r="F107" s="6">
        <v>2.0</v>
      </c>
      <c r="G107" s="6">
        <v>165.0</v>
      </c>
      <c r="H107" s="6">
        <v>12496.0</v>
      </c>
      <c r="I107" s="6">
        <v>1.0</v>
      </c>
      <c r="J107" s="6">
        <v>1.0</v>
      </c>
      <c r="K107" s="6">
        <v>1.0</v>
      </c>
      <c r="L107" s="6">
        <v>1.0</v>
      </c>
      <c r="M107" s="6">
        <v>1.0</v>
      </c>
    </row>
    <row r="108">
      <c r="A108" s="5" t="s">
        <v>2093</v>
      </c>
      <c r="B108" s="5" t="s">
        <v>163</v>
      </c>
      <c r="C108" s="5" t="s">
        <v>60</v>
      </c>
      <c r="D108" s="6">
        <v>5.0</v>
      </c>
      <c r="E108" s="6">
        <v>1.0</v>
      </c>
      <c r="F108" s="6">
        <v>2.0</v>
      </c>
      <c r="G108" s="6">
        <v>163.0</v>
      </c>
      <c r="H108" s="6">
        <v>4015.0</v>
      </c>
      <c r="I108" s="6">
        <v>0.9652</v>
      </c>
      <c r="J108" s="6">
        <v>1.0</v>
      </c>
      <c r="K108" s="6">
        <v>1.0</v>
      </c>
      <c r="L108" s="6">
        <v>1.0</v>
      </c>
      <c r="M108" s="6">
        <v>0.9692</v>
      </c>
    </row>
    <row r="109">
      <c r="A109" s="5" t="s">
        <v>2093</v>
      </c>
      <c r="B109" s="5" t="s">
        <v>163</v>
      </c>
      <c r="C109" s="5" t="s">
        <v>60</v>
      </c>
      <c r="D109" s="6">
        <v>5.0</v>
      </c>
      <c r="E109" s="6">
        <v>2.0</v>
      </c>
      <c r="F109" s="6">
        <v>2.0</v>
      </c>
      <c r="G109" s="6">
        <v>163.0</v>
      </c>
      <c r="H109" s="6">
        <v>4015.0</v>
      </c>
      <c r="I109" s="6">
        <v>1.0</v>
      </c>
      <c r="J109" s="6">
        <v>1.0</v>
      </c>
      <c r="K109" s="6">
        <v>1.0</v>
      </c>
      <c r="L109" s="6">
        <v>1.0</v>
      </c>
      <c r="M109" s="6">
        <v>1.0</v>
      </c>
    </row>
    <row r="110">
      <c r="A110" s="5" t="s">
        <v>2093</v>
      </c>
      <c r="B110" s="5" t="s">
        <v>1867</v>
      </c>
      <c r="C110" s="5" t="s">
        <v>60</v>
      </c>
      <c r="D110" s="6">
        <v>5.0</v>
      </c>
      <c r="E110" s="6">
        <v>1.0</v>
      </c>
      <c r="F110" s="6">
        <v>2.0</v>
      </c>
      <c r="G110" s="6">
        <v>165.0</v>
      </c>
      <c r="H110" s="6">
        <v>2103.0</v>
      </c>
      <c r="I110" s="6">
        <v>0.9581</v>
      </c>
      <c r="J110" s="6">
        <v>1.0</v>
      </c>
      <c r="K110" s="6">
        <v>1.0</v>
      </c>
      <c r="L110" s="6">
        <v>1.0</v>
      </c>
      <c r="M110" s="6">
        <v>0.9619</v>
      </c>
    </row>
    <row r="111">
      <c r="A111" s="5" t="s">
        <v>2093</v>
      </c>
      <c r="B111" s="5" t="s">
        <v>1867</v>
      </c>
      <c r="C111" s="5" t="s">
        <v>60</v>
      </c>
      <c r="D111" s="6">
        <v>5.0</v>
      </c>
      <c r="E111" s="6">
        <v>2.0</v>
      </c>
      <c r="F111" s="6">
        <v>2.0</v>
      </c>
      <c r="G111" s="6">
        <v>165.0</v>
      </c>
      <c r="H111" s="6">
        <v>2103.0</v>
      </c>
      <c r="I111" s="6">
        <v>1.0</v>
      </c>
      <c r="J111" s="6">
        <v>1.0</v>
      </c>
      <c r="K111" s="6">
        <v>1.0</v>
      </c>
      <c r="L111" s="6">
        <v>1.0</v>
      </c>
      <c r="M111" s="6">
        <v>1.0</v>
      </c>
    </row>
    <row r="112">
      <c r="A112" s="5" t="s">
        <v>46</v>
      </c>
      <c r="B112" s="5" t="s">
        <v>163</v>
      </c>
      <c r="C112" s="5" t="s">
        <v>56</v>
      </c>
      <c r="D112" s="6">
        <v>1.0</v>
      </c>
      <c r="E112" s="6">
        <v>1.0</v>
      </c>
      <c r="F112" s="6">
        <v>2.0</v>
      </c>
      <c r="G112" s="6">
        <v>14.0</v>
      </c>
      <c r="H112" s="6">
        <v>92059.0</v>
      </c>
      <c r="I112" s="6">
        <v>0.8147</v>
      </c>
      <c r="J112" s="6">
        <v>1.0</v>
      </c>
      <c r="K112" s="6">
        <v>0.8732</v>
      </c>
      <c r="L112" s="6">
        <v>1.0</v>
      </c>
      <c r="M112" s="6">
        <v>0.8147</v>
      </c>
    </row>
    <row r="113">
      <c r="A113" s="5" t="s">
        <v>46</v>
      </c>
      <c r="B113" s="5" t="s">
        <v>163</v>
      </c>
      <c r="C113" s="5" t="s">
        <v>56</v>
      </c>
      <c r="D113" s="6">
        <v>1.0</v>
      </c>
      <c r="E113" s="6">
        <v>2.0</v>
      </c>
      <c r="F113" s="6">
        <v>2.0</v>
      </c>
      <c r="G113" s="6">
        <v>14.0</v>
      </c>
      <c r="H113" s="6">
        <v>92059.0</v>
      </c>
      <c r="I113" s="6">
        <v>1.0</v>
      </c>
      <c r="J113" s="6">
        <v>1.0</v>
      </c>
      <c r="K113" s="6">
        <v>1.0</v>
      </c>
      <c r="L113" s="6">
        <v>1.0</v>
      </c>
      <c r="M113" s="6">
        <v>1.0</v>
      </c>
    </row>
    <row r="114">
      <c r="A114" s="5" t="s">
        <v>46</v>
      </c>
      <c r="B114" s="5" t="s">
        <v>1867</v>
      </c>
      <c r="C114" s="5" t="s">
        <v>56</v>
      </c>
      <c r="D114" s="6">
        <v>1.0</v>
      </c>
      <c r="E114" s="6">
        <v>1.0</v>
      </c>
      <c r="F114" s="6">
        <v>2.0</v>
      </c>
      <c r="G114" s="6">
        <v>14.0</v>
      </c>
      <c r="H114" s="6">
        <v>66996.0</v>
      </c>
      <c r="I114" s="6">
        <v>0.7966</v>
      </c>
      <c r="J114" s="6">
        <v>1.0</v>
      </c>
      <c r="K114" s="6">
        <v>0.7708</v>
      </c>
      <c r="L114" s="6">
        <v>1.0</v>
      </c>
      <c r="M114" s="6">
        <v>0.7966</v>
      </c>
    </row>
    <row r="115">
      <c r="A115" s="5" t="s">
        <v>46</v>
      </c>
      <c r="B115" s="5" t="s">
        <v>1867</v>
      </c>
      <c r="C115" s="5" t="s">
        <v>56</v>
      </c>
      <c r="D115" s="6">
        <v>1.0</v>
      </c>
      <c r="E115" s="6">
        <v>2.0</v>
      </c>
      <c r="F115" s="6">
        <v>2.0</v>
      </c>
      <c r="G115" s="6">
        <v>14.0</v>
      </c>
      <c r="H115" s="6">
        <v>66996.0</v>
      </c>
      <c r="I115" s="6">
        <v>1.0</v>
      </c>
      <c r="J115" s="6">
        <v>1.0</v>
      </c>
      <c r="K115" s="6">
        <v>1.0</v>
      </c>
      <c r="L115" s="6">
        <v>1.0</v>
      </c>
      <c r="M115" s="6">
        <v>1.0</v>
      </c>
    </row>
    <row r="116">
      <c r="A116" s="5" t="s">
        <v>46</v>
      </c>
      <c r="B116" s="5" t="s">
        <v>163</v>
      </c>
      <c r="C116" s="5" t="s">
        <v>57</v>
      </c>
      <c r="D116" s="6">
        <v>2.0</v>
      </c>
      <c r="E116" s="6">
        <v>1.0</v>
      </c>
      <c r="F116" s="6">
        <v>2.0</v>
      </c>
      <c r="G116" s="6">
        <v>14.0</v>
      </c>
      <c r="H116" s="6">
        <v>91394.0</v>
      </c>
      <c r="I116" s="6">
        <v>0.8343</v>
      </c>
      <c r="J116" s="6">
        <v>1.0</v>
      </c>
      <c r="K116" s="6">
        <v>0.9134</v>
      </c>
      <c r="L116" s="6">
        <v>1.0</v>
      </c>
      <c r="M116" s="6">
        <v>0.8343</v>
      </c>
    </row>
    <row r="117">
      <c r="A117" s="5" t="s">
        <v>46</v>
      </c>
      <c r="B117" s="5" t="s">
        <v>163</v>
      </c>
      <c r="C117" s="5" t="s">
        <v>57</v>
      </c>
      <c r="D117" s="6">
        <v>2.0</v>
      </c>
      <c r="E117" s="6">
        <v>2.0</v>
      </c>
      <c r="F117" s="6">
        <v>2.0</v>
      </c>
      <c r="G117" s="6">
        <v>14.0</v>
      </c>
      <c r="H117" s="6">
        <v>91394.0</v>
      </c>
      <c r="I117" s="6">
        <v>1.0</v>
      </c>
      <c r="J117" s="6">
        <v>1.0</v>
      </c>
      <c r="K117" s="6">
        <v>1.0</v>
      </c>
      <c r="L117" s="6">
        <v>1.0</v>
      </c>
      <c r="M117" s="6">
        <v>1.0</v>
      </c>
    </row>
    <row r="118">
      <c r="A118" s="5" t="s">
        <v>46</v>
      </c>
      <c r="B118" s="5" t="s">
        <v>1867</v>
      </c>
      <c r="C118" s="5" t="s">
        <v>57</v>
      </c>
      <c r="D118" s="6">
        <v>2.0</v>
      </c>
      <c r="E118" s="6">
        <v>1.0</v>
      </c>
      <c r="F118" s="6">
        <v>2.0</v>
      </c>
      <c r="G118" s="6">
        <v>14.0</v>
      </c>
      <c r="H118" s="6">
        <v>55675.0</v>
      </c>
      <c r="I118" s="6">
        <v>0.8139</v>
      </c>
      <c r="J118" s="6">
        <v>1.0</v>
      </c>
      <c r="K118" s="6">
        <v>0.8592</v>
      </c>
      <c r="L118" s="6">
        <v>1.0</v>
      </c>
      <c r="M118" s="6">
        <v>0.8139</v>
      </c>
    </row>
    <row r="119">
      <c r="A119" s="5" t="s">
        <v>46</v>
      </c>
      <c r="B119" s="5" t="s">
        <v>1867</v>
      </c>
      <c r="C119" s="5" t="s">
        <v>57</v>
      </c>
      <c r="D119" s="6">
        <v>2.0</v>
      </c>
      <c r="E119" s="6">
        <v>2.0</v>
      </c>
      <c r="F119" s="6">
        <v>2.0</v>
      </c>
      <c r="G119" s="6">
        <v>14.0</v>
      </c>
      <c r="H119" s="6">
        <v>55675.0</v>
      </c>
      <c r="I119" s="6">
        <v>1.0</v>
      </c>
      <c r="J119" s="6">
        <v>1.0</v>
      </c>
      <c r="K119" s="6">
        <v>1.0</v>
      </c>
      <c r="L119" s="6">
        <v>1.0</v>
      </c>
      <c r="M119" s="6">
        <v>1.0</v>
      </c>
    </row>
    <row r="120">
      <c r="A120" s="5" t="s">
        <v>46</v>
      </c>
      <c r="B120" s="5" t="s">
        <v>163</v>
      </c>
      <c r="C120" s="5" t="s">
        <v>58</v>
      </c>
      <c r="D120" s="6">
        <v>3.0</v>
      </c>
      <c r="E120" s="6">
        <v>1.0</v>
      </c>
      <c r="F120" s="6">
        <v>2.0</v>
      </c>
      <c r="G120" s="6">
        <v>14.0</v>
      </c>
      <c r="H120" s="6">
        <v>63580.0</v>
      </c>
      <c r="I120" s="6">
        <v>0.8632</v>
      </c>
      <c r="J120" s="6">
        <v>1.0</v>
      </c>
      <c r="K120" s="6">
        <v>0.9891</v>
      </c>
      <c r="L120" s="6">
        <v>1.0</v>
      </c>
      <c r="M120" s="6">
        <v>0.8632</v>
      </c>
    </row>
    <row r="121">
      <c r="A121" s="5" t="s">
        <v>46</v>
      </c>
      <c r="B121" s="5" t="s">
        <v>163</v>
      </c>
      <c r="C121" s="5" t="s">
        <v>58</v>
      </c>
      <c r="D121" s="6">
        <v>3.0</v>
      </c>
      <c r="E121" s="6">
        <v>2.0</v>
      </c>
      <c r="F121" s="6">
        <v>2.0</v>
      </c>
      <c r="G121" s="6">
        <v>14.0</v>
      </c>
      <c r="H121" s="6">
        <v>63580.0</v>
      </c>
      <c r="I121" s="6">
        <v>1.0</v>
      </c>
      <c r="J121" s="6">
        <v>1.0</v>
      </c>
      <c r="K121" s="6">
        <v>1.0</v>
      </c>
      <c r="L121" s="6">
        <v>1.0</v>
      </c>
      <c r="M121" s="6">
        <v>1.0</v>
      </c>
    </row>
    <row r="122">
      <c r="A122" s="5" t="s">
        <v>46</v>
      </c>
      <c r="B122" s="5" t="s">
        <v>1867</v>
      </c>
      <c r="C122" s="5" t="s">
        <v>58</v>
      </c>
      <c r="D122" s="6">
        <v>3.0</v>
      </c>
      <c r="E122" s="6">
        <v>1.0</v>
      </c>
      <c r="F122" s="6">
        <v>2.0</v>
      </c>
      <c r="G122" s="6">
        <v>14.0</v>
      </c>
      <c r="H122" s="6">
        <v>36264.0</v>
      </c>
      <c r="I122" s="6">
        <v>0.8425</v>
      </c>
      <c r="J122" s="6">
        <v>1.0</v>
      </c>
      <c r="K122" s="6">
        <v>0.9828</v>
      </c>
      <c r="L122" s="6">
        <v>1.0</v>
      </c>
      <c r="M122" s="6">
        <v>0.8425</v>
      </c>
    </row>
    <row r="123">
      <c r="A123" s="5" t="s">
        <v>46</v>
      </c>
      <c r="B123" s="5" t="s">
        <v>1867</v>
      </c>
      <c r="C123" s="5" t="s">
        <v>58</v>
      </c>
      <c r="D123" s="6">
        <v>3.0</v>
      </c>
      <c r="E123" s="6">
        <v>2.0</v>
      </c>
      <c r="F123" s="6">
        <v>2.0</v>
      </c>
      <c r="G123" s="6">
        <v>14.0</v>
      </c>
      <c r="H123" s="6">
        <v>36264.0</v>
      </c>
      <c r="I123" s="6">
        <v>1.0</v>
      </c>
      <c r="J123" s="6">
        <v>1.0</v>
      </c>
      <c r="K123" s="6">
        <v>1.0</v>
      </c>
      <c r="L123" s="6">
        <v>1.0</v>
      </c>
      <c r="M123" s="6">
        <v>1.0</v>
      </c>
    </row>
    <row r="124">
      <c r="A124" s="5" t="s">
        <v>46</v>
      </c>
      <c r="B124" s="5" t="s">
        <v>163</v>
      </c>
      <c r="C124" s="5" t="s">
        <v>59</v>
      </c>
      <c r="D124" s="6">
        <v>4.0</v>
      </c>
      <c r="E124" s="6">
        <v>1.0</v>
      </c>
      <c r="F124" s="6">
        <v>2.0</v>
      </c>
      <c r="G124" s="6">
        <v>14.0</v>
      </c>
      <c r="H124" s="6">
        <v>31375.0</v>
      </c>
      <c r="I124" s="6">
        <v>0.8998</v>
      </c>
      <c r="J124" s="6">
        <v>1.0</v>
      </c>
      <c r="K124" s="6">
        <v>1.0</v>
      </c>
      <c r="L124" s="6">
        <v>1.0</v>
      </c>
      <c r="M124" s="6">
        <v>0.8998</v>
      </c>
    </row>
    <row r="125">
      <c r="A125" s="5" t="s">
        <v>46</v>
      </c>
      <c r="B125" s="5" t="s">
        <v>163</v>
      </c>
      <c r="C125" s="5" t="s">
        <v>59</v>
      </c>
      <c r="D125" s="6">
        <v>4.0</v>
      </c>
      <c r="E125" s="6">
        <v>2.0</v>
      </c>
      <c r="F125" s="6">
        <v>2.0</v>
      </c>
      <c r="G125" s="6">
        <v>14.0</v>
      </c>
      <c r="H125" s="6">
        <v>31375.0</v>
      </c>
      <c r="I125" s="6">
        <v>1.0</v>
      </c>
      <c r="J125" s="6">
        <v>1.0</v>
      </c>
      <c r="K125" s="6">
        <v>1.0</v>
      </c>
      <c r="L125" s="6">
        <v>1.0</v>
      </c>
      <c r="M125" s="6">
        <v>1.0</v>
      </c>
    </row>
    <row r="126">
      <c r="A126" s="5" t="s">
        <v>46</v>
      </c>
      <c r="B126" s="5" t="s">
        <v>1867</v>
      </c>
      <c r="C126" s="5" t="s">
        <v>59</v>
      </c>
      <c r="D126" s="6">
        <v>4.0</v>
      </c>
      <c r="E126" s="6">
        <v>1.0</v>
      </c>
      <c r="F126" s="6">
        <v>2.0</v>
      </c>
      <c r="G126" s="6">
        <v>14.0</v>
      </c>
      <c r="H126" s="6">
        <v>16972.0</v>
      </c>
      <c r="I126" s="6">
        <v>0.8785</v>
      </c>
      <c r="J126" s="6">
        <v>1.0</v>
      </c>
      <c r="K126" s="6">
        <v>1.0</v>
      </c>
      <c r="L126" s="6">
        <v>1.0</v>
      </c>
      <c r="M126" s="6">
        <v>0.8784</v>
      </c>
    </row>
    <row r="127">
      <c r="A127" s="5" t="s">
        <v>46</v>
      </c>
      <c r="B127" s="5" t="s">
        <v>1867</v>
      </c>
      <c r="C127" s="5" t="s">
        <v>59</v>
      </c>
      <c r="D127" s="6">
        <v>4.0</v>
      </c>
      <c r="E127" s="6">
        <v>2.0</v>
      </c>
      <c r="F127" s="6">
        <v>2.0</v>
      </c>
      <c r="G127" s="6">
        <v>14.0</v>
      </c>
      <c r="H127" s="6">
        <v>16972.0</v>
      </c>
      <c r="I127" s="6">
        <v>1.0</v>
      </c>
      <c r="J127" s="6">
        <v>1.0</v>
      </c>
      <c r="K127" s="6">
        <v>1.0</v>
      </c>
      <c r="L127" s="6">
        <v>1.0</v>
      </c>
      <c r="M127" s="6">
        <v>1.0</v>
      </c>
    </row>
    <row r="128">
      <c r="A128" s="5" t="s">
        <v>46</v>
      </c>
      <c r="B128" s="5" t="s">
        <v>163</v>
      </c>
      <c r="C128" s="5" t="s">
        <v>60</v>
      </c>
      <c r="D128" s="6">
        <v>5.0</v>
      </c>
      <c r="E128" s="6">
        <v>1.0</v>
      </c>
      <c r="F128" s="6">
        <v>2.0</v>
      </c>
      <c r="G128" s="6">
        <v>14.0</v>
      </c>
      <c r="H128" s="6">
        <v>5961.0</v>
      </c>
      <c r="I128" s="6">
        <v>0.927</v>
      </c>
      <c r="J128" s="6">
        <v>1.0</v>
      </c>
      <c r="K128" s="6">
        <v>1.0</v>
      </c>
      <c r="L128" s="6">
        <v>1.0</v>
      </c>
      <c r="M128" s="6">
        <v>0.927</v>
      </c>
    </row>
    <row r="129">
      <c r="A129" s="5" t="s">
        <v>46</v>
      </c>
      <c r="B129" s="5" t="s">
        <v>163</v>
      </c>
      <c r="C129" s="5" t="s">
        <v>60</v>
      </c>
      <c r="D129" s="6">
        <v>5.0</v>
      </c>
      <c r="E129" s="6">
        <v>2.0</v>
      </c>
      <c r="F129" s="6">
        <v>2.0</v>
      </c>
      <c r="G129" s="6">
        <v>14.0</v>
      </c>
      <c r="H129" s="6">
        <v>5961.0</v>
      </c>
      <c r="I129" s="6">
        <v>1.0</v>
      </c>
      <c r="J129" s="6">
        <v>1.0</v>
      </c>
      <c r="K129" s="6">
        <v>1.0</v>
      </c>
      <c r="L129" s="6">
        <v>1.0</v>
      </c>
      <c r="M129" s="6">
        <v>1.0</v>
      </c>
    </row>
    <row r="130">
      <c r="A130" s="5" t="s">
        <v>46</v>
      </c>
      <c r="B130" s="5" t="s">
        <v>1867</v>
      </c>
      <c r="C130" s="5" t="s">
        <v>60</v>
      </c>
      <c r="D130" s="6">
        <v>5.0</v>
      </c>
      <c r="E130" s="6">
        <v>1.0</v>
      </c>
      <c r="F130" s="6">
        <v>2.0</v>
      </c>
      <c r="G130" s="6">
        <v>14.0</v>
      </c>
      <c r="H130" s="6">
        <v>3061.0</v>
      </c>
      <c r="I130" s="6">
        <v>0.908</v>
      </c>
      <c r="J130" s="6">
        <v>1.0</v>
      </c>
      <c r="K130" s="6">
        <v>1.0</v>
      </c>
      <c r="L130" s="6">
        <v>1.0</v>
      </c>
      <c r="M130" s="6">
        <v>0.908</v>
      </c>
    </row>
    <row r="131">
      <c r="A131" s="5" t="s">
        <v>46</v>
      </c>
      <c r="B131" s="5" t="s">
        <v>1867</v>
      </c>
      <c r="C131" s="5" t="s">
        <v>60</v>
      </c>
      <c r="D131" s="6">
        <v>5.0</v>
      </c>
      <c r="E131" s="6">
        <v>2.0</v>
      </c>
      <c r="F131" s="6">
        <v>2.0</v>
      </c>
      <c r="G131" s="6">
        <v>14.0</v>
      </c>
      <c r="H131" s="6">
        <v>3061.0</v>
      </c>
      <c r="I131" s="6">
        <v>1.0</v>
      </c>
      <c r="J131" s="6">
        <v>1.0</v>
      </c>
      <c r="K131" s="6">
        <v>1.0</v>
      </c>
      <c r="L131" s="6">
        <v>1.0</v>
      </c>
      <c r="M131" s="6">
        <v>1.0</v>
      </c>
    </row>
    <row r="132">
      <c r="A132" s="5" t="s">
        <v>49</v>
      </c>
      <c r="B132" s="5" t="s">
        <v>163</v>
      </c>
      <c r="C132" s="5" t="s">
        <v>56</v>
      </c>
      <c r="D132" s="6">
        <v>1.0</v>
      </c>
      <c r="E132" s="6">
        <v>1.0</v>
      </c>
      <c r="F132" s="6">
        <v>2.0</v>
      </c>
      <c r="G132" s="6">
        <v>19.0</v>
      </c>
      <c r="H132" s="6">
        <v>90507.0</v>
      </c>
      <c r="I132" s="6">
        <v>0.9626</v>
      </c>
      <c r="J132" s="6">
        <v>1.0</v>
      </c>
      <c r="K132" s="6">
        <v>1.0</v>
      </c>
      <c r="L132" s="6">
        <v>1.0</v>
      </c>
      <c r="M132" s="6">
        <v>0.9626</v>
      </c>
    </row>
    <row r="133">
      <c r="A133" s="5" t="s">
        <v>49</v>
      </c>
      <c r="B133" s="5" t="s">
        <v>163</v>
      </c>
      <c r="C133" s="5" t="s">
        <v>56</v>
      </c>
      <c r="D133" s="6">
        <v>1.0</v>
      </c>
      <c r="E133" s="6">
        <v>2.0</v>
      </c>
      <c r="F133" s="6">
        <v>2.0</v>
      </c>
      <c r="G133" s="6">
        <v>19.0</v>
      </c>
      <c r="H133" s="6">
        <v>90507.0</v>
      </c>
      <c r="I133" s="6">
        <v>1.0</v>
      </c>
      <c r="J133" s="6">
        <v>1.0</v>
      </c>
      <c r="K133" s="6">
        <v>1.0</v>
      </c>
      <c r="L133" s="6">
        <v>1.0</v>
      </c>
      <c r="M133" s="6">
        <v>1.0</v>
      </c>
    </row>
    <row r="134">
      <c r="A134" s="5" t="s">
        <v>49</v>
      </c>
      <c r="B134" s="5" t="s">
        <v>1867</v>
      </c>
      <c r="C134" s="5" t="s">
        <v>56</v>
      </c>
      <c r="D134" s="6">
        <v>1.0</v>
      </c>
      <c r="E134" s="6">
        <v>1.0</v>
      </c>
      <c r="F134" s="6">
        <v>2.0</v>
      </c>
      <c r="G134" s="6">
        <v>19.0</v>
      </c>
      <c r="H134" s="6">
        <v>65984.0</v>
      </c>
      <c r="I134" s="6">
        <v>0.9624</v>
      </c>
      <c r="J134" s="6">
        <v>1.0</v>
      </c>
      <c r="K134" s="6">
        <v>1.0</v>
      </c>
      <c r="L134" s="6">
        <v>1.0</v>
      </c>
      <c r="M134" s="6">
        <v>0.9624</v>
      </c>
    </row>
    <row r="135">
      <c r="A135" s="5" t="s">
        <v>49</v>
      </c>
      <c r="B135" s="5" t="s">
        <v>1867</v>
      </c>
      <c r="C135" s="5" t="s">
        <v>56</v>
      </c>
      <c r="D135" s="6">
        <v>1.0</v>
      </c>
      <c r="E135" s="6">
        <v>2.0</v>
      </c>
      <c r="F135" s="6">
        <v>2.0</v>
      </c>
      <c r="G135" s="6">
        <v>19.0</v>
      </c>
      <c r="H135" s="6">
        <v>65984.0</v>
      </c>
      <c r="I135" s="6">
        <v>1.0</v>
      </c>
      <c r="J135" s="6">
        <v>1.0</v>
      </c>
      <c r="K135" s="6">
        <v>1.0</v>
      </c>
      <c r="L135" s="6">
        <v>1.0</v>
      </c>
      <c r="M135" s="6">
        <v>1.0</v>
      </c>
    </row>
    <row r="136">
      <c r="A136" s="5" t="s">
        <v>49</v>
      </c>
      <c r="B136" s="5" t="s">
        <v>163</v>
      </c>
      <c r="C136" s="5" t="s">
        <v>57</v>
      </c>
      <c r="D136" s="6">
        <v>2.0</v>
      </c>
      <c r="E136" s="6">
        <v>1.0</v>
      </c>
      <c r="F136" s="6">
        <v>2.0</v>
      </c>
      <c r="G136" s="6">
        <v>19.0</v>
      </c>
      <c r="H136" s="6">
        <v>90132.0</v>
      </c>
      <c r="I136" s="6">
        <v>0.9702</v>
      </c>
      <c r="J136" s="6">
        <v>1.0</v>
      </c>
      <c r="K136" s="6">
        <v>1.0</v>
      </c>
      <c r="L136" s="6">
        <v>1.0</v>
      </c>
      <c r="M136" s="6">
        <v>0.9704</v>
      </c>
    </row>
    <row r="137">
      <c r="A137" s="5" t="s">
        <v>49</v>
      </c>
      <c r="B137" s="5" t="s">
        <v>163</v>
      </c>
      <c r="C137" s="5" t="s">
        <v>57</v>
      </c>
      <c r="D137" s="6">
        <v>2.0</v>
      </c>
      <c r="E137" s="6">
        <v>2.0</v>
      </c>
      <c r="F137" s="6">
        <v>2.0</v>
      </c>
      <c r="G137" s="6">
        <v>19.0</v>
      </c>
      <c r="H137" s="6">
        <v>90132.0</v>
      </c>
      <c r="I137" s="6">
        <v>1.0</v>
      </c>
      <c r="J137" s="6">
        <v>1.0</v>
      </c>
      <c r="K137" s="6">
        <v>1.0</v>
      </c>
      <c r="L137" s="6">
        <v>1.0</v>
      </c>
      <c r="M137" s="6">
        <v>1.0</v>
      </c>
    </row>
    <row r="138">
      <c r="A138" s="5" t="s">
        <v>49</v>
      </c>
      <c r="B138" s="5" t="s">
        <v>1867</v>
      </c>
      <c r="C138" s="5" t="s">
        <v>57</v>
      </c>
      <c r="D138" s="6">
        <v>2.0</v>
      </c>
      <c r="E138" s="6">
        <v>1.0</v>
      </c>
      <c r="F138" s="6">
        <v>2.0</v>
      </c>
      <c r="G138" s="6">
        <v>19.0</v>
      </c>
      <c r="H138" s="6">
        <v>55929.0</v>
      </c>
      <c r="I138" s="6">
        <v>0.9651</v>
      </c>
      <c r="J138" s="6">
        <v>1.0</v>
      </c>
      <c r="K138" s="6">
        <v>1.0</v>
      </c>
      <c r="L138" s="6">
        <v>1.0</v>
      </c>
      <c r="M138" s="6">
        <v>0.9653</v>
      </c>
    </row>
    <row r="139">
      <c r="A139" s="5" t="s">
        <v>49</v>
      </c>
      <c r="B139" s="5" t="s">
        <v>1867</v>
      </c>
      <c r="C139" s="5" t="s">
        <v>57</v>
      </c>
      <c r="D139" s="6">
        <v>2.0</v>
      </c>
      <c r="E139" s="6">
        <v>2.0</v>
      </c>
      <c r="F139" s="6">
        <v>2.0</v>
      </c>
      <c r="G139" s="6">
        <v>19.0</v>
      </c>
      <c r="H139" s="6">
        <v>55929.0</v>
      </c>
      <c r="I139" s="6">
        <v>1.0</v>
      </c>
      <c r="J139" s="6">
        <v>1.0</v>
      </c>
      <c r="K139" s="6">
        <v>1.0</v>
      </c>
      <c r="L139" s="6">
        <v>1.0</v>
      </c>
      <c r="M139" s="6">
        <v>1.0</v>
      </c>
    </row>
    <row r="140">
      <c r="A140" s="5" t="s">
        <v>49</v>
      </c>
      <c r="B140" s="5" t="s">
        <v>163</v>
      </c>
      <c r="C140" s="5" t="s">
        <v>58</v>
      </c>
      <c r="D140" s="6">
        <v>3.0</v>
      </c>
      <c r="E140" s="6">
        <v>1.0</v>
      </c>
      <c r="F140" s="6">
        <v>2.0</v>
      </c>
      <c r="G140" s="6">
        <v>19.0</v>
      </c>
      <c r="H140" s="6">
        <v>63935.0</v>
      </c>
      <c r="I140" s="6">
        <v>0.9753</v>
      </c>
      <c r="J140" s="6">
        <v>1.0</v>
      </c>
      <c r="K140" s="6">
        <v>1.0</v>
      </c>
      <c r="L140" s="6">
        <v>1.0</v>
      </c>
      <c r="M140" s="6">
        <v>0.9755</v>
      </c>
    </row>
    <row r="141">
      <c r="A141" s="5" t="s">
        <v>49</v>
      </c>
      <c r="B141" s="5" t="s">
        <v>163</v>
      </c>
      <c r="C141" s="5" t="s">
        <v>58</v>
      </c>
      <c r="D141" s="6">
        <v>3.0</v>
      </c>
      <c r="E141" s="6">
        <v>2.0</v>
      </c>
      <c r="F141" s="6">
        <v>2.0</v>
      </c>
      <c r="G141" s="6">
        <v>19.0</v>
      </c>
      <c r="H141" s="6">
        <v>63935.0</v>
      </c>
      <c r="I141" s="6">
        <v>1.0</v>
      </c>
      <c r="J141" s="6">
        <v>1.0</v>
      </c>
      <c r="K141" s="6">
        <v>1.0</v>
      </c>
      <c r="L141" s="6">
        <v>1.0</v>
      </c>
      <c r="M141" s="6">
        <v>1.0</v>
      </c>
    </row>
    <row r="142">
      <c r="A142" s="5" t="s">
        <v>49</v>
      </c>
      <c r="B142" s="5" t="s">
        <v>1867</v>
      </c>
      <c r="C142" s="5" t="s">
        <v>58</v>
      </c>
      <c r="D142" s="6">
        <v>3.0</v>
      </c>
      <c r="E142" s="6">
        <v>1.0</v>
      </c>
      <c r="F142" s="6">
        <v>2.0</v>
      </c>
      <c r="G142" s="6">
        <v>19.0</v>
      </c>
      <c r="H142" s="6">
        <v>37456.0</v>
      </c>
      <c r="I142" s="6">
        <v>0.968</v>
      </c>
      <c r="J142" s="6">
        <v>1.0</v>
      </c>
      <c r="K142" s="6">
        <v>1.0</v>
      </c>
      <c r="L142" s="6">
        <v>1.0</v>
      </c>
      <c r="M142" s="6">
        <v>0.9682</v>
      </c>
    </row>
    <row r="143">
      <c r="A143" s="5" t="s">
        <v>49</v>
      </c>
      <c r="B143" s="5" t="s">
        <v>1867</v>
      </c>
      <c r="C143" s="5" t="s">
        <v>58</v>
      </c>
      <c r="D143" s="6">
        <v>3.0</v>
      </c>
      <c r="E143" s="6">
        <v>2.0</v>
      </c>
      <c r="F143" s="6">
        <v>2.0</v>
      </c>
      <c r="G143" s="6">
        <v>19.0</v>
      </c>
      <c r="H143" s="6">
        <v>37456.0</v>
      </c>
      <c r="I143" s="6">
        <v>1.0</v>
      </c>
      <c r="J143" s="6">
        <v>1.0</v>
      </c>
      <c r="K143" s="6">
        <v>1.0</v>
      </c>
      <c r="L143" s="6">
        <v>1.0</v>
      </c>
      <c r="M143" s="6">
        <v>1.0</v>
      </c>
    </row>
    <row r="144">
      <c r="A144" s="5" t="s">
        <v>49</v>
      </c>
      <c r="B144" s="5" t="s">
        <v>163</v>
      </c>
      <c r="C144" s="5" t="s">
        <v>59</v>
      </c>
      <c r="D144" s="6">
        <v>4.0</v>
      </c>
      <c r="E144" s="6">
        <v>1.0</v>
      </c>
      <c r="F144" s="6">
        <v>2.0</v>
      </c>
      <c r="G144" s="6">
        <v>19.0</v>
      </c>
      <c r="H144" s="6">
        <v>33044.0</v>
      </c>
      <c r="I144" s="6">
        <v>0.9822</v>
      </c>
      <c r="J144" s="6">
        <v>1.0</v>
      </c>
      <c r="K144" s="6">
        <v>1.0</v>
      </c>
      <c r="L144" s="6">
        <v>1.0</v>
      </c>
      <c r="M144" s="6">
        <v>0.9823</v>
      </c>
    </row>
    <row r="145">
      <c r="A145" s="5" t="s">
        <v>49</v>
      </c>
      <c r="B145" s="5" t="s">
        <v>163</v>
      </c>
      <c r="C145" s="5" t="s">
        <v>59</v>
      </c>
      <c r="D145" s="6">
        <v>4.0</v>
      </c>
      <c r="E145" s="6">
        <v>2.0</v>
      </c>
      <c r="F145" s="6">
        <v>2.0</v>
      </c>
      <c r="G145" s="6">
        <v>19.0</v>
      </c>
      <c r="H145" s="6">
        <v>33044.0</v>
      </c>
      <c r="I145" s="6">
        <v>1.0</v>
      </c>
      <c r="J145" s="6">
        <v>1.0</v>
      </c>
      <c r="K145" s="6">
        <v>1.0</v>
      </c>
      <c r="L145" s="6">
        <v>1.0</v>
      </c>
      <c r="M145" s="6">
        <v>1.0</v>
      </c>
    </row>
    <row r="146">
      <c r="A146" s="5" t="s">
        <v>49</v>
      </c>
      <c r="B146" s="5" t="s">
        <v>1867</v>
      </c>
      <c r="C146" s="5" t="s">
        <v>59</v>
      </c>
      <c r="D146" s="6">
        <v>4.0</v>
      </c>
      <c r="E146" s="6">
        <v>1.0</v>
      </c>
      <c r="F146" s="6">
        <v>2.0</v>
      </c>
      <c r="G146" s="6">
        <v>19.0</v>
      </c>
      <c r="H146" s="6">
        <v>18264.0</v>
      </c>
      <c r="I146" s="6">
        <v>0.9737</v>
      </c>
      <c r="J146" s="6">
        <v>1.0</v>
      </c>
      <c r="K146" s="6">
        <v>1.0</v>
      </c>
      <c r="L146" s="6">
        <v>1.0</v>
      </c>
      <c r="M146" s="6">
        <v>0.9738</v>
      </c>
    </row>
    <row r="147">
      <c r="A147" s="5" t="s">
        <v>49</v>
      </c>
      <c r="B147" s="5" t="s">
        <v>1867</v>
      </c>
      <c r="C147" s="5" t="s">
        <v>59</v>
      </c>
      <c r="D147" s="6">
        <v>4.0</v>
      </c>
      <c r="E147" s="6">
        <v>2.0</v>
      </c>
      <c r="F147" s="6">
        <v>2.0</v>
      </c>
      <c r="G147" s="6">
        <v>19.0</v>
      </c>
      <c r="H147" s="6">
        <v>18264.0</v>
      </c>
      <c r="I147" s="6">
        <v>1.0</v>
      </c>
      <c r="J147" s="6">
        <v>1.0</v>
      </c>
      <c r="K147" s="6">
        <v>1.0</v>
      </c>
      <c r="L147" s="6">
        <v>1.0</v>
      </c>
      <c r="M147" s="6">
        <v>1.0</v>
      </c>
    </row>
    <row r="148">
      <c r="A148" s="5" t="s">
        <v>49</v>
      </c>
      <c r="B148" s="5" t="s">
        <v>163</v>
      </c>
      <c r="C148" s="5" t="s">
        <v>60</v>
      </c>
      <c r="D148" s="6">
        <v>5.0</v>
      </c>
      <c r="E148" s="6">
        <v>1.0</v>
      </c>
      <c r="F148" s="6">
        <v>2.0</v>
      </c>
      <c r="G148" s="6">
        <v>19.0</v>
      </c>
      <c r="H148" s="6">
        <v>6117.0</v>
      </c>
      <c r="I148" s="6">
        <v>0.9821</v>
      </c>
      <c r="J148" s="6">
        <v>1.0</v>
      </c>
      <c r="K148" s="6">
        <v>1.0</v>
      </c>
      <c r="L148" s="6">
        <v>1.0</v>
      </c>
      <c r="M148" s="6">
        <v>0.9823</v>
      </c>
    </row>
    <row r="149">
      <c r="A149" s="5" t="s">
        <v>49</v>
      </c>
      <c r="B149" s="5" t="s">
        <v>163</v>
      </c>
      <c r="C149" s="5" t="s">
        <v>60</v>
      </c>
      <c r="D149" s="6">
        <v>5.0</v>
      </c>
      <c r="E149" s="6">
        <v>2.0</v>
      </c>
      <c r="F149" s="6">
        <v>2.0</v>
      </c>
      <c r="G149" s="6">
        <v>19.0</v>
      </c>
      <c r="H149" s="6">
        <v>6117.0</v>
      </c>
      <c r="I149" s="6">
        <v>1.0</v>
      </c>
      <c r="J149" s="6">
        <v>1.0</v>
      </c>
      <c r="K149" s="6">
        <v>1.0</v>
      </c>
      <c r="L149" s="6">
        <v>1.0</v>
      </c>
      <c r="M149" s="6">
        <v>1.0</v>
      </c>
    </row>
    <row r="150">
      <c r="A150" s="5" t="s">
        <v>49</v>
      </c>
      <c r="B150" s="5" t="s">
        <v>1867</v>
      </c>
      <c r="C150" s="5" t="s">
        <v>60</v>
      </c>
      <c r="D150" s="6">
        <v>5.0</v>
      </c>
      <c r="E150" s="6">
        <v>1.0</v>
      </c>
      <c r="F150" s="6">
        <v>2.0</v>
      </c>
      <c r="G150" s="6">
        <v>19.0</v>
      </c>
      <c r="H150" s="6">
        <v>3283.0</v>
      </c>
      <c r="I150" s="6">
        <v>0.9774</v>
      </c>
      <c r="J150" s="6">
        <v>1.0</v>
      </c>
      <c r="K150" s="6">
        <v>1.0</v>
      </c>
      <c r="L150" s="6">
        <v>1.0</v>
      </c>
      <c r="M150" s="6">
        <v>0.9777</v>
      </c>
    </row>
    <row r="151">
      <c r="A151" s="5" t="s">
        <v>49</v>
      </c>
      <c r="B151" s="5" t="s">
        <v>1867</v>
      </c>
      <c r="C151" s="5" t="s">
        <v>60</v>
      </c>
      <c r="D151" s="6">
        <v>5.0</v>
      </c>
      <c r="E151" s="6">
        <v>2.0</v>
      </c>
      <c r="F151" s="6">
        <v>2.0</v>
      </c>
      <c r="G151" s="6">
        <v>19.0</v>
      </c>
      <c r="H151" s="6">
        <v>3283.0</v>
      </c>
      <c r="I151" s="6">
        <v>1.0</v>
      </c>
      <c r="J151" s="6">
        <v>1.0</v>
      </c>
      <c r="K151" s="6">
        <v>1.0</v>
      </c>
      <c r="L151" s="6">
        <v>1.0</v>
      </c>
      <c r="M151" s="6">
        <v>1.0</v>
      </c>
    </row>
    <row r="152">
      <c r="A152" s="5" t="s">
        <v>44</v>
      </c>
      <c r="B152" s="5" t="s">
        <v>163</v>
      </c>
      <c r="C152" s="5" t="s">
        <v>56</v>
      </c>
      <c r="D152" s="6">
        <v>1.0</v>
      </c>
      <c r="E152" s="6">
        <v>1.0</v>
      </c>
      <c r="F152" s="6">
        <v>4.0</v>
      </c>
      <c r="G152" s="6">
        <v>5.0</v>
      </c>
      <c r="H152" s="6">
        <v>119102.0</v>
      </c>
      <c r="I152" s="6">
        <v>0.3103</v>
      </c>
      <c r="J152" s="6">
        <v>0.1735</v>
      </c>
      <c r="K152" s="6">
        <v>0.0</v>
      </c>
      <c r="L152" s="6">
        <v>0.5419</v>
      </c>
      <c r="M152" s="6">
        <v>0.3096</v>
      </c>
    </row>
    <row r="153">
      <c r="A153" s="5" t="s">
        <v>44</v>
      </c>
      <c r="B153" s="5" t="s">
        <v>163</v>
      </c>
      <c r="C153" s="5" t="s">
        <v>56</v>
      </c>
      <c r="D153" s="6">
        <v>1.0</v>
      </c>
      <c r="E153" s="6">
        <v>2.0</v>
      </c>
      <c r="F153" s="6">
        <v>4.0</v>
      </c>
      <c r="G153" s="6">
        <v>5.0</v>
      </c>
      <c r="H153" s="6">
        <v>119102.0</v>
      </c>
      <c r="I153" s="6">
        <v>0.6245</v>
      </c>
      <c r="J153" s="6">
        <v>0.7132</v>
      </c>
      <c r="K153" s="6">
        <v>0.3244</v>
      </c>
      <c r="L153" s="6">
        <v>1.0</v>
      </c>
      <c r="M153" s="6">
        <v>0.6236</v>
      </c>
    </row>
    <row r="154">
      <c r="A154" s="5" t="s">
        <v>44</v>
      </c>
      <c r="B154" s="5" t="s">
        <v>163</v>
      </c>
      <c r="C154" s="5" t="s">
        <v>56</v>
      </c>
      <c r="D154" s="6">
        <v>1.0</v>
      </c>
      <c r="E154" s="6">
        <v>3.0</v>
      </c>
      <c r="F154" s="6">
        <v>4.0</v>
      </c>
      <c r="G154" s="6">
        <v>5.0</v>
      </c>
      <c r="H154" s="6">
        <v>119102.0</v>
      </c>
      <c r="I154" s="6">
        <v>0.9762</v>
      </c>
      <c r="J154" s="6">
        <v>1.0</v>
      </c>
      <c r="K154" s="6">
        <v>1.0</v>
      </c>
      <c r="L154" s="6">
        <v>1.0</v>
      </c>
      <c r="M154" s="6">
        <v>0.9758</v>
      </c>
    </row>
    <row r="155">
      <c r="A155" s="5" t="s">
        <v>44</v>
      </c>
      <c r="B155" s="5" t="s">
        <v>163</v>
      </c>
      <c r="C155" s="5" t="s">
        <v>56</v>
      </c>
      <c r="D155" s="6">
        <v>1.0</v>
      </c>
      <c r="E155" s="6">
        <v>4.0</v>
      </c>
      <c r="F155" s="6">
        <v>4.0</v>
      </c>
      <c r="G155" s="6">
        <v>5.0</v>
      </c>
      <c r="H155" s="6">
        <v>119102.0</v>
      </c>
      <c r="I155" s="6">
        <v>1.0</v>
      </c>
      <c r="J155" s="6">
        <v>1.0</v>
      </c>
      <c r="K155" s="6">
        <v>1.0</v>
      </c>
      <c r="L155" s="6">
        <v>1.0</v>
      </c>
      <c r="M155" s="6">
        <v>1.0</v>
      </c>
    </row>
    <row r="156">
      <c r="A156" s="5" t="s">
        <v>44</v>
      </c>
      <c r="B156" s="5" t="s">
        <v>1867</v>
      </c>
      <c r="C156" s="5" t="s">
        <v>56</v>
      </c>
      <c r="D156" s="6">
        <v>1.0</v>
      </c>
      <c r="E156" s="6">
        <v>1.0</v>
      </c>
      <c r="F156" s="6">
        <v>4.0</v>
      </c>
      <c r="G156" s="6">
        <v>5.0</v>
      </c>
      <c r="H156" s="6">
        <v>81877.0</v>
      </c>
      <c r="I156" s="6">
        <v>0.3213</v>
      </c>
      <c r="J156" s="6">
        <v>0.207</v>
      </c>
      <c r="K156" s="6">
        <v>0.0</v>
      </c>
      <c r="L156" s="6">
        <v>0.5547</v>
      </c>
      <c r="M156" s="6">
        <v>0.3203</v>
      </c>
    </row>
    <row r="157">
      <c r="A157" s="5" t="s">
        <v>44</v>
      </c>
      <c r="B157" s="5" t="s">
        <v>1867</v>
      </c>
      <c r="C157" s="5" t="s">
        <v>56</v>
      </c>
      <c r="D157" s="6">
        <v>1.0</v>
      </c>
      <c r="E157" s="6">
        <v>2.0</v>
      </c>
      <c r="F157" s="6">
        <v>4.0</v>
      </c>
      <c r="G157" s="6">
        <v>5.0</v>
      </c>
      <c r="H157" s="6">
        <v>81877.0</v>
      </c>
      <c r="I157" s="6">
        <v>0.6373</v>
      </c>
      <c r="J157" s="6">
        <v>0.7244</v>
      </c>
      <c r="K157" s="6">
        <v>0.3699</v>
      </c>
      <c r="L157" s="6">
        <v>1.0</v>
      </c>
      <c r="M157" s="6">
        <v>0.6361</v>
      </c>
    </row>
    <row r="158">
      <c r="A158" s="5" t="s">
        <v>44</v>
      </c>
      <c r="B158" s="5" t="s">
        <v>1867</v>
      </c>
      <c r="C158" s="5" t="s">
        <v>56</v>
      </c>
      <c r="D158" s="6">
        <v>1.0</v>
      </c>
      <c r="E158" s="6">
        <v>3.0</v>
      </c>
      <c r="F158" s="6">
        <v>4.0</v>
      </c>
      <c r="G158" s="6">
        <v>5.0</v>
      </c>
      <c r="H158" s="6">
        <v>81877.0</v>
      </c>
      <c r="I158" s="6">
        <v>0.9787</v>
      </c>
      <c r="J158" s="6">
        <v>1.0</v>
      </c>
      <c r="K158" s="6">
        <v>1.0</v>
      </c>
      <c r="L158" s="6">
        <v>1.0</v>
      </c>
      <c r="M158" s="6">
        <v>0.9784</v>
      </c>
    </row>
    <row r="159">
      <c r="A159" s="5" t="s">
        <v>44</v>
      </c>
      <c r="B159" s="5" t="s">
        <v>1867</v>
      </c>
      <c r="C159" s="5" t="s">
        <v>56</v>
      </c>
      <c r="D159" s="6">
        <v>1.0</v>
      </c>
      <c r="E159" s="6">
        <v>4.0</v>
      </c>
      <c r="F159" s="6">
        <v>4.0</v>
      </c>
      <c r="G159" s="6">
        <v>5.0</v>
      </c>
      <c r="H159" s="6">
        <v>81877.0</v>
      </c>
      <c r="I159" s="6">
        <v>1.0</v>
      </c>
      <c r="J159" s="6">
        <v>1.0</v>
      </c>
      <c r="K159" s="6">
        <v>1.0</v>
      </c>
      <c r="L159" s="6">
        <v>1.0</v>
      </c>
      <c r="M159" s="6">
        <v>1.0</v>
      </c>
    </row>
    <row r="160">
      <c r="A160" s="5" t="s">
        <v>44</v>
      </c>
      <c r="B160" s="5" t="s">
        <v>163</v>
      </c>
      <c r="C160" s="5" t="s">
        <v>57</v>
      </c>
      <c r="D160" s="6">
        <v>2.0</v>
      </c>
      <c r="E160" s="6">
        <v>1.0</v>
      </c>
      <c r="F160" s="6">
        <v>4.0</v>
      </c>
      <c r="G160" s="6">
        <v>5.0</v>
      </c>
      <c r="H160" s="6">
        <v>102704.0</v>
      </c>
      <c r="I160" s="6">
        <v>0.3308</v>
      </c>
      <c r="J160" s="6">
        <v>0.2516</v>
      </c>
      <c r="K160" s="6">
        <v>2.0E-4</v>
      </c>
      <c r="L160" s="6">
        <v>0.5452</v>
      </c>
      <c r="M160" s="6">
        <v>0.3306</v>
      </c>
    </row>
    <row r="161">
      <c r="A161" s="5" t="s">
        <v>44</v>
      </c>
      <c r="B161" s="5" t="s">
        <v>163</v>
      </c>
      <c r="C161" s="5" t="s">
        <v>57</v>
      </c>
      <c r="D161" s="6">
        <v>2.0</v>
      </c>
      <c r="E161" s="6">
        <v>2.0</v>
      </c>
      <c r="F161" s="6">
        <v>4.0</v>
      </c>
      <c r="G161" s="6">
        <v>5.0</v>
      </c>
      <c r="H161" s="6">
        <v>102704.0</v>
      </c>
      <c r="I161" s="6">
        <v>0.6463</v>
      </c>
      <c r="J161" s="6">
        <v>0.7164</v>
      </c>
      <c r="K161" s="6">
        <v>0.4247</v>
      </c>
      <c r="L161" s="6">
        <v>0.9951</v>
      </c>
      <c r="M161" s="6">
        <v>0.6461</v>
      </c>
    </row>
    <row r="162">
      <c r="A162" s="5" t="s">
        <v>44</v>
      </c>
      <c r="B162" s="5" t="s">
        <v>163</v>
      </c>
      <c r="C162" s="5" t="s">
        <v>57</v>
      </c>
      <c r="D162" s="6">
        <v>2.0</v>
      </c>
      <c r="E162" s="6">
        <v>3.0</v>
      </c>
      <c r="F162" s="6">
        <v>4.0</v>
      </c>
      <c r="G162" s="6">
        <v>5.0</v>
      </c>
      <c r="H162" s="6">
        <v>102704.0</v>
      </c>
      <c r="I162" s="6">
        <v>0.9797</v>
      </c>
      <c r="J162" s="6">
        <v>1.0</v>
      </c>
      <c r="K162" s="6">
        <v>1.0</v>
      </c>
      <c r="L162" s="6">
        <v>1.0</v>
      </c>
      <c r="M162" s="6">
        <v>0.9795</v>
      </c>
    </row>
    <row r="163">
      <c r="A163" s="5" t="s">
        <v>44</v>
      </c>
      <c r="B163" s="5" t="s">
        <v>163</v>
      </c>
      <c r="C163" s="5" t="s">
        <v>57</v>
      </c>
      <c r="D163" s="6">
        <v>2.0</v>
      </c>
      <c r="E163" s="6">
        <v>4.0</v>
      </c>
      <c r="F163" s="6">
        <v>4.0</v>
      </c>
      <c r="G163" s="6">
        <v>5.0</v>
      </c>
      <c r="H163" s="6">
        <v>102704.0</v>
      </c>
      <c r="I163" s="6">
        <v>1.0</v>
      </c>
      <c r="J163" s="6">
        <v>1.0</v>
      </c>
      <c r="K163" s="6">
        <v>1.0</v>
      </c>
      <c r="L163" s="6">
        <v>1.0</v>
      </c>
      <c r="M163" s="6">
        <v>1.0</v>
      </c>
    </row>
    <row r="164">
      <c r="A164" s="5" t="s">
        <v>44</v>
      </c>
      <c r="B164" s="5" t="s">
        <v>1867</v>
      </c>
      <c r="C164" s="5" t="s">
        <v>57</v>
      </c>
      <c r="D164" s="6">
        <v>2.0</v>
      </c>
      <c r="E164" s="6">
        <v>1.0</v>
      </c>
      <c r="F164" s="6">
        <v>4.0</v>
      </c>
      <c r="G164" s="6">
        <v>5.0</v>
      </c>
      <c r="H164" s="6">
        <v>60387.0</v>
      </c>
      <c r="I164" s="6">
        <v>0.3364</v>
      </c>
      <c r="J164" s="6">
        <v>0.2537</v>
      </c>
      <c r="K164" s="6">
        <v>4.0E-4</v>
      </c>
      <c r="L164" s="6">
        <v>0.5677</v>
      </c>
      <c r="M164" s="6">
        <v>0.3362</v>
      </c>
    </row>
    <row r="165">
      <c r="A165" s="5" t="s">
        <v>44</v>
      </c>
      <c r="B165" s="5" t="s">
        <v>1867</v>
      </c>
      <c r="C165" s="5" t="s">
        <v>57</v>
      </c>
      <c r="D165" s="6">
        <v>2.0</v>
      </c>
      <c r="E165" s="6">
        <v>2.0</v>
      </c>
      <c r="F165" s="6">
        <v>4.0</v>
      </c>
      <c r="G165" s="6">
        <v>5.0</v>
      </c>
      <c r="H165" s="6">
        <v>60387.0</v>
      </c>
      <c r="I165" s="6">
        <v>0.6551</v>
      </c>
      <c r="J165" s="6">
        <v>0.741</v>
      </c>
      <c r="K165" s="6">
        <v>0.4342</v>
      </c>
      <c r="L165" s="6">
        <v>0.9945</v>
      </c>
      <c r="M165" s="6">
        <v>0.6549</v>
      </c>
    </row>
    <row r="166">
      <c r="A166" s="5" t="s">
        <v>44</v>
      </c>
      <c r="B166" s="5" t="s">
        <v>1867</v>
      </c>
      <c r="C166" s="5" t="s">
        <v>57</v>
      </c>
      <c r="D166" s="6">
        <v>2.0</v>
      </c>
      <c r="E166" s="6">
        <v>3.0</v>
      </c>
      <c r="F166" s="6">
        <v>4.0</v>
      </c>
      <c r="G166" s="6">
        <v>5.0</v>
      </c>
      <c r="H166" s="6">
        <v>60387.0</v>
      </c>
      <c r="I166" s="6">
        <v>0.9806</v>
      </c>
      <c r="J166" s="6">
        <v>1.0</v>
      </c>
      <c r="K166" s="6">
        <v>1.0</v>
      </c>
      <c r="L166" s="6">
        <v>1.0</v>
      </c>
      <c r="M166" s="6">
        <v>0.9805</v>
      </c>
    </row>
    <row r="167">
      <c r="A167" s="5" t="s">
        <v>44</v>
      </c>
      <c r="B167" s="5" t="s">
        <v>1867</v>
      </c>
      <c r="C167" s="5" t="s">
        <v>57</v>
      </c>
      <c r="D167" s="6">
        <v>2.0</v>
      </c>
      <c r="E167" s="6">
        <v>4.0</v>
      </c>
      <c r="F167" s="6">
        <v>4.0</v>
      </c>
      <c r="G167" s="6">
        <v>5.0</v>
      </c>
      <c r="H167" s="6">
        <v>60387.0</v>
      </c>
      <c r="I167" s="6">
        <v>1.0</v>
      </c>
      <c r="J167" s="6">
        <v>1.0</v>
      </c>
      <c r="K167" s="6">
        <v>1.0</v>
      </c>
      <c r="L167" s="6">
        <v>1.0</v>
      </c>
      <c r="M167" s="6">
        <v>1.0</v>
      </c>
    </row>
    <row r="168">
      <c r="A168" s="5" t="s">
        <v>44</v>
      </c>
      <c r="B168" s="5" t="s">
        <v>163</v>
      </c>
      <c r="C168" s="5" t="s">
        <v>58</v>
      </c>
      <c r="D168" s="6">
        <v>3.0</v>
      </c>
      <c r="E168" s="6">
        <v>1.0</v>
      </c>
      <c r="F168" s="6">
        <v>4.0</v>
      </c>
      <c r="G168" s="6">
        <v>5.0</v>
      </c>
      <c r="H168" s="6">
        <v>65903.0</v>
      </c>
      <c r="I168" s="6">
        <v>0.3418</v>
      </c>
      <c r="J168" s="6">
        <v>0.285</v>
      </c>
      <c r="K168" s="6">
        <v>0.002</v>
      </c>
      <c r="L168" s="6">
        <v>0.548</v>
      </c>
      <c r="M168" s="6">
        <v>0.3418</v>
      </c>
    </row>
    <row r="169">
      <c r="A169" s="5" t="s">
        <v>44</v>
      </c>
      <c r="B169" s="5" t="s">
        <v>163</v>
      </c>
      <c r="C169" s="5" t="s">
        <v>58</v>
      </c>
      <c r="D169" s="6">
        <v>3.0</v>
      </c>
      <c r="E169" s="6">
        <v>2.0</v>
      </c>
      <c r="F169" s="6">
        <v>4.0</v>
      </c>
      <c r="G169" s="6">
        <v>5.0</v>
      </c>
      <c r="H169" s="6">
        <v>65903.0</v>
      </c>
      <c r="I169" s="6">
        <v>0.6593</v>
      </c>
      <c r="J169" s="6">
        <v>0.7298</v>
      </c>
      <c r="K169" s="6">
        <v>0.4675</v>
      </c>
      <c r="L169" s="6">
        <v>0.9883</v>
      </c>
      <c r="M169" s="6">
        <v>0.6594</v>
      </c>
    </row>
    <row r="170">
      <c r="A170" s="5" t="s">
        <v>44</v>
      </c>
      <c r="B170" s="5" t="s">
        <v>163</v>
      </c>
      <c r="C170" s="5" t="s">
        <v>58</v>
      </c>
      <c r="D170" s="6">
        <v>3.0</v>
      </c>
      <c r="E170" s="6">
        <v>3.0</v>
      </c>
      <c r="F170" s="6">
        <v>4.0</v>
      </c>
      <c r="G170" s="6">
        <v>5.0</v>
      </c>
      <c r="H170" s="6">
        <v>65903.0</v>
      </c>
      <c r="I170" s="6">
        <v>0.982</v>
      </c>
      <c r="J170" s="6">
        <v>1.0</v>
      </c>
      <c r="K170" s="6">
        <v>1.0</v>
      </c>
      <c r="L170" s="6">
        <v>1.0</v>
      </c>
      <c r="M170" s="6">
        <v>0.9819</v>
      </c>
    </row>
    <row r="171">
      <c r="A171" s="5" t="s">
        <v>44</v>
      </c>
      <c r="B171" s="5" t="s">
        <v>163</v>
      </c>
      <c r="C171" s="5" t="s">
        <v>58</v>
      </c>
      <c r="D171" s="6">
        <v>3.0</v>
      </c>
      <c r="E171" s="6">
        <v>4.0</v>
      </c>
      <c r="F171" s="6">
        <v>4.0</v>
      </c>
      <c r="G171" s="6">
        <v>5.0</v>
      </c>
      <c r="H171" s="6">
        <v>65903.0</v>
      </c>
      <c r="I171" s="6">
        <v>1.0</v>
      </c>
      <c r="J171" s="6">
        <v>1.0</v>
      </c>
      <c r="K171" s="6">
        <v>1.0</v>
      </c>
      <c r="L171" s="6">
        <v>1.0</v>
      </c>
      <c r="M171" s="6">
        <v>1.0</v>
      </c>
    </row>
    <row r="172">
      <c r="A172" s="5" t="s">
        <v>44</v>
      </c>
      <c r="B172" s="5" t="s">
        <v>1867</v>
      </c>
      <c r="C172" s="5" t="s">
        <v>58</v>
      </c>
      <c r="D172" s="6">
        <v>3.0</v>
      </c>
      <c r="E172" s="6">
        <v>1.0</v>
      </c>
      <c r="F172" s="6">
        <v>4.0</v>
      </c>
      <c r="G172" s="6">
        <v>5.0</v>
      </c>
      <c r="H172" s="6">
        <v>36948.0</v>
      </c>
      <c r="I172" s="6">
        <v>0.3416</v>
      </c>
      <c r="J172" s="6">
        <v>0.273</v>
      </c>
      <c r="K172" s="6">
        <v>1.0E-4</v>
      </c>
      <c r="L172" s="6">
        <v>0.57</v>
      </c>
      <c r="M172" s="6">
        <v>0.3415</v>
      </c>
    </row>
    <row r="173">
      <c r="A173" s="5" t="s">
        <v>44</v>
      </c>
      <c r="B173" s="5" t="s">
        <v>1867</v>
      </c>
      <c r="C173" s="5" t="s">
        <v>58</v>
      </c>
      <c r="D173" s="6">
        <v>3.0</v>
      </c>
      <c r="E173" s="6">
        <v>2.0</v>
      </c>
      <c r="F173" s="6">
        <v>4.0</v>
      </c>
      <c r="G173" s="6">
        <v>5.0</v>
      </c>
      <c r="H173" s="6">
        <v>36948.0</v>
      </c>
      <c r="I173" s="6">
        <v>0.662</v>
      </c>
      <c r="J173" s="6">
        <v>0.7534</v>
      </c>
      <c r="K173" s="6">
        <v>0.4509</v>
      </c>
      <c r="L173" s="6">
        <v>0.998</v>
      </c>
      <c r="M173" s="6">
        <v>0.6621</v>
      </c>
    </row>
    <row r="174">
      <c r="A174" s="5" t="s">
        <v>44</v>
      </c>
      <c r="B174" s="5" t="s">
        <v>1867</v>
      </c>
      <c r="C174" s="5" t="s">
        <v>58</v>
      </c>
      <c r="D174" s="6">
        <v>3.0</v>
      </c>
      <c r="E174" s="6">
        <v>3.0</v>
      </c>
      <c r="F174" s="6">
        <v>4.0</v>
      </c>
      <c r="G174" s="6">
        <v>5.0</v>
      </c>
      <c r="H174" s="6">
        <v>36948.0</v>
      </c>
      <c r="I174" s="6">
        <v>0.9803</v>
      </c>
      <c r="J174" s="6">
        <v>1.0</v>
      </c>
      <c r="K174" s="6">
        <v>1.0</v>
      </c>
      <c r="L174" s="6">
        <v>1.0</v>
      </c>
      <c r="M174" s="6">
        <v>0.9802</v>
      </c>
    </row>
    <row r="175">
      <c r="A175" s="5" t="s">
        <v>44</v>
      </c>
      <c r="B175" s="5" t="s">
        <v>1867</v>
      </c>
      <c r="C175" s="5" t="s">
        <v>58</v>
      </c>
      <c r="D175" s="6">
        <v>3.0</v>
      </c>
      <c r="E175" s="6">
        <v>4.0</v>
      </c>
      <c r="F175" s="6">
        <v>4.0</v>
      </c>
      <c r="G175" s="6">
        <v>5.0</v>
      </c>
      <c r="H175" s="6">
        <v>36948.0</v>
      </c>
      <c r="I175" s="6">
        <v>1.0</v>
      </c>
      <c r="J175" s="6">
        <v>1.0</v>
      </c>
      <c r="K175" s="6">
        <v>1.0</v>
      </c>
      <c r="L175" s="6">
        <v>1.0</v>
      </c>
      <c r="M175" s="6">
        <v>1.0</v>
      </c>
    </row>
    <row r="176">
      <c r="A176" s="5" t="s">
        <v>44</v>
      </c>
      <c r="B176" s="5" t="s">
        <v>163</v>
      </c>
      <c r="C176" s="5" t="s">
        <v>59</v>
      </c>
      <c r="D176" s="6">
        <v>4.0</v>
      </c>
      <c r="E176" s="6">
        <v>1.0</v>
      </c>
      <c r="F176" s="6">
        <v>4.0</v>
      </c>
      <c r="G176" s="6">
        <v>5.0</v>
      </c>
      <c r="H176" s="6">
        <v>31800.0</v>
      </c>
      <c r="I176" s="6">
        <v>0.4138</v>
      </c>
      <c r="J176" s="6">
        <v>0.385</v>
      </c>
      <c r="K176" s="6">
        <v>0.0589</v>
      </c>
      <c r="L176" s="6">
        <v>0.6661</v>
      </c>
      <c r="M176" s="6">
        <v>0.4143</v>
      </c>
    </row>
    <row r="177">
      <c r="A177" s="5" t="s">
        <v>44</v>
      </c>
      <c r="B177" s="5" t="s">
        <v>163</v>
      </c>
      <c r="C177" s="5" t="s">
        <v>59</v>
      </c>
      <c r="D177" s="6">
        <v>4.0</v>
      </c>
      <c r="E177" s="6">
        <v>2.0</v>
      </c>
      <c r="F177" s="6">
        <v>4.0</v>
      </c>
      <c r="G177" s="6">
        <v>5.0</v>
      </c>
      <c r="H177" s="6">
        <v>31800.0</v>
      </c>
      <c r="I177" s="6">
        <v>0.7362</v>
      </c>
      <c r="J177" s="6">
        <v>0.8638</v>
      </c>
      <c r="K177" s="6">
        <v>0.5733</v>
      </c>
      <c r="L177" s="6">
        <v>1.0</v>
      </c>
      <c r="M177" s="6">
        <v>0.7366</v>
      </c>
    </row>
    <row r="178">
      <c r="A178" s="5" t="s">
        <v>44</v>
      </c>
      <c r="B178" s="5" t="s">
        <v>163</v>
      </c>
      <c r="C178" s="5" t="s">
        <v>59</v>
      </c>
      <c r="D178" s="6">
        <v>4.0</v>
      </c>
      <c r="E178" s="6">
        <v>3.0</v>
      </c>
      <c r="F178" s="6">
        <v>4.0</v>
      </c>
      <c r="G178" s="6">
        <v>5.0</v>
      </c>
      <c r="H178" s="6">
        <v>31800.0</v>
      </c>
      <c r="I178" s="6">
        <v>0.9876</v>
      </c>
      <c r="J178" s="6">
        <v>1.0</v>
      </c>
      <c r="K178" s="6">
        <v>1.0</v>
      </c>
      <c r="L178" s="6">
        <v>1.0</v>
      </c>
      <c r="M178" s="6">
        <v>0.9876</v>
      </c>
    </row>
    <row r="179">
      <c r="A179" s="5" t="s">
        <v>44</v>
      </c>
      <c r="B179" s="5" t="s">
        <v>163</v>
      </c>
      <c r="C179" s="5" t="s">
        <v>59</v>
      </c>
      <c r="D179" s="6">
        <v>4.0</v>
      </c>
      <c r="E179" s="6">
        <v>4.0</v>
      </c>
      <c r="F179" s="6">
        <v>4.0</v>
      </c>
      <c r="G179" s="6">
        <v>5.0</v>
      </c>
      <c r="H179" s="6">
        <v>31800.0</v>
      </c>
      <c r="I179" s="6">
        <v>1.0</v>
      </c>
      <c r="J179" s="6">
        <v>1.0</v>
      </c>
      <c r="K179" s="6">
        <v>1.0</v>
      </c>
      <c r="L179" s="6">
        <v>1.0</v>
      </c>
      <c r="M179" s="6">
        <v>1.0</v>
      </c>
    </row>
    <row r="180">
      <c r="A180" s="5" t="s">
        <v>44</v>
      </c>
      <c r="B180" s="5" t="s">
        <v>1867</v>
      </c>
      <c r="C180" s="5" t="s">
        <v>59</v>
      </c>
      <c r="D180" s="6">
        <v>4.0</v>
      </c>
      <c r="E180" s="6">
        <v>1.0</v>
      </c>
      <c r="F180" s="6">
        <v>4.0</v>
      </c>
      <c r="G180" s="6">
        <v>5.0</v>
      </c>
      <c r="H180" s="6">
        <v>17155.0</v>
      </c>
      <c r="I180" s="6">
        <v>0.4001</v>
      </c>
      <c r="J180" s="6">
        <v>0.3565</v>
      </c>
      <c r="K180" s="6">
        <v>5.0E-4</v>
      </c>
      <c r="L180" s="6">
        <v>0.6984</v>
      </c>
      <c r="M180" s="6">
        <v>0.4005</v>
      </c>
    </row>
    <row r="181">
      <c r="A181" s="5" t="s">
        <v>44</v>
      </c>
      <c r="B181" s="5" t="s">
        <v>1867</v>
      </c>
      <c r="C181" s="5" t="s">
        <v>59</v>
      </c>
      <c r="D181" s="6">
        <v>4.0</v>
      </c>
      <c r="E181" s="6">
        <v>2.0</v>
      </c>
      <c r="F181" s="6">
        <v>4.0</v>
      </c>
      <c r="G181" s="6">
        <v>5.0</v>
      </c>
      <c r="H181" s="6">
        <v>17155.0</v>
      </c>
      <c r="I181" s="6">
        <v>0.7202</v>
      </c>
      <c r="J181" s="6">
        <v>0.8934</v>
      </c>
      <c r="K181" s="6">
        <v>0.5303</v>
      </c>
      <c r="L181" s="6">
        <v>1.0</v>
      </c>
      <c r="M181" s="6">
        <v>0.7205</v>
      </c>
    </row>
    <row r="182">
      <c r="A182" s="5" t="s">
        <v>44</v>
      </c>
      <c r="B182" s="5" t="s">
        <v>1867</v>
      </c>
      <c r="C182" s="5" t="s">
        <v>59</v>
      </c>
      <c r="D182" s="6">
        <v>4.0</v>
      </c>
      <c r="E182" s="6">
        <v>3.0</v>
      </c>
      <c r="F182" s="6">
        <v>4.0</v>
      </c>
      <c r="G182" s="6">
        <v>5.0</v>
      </c>
      <c r="H182" s="6">
        <v>17155.0</v>
      </c>
      <c r="I182" s="6">
        <v>0.9834</v>
      </c>
      <c r="J182" s="6">
        <v>1.0</v>
      </c>
      <c r="K182" s="6">
        <v>1.0</v>
      </c>
      <c r="L182" s="6">
        <v>1.0</v>
      </c>
      <c r="M182" s="6">
        <v>0.9834</v>
      </c>
    </row>
    <row r="183">
      <c r="A183" s="5" t="s">
        <v>44</v>
      </c>
      <c r="B183" s="5" t="s">
        <v>1867</v>
      </c>
      <c r="C183" s="5" t="s">
        <v>59</v>
      </c>
      <c r="D183" s="6">
        <v>4.0</v>
      </c>
      <c r="E183" s="6">
        <v>4.0</v>
      </c>
      <c r="F183" s="6">
        <v>4.0</v>
      </c>
      <c r="G183" s="6">
        <v>5.0</v>
      </c>
      <c r="H183" s="6">
        <v>17155.0</v>
      </c>
      <c r="I183" s="6">
        <v>1.0</v>
      </c>
      <c r="J183" s="6">
        <v>1.0</v>
      </c>
      <c r="K183" s="6">
        <v>1.0</v>
      </c>
      <c r="L183" s="6">
        <v>1.0</v>
      </c>
      <c r="M183" s="6">
        <v>1.0</v>
      </c>
    </row>
    <row r="184">
      <c r="A184" s="5" t="s">
        <v>44</v>
      </c>
      <c r="B184" s="5" t="s">
        <v>163</v>
      </c>
      <c r="C184" s="5" t="s">
        <v>60</v>
      </c>
      <c r="D184" s="6">
        <v>5.0</v>
      </c>
      <c r="E184" s="6">
        <v>1.0</v>
      </c>
      <c r="F184" s="6">
        <v>4.0</v>
      </c>
      <c r="G184" s="6">
        <v>5.0</v>
      </c>
      <c r="H184" s="6">
        <v>5547.0</v>
      </c>
      <c r="I184" s="6">
        <v>0.5263</v>
      </c>
      <c r="J184" s="6">
        <v>0.5904</v>
      </c>
      <c r="K184" s="6">
        <v>0.0</v>
      </c>
      <c r="L184" s="6">
        <v>0.9999</v>
      </c>
      <c r="M184" s="6">
        <v>0.5273</v>
      </c>
    </row>
    <row r="185">
      <c r="A185" s="5" t="s">
        <v>44</v>
      </c>
      <c r="B185" s="5" t="s">
        <v>163</v>
      </c>
      <c r="C185" s="5" t="s">
        <v>60</v>
      </c>
      <c r="D185" s="6">
        <v>5.0</v>
      </c>
      <c r="E185" s="6">
        <v>2.0</v>
      </c>
      <c r="F185" s="6">
        <v>4.0</v>
      </c>
      <c r="G185" s="6">
        <v>5.0</v>
      </c>
      <c r="H185" s="6">
        <v>5547.0</v>
      </c>
      <c r="I185" s="6">
        <v>0.7854</v>
      </c>
      <c r="J185" s="6">
        <v>1.0</v>
      </c>
      <c r="K185" s="6">
        <v>0.7017</v>
      </c>
      <c r="L185" s="6">
        <v>1.0</v>
      </c>
      <c r="M185" s="6">
        <v>0.7862</v>
      </c>
    </row>
    <row r="186">
      <c r="A186" s="5" t="s">
        <v>44</v>
      </c>
      <c r="B186" s="5" t="s">
        <v>163</v>
      </c>
      <c r="C186" s="5" t="s">
        <v>60</v>
      </c>
      <c r="D186" s="6">
        <v>5.0</v>
      </c>
      <c r="E186" s="6">
        <v>3.0</v>
      </c>
      <c r="F186" s="6">
        <v>4.0</v>
      </c>
      <c r="G186" s="6">
        <v>5.0</v>
      </c>
      <c r="H186" s="6">
        <v>5547.0</v>
      </c>
      <c r="I186" s="6">
        <v>0.9895</v>
      </c>
      <c r="J186" s="6">
        <v>1.0</v>
      </c>
      <c r="K186" s="6">
        <v>1.0</v>
      </c>
      <c r="L186" s="6">
        <v>1.0</v>
      </c>
      <c r="M186" s="6">
        <v>0.9897</v>
      </c>
    </row>
    <row r="187">
      <c r="A187" s="5" t="s">
        <v>44</v>
      </c>
      <c r="B187" s="5" t="s">
        <v>163</v>
      </c>
      <c r="C187" s="5" t="s">
        <v>60</v>
      </c>
      <c r="D187" s="6">
        <v>5.0</v>
      </c>
      <c r="E187" s="6">
        <v>4.0</v>
      </c>
      <c r="F187" s="6">
        <v>4.0</v>
      </c>
      <c r="G187" s="6">
        <v>5.0</v>
      </c>
      <c r="H187" s="6">
        <v>5547.0</v>
      </c>
      <c r="I187" s="6">
        <v>1.0</v>
      </c>
      <c r="J187" s="6">
        <v>1.0</v>
      </c>
      <c r="K187" s="6">
        <v>1.0</v>
      </c>
      <c r="L187" s="6">
        <v>1.0</v>
      </c>
      <c r="M187" s="6">
        <v>1.0</v>
      </c>
    </row>
    <row r="188">
      <c r="A188" s="5" t="s">
        <v>44</v>
      </c>
      <c r="B188" s="5" t="s">
        <v>1867</v>
      </c>
      <c r="C188" s="5" t="s">
        <v>60</v>
      </c>
      <c r="D188" s="6">
        <v>5.0</v>
      </c>
      <c r="E188" s="6">
        <v>1.0</v>
      </c>
      <c r="F188" s="6">
        <v>4.0</v>
      </c>
      <c r="G188" s="6">
        <v>5.0</v>
      </c>
      <c r="H188" s="6">
        <v>2902.0</v>
      </c>
      <c r="I188" s="6">
        <v>0.5108</v>
      </c>
      <c r="J188" s="6">
        <v>0.5746</v>
      </c>
      <c r="K188" s="6">
        <v>0.0</v>
      </c>
      <c r="L188" s="6">
        <v>1.0</v>
      </c>
      <c r="M188" s="6">
        <v>0.5113</v>
      </c>
    </row>
    <row r="189">
      <c r="A189" s="5" t="s">
        <v>44</v>
      </c>
      <c r="B189" s="5" t="s">
        <v>1867</v>
      </c>
      <c r="C189" s="5" t="s">
        <v>60</v>
      </c>
      <c r="D189" s="6">
        <v>5.0</v>
      </c>
      <c r="E189" s="6">
        <v>2.0</v>
      </c>
      <c r="F189" s="6">
        <v>4.0</v>
      </c>
      <c r="G189" s="6">
        <v>5.0</v>
      </c>
      <c r="H189" s="6">
        <v>2902.0</v>
      </c>
      <c r="I189" s="6">
        <v>0.7706</v>
      </c>
      <c r="J189" s="6">
        <v>1.0</v>
      </c>
      <c r="K189" s="6">
        <v>0.6918</v>
      </c>
      <c r="L189" s="6">
        <v>1.0</v>
      </c>
      <c r="M189" s="6">
        <v>0.771</v>
      </c>
    </row>
    <row r="190">
      <c r="A190" s="5" t="s">
        <v>44</v>
      </c>
      <c r="B190" s="5" t="s">
        <v>1867</v>
      </c>
      <c r="C190" s="5" t="s">
        <v>60</v>
      </c>
      <c r="D190" s="6">
        <v>5.0</v>
      </c>
      <c r="E190" s="6">
        <v>3.0</v>
      </c>
      <c r="F190" s="6">
        <v>4.0</v>
      </c>
      <c r="G190" s="6">
        <v>5.0</v>
      </c>
      <c r="H190" s="6">
        <v>2902.0</v>
      </c>
      <c r="I190" s="6">
        <v>0.9869</v>
      </c>
      <c r="J190" s="6">
        <v>1.0</v>
      </c>
      <c r="K190" s="6">
        <v>1.0</v>
      </c>
      <c r="L190" s="6">
        <v>1.0</v>
      </c>
      <c r="M190" s="6">
        <v>0.987</v>
      </c>
    </row>
    <row r="191">
      <c r="A191" s="5" t="s">
        <v>44</v>
      </c>
      <c r="B191" s="5" t="s">
        <v>1867</v>
      </c>
      <c r="C191" s="5" t="s">
        <v>60</v>
      </c>
      <c r="D191" s="6">
        <v>5.0</v>
      </c>
      <c r="E191" s="6">
        <v>4.0</v>
      </c>
      <c r="F191" s="6">
        <v>4.0</v>
      </c>
      <c r="G191" s="6">
        <v>5.0</v>
      </c>
      <c r="H191" s="6">
        <v>2902.0</v>
      </c>
      <c r="I191" s="6">
        <v>1.0</v>
      </c>
      <c r="J191" s="6">
        <v>1.0</v>
      </c>
      <c r="K191" s="6">
        <v>1.0</v>
      </c>
      <c r="L191" s="6">
        <v>1.0</v>
      </c>
      <c r="M191" s="6">
        <v>1.0</v>
      </c>
    </row>
    <row r="192">
      <c r="A192" s="5" t="s">
        <v>375</v>
      </c>
      <c r="B192" s="5" t="s">
        <v>163</v>
      </c>
      <c r="C192" s="5" t="s">
        <v>56</v>
      </c>
      <c r="D192" s="6">
        <v>1.0</v>
      </c>
      <c r="E192" s="6">
        <v>1.0</v>
      </c>
      <c r="F192" s="6">
        <v>5.0</v>
      </c>
      <c r="G192" s="6">
        <v>2.0</v>
      </c>
      <c r="H192" s="6">
        <v>87067.0</v>
      </c>
      <c r="I192" s="6">
        <v>0.225</v>
      </c>
      <c r="J192" s="6">
        <v>0.0611</v>
      </c>
      <c r="K192" s="6">
        <v>0.0</v>
      </c>
      <c r="L192" s="6">
        <v>0.3503</v>
      </c>
      <c r="M192" s="6">
        <v>0.225</v>
      </c>
    </row>
    <row r="193">
      <c r="A193" s="5" t="s">
        <v>375</v>
      </c>
      <c r="B193" s="5" t="s">
        <v>163</v>
      </c>
      <c r="C193" s="5" t="s">
        <v>56</v>
      </c>
      <c r="D193" s="6">
        <v>1.0</v>
      </c>
      <c r="E193" s="6">
        <v>2.0</v>
      </c>
      <c r="F193" s="6">
        <v>5.0</v>
      </c>
      <c r="G193" s="6">
        <v>2.0</v>
      </c>
      <c r="H193" s="6">
        <v>87067.0</v>
      </c>
      <c r="I193" s="6">
        <v>0.4768</v>
      </c>
      <c r="J193" s="6">
        <v>0.4654</v>
      </c>
      <c r="K193" s="6">
        <v>0.0891</v>
      </c>
      <c r="L193" s="6">
        <v>0.8282</v>
      </c>
      <c r="M193" s="6">
        <v>0.4769</v>
      </c>
    </row>
    <row r="194">
      <c r="A194" s="5" t="s">
        <v>375</v>
      </c>
      <c r="B194" s="5" t="s">
        <v>163</v>
      </c>
      <c r="C194" s="5" t="s">
        <v>56</v>
      </c>
      <c r="D194" s="6">
        <v>1.0</v>
      </c>
      <c r="E194" s="6">
        <v>3.0</v>
      </c>
      <c r="F194" s="6">
        <v>5.0</v>
      </c>
      <c r="G194" s="6">
        <v>2.0</v>
      </c>
      <c r="H194" s="6">
        <v>87067.0</v>
      </c>
      <c r="I194" s="6">
        <v>0.7253</v>
      </c>
      <c r="J194" s="6">
        <v>0.8546</v>
      </c>
      <c r="K194" s="6">
        <v>0.5495</v>
      </c>
      <c r="L194" s="6">
        <v>1.0</v>
      </c>
      <c r="M194" s="6">
        <v>0.7253</v>
      </c>
    </row>
    <row r="195">
      <c r="A195" s="5" t="s">
        <v>375</v>
      </c>
      <c r="B195" s="5" t="s">
        <v>163</v>
      </c>
      <c r="C195" s="5" t="s">
        <v>56</v>
      </c>
      <c r="D195" s="6">
        <v>1.0</v>
      </c>
      <c r="E195" s="6">
        <v>4.0</v>
      </c>
      <c r="F195" s="6">
        <v>5.0</v>
      </c>
      <c r="G195" s="6">
        <v>2.0</v>
      </c>
      <c r="H195" s="6">
        <v>87067.0</v>
      </c>
      <c r="I195" s="6">
        <v>0.9822</v>
      </c>
      <c r="J195" s="6">
        <v>1.0</v>
      </c>
      <c r="K195" s="6">
        <v>1.0</v>
      </c>
      <c r="L195" s="6">
        <v>1.0</v>
      </c>
      <c r="M195" s="6">
        <v>0.9822</v>
      </c>
    </row>
    <row r="196">
      <c r="A196" s="5" t="s">
        <v>375</v>
      </c>
      <c r="B196" s="5" t="s">
        <v>163</v>
      </c>
      <c r="C196" s="5" t="s">
        <v>56</v>
      </c>
      <c r="D196" s="6">
        <v>1.0</v>
      </c>
      <c r="E196" s="6">
        <v>5.0</v>
      </c>
      <c r="F196" s="6">
        <v>5.0</v>
      </c>
      <c r="G196" s="6">
        <v>2.0</v>
      </c>
      <c r="H196" s="6">
        <v>87067.0</v>
      </c>
      <c r="I196" s="6">
        <v>1.0</v>
      </c>
      <c r="J196" s="6">
        <v>1.0</v>
      </c>
      <c r="K196" s="6">
        <v>1.0</v>
      </c>
      <c r="L196" s="6">
        <v>1.0</v>
      </c>
      <c r="M196" s="6">
        <v>1.0</v>
      </c>
    </row>
    <row r="197">
      <c r="A197" s="5" t="s">
        <v>375</v>
      </c>
      <c r="B197" s="5" t="s">
        <v>1867</v>
      </c>
      <c r="C197" s="5" t="s">
        <v>56</v>
      </c>
      <c r="D197" s="6">
        <v>1.0</v>
      </c>
      <c r="E197" s="6">
        <v>1.0</v>
      </c>
      <c r="F197" s="6">
        <v>5.0</v>
      </c>
      <c r="G197" s="6">
        <v>2.0</v>
      </c>
      <c r="H197" s="6">
        <v>63425.0</v>
      </c>
      <c r="I197" s="6">
        <v>0.2394</v>
      </c>
      <c r="J197" s="6">
        <v>0.1151</v>
      </c>
      <c r="K197" s="6">
        <v>0.0</v>
      </c>
      <c r="L197" s="6">
        <v>0.3805</v>
      </c>
      <c r="M197" s="6">
        <v>0.2394</v>
      </c>
    </row>
    <row r="198">
      <c r="A198" s="5" t="s">
        <v>375</v>
      </c>
      <c r="B198" s="5" t="s">
        <v>1867</v>
      </c>
      <c r="C198" s="5" t="s">
        <v>56</v>
      </c>
      <c r="D198" s="6">
        <v>1.0</v>
      </c>
      <c r="E198" s="6">
        <v>2.0</v>
      </c>
      <c r="F198" s="6">
        <v>5.0</v>
      </c>
      <c r="G198" s="6">
        <v>2.0</v>
      </c>
      <c r="H198" s="6">
        <v>63425.0</v>
      </c>
      <c r="I198" s="6">
        <v>0.4924</v>
      </c>
      <c r="J198" s="6">
        <v>0.4899</v>
      </c>
      <c r="K198" s="6">
        <v>0.1659</v>
      </c>
      <c r="L198" s="6">
        <v>0.8073</v>
      </c>
      <c r="M198" s="6">
        <v>0.4924</v>
      </c>
    </row>
    <row r="199">
      <c r="A199" s="5" t="s">
        <v>375</v>
      </c>
      <c r="B199" s="5" t="s">
        <v>1867</v>
      </c>
      <c r="C199" s="5" t="s">
        <v>56</v>
      </c>
      <c r="D199" s="6">
        <v>1.0</v>
      </c>
      <c r="E199" s="6">
        <v>3.0</v>
      </c>
      <c r="F199" s="6">
        <v>5.0</v>
      </c>
      <c r="G199" s="6">
        <v>2.0</v>
      </c>
      <c r="H199" s="6">
        <v>63425.0</v>
      </c>
      <c r="I199" s="6">
        <v>0.74</v>
      </c>
      <c r="J199" s="6">
        <v>0.8595</v>
      </c>
      <c r="K199" s="6">
        <v>0.5805</v>
      </c>
      <c r="L199" s="6">
        <v>1.0</v>
      </c>
      <c r="M199" s="6">
        <v>0.7401</v>
      </c>
    </row>
    <row r="200">
      <c r="A200" s="5" t="s">
        <v>375</v>
      </c>
      <c r="B200" s="5" t="s">
        <v>1867</v>
      </c>
      <c r="C200" s="5" t="s">
        <v>56</v>
      </c>
      <c r="D200" s="6">
        <v>1.0</v>
      </c>
      <c r="E200" s="6">
        <v>4.0</v>
      </c>
      <c r="F200" s="6">
        <v>5.0</v>
      </c>
      <c r="G200" s="6">
        <v>2.0</v>
      </c>
      <c r="H200" s="6">
        <v>63425.0</v>
      </c>
      <c r="I200" s="6">
        <v>0.9844</v>
      </c>
      <c r="J200" s="6">
        <v>1.0</v>
      </c>
      <c r="K200" s="6">
        <v>1.0</v>
      </c>
      <c r="L200" s="6">
        <v>1.0</v>
      </c>
      <c r="M200" s="6">
        <v>0.9844</v>
      </c>
    </row>
    <row r="201">
      <c r="A201" s="5" t="s">
        <v>375</v>
      </c>
      <c r="B201" s="5" t="s">
        <v>1867</v>
      </c>
      <c r="C201" s="5" t="s">
        <v>56</v>
      </c>
      <c r="D201" s="6">
        <v>1.0</v>
      </c>
      <c r="E201" s="6">
        <v>5.0</v>
      </c>
      <c r="F201" s="6">
        <v>5.0</v>
      </c>
      <c r="G201" s="6">
        <v>2.0</v>
      </c>
      <c r="H201" s="6">
        <v>63425.0</v>
      </c>
      <c r="I201" s="6">
        <v>1.0</v>
      </c>
      <c r="J201" s="6">
        <v>1.0</v>
      </c>
      <c r="K201" s="6">
        <v>1.0</v>
      </c>
      <c r="L201" s="6">
        <v>1.0</v>
      </c>
      <c r="M201" s="6">
        <v>1.0</v>
      </c>
    </row>
    <row r="202">
      <c r="A202" s="5" t="s">
        <v>375</v>
      </c>
      <c r="B202" s="5" t="s">
        <v>163</v>
      </c>
      <c r="C202" s="5" t="s">
        <v>57</v>
      </c>
      <c r="D202" s="6">
        <v>2.0</v>
      </c>
      <c r="E202" s="6">
        <v>1.0</v>
      </c>
      <c r="F202" s="6">
        <v>5.0</v>
      </c>
      <c r="G202" s="6">
        <v>2.0</v>
      </c>
      <c r="H202" s="6">
        <v>67495.0</v>
      </c>
      <c r="I202" s="6">
        <v>0.2436</v>
      </c>
      <c r="J202" s="6">
        <v>0.1531</v>
      </c>
      <c r="K202" s="6">
        <v>0.0</v>
      </c>
      <c r="L202" s="6">
        <v>0.3726</v>
      </c>
      <c r="M202" s="6">
        <v>0.2436</v>
      </c>
    </row>
    <row r="203">
      <c r="A203" s="5" t="s">
        <v>375</v>
      </c>
      <c r="B203" s="5" t="s">
        <v>163</v>
      </c>
      <c r="C203" s="5" t="s">
        <v>57</v>
      </c>
      <c r="D203" s="6">
        <v>2.0</v>
      </c>
      <c r="E203" s="6">
        <v>2.0</v>
      </c>
      <c r="F203" s="6">
        <v>5.0</v>
      </c>
      <c r="G203" s="6">
        <v>2.0</v>
      </c>
      <c r="H203" s="6">
        <v>67495.0</v>
      </c>
      <c r="I203" s="6">
        <v>0.5007</v>
      </c>
      <c r="J203" s="6">
        <v>0.4995</v>
      </c>
      <c r="K203" s="6">
        <v>0.2405</v>
      </c>
      <c r="L203" s="6">
        <v>0.7677</v>
      </c>
      <c r="M203" s="6">
        <v>0.5007</v>
      </c>
    </row>
    <row r="204">
      <c r="A204" s="5" t="s">
        <v>375</v>
      </c>
      <c r="B204" s="5" t="s">
        <v>163</v>
      </c>
      <c r="C204" s="5" t="s">
        <v>57</v>
      </c>
      <c r="D204" s="6">
        <v>2.0</v>
      </c>
      <c r="E204" s="6">
        <v>3.0</v>
      </c>
      <c r="F204" s="6">
        <v>5.0</v>
      </c>
      <c r="G204" s="6">
        <v>2.0</v>
      </c>
      <c r="H204" s="6">
        <v>67495.0</v>
      </c>
      <c r="I204" s="6">
        <v>0.7481</v>
      </c>
      <c r="J204" s="6">
        <v>0.8336</v>
      </c>
      <c r="K204" s="6">
        <v>0.6236</v>
      </c>
      <c r="L204" s="6">
        <v>1.0</v>
      </c>
      <c r="M204" s="6">
        <v>0.7481</v>
      </c>
    </row>
    <row r="205">
      <c r="A205" s="5" t="s">
        <v>375</v>
      </c>
      <c r="B205" s="5" t="s">
        <v>163</v>
      </c>
      <c r="C205" s="5" t="s">
        <v>57</v>
      </c>
      <c r="D205" s="6">
        <v>2.0</v>
      </c>
      <c r="E205" s="6">
        <v>4.0</v>
      </c>
      <c r="F205" s="6">
        <v>5.0</v>
      </c>
      <c r="G205" s="6">
        <v>2.0</v>
      </c>
      <c r="H205" s="6">
        <v>67495.0</v>
      </c>
      <c r="I205" s="6">
        <v>0.986</v>
      </c>
      <c r="J205" s="6">
        <v>1.0</v>
      </c>
      <c r="K205" s="6">
        <v>1.0</v>
      </c>
      <c r="L205" s="6">
        <v>1.0</v>
      </c>
      <c r="M205" s="6">
        <v>0.986</v>
      </c>
    </row>
    <row r="206">
      <c r="A206" s="5" t="s">
        <v>375</v>
      </c>
      <c r="B206" s="5" t="s">
        <v>163</v>
      </c>
      <c r="C206" s="5" t="s">
        <v>57</v>
      </c>
      <c r="D206" s="6">
        <v>2.0</v>
      </c>
      <c r="E206" s="6">
        <v>5.0</v>
      </c>
      <c r="F206" s="6">
        <v>5.0</v>
      </c>
      <c r="G206" s="6">
        <v>2.0</v>
      </c>
      <c r="H206" s="6">
        <v>67495.0</v>
      </c>
      <c r="I206" s="6">
        <v>1.0</v>
      </c>
      <c r="J206" s="6">
        <v>1.0</v>
      </c>
      <c r="K206" s="6">
        <v>1.0</v>
      </c>
      <c r="L206" s="6">
        <v>1.0</v>
      </c>
      <c r="M206" s="6">
        <v>1.0</v>
      </c>
    </row>
    <row r="207">
      <c r="A207" s="5" t="s">
        <v>375</v>
      </c>
      <c r="B207" s="5" t="s">
        <v>1867</v>
      </c>
      <c r="C207" s="5" t="s">
        <v>57</v>
      </c>
      <c r="D207" s="6">
        <v>2.0</v>
      </c>
      <c r="E207" s="6">
        <v>1.0</v>
      </c>
      <c r="F207" s="6">
        <v>5.0</v>
      </c>
      <c r="G207" s="6">
        <v>2.0</v>
      </c>
      <c r="H207" s="6">
        <v>39774.0</v>
      </c>
      <c r="I207" s="6">
        <v>0.2471</v>
      </c>
      <c r="J207" s="6">
        <v>0.1523</v>
      </c>
      <c r="K207" s="6">
        <v>0.0</v>
      </c>
      <c r="L207" s="6">
        <v>0.384</v>
      </c>
      <c r="M207" s="6">
        <v>0.2472</v>
      </c>
    </row>
    <row r="208">
      <c r="A208" s="5" t="s">
        <v>375</v>
      </c>
      <c r="B208" s="5" t="s">
        <v>1867</v>
      </c>
      <c r="C208" s="5" t="s">
        <v>57</v>
      </c>
      <c r="D208" s="6">
        <v>2.0</v>
      </c>
      <c r="E208" s="6">
        <v>2.0</v>
      </c>
      <c r="F208" s="6">
        <v>5.0</v>
      </c>
      <c r="G208" s="6">
        <v>2.0</v>
      </c>
      <c r="H208" s="6">
        <v>39774.0</v>
      </c>
      <c r="I208" s="6">
        <v>0.5066</v>
      </c>
      <c r="J208" s="6">
        <v>0.5132</v>
      </c>
      <c r="K208" s="6">
        <v>0.2322</v>
      </c>
      <c r="L208" s="6">
        <v>0.7883</v>
      </c>
      <c r="M208" s="6">
        <v>0.5066</v>
      </c>
    </row>
    <row r="209">
      <c r="A209" s="5" t="s">
        <v>375</v>
      </c>
      <c r="B209" s="5" t="s">
        <v>1867</v>
      </c>
      <c r="C209" s="5" t="s">
        <v>57</v>
      </c>
      <c r="D209" s="6">
        <v>2.0</v>
      </c>
      <c r="E209" s="6">
        <v>3.0</v>
      </c>
      <c r="F209" s="6">
        <v>5.0</v>
      </c>
      <c r="G209" s="6">
        <v>2.0</v>
      </c>
      <c r="H209" s="6">
        <v>39774.0</v>
      </c>
      <c r="I209" s="6">
        <v>0.7541</v>
      </c>
      <c r="J209" s="6">
        <v>0.8521</v>
      </c>
      <c r="K209" s="6">
        <v>0.6278</v>
      </c>
      <c r="L209" s="6">
        <v>0.9998</v>
      </c>
      <c r="M209" s="6">
        <v>0.754</v>
      </c>
    </row>
    <row r="210">
      <c r="A210" s="5" t="s">
        <v>375</v>
      </c>
      <c r="B210" s="5" t="s">
        <v>1867</v>
      </c>
      <c r="C210" s="5" t="s">
        <v>57</v>
      </c>
      <c r="D210" s="6">
        <v>2.0</v>
      </c>
      <c r="E210" s="6">
        <v>4.0</v>
      </c>
      <c r="F210" s="6">
        <v>5.0</v>
      </c>
      <c r="G210" s="6">
        <v>2.0</v>
      </c>
      <c r="H210" s="6">
        <v>39774.0</v>
      </c>
      <c r="I210" s="6">
        <v>0.9867</v>
      </c>
      <c r="J210" s="6">
        <v>1.0</v>
      </c>
      <c r="K210" s="6">
        <v>1.0</v>
      </c>
      <c r="L210" s="6">
        <v>1.0</v>
      </c>
      <c r="M210" s="6">
        <v>0.9867</v>
      </c>
    </row>
    <row r="211">
      <c r="A211" s="5" t="s">
        <v>375</v>
      </c>
      <c r="B211" s="5" t="s">
        <v>1867</v>
      </c>
      <c r="C211" s="5" t="s">
        <v>57</v>
      </c>
      <c r="D211" s="6">
        <v>2.0</v>
      </c>
      <c r="E211" s="6">
        <v>5.0</v>
      </c>
      <c r="F211" s="6">
        <v>5.0</v>
      </c>
      <c r="G211" s="6">
        <v>2.0</v>
      </c>
      <c r="H211" s="6">
        <v>39774.0</v>
      </c>
      <c r="I211" s="6">
        <v>1.0</v>
      </c>
      <c r="J211" s="6">
        <v>1.0</v>
      </c>
      <c r="K211" s="6">
        <v>1.0</v>
      </c>
      <c r="L211" s="6">
        <v>1.0</v>
      </c>
      <c r="M211" s="6">
        <v>1.0</v>
      </c>
    </row>
    <row r="212">
      <c r="A212" s="5" t="s">
        <v>375</v>
      </c>
      <c r="B212" s="5" t="s">
        <v>163</v>
      </c>
      <c r="C212" s="5" t="s">
        <v>58</v>
      </c>
      <c r="D212" s="6">
        <v>3.0</v>
      </c>
      <c r="E212" s="6">
        <v>1.0</v>
      </c>
      <c r="F212" s="6">
        <v>5.0</v>
      </c>
      <c r="G212" s="6">
        <v>2.0</v>
      </c>
      <c r="H212" s="6">
        <v>42405.0</v>
      </c>
      <c r="I212" s="6">
        <v>0.2557</v>
      </c>
      <c r="J212" s="6">
        <v>0.1926</v>
      </c>
      <c r="K212" s="6">
        <v>8.0E-4</v>
      </c>
      <c r="L212" s="6">
        <v>0.3804</v>
      </c>
      <c r="M212" s="6">
        <v>0.2557</v>
      </c>
    </row>
    <row r="213">
      <c r="A213" s="5" t="s">
        <v>375</v>
      </c>
      <c r="B213" s="5" t="s">
        <v>163</v>
      </c>
      <c r="C213" s="5" t="s">
        <v>58</v>
      </c>
      <c r="D213" s="6">
        <v>3.0</v>
      </c>
      <c r="E213" s="6">
        <v>2.0</v>
      </c>
      <c r="F213" s="6">
        <v>5.0</v>
      </c>
      <c r="G213" s="6">
        <v>2.0</v>
      </c>
      <c r="H213" s="6">
        <v>42405.0</v>
      </c>
      <c r="I213" s="6">
        <v>0.5202</v>
      </c>
      <c r="J213" s="6">
        <v>0.5302</v>
      </c>
      <c r="K213" s="6">
        <v>0.2995</v>
      </c>
      <c r="L213" s="6">
        <v>0.7646</v>
      </c>
      <c r="M213" s="6">
        <v>0.52</v>
      </c>
    </row>
    <row r="214">
      <c r="A214" s="5" t="s">
        <v>375</v>
      </c>
      <c r="B214" s="5" t="s">
        <v>163</v>
      </c>
      <c r="C214" s="5" t="s">
        <v>58</v>
      </c>
      <c r="D214" s="6">
        <v>3.0</v>
      </c>
      <c r="E214" s="6">
        <v>3.0</v>
      </c>
      <c r="F214" s="6">
        <v>5.0</v>
      </c>
      <c r="G214" s="6">
        <v>2.0</v>
      </c>
      <c r="H214" s="6">
        <v>42405.0</v>
      </c>
      <c r="I214" s="6">
        <v>0.7644</v>
      </c>
      <c r="J214" s="6">
        <v>0.8381</v>
      </c>
      <c r="K214" s="6">
        <v>0.6609</v>
      </c>
      <c r="L214" s="6">
        <v>0.9988</v>
      </c>
      <c r="M214" s="6">
        <v>0.7643</v>
      </c>
    </row>
    <row r="215">
      <c r="A215" s="5" t="s">
        <v>375</v>
      </c>
      <c r="B215" s="5" t="s">
        <v>163</v>
      </c>
      <c r="C215" s="5" t="s">
        <v>58</v>
      </c>
      <c r="D215" s="6">
        <v>3.0</v>
      </c>
      <c r="E215" s="6">
        <v>4.0</v>
      </c>
      <c r="F215" s="6">
        <v>5.0</v>
      </c>
      <c r="G215" s="6">
        <v>2.0</v>
      </c>
      <c r="H215" s="6">
        <v>42405.0</v>
      </c>
      <c r="I215" s="6">
        <v>0.9879</v>
      </c>
      <c r="J215" s="6">
        <v>1.0</v>
      </c>
      <c r="K215" s="6">
        <v>1.0</v>
      </c>
      <c r="L215" s="6">
        <v>1.0</v>
      </c>
      <c r="M215" s="6">
        <v>0.9879</v>
      </c>
    </row>
    <row r="216">
      <c r="A216" s="5" t="s">
        <v>375</v>
      </c>
      <c r="B216" s="5" t="s">
        <v>163</v>
      </c>
      <c r="C216" s="5" t="s">
        <v>58</v>
      </c>
      <c r="D216" s="6">
        <v>3.0</v>
      </c>
      <c r="E216" s="6">
        <v>5.0</v>
      </c>
      <c r="F216" s="6">
        <v>5.0</v>
      </c>
      <c r="G216" s="6">
        <v>2.0</v>
      </c>
      <c r="H216" s="6">
        <v>42405.0</v>
      </c>
      <c r="I216" s="6">
        <v>1.0</v>
      </c>
      <c r="J216" s="6">
        <v>1.0</v>
      </c>
      <c r="K216" s="6">
        <v>1.0</v>
      </c>
      <c r="L216" s="6">
        <v>1.0</v>
      </c>
      <c r="M216" s="6">
        <v>1.0</v>
      </c>
    </row>
    <row r="217">
      <c r="A217" s="5" t="s">
        <v>375</v>
      </c>
      <c r="B217" s="5" t="s">
        <v>1867</v>
      </c>
      <c r="C217" s="5" t="s">
        <v>58</v>
      </c>
      <c r="D217" s="6">
        <v>3.0</v>
      </c>
      <c r="E217" s="6">
        <v>1.0</v>
      </c>
      <c r="F217" s="6">
        <v>5.0</v>
      </c>
      <c r="G217" s="6">
        <v>2.0</v>
      </c>
      <c r="H217" s="6">
        <v>23747.0</v>
      </c>
      <c r="I217" s="6">
        <v>0.2582</v>
      </c>
      <c r="J217" s="6">
        <v>0.1723</v>
      </c>
      <c r="K217" s="6">
        <v>0.0</v>
      </c>
      <c r="L217" s="6">
        <v>0.3995</v>
      </c>
      <c r="M217" s="6">
        <v>0.2583</v>
      </c>
    </row>
    <row r="218">
      <c r="A218" s="5" t="s">
        <v>375</v>
      </c>
      <c r="B218" s="5" t="s">
        <v>1867</v>
      </c>
      <c r="C218" s="5" t="s">
        <v>58</v>
      </c>
      <c r="D218" s="6">
        <v>3.0</v>
      </c>
      <c r="E218" s="6">
        <v>2.0</v>
      </c>
      <c r="F218" s="6">
        <v>5.0</v>
      </c>
      <c r="G218" s="6">
        <v>2.0</v>
      </c>
      <c r="H218" s="6">
        <v>23747.0</v>
      </c>
      <c r="I218" s="6">
        <v>0.5247</v>
      </c>
      <c r="J218" s="6">
        <v>0.5423</v>
      </c>
      <c r="K218" s="6">
        <v>0.2679</v>
      </c>
      <c r="L218" s="6">
        <v>0.808</v>
      </c>
      <c r="M218" s="6">
        <v>0.5246</v>
      </c>
    </row>
    <row r="219">
      <c r="A219" s="5" t="s">
        <v>375</v>
      </c>
      <c r="B219" s="5" t="s">
        <v>1867</v>
      </c>
      <c r="C219" s="5" t="s">
        <v>58</v>
      </c>
      <c r="D219" s="6">
        <v>3.0</v>
      </c>
      <c r="E219" s="6">
        <v>3.0</v>
      </c>
      <c r="F219" s="6">
        <v>5.0</v>
      </c>
      <c r="G219" s="6">
        <v>2.0</v>
      </c>
      <c r="H219" s="6">
        <v>23747.0</v>
      </c>
      <c r="I219" s="6">
        <v>0.7641</v>
      </c>
      <c r="J219" s="6">
        <v>0.8588</v>
      </c>
      <c r="K219" s="6">
        <v>0.6555</v>
      </c>
      <c r="L219" s="6">
        <v>0.9998</v>
      </c>
      <c r="M219" s="6">
        <v>0.764</v>
      </c>
    </row>
    <row r="220">
      <c r="A220" s="5" t="s">
        <v>375</v>
      </c>
      <c r="B220" s="5" t="s">
        <v>1867</v>
      </c>
      <c r="C220" s="5" t="s">
        <v>58</v>
      </c>
      <c r="D220" s="6">
        <v>3.0</v>
      </c>
      <c r="E220" s="6">
        <v>4.0</v>
      </c>
      <c r="F220" s="6">
        <v>5.0</v>
      </c>
      <c r="G220" s="6">
        <v>2.0</v>
      </c>
      <c r="H220" s="6">
        <v>23747.0</v>
      </c>
      <c r="I220" s="6">
        <v>0.9874</v>
      </c>
      <c r="J220" s="6">
        <v>1.0</v>
      </c>
      <c r="K220" s="6">
        <v>1.0</v>
      </c>
      <c r="L220" s="6">
        <v>1.0</v>
      </c>
      <c r="M220" s="6">
        <v>0.9874</v>
      </c>
    </row>
    <row r="221">
      <c r="A221" s="5" t="s">
        <v>375</v>
      </c>
      <c r="B221" s="5" t="s">
        <v>1867</v>
      </c>
      <c r="C221" s="5" t="s">
        <v>58</v>
      </c>
      <c r="D221" s="6">
        <v>3.0</v>
      </c>
      <c r="E221" s="6">
        <v>5.0</v>
      </c>
      <c r="F221" s="6">
        <v>5.0</v>
      </c>
      <c r="G221" s="6">
        <v>2.0</v>
      </c>
      <c r="H221" s="6">
        <v>23747.0</v>
      </c>
      <c r="I221" s="6">
        <v>1.0</v>
      </c>
      <c r="J221" s="6">
        <v>1.0</v>
      </c>
      <c r="K221" s="6">
        <v>1.0</v>
      </c>
      <c r="L221" s="6">
        <v>1.0</v>
      </c>
      <c r="M221" s="6">
        <v>1.0</v>
      </c>
    </row>
    <row r="222">
      <c r="A222" s="5" t="s">
        <v>375</v>
      </c>
      <c r="B222" s="5" t="s">
        <v>163</v>
      </c>
      <c r="C222" s="5" t="s">
        <v>59</v>
      </c>
      <c r="D222" s="6">
        <v>4.0</v>
      </c>
      <c r="E222" s="6">
        <v>1.0</v>
      </c>
      <c r="F222" s="6">
        <v>5.0</v>
      </c>
      <c r="G222" s="6">
        <v>2.0</v>
      </c>
      <c r="H222" s="6">
        <v>19670.0</v>
      </c>
      <c r="I222" s="6">
        <v>0.3132</v>
      </c>
      <c r="J222" s="6">
        <v>0.2743</v>
      </c>
      <c r="K222" s="6">
        <v>0.0335</v>
      </c>
      <c r="L222" s="6">
        <v>0.4682</v>
      </c>
      <c r="M222" s="6">
        <v>0.3132</v>
      </c>
    </row>
    <row r="223">
      <c r="A223" s="5" t="s">
        <v>375</v>
      </c>
      <c r="B223" s="5" t="s">
        <v>163</v>
      </c>
      <c r="C223" s="5" t="s">
        <v>59</v>
      </c>
      <c r="D223" s="6">
        <v>4.0</v>
      </c>
      <c r="E223" s="6">
        <v>2.0</v>
      </c>
      <c r="F223" s="6">
        <v>5.0</v>
      </c>
      <c r="G223" s="6">
        <v>2.0</v>
      </c>
      <c r="H223" s="6">
        <v>19670.0</v>
      </c>
      <c r="I223" s="6">
        <v>0.5941</v>
      </c>
      <c r="J223" s="6">
        <v>0.6256</v>
      </c>
      <c r="K223" s="6">
        <v>0.3975</v>
      </c>
      <c r="L223" s="6">
        <v>0.8718</v>
      </c>
      <c r="M223" s="6">
        <v>0.5942</v>
      </c>
    </row>
    <row r="224">
      <c r="A224" s="5" t="s">
        <v>375</v>
      </c>
      <c r="B224" s="5" t="s">
        <v>163</v>
      </c>
      <c r="C224" s="5" t="s">
        <v>59</v>
      </c>
      <c r="D224" s="6">
        <v>4.0</v>
      </c>
      <c r="E224" s="6">
        <v>3.0</v>
      </c>
      <c r="F224" s="6">
        <v>5.0</v>
      </c>
      <c r="G224" s="6">
        <v>2.0</v>
      </c>
      <c r="H224" s="6">
        <v>19670.0</v>
      </c>
      <c r="I224" s="6">
        <v>0.8189</v>
      </c>
      <c r="J224" s="6">
        <v>0.9196</v>
      </c>
      <c r="K224" s="6">
        <v>0.7375</v>
      </c>
      <c r="L224" s="6">
        <v>1.0</v>
      </c>
      <c r="M224" s="6">
        <v>0.819</v>
      </c>
    </row>
    <row r="225">
      <c r="A225" s="5" t="s">
        <v>375</v>
      </c>
      <c r="B225" s="5" t="s">
        <v>163</v>
      </c>
      <c r="C225" s="5" t="s">
        <v>59</v>
      </c>
      <c r="D225" s="6">
        <v>4.0</v>
      </c>
      <c r="E225" s="6">
        <v>4.0</v>
      </c>
      <c r="F225" s="6">
        <v>5.0</v>
      </c>
      <c r="G225" s="6">
        <v>2.0</v>
      </c>
      <c r="H225" s="6">
        <v>19670.0</v>
      </c>
      <c r="I225" s="6">
        <v>0.992</v>
      </c>
      <c r="J225" s="6">
        <v>1.0</v>
      </c>
      <c r="K225" s="6">
        <v>1.0</v>
      </c>
      <c r="L225" s="6">
        <v>1.0</v>
      </c>
      <c r="M225" s="6">
        <v>0.992</v>
      </c>
    </row>
    <row r="226">
      <c r="A226" s="5" t="s">
        <v>375</v>
      </c>
      <c r="B226" s="5" t="s">
        <v>163</v>
      </c>
      <c r="C226" s="5" t="s">
        <v>59</v>
      </c>
      <c r="D226" s="6">
        <v>4.0</v>
      </c>
      <c r="E226" s="6">
        <v>5.0</v>
      </c>
      <c r="F226" s="6">
        <v>5.0</v>
      </c>
      <c r="G226" s="6">
        <v>2.0</v>
      </c>
      <c r="H226" s="6">
        <v>19670.0</v>
      </c>
      <c r="I226" s="6">
        <v>1.0</v>
      </c>
      <c r="J226" s="6">
        <v>1.0</v>
      </c>
      <c r="K226" s="6">
        <v>1.0</v>
      </c>
      <c r="L226" s="6">
        <v>1.0</v>
      </c>
      <c r="M226" s="6">
        <v>1.0</v>
      </c>
    </row>
    <row r="227">
      <c r="A227" s="5" t="s">
        <v>375</v>
      </c>
      <c r="B227" s="5" t="s">
        <v>1867</v>
      </c>
      <c r="C227" s="5" t="s">
        <v>59</v>
      </c>
      <c r="D227" s="6">
        <v>4.0</v>
      </c>
      <c r="E227" s="6">
        <v>1.0</v>
      </c>
      <c r="F227" s="6">
        <v>5.0</v>
      </c>
      <c r="G227" s="6">
        <v>2.0</v>
      </c>
      <c r="H227" s="6">
        <v>10461.0</v>
      </c>
      <c r="I227" s="6">
        <v>0.2989</v>
      </c>
      <c r="J227" s="6">
        <v>0.2375</v>
      </c>
      <c r="K227" s="6">
        <v>0.0</v>
      </c>
      <c r="L227" s="6">
        <v>0.4731</v>
      </c>
      <c r="M227" s="6">
        <v>0.299</v>
      </c>
    </row>
    <row r="228">
      <c r="A228" s="5" t="s">
        <v>375</v>
      </c>
      <c r="B228" s="5" t="s">
        <v>1867</v>
      </c>
      <c r="C228" s="5" t="s">
        <v>59</v>
      </c>
      <c r="D228" s="6">
        <v>4.0</v>
      </c>
      <c r="E228" s="6">
        <v>2.0</v>
      </c>
      <c r="F228" s="6">
        <v>5.0</v>
      </c>
      <c r="G228" s="6">
        <v>2.0</v>
      </c>
      <c r="H228" s="6">
        <v>10461.0</v>
      </c>
      <c r="I228" s="6">
        <v>0.5745</v>
      </c>
      <c r="J228" s="6">
        <v>0.6184</v>
      </c>
      <c r="K228" s="6">
        <v>0.3225</v>
      </c>
      <c r="L228" s="6">
        <v>0.9021</v>
      </c>
      <c r="M228" s="6">
        <v>0.5745</v>
      </c>
    </row>
    <row r="229">
      <c r="A229" s="5" t="s">
        <v>375</v>
      </c>
      <c r="B229" s="5" t="s">
        <v>1867</v>
      </c>
      <c r="C229" s="5" t="s">
        <v>59</v>
      </c>
      <c r="D229" s="6">
        <v>4.0</v>
      </c>
      <c r="E229" s="6">
        <v>3.0</v>
      </c>
      <c r="F229" s="6">
        <v>5.0</v>
      </c>
      <c r="G229" s="6">
        <v>2.0</v>
      </c>
      <c r="H229" s="6">
        <v>10461.0</v>
      </c>
      <c r="I229" s="6">
        <v>0.7987</v>
      </c>
      <c r="J229" s="6">
        <v>0.9255</v>
      </c>
      <c r="K229" s="6">
        <v>0.7132</v>
      </c>
      <c r="L229" s="6">
        <v>1.0</v>
      </c>
      <c r="M229" s="6">
        <v>0.7986</v>
      </c>
    </row>
    <row r="230">
      <c r="A230" s="5" t="s">
        <v>375</v>
      </c>
      <c r="B230" s="5" t="s">
        <v>1867</v>
      </c>
      <c r="C230" s="5" t="s">
        <v>59</v>
      </c>
      <c r="D230" s="6">
        <v>4.0</v>
      </c>
      <c r="E230" s="6">
        <v>4.0</v>
      </c>
      <c r="F230" s="6">
        <v>5.0</v>
      </c>
      <c r="G230" s="6">
        <v>2.0</v>
      </c>
      <c r="H230" s="6">
        <v>10461.0</v>
      </c>
      <c r="I230" s="6">
        <v>0.989</v>
      </c>
      <c r="J230" s="6">
        <v>1.0</v>
      </c>
      <c r="K230" s="6">
        <v>1.0</v>
      </c>
      <c r="L230" s="6">
        <v>1.0</v>
      </c>
      <c r="M230" s="6">
        <v>0.989</v>
      </c>
    </row>
    <row r="231">
      <c r="A231" s="5" t="s">
        <v>375</v>
      </c>
      <c r="B231" s="5" t="s">
        <v>1867</v>
      </c>
      <c r="C231" s="5" t="s">
        <v>59</v>
      </c>
      <c r="D231" s="6">
        <v>4.0</v>
      </c>
      <c r="E231" s="6">
        <v>5.0</v>
      </c>
      <c r="F231" s="6">
        <v>5.0</v>
      </c>
      <c r="G231" s="6">
        <v>2.0</v>
      </c>
      <c r="H231" s="6">
        <v>10461.0</v>
      </c>
      <c r="I231" s="6">
        <v>1.0</v>
      </c>
      <c r="J231" s="6">
        <v>1.0</v>
      </c>
      <c r="K231" s="6">
        <v>1.0</v>
      </c>
      <c r="L231" s="6">
        <v>1.0</v>
      </c>
      <c r="M231" s="6">
        <v>1.0</v>
      </c>
    </row>
    <row r="232">
      <c r="A232" s="5" t="s">
        <v>375</v>
      </c>
      <c r="B232" s="5" t="s">
        <v>163</v>
      </c>
      <c r="C232" s="5" t="s">
        <v>60</v>
      </c>
      <c r="D232" s="6">
        <v>5.0</v>
      </c>
      <c r="E232" s="6">
        <v>1.0</v>
      </c>
      <c r="F232" s="6">
        <v>5.0</v>
      </c>
      <c r="G232" s="6">
        <v>2.0</v>
      </c>
      <c r="H232" s="6">
        <v>2900.0</v>
      </c>
      <c r="I232" s="6">
        <v>0.3978</v>
      </c>
      <c r="J232" s="6">
        <v>0.3826</v>
      </c>
      <c r="K232" s="6">
        <v>0.0</v>
      </c>
      <c r="L232" s="6">
        <v>0.7165</v>
      </c>
      <c r="M232" s="6">
        <v>0.3983</v>
      </c>
    </row>
    <row r="233">
      <c r="A233" s="5" t="s">
        <v>375</v>
      </c>
      <c r="B233" s="5" t="s">
        <v>163</v>
      </c>
      <c r="C233" s="5" t="s">
        <v>60</v>
      </c>
      <c r="D233" s="6">
        <v>5.0</v>
      </c>
      <c r="E233" s="6">
        <v>2.0</v>
      </c>
      <c r="F233" s="6">
        <v>5.0</v>
      </c>
      <c r="G233" s="6">
        <v>2.0</v>
      </c>
      <c r="H233" s="6">
        <v>2900.0</v>
      </c>
      <c r="I233" s="6">
        <v>0.674</v>
      </c>
      <c r="J233" s="6">
        <v>0.9559</v>
      </c>
      <c r="K233" s="6">
        <v>0.2574</v>
      </c>
      <c r="L233" s="6">
        <v>1.0</v>
      </c>
      <c r="M233" s="6">
        <v>0.6747</v>
      </c>
    </row>
    <row r="234">
      <c r="A234" s="5" t="s">
        <v>375</v>
      </c>
      <c r="B234" s="5" t="s">
        <v>163</v>
      </c>
      <c r="C234" s="5" t="s">
        <v>60</v>
      </c>
      <c r="D234" s="6">
        <v>5.0</v>
      </c>
      <c r="E234" s="6">
        <v>3.0</v>
      </c>
      <c r="F234" s="6">
        <v>5.0</v>
      </c>
      <c r="G234" s="6">
        <v>2.0</v>
      </c>
      <c r="H234" s="6">
        <v>2900.0</v>
      </c>
      <c r="I234" s="6">
        <v>0.8448</v>
      </c>
      <c r="J234" s="6">
        <v>1.0</v>
      </c>
      <c r="K234" s="6">
        <v>0.9051</v>
      </c>
      <c r="L234" s="6">
        <v>1.0</v>
      </c>
      <c r="M234" s="6">
        <v>0.8453</v>
      </c>
    </row>
    <row r="235">
      <c r="A235" s="5" t="s">
        <v>375</v>
      </c>
      <c r="B235" s="5" t="s">
        <v>163</v>
      </c>
      <c r="C235" s="5" t="s">
        <v>60</v>
      </c>
      <c r="D235" s="6">
        <v>5.0</v>
      </c>
      <c r="E235" s="6">
        <v>4.0</v>
      </c>
      <c r="F235" s="6">
        <v>5.0</v>
      </c>
      <c r="G235" s="6">
        <v>2.0</v>
      </c>
      <c r="H235" s="6">
        <v>2900.0</v>
      </c>
      <c r="I235" s="6">
        <v>0.9895</v>
      </c>
      <c r="J235" s="6">
        <v>1.0</v>
      </c>
      <c r="K235" s="6">
        <v>1.0</v>
      </c>
      <c r="L235" s="6">
        <v>1.0</v>
      </c>
      <c r="M235" s="6">
        <v>0.9896</v>
      </c>
    </row>
    <row r="236">
      <c r="A236" s="5" t="s">
        <v>375</v>
      </c>
      <c r="B236" s="5" t="s">
        <v>163</v>
      </c>
      <c r="C236" s="5" t="s">
        <v>60</v>
      </c>
      <c r="D236" s="6">
        <v>5.0</v>
      </c>
      <c r="E236" s="6">
        <v>5.0</v>
      </c>
      <c r="F236" s="6">
        <v>5.0</v>
      </c>
      <c r="G236" s="6">
        <v>2.0</v>
      </c>
      <c r="H236" s="6">
        <v>2900.0</v>
      </c>
      <c r="I236" s="6">
        <v>1.0</v>
      </c>
      <c r="J236" s="6">
        <v>1.0</v>
      </c>
      <c r="K236" s="6">
        <v>1.0</v>
      </c>
      <c r="L236" s="6">
        <v>1.0</v>
      </c>
      <c r="M236" s="6">
        <v>1.0</v>
      </c>
    </row>
    <row r="237">
      <c r="A237" s="5" t="s">
        <v>375</v>
      </c>
      <c r="B237" s="5" t="s">
        <v>1867</v>
      </c>
      <c r="C237" s="5" t="s">
        <v>60</v>
      </c>
      <c r="D237" s="6">
        <v>5.0</v>
      </c>
      <c r="E237" s="6">
        <v>1.0</v>
      </c>
      <c r="F237" s="6">
        <v>5.0</v>
      </c>
      <c r="G237" s="6">
        <v>2.0</v>
      </c>
      <c r="H237" s="6">
        <v>1497.0</v>
      </c>
      <c r="I237" s="6">
        <v>0.3993</v>
      </c>
      <c r="J237" s="6">
        <v>0.3421</v>
      </c>
      <c r="K237" s="6">
        <v>0.0</v>
      </c>
      <c r="L237" s="6">
        <v>0.754</v>
      </c>
      <c r="M237" s="6">
        <v>0.3995</v>
      </c>
    </row>
    <row r="238">
      <c r="A238" s="5" t="s">
        <v>375</v>
      </c>
      <c r="B238" s="5" t="s">
        <v>1867</v>
      </c>
      <c r="C238" s="5" t="s">
        <v>60</v>
      </c>
      <c r="D238" s="6">
        <v>5.0</v>
      </c>
      <c r="E238" s="6">
        <v>2.0</v>
      </c>
      <c r="F238" s="6">
        <v>5.0</v>
      </c>
      <c r="G238" s="6">
        <v>2.0</v>
      </c>
      <c r="H238" s="6">
        <v>1497.0</v>
      </c>
      <c r="I238" s="6">
        <v>0.6621</v>
      </c>
      <c r="J238" s="6">
        <v>0.9353</v>
      </c>
      <c r="K238" s="6">
        <v>0.2044</v>
      </c>
      <c r="L238" s="6">
        <v>1.0</v>
      </c>
      <c r="M238" s="6">
        <v>0.6623</v>
      </c>
    </row>
    <row r="239">
      <c r="A239" s="5" t="s">
        <v>375</v>
      </c>
      <c r="B239" s="5" t="s">
        <v>1867</v>
      </c>
      <c r="C239" s="5" t="s">
        <v>60</v>
      </c>
      <c r="D239" s="6">
        <v>5.0</v>
      </c>
      <c r="E239" s="6">
        <v>3.0</v>
      </c>
      <c r="F239" s="6">
        <v>5.0</v>
      </c>
      <c r="G239" s="6">
        <v>2.0</v>
      </c>
      <c r="H239" s="6">
        <v>1497.0</v>
      </c>
      <c r="I239" s="6">
        <v>0.8329</v>
      </c>
      <c r="J239" s="6">
        <v>1.0</v>
      </c>
      <c r="K239" s="6">
        <v>0.8775</v>
      </c>
      <c r="L239" s="6">
        <v>1.0</v>
      </c>
      <c r="M239" s="6">
        <v>0.8332</v>
      </c>
    </row>
    <row r="240">
      <c r="A240" s="5" t="s">
        <v>375</v>
      </c>
      <c r="B240" s="5" t="s">
        <v>1867</v>
      </c>
      <c r="C240" s="5" t="s">
        <v>60</v>
      </c>
      <c r="D240" s="6">
        <v>5.0</v>
      </c>
      <c r="E240" s="6">
        <v>4.0</v>
      </c>
      <c r="F240" s="6">
        <v>5.0</v>
      </c>
      <c r="G240" s="6">
        <v>2.0</v>
      </c>
      <c r="H240" s="6">
        <v>1497.0</v>
      </c>
      <c r="I240" s="6">
        <v>0.9891</v>
      </c>
      <c r="J240" s="6">
        <v>1.0</v>
      </c>
      <c r="K240" s="6">
        <v>1.0</v>
      </c>
      <c r="L240" s="6">
        <v>1.0</v>
      </c>
      <c r="M240" s="6">
        <v>0.9893</v>
      </c>
    </row>
    <row r="241">
      <c r="A241" s="5" t="s">
        <v>375</v>
      </c>
      <c r="B241" s="5" t="s">
        <v>1867</v>
      </c>
      <c r="C241" s="5" t="s">
        <v>60</v>
      </c>
      <c r="D241" s="6">
        <v>5.0</v>
      </c>
      <c r="E241" s="6">
        <v>5.0</v>
      </c>
      <c r="F241" s="6">
        <v>5.0</v>
      </c>
      <c r="G241" s="6">
        <v>2.0</v>
      </c>
      <c r="H241" s="6">
        <v>1497.0</v>
      </c>
      <c r="I241" s="6">
        <v>1.0</v>
      </c>
      <c r="J241" s="6">
        <v>1.0</v>
      </c>
      <c r="K241" s="6">
        <v>1.0</v>
      </c>
      <c r="L241" s="6">
        <v>1.0</v>
      </c>
      <c r="M241" s="6">
        <v>1.0</v>
      </c>
    </row>
    <row r="242">
      <c r="A242" s="5" t="s">
        <v>50</v>
      </c>
      <c r="B242" s="5" t="s">
        <v>163</v>
      </c>
      <c r="C242" s="5" t="s">
        <v>56</v>
      </c>
      <c r="D242" s="6">
        <v>1.0</v>
      </c>
      <c r="E242" s="6">
        <v>1.0</v>
      </c>
      <c r="F242" s="6">
        <v>2.0</v>
      </c>
      <c r="G242" s="6">
        <v>5.0</v>
      </c>
      <c r="H242" s="6">
        <v>89972.0</v>
      </c>
      <c r="I242" s="6">
        <v>0.937</v>
      </c>
      <c r="J242" s="6">
        <v>1.0</v>
      </c>
      <c r="K242" s="6">
        <v>1.0</v>
      </c>
      <c r="L242" s="6">
        <v>1.0</v>
      </c>
      <c r="M242" s="6">
        <v>0.9379</v>
      </c>
    </row>
    <row r="243">
      <c r="A243" s="5" t="s">
        <v>50</v>
      </c>
      <c r="B243" s="5" t="s">
        <v>163</v>
      </c>
      <c r="C243" s="5" t="s">
        <v>56</v>
      </c>
      <c r="D243" s="6">
        <v>1.0</v>
      </c>
      <c r="E243" s="6">
        <v>2.0</v>
      </c>
      <c r="F243" s="6">
        <v>2.0</v>
      </c>
      <c r="G243" s="6">
        <v>5.0</v>
      </c>
      <c r="H243" s="6">
        <v>89972.0</v>
      </c>
      <c r="I243" s="6">
        <v>1.0</v>
      </c>
      <c r="J243" s="6">
        <v>1.0</v>
      </c>
      <c r="K243" s="6">
        <v>1.0</v>
      </c>
      <c r="L243" s="6">
        <v>1.0</v>
      </c>
      <c r="M243" s="6">
        <v>1.0</v>
      </c>
    </row>
    <row r="244">
      <c r="A244" s="5" t="s">
        <v>50</v>
      </c>
      <c r="B244" s="5" t="s">
        <v>1867</v>
      </c>
      <c r="C244" s="5" t="s">
        <v>56</v>
      </c>
      <c r="D244" s="6">
        <v>1.0</v>
      </c>
      <c r="E244" s="6">
        <v>1.0</v>
      </c>
      <c r="F244" s="6">
        <v>2.0</v>
      </c>
      <c r="G244" s="6">
        <v>5.0</v>
      </c>
      <c r="H244" s="6">
        <v>64365.0</v>
      </c>
      <c r="I244" s="6">
        <v>0.9369</v>
      </c>
      <c r="J244" s="6">
        <v>1.0</v>
      </c>
      <c r="K244" s="6">
        <v>1.0</v>
      </c>
      <c r="L244" s="6">
        <v>1.0</v>
      </c>
      <c r="M244" s="6">
        <v>0.9377</v>
      </c>
    </row>
    <row r="245">
      <c r="A245" s="5" t="s">
        <v>50</v>
      </c>
      <c r="B245" s="5" t="s">
        <v>1867</v>
      </c>
      <c r="C245" s="5" t="s">
        <v>56</v>
      </c>
      <c r="D245" s="6">
        <v>1.0</v>
      </c>
      <c r="E245" s="6">
        <v>2.0</v>
      </c>
      <c r="F245" s="6">
        <v>2.0</v>
      </c>
      <c r="G245" s="6">
        <v>5.0</v>
      </c>
      <c r="H245" s="6">
        <v>64365.0</v>
      </c>
      <c r="I245" s="6">
        <v>1.0</v>
      </c>
      <c r="J245" s="6">
        <v>1.0</v>
      </c>
      <c r="K245" s="6">
        <v>1.0</v>
      </c>
      <c r="L245" s="6">
        <v>1.0</v>
      </c>
      <c r="M245" s="6">
        <v>1.0</v>
      </c>
    </row>
    <row r="246">
      <c r="A246" s="5" t="s">
        <v>50</v>
      </c>
      <c r="B246" s="5" t="s">
        <v>163</v>
      </c>
      <c r="C246" s="5" t="s">
        <v>57</v>
      </c>
      <c r="D246" s="6">
        <v>2.0</v>
      </c>
      <c r="E246" s="6">
        <v>1.0</v>
      </c>
      <c r="F246" s="6">
        <v>2.0</v>
      </c>
      <c r="G246" s="6">
        <v>5.0</v>
      </c>
      <c r="H246" s="6">
        <v>76386.0</v>
      </c>
      <c r="I246" s="6">
        <v>0.9402</v>
      </c>
      <c r="J246" s="6">
        <v>1.0</v>
      </c>
      <c r="K246" s="6">
        <v>0.9974</v>
      </c>
      <c r="L246" s="6">
        <v>1.0</v>
      </c>
      <c r="M246" s="6">
        <v>0.9422</v>
      </c>
    </row>
    <row r="247">
      <c r="A247" s="5" t="s">
        <v>50</v>
      </c>
      <c r="B247" s="5" t="s">
        <v>163</v>
      </c>
      <c r="C247" s="5" t="s">
        <v>57</v>
      </c>
      <c r="D247" s="6">
        <v>2.0</v>
      </c>
      <c r="E247" s="6">
        <v>2.0</v>
      </c>
      <c r="F247" s="6">
        <v>2.0</v>
      </c>
      <c r="G247" s="6">
        <v>5.0</v>
      </c>
      <c r="H247" s="6">
        <v>76386.0</v>
      </c>
      <c r="I247" s="6">
        <v>1.0</v>
      </c>
      <c r="J247" s="6">
        <v>1.0</v>
      </c>
      <c r="K247" s="6">
        <v>1.0</v>
      </c>
      <c r="L247" s="6">
        <v>1.0</v>
      </c>
      <c r="M247" s="6">
        <v>1.0</v>
      </c>
    </row>
    <row r="248">
      <c r="A248" s="5" t="s">
        <v>50</v>
      </c>
      <c r="B248" s="5" t="s">
        <v>1867</v>
      </c>
      <c r="C248" s="5" t="s">
        <v>57</v>
      </c>
      <c r="D248" s="6">
        <v>2.0</v>
      </c>
      <c r="E248" s="6">
        <v>1.0</v>
      </c>
      <c r="F248" s="6">
        <v>2.0</v>
      </c>
      <c r="G248" s="6">
        <v>5.0</v>
      </c>
      <c r="H248" s="6">
        <v>44440.0</v>
      </c>
      <c r="I248" s="6">
        <v>0.9366</v>
      </c>
      <c r="J248" s="6">
        <v>1.0</v>
      </c>
      <c r="K248" s="6">
        <v>0.9997</v>
      </c>
      <c r="L248" s="6">
        <v>1.0</v>
      </c>
      <c r="M248" s="6">
        <v>0.939</v>
      </c>
    </row>
    <row r="249">
      <c r="A249" s="5" t="s">
        <v>50</v>
      </c>
      <c r="B249" s="5" t="s">
        <v>1867</v>
      </c>
      <c r="C249" s="5" t="s">
        <v>57</v>
      </c>
      <c r="D249" s="6">
        <v>2.0</v>
      </c>
      <c r="E249" s="6">
        <v>2.0</v>
      </c>
      <c r="F249" s="6">
        <v>2.0</v>
      </c>
      <c r="G249" s="6">
        <v>5.0</v>
      </c>
      <c r="H249" s="6">
        <v>44440.0</v>
      </c>
      <c r="I249" s="6">
        <v>1.0</v>
      </c>
      <c r="J249" s="6">
        <v>1.0</v>
      </c>
      <c r="K249" s="6">
        <v>1.0</v>
      </c>
      <c r="L249" s="6">
        <v>1.0</v>
      </c>
      <c r="M249" s="6">
        <v>1.0</v>
      </c>
    </row>
    <row r="250">
      <c r="A250" s="5" t="s">
        <v>50</v>
      </c>
      <c r="B250" s="5" t="s">
        <v>163</v>
      </c>
      <c r="C250" s="5" t="s">
        <v>58</v>
      </c>
      <c r="D250" s="6">
        <v>3.0</v>
      </c>
      <c r="E250" s="6">
        <v>1.0</v>
      </c>
      <c r="F250" s="6">
        <v>2.0</v>
      </c>
      <c r="G250" s="6">
        <v>5.0</v>
      </c>
      <c r="H250" s="6">
        <v>50102.0</v>
      </c>
      <c r="I250" s="6">
        <v>0.9421</v>
      </c>
      <c r="J250" s="6">
        <v>1.0</v>
      </c>
      <c r="K250" s="6">
        <v>0.9764</v>
      </c>
      <c r="L250" s="6">
        <v>1.0</v>
      </c>
      <c r="M250" s="6">
        <v>0.9444</v>
      </c>
    </row>
    <row r="251">
      <c r="A251" s="5" t="s">
        <v>50</v>
      </c>
      <c r="B251" s="5" t="s">
        <v>163</v>
      </c>
      <c r="C251" s="5" t="s">
        <v>58</v>
      </c>
      <c r="D251" s="6">
        <v>3.0</v>
      </c>
      <c r="E251" s="6">
        <v>2.0</v>
      </c>
      <c r="F251" s="6">
        <v>2.0</v>
      </c>
      <c r="G251" s="6">
        <v>5.0</v>
      </c>
      <c r="H251" s="6">
        <v>50102.0</v>
      </c>
      <c r="I251" s="6">
        <v>1.0</v>
      </c>
      <c r="J251" s="6">
        <v>1.0</v>
      </c>
      <c r="K251" s="6">
        <v>1.0</v>
      </c>
      <c r="L251" s="6">
        <v>1.0</v>
      </c>
      <c r="M251" s="6">
        <v>1.0</v>
      </c>
    </row>
    <row r="252">
      <c r="A252" s="5" t="s">
        <v>50</v>
      </c>
      <c r="B252" s="5" t="s">
        <v>1867</v>
      </c>
      <c r="C252" s="5" t="s">
        <v>58</v>
      </c>
      <c r="D252" s="6">
        <v>3.0</v>
      </c>
      <c r="E252" s="6">
        <v>1.0</v>
      </c>
      <c r="F252" s="6">
        <v>2.0</v>
      </c>
      <c r="G252" s="6">
        <v>5.0</v>
      </c>
      <c r="H252" s="6">
        <v>27068.0</v>
      </c>
      <c r="I252" s="6">
        <v>0.9361</v>
      </c>
      <c r="J252" s="6">
        <v>1.0</v>
      </c>
      <c r="K252" s="6">
        <v>0.9842</v>
      </c>
      <c r="L252" s="6">
        <v>1.0</v>
      </c>
      <c r="M252" s="6">
        <v>0.9387</v>
      </c>
    </row>
    <row r="253">
      <c r="A253" s="5" t="s">
        <v>50</v>
      </c>
      <c r="B253" s="5" t="s">
        <v>1867</v>
      </c>
      <c r="C253" s="5" t="s">
        <v>58</v>
      </c>
      <c r="D253" s="6">
        <v>3.0</v>
      </c>
      <c r="E253" s="6">
        <v>2.0</v>
      </c>
      <c r="F253" s="6">
        <v>2.0</v>
      </c>
      <c r="G253" s="6">
        <v>5.0</v>
      </c>
      <c r="H253" s="6">
        <v>27068.0</v>
      </c>
      <c r="I253" s="6">
        <v>1.0</v>
      </c>
      <c r="J253" s="6">
        <v>1.0</v>
      </c>
      <c r="K253" s="6">
        <v>1.0</v>
      </c>
      <c r="L253" s="6">
        <v>1.0</v>
      </c>
      <c r="M253" s="6">
        <v>1.0</v>
      </c>
    </row>
    <row r="254">
      <c r="A254" s="5" t="s">
        <v>50</v>
      </c>
      <c r="B254" s="5" t="s">
        <v>163</v>
      </c>
      <c r="C254" s="5" t="s">
        <v>59</v>
      </c>
      <c r="D254" s="6">
        <v>4.0</v>
      </c>
      <c r="E254" s="6">
        <v>1.0</v>
      </c>
      <c r="F254" s="6">
        <v>2.0</v>
      </c>
      <c r="G254" s="6">
        <v>5.0</v>
      </c>
      <c r="H254" s="6">
        <v>25145.0</v>
      </c>
      <c r="I254" s="6">
        <v>0.9479</v>
      </c>
      <c r="J254" s="6">
        <v>1.0</v>
      </c>
      <c r="K254" s="6">
        <v>0.9752</v>
      </c>
      <c r="L254" s="6">
        <v>1.0</v>
      </c>
      <c r="M254" s="6">
        <v>0.9495</v>
      </c>
    </row>
    <row r="255">
      <c r="A255" s="5" t="s">
        <v>50</v>
      </c>
      <c r="B255" s="5" t="s">
        <v>163</v>
      </c>
      <c r="C255" s="5" t="s">
        <v>59</v>
      </c>
      <c r="D255" s="6">
        <v>4.0</v>
      </c>
      <c r="E255" s="6">
        <v>2.0</v>
      </c>
      <c r="F255" s="6">
        <v>2.0</v>
      </c>
      <c r="G255" s="6">
        <v>5.0</v>
      </c>
      <c r="H255" s="6">
        <v>25145.0</v>
      </c>
      <c r="I255" s="6">
        <v>1.0</v>
      </c>
      <c r="J255" s="6">
        <v>1.0</v>
      </c>
      <c r="K255" s="6">
        <v>1.0</v>
      </c>
      <c r="L255" s="6">
        <v>1.0</v>
      </c>
      <c r="M255" s="6">
        <v>1.0</v>
      </c>
    </row>
    <row r="256">
      <c r="A256" s="5" t="s">
        <v>50</v>
      </c>
      <c r="B256" s="5" t="s">
        <v>1867</v>
      </c>
      <c r="C256" s="5" t="s">
        <v>59</v>
      </c>
      <c r="D256" s="6">
        <v>4.0</v>
      </c>
      <c r="E256" s="6">
        <v>1.0</v>
      </c>
      <c r="F256" s="6">
        <v>2.0</v>
      </c>
      <c r="G256" s="6">
        <v>5.0</v>
      </c>
      <c r="H256" s="6">
        <v>13189.0</v>
      </c>
      <c r="I256" s="6">
        <v>0.939</v>
      </c>
      <c r="J256" s="6">
        <v>1.0</v>
      </c>
      <c r="K256" s="6">
        <v>0.9759</v>
      </c>
      <c r="L256" s="6">
        <v>1.0</v>
      </c>
      <c r="M256" s="6">
        <v>0.9407</v>
      </c>
    </row>
    <row r="257">
      <c r="A257" s="5" t="s">
        <v>50</v>
      </c>
      <c r="B257" s="5" t="s">
        <v>1867</v>
      </c>
      <c r="C257" s="5" t="s">
        <v>59</v>
      </c>
      <c r="D257" s="6">
        <v>4.0</v>
      </c>
      <c r="E257" s="6">
        <v>2.0</v>
      </c>
      <c r="F257" s="6">
        <v>2.0</v>
      </c>
      <c r="G257" s="6">
        <v>5.0</v>
      </c>
      <c r="H257" s="6">
        <v>13189.0</v>
      </c>
      <c r="I257" s="6">
        <v>1.0</v>
      </c>
      <c r="J257" s="6">
        <v>1.0</v>
      </c>
      <c r="K257" s="6">
        <v>1.0</v>
      </c>
      <c r="L257" s="6">
        <v>1.0</v>
      </c>
      <c r="M257" s="6">
        <v>1.0</v>
      </c>
    </row>
    <row r="258">
      <c r="A258" s="5" t="s">
        <v>50</v>
      </c>
      <c r="B258" s="5" t="s">
        <v>163</v>
      </c>
      <c r="C258" s="5" t="s">
        <v>60</v>
      </c>
      <c r="D258" s="6">
        <v>5.0</v>
      </c>
      <c r="E258" s="6">
        <v>1.0</v>
      </c>
      <c r="F258" s="6">
        <v>2.0</v>
      </c>
      <c r="G258" s="6">
        <v>5.0</v>
      </c>
      <c r="H258" s="6">
        <v>4100.0</v>
      </c>
      <c r="I258" s="6">
        <v>0.9534</v>
      </c>
      <c r="J258" s="6">
        <v>1.0</v>
      </c>
      <c r="K258" s="6">
        <v>0.9724</v>
      </c>
      <c r="L258" s="6">
        <v>1.0</v>
      </c>
      <c r="M258" s="6">
        <v>0.9535</v>
      </c>
    </row>
    <row r="259">
      <c r="A259" s="5" t="s">
        <v>50</v>
      </c>
      <c r="B259" s="5" t="s">
        <v>163</v>
      </c>
      <c r="C259" s="5" t="s">
        <v>60</v>
      </c>
      <c r="D259" s="6">
        <v>5.0</v>
      </c>
      <c r="E259" s="6">
        <v>2.0</v>
      </c>
      <c r="F259" s="6">
        <v>2.0</v>
      </c>
      <c r="G259" s="6">
        <v>5.0</v>
      </c>
      <c r="H259" s="6">
        <v>4100.0</v>
      </c>
      <c r="I259" s="6">
        <v>1.0</v>
      </c>
      <c r="J259" s="6">
        <v>1.0</v>
      </c>
      <c r="K259" s="6">
        <v>1.0</v>
      </c>
      <c r="L259" s="6">
        <v>1.0</v>
      </c>
      <c r="M259" s="6">
        <v>1.0</v>
      </c>
    </row>
    <row r="260">
      <c r="A260" s="5" t="s">
        <v>50</v>
      </c>
      <c r="B260" s="5" t="s">
        <v>1867</v>
      </c>
      <c r="C260" s="5" t="s">
        <v>60</v>
      </c>
      <c r="D260" s="6">
        <v>5.0</v>
      </c>
      <c r="E260" s="6">
        <v>1.0</v>
      </c>
      <c r="F260" s="6">
        <v>2.0</v>
      </c>
      <c r="G260" s="6">
        <v>5.0</v>
      </c>
      <c r="H260" s="6">
        <v>2104.0</v>
      </c>
      <c r="I260" s="6">
        <v>0.9432</v>
      </c>
      <c r="J260" s="6">
        <v>1.0</v>
      </c>
      <c r="K260" s="6">
        <v>0.9708</v>
      </c>
      <c r="L260" s="6">
        <v>1.0</v>
      </c>
      <c r="M260" s="6">
        <v>0.9431</v>
      </c>
    </row>
    <row r="261">
      <c r="A261" s="5" t="s">
        <v>50</v>
      </c>
      <c r="B261" s="5" t="s">
        <v>1867</v>
      </c>
      <c r="C261" s="5" t="s">
        <v>60</v>
      </c>
      <c r="D261" s="6">
        <v>5.0</v>
      </c>
      <c r="E261" s="6">
        <v>2.0</v>
      </c>
      <c r="F261" s="6">
        <v>2.0</v>
      </c>
      <c r="G261" s="6">
        <v>5.0</v>
      </c>
      <c r="H261" s="6">
        <v>2104.0</v>
      </c>
      <c r="I261" s="6">
        <v>1.0</v>
      </c>
      <c r="J261" s="6">
        <v>1.0</v>
      </c>
      <c r="K261" s="6">
        <v>1.0</v>
      </c>
      <c r="L261" s="6">
        <v>1.0</v>
      </c>
      <c r="M261" s="6">
        <v>1.0</v>
      </c>
    </row>
    <row r="262">
      <c r="A262" s="5" t="s">
        <v>157</v>
      </c>
      <c r="B262" s="5" t="s">
        <v>163</v>
      </c>
      <c r="C262" s="5" t="s">
        <v>56</v>
      </c>
      <c r="D262" s="6">
        <v>1.0</v>
      </c>
      <c r="E262" s="6">
        <v>1.0</v>
      </c>
      <c r="F262" s="6">
        <v>3.0</v>
      </c>
      <c r="G262" s="6">
        <v>1.0</v>
      </c>
      <c r="H262" s="6">
        <v>1.0</v>
      </c>
      <c r="I262" s="6">
        <v>0.4247</v>
      </c>
      <c r="J262" s="6">
        <v>0.4247</v>
      </c>
      <c r="K262" s="6">
        <v>0.4247</v>
      </c>
      <c r="L262" s="6">
        <v>0.4247</v>
      </c>
      <c r="M262" s="6">
        <v>0.4</v>
      </c>
    </row>
    <row r="263">
      <c r="A263" s="5" t="s">
        <v>157</v>
      </c>
      <c r="B263" s="5" t="s">
        <v>163</v>
      </c>
      <c r="C263" s="5" t="s">
        <v>56</v>
      </c>
      <c r="D263" s="6">
        <v>1.0</v>
      </c>
      <c r="E263" s="6">
        <v>2.0</v>
      </c>
      <c r="F263" s="6">
        <v>3.0</v>
      </c>
      <c r="G263" s="6">
        <v>1.0</v>
      </c>
      <c r="H263" s="6">
        <v>1.0</v>
      </c>
      <c r="I263" s="6">
        <v>1.0</v>
      </c>
      <c r="J263" s="6">
        <v>1.0</v>
      </c>
      <c r="K263" s="6">
        <v>1.0</v>
      </c>
      <c r="L263" s="6">
        <v>1.0</v>
      </c>
      <c r="M263" s="6">
        <v>1.0</v>
      </c>
    </row>
    <row r="264">
      <c r="A264" s="5" t="s">
        <v>157</v>
      </c>
      <c r="B264" s="5" t="s">
        <v>163</v>
      </c>
      <c r="C264" s="5" t="s">
        <v>56</v>
      </c>
      <c r="D264" s="6">
        <v>1.0</v>
      </c>
      <c r="E264" s="6">
        <v>3.0</v>
      </c>
      <c r="F264" s="6">
        <v>3.0</v>
      </c>
      <c r="G264" s="6">
        <v>1.0</v>
      </c>
      <c r="H264" s="6">
        <v>1.0</v>
      </c>
      <c r="I264" s="6">
        <v>1.0</v>
      </c>
      <c r="J264" s="6">
        <v>1.0</v>
      </c>
      <c r="K264" s="6">
        <v>1.0</v>
      </c>
      <c r="L264" s="6">
        <v>1.0</v>
      </c>
      <c r="M264" s="6">
        <v>1.0</v>
      </c>
    </row>
    <row r="265">
      <c r="A265" s="5" t="s">
        <v>157</v>
      </c>
      <c r="B265" s="5" t="s">
        <v>1867</v>
      </c>
      <c r="C265" s="5" t="s">
        <v>57</v>
      </c>
      <c r="D265" s="6">
        <v>2.0</v>
      </c>
      <c r="E265" s="6">
        <v>1.0</v>
      </c>
      <c r="F265" s="6">
        <v>3.0</v>
      </c>
      <c r="G265" s="6">
        <v>1.0</v>
      </c>
      <c r="H265" s="6">
        <v>1.0</v>
      </c>
      <c r="I265" s="6">
        <v>0.725</v>
      </c>
      <c r="J265" s="6">
        <v>0.725</v>
      </c>
      <c r="K265" s="6">
        <v>0.725</v>
      </c>
      <c r="L265" s="6">
        <v>0.725</v>
      </c>
      <c r="M265" s="6">
        <v>0.6842</v>
      </c>
    </row>
    <row r="266">
      <c r="A266" s="5" t="s">
        <v>157</v>
      </c>
      <c r="B266" s="5" t="s">
        <v>1867</v>
      </c>
      <c r="C266" s="5" t="s">
        <v>57</v>
      </c>
      <c r="D266" s="6">
        <v>2.0</v>
      </c>
      <c r="E266" s="6">
        <v>2.0</v>
      </c>
      <c r="F266" s="6">
        <v>3.0</v>
      </c>
      <c r="G266" s="6">
        <v>1.0</v>
      </c>
      <c r="H266" s="6">
        <v>1.0</v>
      </c>
      <c r="I266" s="6">
        <v>1.0</v>
      </c>
      <c r="J266" s="6">
        <v>1.0</v>
      </c>
      <c r="K266" s="6">
        <v>1.0</v>
      </c>
      <c r="L266" s="6">
        <v>1.0</v>
      </c>
      <c r="M266" s="6">
        <v>1.0</v>
      </c>
    </row>
    <row r="267">
      <c r="A267" s="5" t="s">
        <v>157</v>
      </c>
      <c r="B267" s="5" t="s">
        <v>1867</v>
      </c>
      <c r="C267" s="5" t="s">
        <v>57</v>
      </c>
      <c r="D267" s="6">
        <v>2.0</v>
      </c>
      <c r="E267" s="6">
        <v>3.0</v>
      </c>
      <c r="F267" s="6">
        <v>3.0</v>
      </c>
      <c r="G267" s="6">
        <v>1.0</v>
      </c>
      <c r="H267" s="6">
        <v>1.0</v>
      </c>
      <c r="I267" s="6">
        <v>1.0</v>
      </c>
      <c r="J267" s="6">
        <v>1.0</v>
      </c>
      <c r="K267" s="6">
        <v>1.0</v>
      </c>
      <c r="L267" s="6">
        <v>1.0</v>
      </c>
      <c r="M267" s="6">
        <v>1.0</v>
      </c>
    </row>
    <row r="268">
      <c r="A268" s="5" t="s">
        <v>35</v>
      </c>
      <c r="B268" s="5" t="s">
        <v>163</v>
      </c>
      <c r="C268" s="5" t="s">
        <v>56</v>
      </c>
      <c r="D268" s="6">
        <v>1.0</v>
      </c>
      <c r="E268" s="6">
        <v>1.0</v>
      </c>
      <c r="F268" s="6">
        <v>5.0</v>
      </c>
      <c r="G268" s="6">
        <v>1.0</v>
      </c>
      <c r="H268" s="6">
        <v>50256.0</v>
      </c>
      <c r="I268" s="6">
        <v>0.2441</v>
      </c>
      <c r="J268" s="6">
        <v>0.026</v>
      </c>
      <c r="K268" s="6">
        <v>0.0</v>
      </c>
      <c r="L268" s="6">
        <v>0.4045</v>
      </c>
      <c r="M268" s="6">
        <v>0.2441</v>
      </c>
    </row>
    <row r="269">
      <c r="A269" s="5" t="s">
        <v>35</v>
      </c>
      <c r="B269" s="5" t="s">
        <v>163</v>
      </c>
      <c r="C269" s="5" t="s">
        <v>56</v>
      </c>
      <c r="D269" s="6">
        <v>1.0</v>
      </c>
      <c r="E269" s="6">
        <v>2.0</v>
      </c>
      <c r="F269" s="6">
        <v>5.0</v>
      </c>
      <c r="G269" s="6">
        <v>1.0</v>
      </c>
      <c r="H269" s="6">
        <v>50256.0</v>
      </c>
      <c r="I269" s="6">
        <v>0.4842</v>
      </c>
      <c r="J269" s="6">
        <v>0.4723</v>
      </c>
      <c r="K269" s="6">
        <v>0.0225</v>
      </c>
      <c r="L269" s="6">
        <v>0.9409</v>
      </c>
      <c r="M269" s="6">
        <v>0.4841</v>
      </c>
    </row>
    <row r="270">
      <c r="A270" s="5" t="s">
        <v>35</v>
      </c>
      <c r="B270" s="5" t="s">
        <v>163</v>
      </c>
      <c r="C270" s="5" t="s">
        <v>56</v>
      </c>
      <c r="D270" s="6">
        <v>1.0</v>
      </c>
      <c r="E270" s="6">
        <v>3.0</v>
      </c>
      <c r="F270" s="6">
        <v>5.0</v>
      </c>
      <c r="G270" s="6">
        <v>1.0</v>
      </c>
      <c r="H270" s="6">
        <v>50256.0</v>
      </c>
      <c r="I270" s="6">
        <v>0.7286</v>
      </c>
      <c r="J270" s="6">
        <v>0.9179</v>
      </c>
      <c r="K270" s="6">
        <v>0.5292</v>
      </c>
      <c r="L270" s="6">
        <v>1.0</v>
      </c>
      <c r="M270" s="6">
        <v>0.7286</v>
      </c>
    </row>
    <row r="271">
      <c r="A271" s="5" t="s">
        <v>35</v>
      </c>
      <c r="B271" s="5" t="s">
        <v>163</v>
      </c>
      <c r="C271" s="5" t="s">
        <v>56</v>
      </c>
      <c r="D271" s="6">
        <v>1.0</v>
      </c>
      <c r="E271" s="6">
        <v>4.0</v>
      </c>
      <c r="F271" s="6">
        <v>5.0</v>
      </c>
      <c r="G271" s="6">
        <v>1.0</v>
      </c>
      <c r="H271" s="6">
        <v>50256.0</v>
      </c>
      <c r="I271" s="6">
        <v>0.9833</v>
      </c>
      <c r="J271" s="6">
        <v>1.0</v>
      </c>
      <c r="K271" s="6">
        <v>1.0</v>
      </c>
      <c r="L271" s="6">
        <v>1.0</v>
      </c>
      <c r="M271" s="6">
        <v>0.9833</v>
      </c>
    </row>
    <row r="272">
      <c r="A272" s="5" t="s">
        <v>35</v>
      </c>
      <c r="B272" s="5" t="s">
        <v>163</v>
      </c>
      <c r="C272" s="5" t="s">
        <v>56</v>
      </c>
      <c r="D272" s="6">
        <v>1.0</v>
      </c>
      <c r="E272" s="6">
        <v>5.0</v>
      </c>
      <c r="F272" s="6">
        <v>5.0</v>
      </c>
      <c r="G272" s="6">
        <v>1.0</v>
      </c>
      <c r="H272" s="6">
        <v>50256.0</v>
      </c>
      <c r="I272" s="6">
        <v>1.0</v>
      </c>
      <c r="J272" s="6">
        <v>1.0</v>
      </c>
      <c r="K272" s="6">
        <v>1.0</v>
      </c>
      <c r="L272" s="6">
        <v>1.0</v>
      </c>
      <c r="M272" s="6">
        <v>1.0</v>
      </c>
    </row>
    <row r="273">
      <c r="A273" s="5" t="s">
        <v>35</v>
      </c>
      <c r="B273" s="5" t="s">
        <v>1867</v>
      </c>
      <c r="C273" s="5" t="s">
        <v>56</v>
      </c>
      <c r="D273" s="6">
        <v>1.0</v>
      </c>
      <c r="E273" s="6">
        <v>1.0</v>
      </c>
      <c r="F273" s="6">
        <v>5.0</v>
      </c>
      <c r="G273" s="6">
        <v>1.0</v>
      </c>
      <c r="H273" s="6">
        <v>38430.0</v>
      </c>
      <c r="I273" s="6">
        <v>0.2602</v>
      </c>
      <c r="J273" s="6">
        <v>0.0324</v>
      </c>
      <c r="K273" s="6">
        <v>0.0</v>
      </c>
      <c r="L273" s="6">
        <v>0.4615</v>
      </c>
      <c r="M273" s="6">
        <v>0.2603</v>
      </c>
    </row>
    <row r="274">
      <c r="A274" s="5" t="s">
        <v>35</v>
      </c>
      <c r="B274" s="5" t="s">
        <v>1867</v>
      </c>
      <c r="C274" s="5" t="s">
        <v>56</v>
      </c>
      <c r="D274" s="6">
        <v>1.0</v>
      </c>
      <c r="E274" s="6">
        <v>2.0</v>
      </c>
      <c r="F274" s="6">
        <v>5.0</v>
      </c>
      <c r="G274" s="6">
        <v>1.0</v>
      </c>
      <c r="H274" s="6">
        <v>38430.0</v>
      </c>
      <c r="I274" s="6">
        <v>0.5067</v>
      </c>
      <c r="J274" s="6">
        <v>0.5029</v>
      </c>
      <c r="K274" s="6">
        <v>0.0364</v>
      </c>
      <c r="L274" s="6">
        <v>0.9885</v>
      </c>
      <c r="M274" s="6">
        <v>0.5068</v>
      </c>
    </row>
    <row r="275">
      <c r="A275" s="5" t="s">
        <v>35</v>
      </c>
      <c r="B275" s="5" t="s">
        <v>1867</v>
      </c>
      <c r="C275" s="5" t="s">
        <v>56</v>
      </c>
      <c r="D275" s="6">
        <v>1.0</v>
      </c>
      <c r="E275" s="6">
        <v>3.0</v>
      </c>
      <c r="F275" s="6">
        <v>5.0</v>
      </c>
      <c r="G275" s="6">
        <v>1.0</v>
      </c>
      <c r="H275" s="6">
        <v>38430.0</v>
      </c>
      <c r="I275" s="6">
        <v>0.7472</v>
      </c>
      <c r="J275" s="6">
        <v>0.9774</v>
      </c>
      <c r="K275" s="6">
        <v>0.5572</v>
      </c>
      <c r="L275" s="6">
        <v>1.0</v>
      </c>
      <c r="M275" s="6">
        <v>0.7472</v>
      </c>
    </row>
    <row r="276">
      <c r="A276" s="5" t="s">
        <v>35</v>
      </c>
      <c r="B276" s="5" t="s">
        <v>1867</v>
      </c>
      <c r="C276" s="5" t="s">
        <v>56</v>
      </c>
      <c r="D276" s="6">
        <v>1.0</v>
      </c>
      <c r="E276" s="6">
        <v>4.0</v>
      </c>
      <c r="F276" s="6">
        <v>5.0</v>
      </c>
      <c r="G276" s="6">
        <v>1.0</v>
      </c>
      <c r="H276" s="6">
        <v>38430.0</v>
      </c>
      <c r="I276" s="6">
        <v>0.9847</v>
      </c>
      <c r="J276" s="6">
        <v>1.0</v>
      </c>
      <c r="K276" s="6">
        <v>1.0</v>
      </c>
      <c r="L276" s="6">
        <v>1.0</v>
      </c>
      <c r="M276" s="6">
        <v>0.9846</v>
      </c>
    </row>
    <row r="277">
      <c r="A277" s="5" t="s">
        <v>35</v>
      </c>
      <c r="B277" s="5" t="s">
        <v>1867</v>
      </c>
      <c r="C277" s="5" t="s">
        <v>56</v>
      </c>
      <c r="D277" s="6">
        <v>1.0</v>
      </c>
      <c r="E277" s="6">
        <v>5.0</v>
      </c>
      <c r="F277" s="6">
        <v>5.0</v>
      </c>
      <c r="G277" s="6">
        <v>1.0</v>
      </c>
      <c r="H277" s="6">
        <v>38430.0</v>
      </c>
      <c r="I277" s="6">
        <v>1.0</v>
      </c>
      <c r="J277" s="6">
        <v>1.0</v>
      </c>
      <c r="K277" s="6">
        <v>1.0</v>
      </c>
      <c r="L277" s="6">
        <v>1.0</v>
      </c>
      <c r="M277" s="6">
        <v>1.0</v>
      </c>
    </row>
    <row r="278">
      <c r="A278" s="5" t="s">
        <v>35</v>
      </c>
      <c r="B278" s="5" t="s">
        <v>163</v>
      </c>
      <c r="C278" s="5" t="s">
        <v>57</v>
      </c>
      <c r="D278" s="6">
        <v>2.0</v>
      </c>
      <c r="E278" s="6">
        <v>1.0</v>
      </c>
      <c r="F278" s="6">
        <v>5.0</v>
      </c>
      <c r="G278" s="6">
        <v>1.0</v>
      </c>
      <c r="H278" s="6">
        <v>40636.0</v>
      </c>
      <c r="I278" s="6">
        <v>0.2704</v>
      </c>
      <c r="J278" s="6">
        <v>0.1574</v>
      </c>
      <c r="K278" s="6">
        <v>0.0</v>
      </c>
      <c r="L278" s="6">
        <v>0.4349</v>
      </c>
      <c r="M278" s="6">
        <v>0.2703</v>
      </c>
    </row>
    <row r="279">
      <c r="A279" s="5" t="s">
        <v>35</v>
      </c>
      <c r="B279" s="5" t="s">
        <v>163</v>
      </c>
      <c r="C279" s="5" t="s">
        <v>57</v>
      </c>
      <c r="D279" s="6">
        <v>2.0</v>
      </c>
      <c r="E279" s="6">
        <v>2.0</v>
      </c>
      <c r="F279" s="6">
        <v>5.0</v>
      </c>
      <c r="G279" s="6">
        <v>1.0</v>
      </c>
      <c r="H279" s="6">
        <v>40636.0</v>
      </c>
      <c r="I279" s="6">
        <v>0.5124</v>
      </c>
      <c r="J279" s="6">
        <v>0.5105</v>
      </c>
      <c r="K279" s="6">
        <v>0.2074</v>
      </c>
      <c r="L279" s="6">
        <v>0.8405</v>
      </c>
      <c r="M279" s="6">
        <v>0.5123</v>
      </c>
    </row>
    <row r="280">
      <c r="A280" s="5" t="s">
        <v>35</v>
      </c>
      <c r="B280" s="5" t="s">
        <v>163</v>
      </c>
      <c r="C280" s="5" t="s">
        <v>57</v>
      </c>
      <c r="D280" s="6">
        <v>2.0</v>
      </c>
      <c r="E280" s="6">
        <v>3.0</v>
      </c>
      <c r="F280" s="6">
        <v>5.0</v>
      </c>
      <c r="G280" s="6">
        <v>1.0</v>
      </c>
      <c r="H280" s="6">
        <v>40636.0</v>
      </c>
      <c r="I280" s="6">
        <v>0.7468</v>
      </c>
      <c r="J280" s="6">
        <v>0.8593</v>
      </c>
      <c r="K280" s="6">
        <v>0.5945</v>
      </c>
      <c r="L280" s="6">
        <v>1.0</v>
      </c>
      <c r="M280" s="6">
        <v>0.7467</v>
      </c>
    </row>
    <row r="281">
      <c r="A281" s="5" t="s">
        <v>35</v>
      </c>
      <c r="B281" s="5" t="s">
        <v>163</v>
      </c>
      <c r="C281" s="5" t="s">
        <v>57</v>
      </c>
      <c r="D281" s="6">
        <v>2.0</v>
      </c>
      <c r="E281" s="6">
        <v>4.0</v>
      </c>
      <c r="F281" s="6">
        <v>5.0</v>
      </c>
      <c r="G281" s="6">
        <v>1.0</v>
      </c>
      <c r="H281" s="6">
        <v>40636.0</v>
      </c>
      <c r="I281" s="6">
        <v>0.9869</v>
      </c>
      <c r="J281" s="6">
        <v>1.0</v>
      </c>
      <c r="K281" s="6">
        <v>1.0</v>
      </c>
      <c r="L281" s="6">
        <v>1.0</v>
      </c>
      <c r="M281" s="6">
        <v>0.9868</v>
      </c>
    </row>
    <row r="282">
      <c r="A282" s="5" t="s">
        <v>35</v>
      </c>
      <c r="B282" s="5" t="s">
        <v>163</v>
      </c>
      <c r="C282" s="5" t="s">
        <v>57</v>
      </c>
      <c r="D282" s="6">
        <v>2.0</v>
      </c>
      <c r="E282" s="6">
        <v>5.0</v>
      </c>
      <c r="F282" s="6">
        <v>5.0</v>
      </c>
      <c r="G282" s="6">
        <v>1.0</v>
      </c>
      <c r="H282" s="6">
        <v>40636.0</v>
      </c>
      <c r="I282" s="6">
        <v>1.0</v>
      </c>
      <c r="J282" s="6">
        <v>1.0</v>
      </c>
      <c r="K282" s="6">
        <v>1.0</v>
      </c>
      <c r="L282" s="6">
        <v>1.0</v>
      </c>
      <c r="M282" s="6">
        <v>1.0</v>
      </c>
    </row>
    <row r="283">
      <c r="A283" s="5" t="s">
        <v>35</v>
      </c>
      <c r="B283" s="5" t="s">
        <v>1867</v>
      </c>
      <c r="C283" s="5" t="s">
        <v>57</v>
      </c>
      <c r="D283" s="6">
        <v>2.0</v>
      </c>
      <c r="E283" s="6">
        <v>1.0</v>
      </c>
      <c r="F283" s="6">
        <v>5.0</v>
      </c>
      <c r="G283" s="6">
        <v>1.0</v>
      </c>
      <c r="H283" s="6">
        <v>22994.0</v>
      </c>
      <c r="I283" s="6">
        <v>0.2758</v>
      </c>
      <c r="J283" s="6">
        <v>0.1429</v>
      </c>
      <c r="K283" s="6">
        <v>0.0</v>
      </c>
      <c r="L283" s="6">
        <v>0.4604</v>
      </c>
      <c r="M283" s="6">
        <v>0.2758</v>
      </c>
    </row>
    <row r="284">
      <c r="A284" s="5" t="s">
        <v>35</v>
      </c>
      <c r="B284" s="5" t="s">
        <v>1867</v>
      </c>
      <c r="C284" s="5" t="s">
        <v>57</v>
      </c>
      <c r="D284" s="6">
        <v>2.0</v>
      </c>
      <c r="E284" s="6">
        <v>2.0</v>
      </c>
      <c r="F284" s="6">
        <v>5.0</v>
      </c>
      <c r="G284" s="6">
        <v>1.0</v>
      </c>
      <c r="H284" s="6">
        <v>22994.0</v>
      </c>
      <c r="I284" s="6">
        <v>0.5213</v>
      </c>
      <c r="J284" s="6">
        <v>0.5255</v>
      </c>
      <c r="K284" s="6">
        <v>0.191</v>
      </c>
      <c r="L284" s="6">
        <v>0.887</v>
      </c>
      <c r="M284" s="6">
        <v>0.5212</v>
      </c>
    </row>
    <row r="285">
      <c r="A285" s="5" t="s">
        <v>35</v>
      </c>
      <c r="B285" s="5" t="s">
        <v>1867</v>
      </c>
      <c r="C285" s="5" t="s">
        <v>57</v>
      </c>
      <c r="D285" s="6">
        <v>2.0</v>
      </c>
      <c r="E285" s="6">
        <v>3.0</v>
      </c>
      <c r="F285" s="6">
        <v>5.0</v>
      </c>
      <c r="G285" s="6">
        <v>1.0</v>
      </c>
      <c r="H285" s="6">
        <v>22994.0</v>
      </c>
      <c r="I285" s="6">
        <v>0.7559</v>
      </c>
      <c r="J285" s="6">
        <v>0.8962</v>
      </c>
      <c r="K285" s="6">
        <v>0.6029</v>
      </c>
      <c r="L285" s="6">
        <v>1.0</v>
      </c>
      <c r="M285" s="6">
        <v>0.7558</v>
      </c>
    </row>
    <row r="286">
      <c r="A286" s="5" t="s">
        <v>35</v>
      </c>
      <c r="B286" s="5" t="s">
        <v>1867</v>
      </c>
      <c r="C286" s="5" t="s">
        <v>57</v>
      </c>
      <c r="D286" s="6">
        <v>2.0</v>
      </c>
      <c r="E286" s="6">
        <v>4.0</v>
      </c>
      <c r="F286" s="6">
        <v>5.0</v>
      </c>
      <c r="G286" s="6">
        <v>1.0</v>
      </c>
      <c r="H286" s="6">
        <v>22994.0</v>
      </c>
      <c r="I286" s="6">
        <v>0.9865</v>
      </c>
      <c r="J286" s="6">
        <v>1.0</v>
      </c>
      <c r="K286" s="6">
        <v>1.0</v>
      </c>
      <c r="L286" s="6">
        <v>1.0</v>
      </c>
      <c r="M286" s="6">
        <v>0.9865</v>
      </c>
    </row>
    <row r="287">
      <c r="A287" s="5" t="s">
        <v>35</v>
      </c>
      <c r="B287" s="5" t="s">
        <v>1867</v>
      </c>
      <c r="C287" s="5" t="s">
        <v>57</v>
      </c>
      <c r="D287" s="6">
        <v>2.0</v>
      </c>
      <c r="E287" s="6">
        <v>5.0</v>
      </c>
      <c r="F287" s="6">
        <v>5.0</v>
      </c>
      <c r="G287" s="6">
        <v>1.0</v>
      </c>
      <c r="H287" s="6">
        <v>22994.0</v>
      </c>
      <c r="I287" s="6">
        <v>1.0</v>
      </c>
      <c r="J287" s="6">
        <v>1.0</v>
      </c>
      <c r="K287" s="6">
        <v>1.0</v>
      </c>
      <c r="L287" s="6">
        <v>1.0</v>
      </c>
      <c r="M287" s="6">
        <v>1.0</v>
      </c>
    </row>
    <row r="288">
      <c r="A288" s="5" t="s">
        <v>35</v>
      </c>
      <c r="B288" s="5" t="s">
        <v>163</v>
      </c>
      <c r="C288" s="5" t="s">
        <v>58</v>
      </c>
      <c r="D288" s="6">
        <v>3.0</v>
      </c>
      <c r="E288" s="6">
        <v>1.0</v>
      </c>
      <c r="F288" s="6">
        <v>5.0</v>
      </c>
      <c r="G288" s="6">
        <v>1.0</v>
      </c>
      <c r="H288" s="6">
        <v>25078.0</v>
      </c>
      <c r="I288" s="6">
        <v>0.2711</v>
      </c>
      <c r="J288" s="6">
        <v>0.1971</v>
      </c>
      <c r="K288" s="6">
        <v>0.0013</v>
      </c>
      <c r="L288" s="6">
        <v>0.4067</v>
      </c>
      <c r="M288" s="6">
        <v>0.271</v>
      </c>
    </row>
    <row r="289">
      <c r="A289" s="5" t="s">
        <v>35</v>
      </c>
      <c r="B289" s="5" t="s">
        <v>163</v>
      </c>
      <c r="C289" s="5" t="s">
        <v>58</v>
      </c>
      <c r="D289" s="6">
        <v>3.0</v>
      </c>
      <c r="E289" s="6">
        <v>2.0</v>
      </c>
      <c r="F289" s="6">
        <v>5.0</v>
      </c>
      <c r="G289" s="6">
        <v>1.0</v>
      </c>
      <c r="H289" s="6">
        <v>25078.0</v>
      </c>
      <c r="I289" s="6">
        <v>0.5193</v>
      </c>
      <c r="J289" s="6">
        <v>0.5206</v>
      </c>
      <c r="K289" s="6">
        <v>0.2858</v>
      </c>
      <c r="L289" s="6">
        <v>0.7792</v>
      </c>
      <c r="M289" s="6">
        <v>0.5192</v>
      </c>
    </row>
    <row r="290">
      <c r="A290" s="5" t="s">
        <v>35</v>
      </c>
      <c r="B290" s="5" t="s">
        <v>163</v>
      </c>
      <c r="C290" s="5" t="s">
        <v>58</v>
      </c>
      <c r="D290" s="6">
        <v>3.0</v>
      </c>
      <c r="E290" s="6">
        <v>3.0</v>
      </c>
      <c r="F290" s="6">
        <v>5.0</v>
      </c>
      <c r="G290" s="6">
        <v>1.0</v>
      </c>
      <c r="H290" s="6">
        <v>25078.0</v>
      </c>
      <c r="I290" s="6">
        <v>0.7504</v>
      </c>
      <c r="J290" s="6">
        <v>0.8222</v>
      </c>
      <c r="K290" s="6">
        <v>0.6269</v>
      </c>
      <c r="L290" s="6">
        <v>0.9994</v>
      </c>
      <c r="M290" s="6">
        <v>0.7503</v>
      </c>
    </row>
    <row r="291">
      <c r="A291" s="5" t="s">
        <v>35</v>
      </c>
      <c r="B291" s="5" t="s">
        <v>163</v>
      </c>
      <c r="C291" s="5" t="s">
        <v>58</v>
      </c>
      <c r="D291" s="6">
        <v>3.0</v>
      </c>
      <c r="E291" s="6">
        <v>4.0</v>
      </c>
      <c r="F291" s="6">
        <v>5.0</v>
      </c>
      <c r="G291" s="6">
        <v>1.0</v>
      </c>
      <c r="H291" s="6">
        <v>25078.0</v>
      </c>
      <c r="I291" s="6">
        <v>0.9883</v>
      </c>
      <c r="J291" s="6">
        <v>1.0</v>
      </c>
      <c r="K291" s="6">
        <v>1.0</v>
      </c>
      <c r="L291" s="6">
        <v>1.0</v>
      </c>
      <c r="M291" s="6">
        <v>0.9883</v>
      </c>
    </row>
    <row r="292">
      <c r="A292" s="5" t="s">
        <v>35</v>
      </c>
      <c r="B292" s="5" t="s">
        <v>163</v>
      </c>
      <c r="C292" s="5" t="s">
        <v>58</v>
      </c>
      <c r="D292" s="6">
        <v>3.0</v>
      </c>
      <c r="E292" s="6">
        <v>5.0</v>
      </c>
      <c r="F292" s="6">
        <v>5.0</v>
      </c>
      <c r="G292" s="6">
        <v>1.0</v>
      </c>
      <c r="H292" s="6">
        <v>25078.0</v>
      </c>
      <c r="I292" s="6">
        <v>1.0</v>
      </c>
      <c r="J292" s="6">
        <v>1.0</v>
      </c>
      <c r="K292" s="6">
        <v>1.0</v>
      </c>
      <c r="L292" s="6">
        <v>1.0</v>
      </c>
      <c r="M292" s="6">
        <v>1.0</v>
      </c>
    </row>
    <row r="293">
      <c r="A293" s="5" t="s">
        <v>35</v>
      </c>
      <c r="B293" s="5" t="s">
        <v>1867</v>
      </c>
      <c r="C293" s="5" t="s">
        <v>58</v>
      </c>
      <c r="D293" s="6">
        <v>3.0</v>
      </c>
      <c r="E293" s="6">
        <v>1.0</v>
      </c>
      <c r="F293" s="6">
        <v>5.0</v>
      </c>
      <c r="G293" s="6">
        <v>1.0</v>
      </c>
      <c r="H293" s="6">
        <v>13319.0</v>
      </c>
      <c r="I293" s="6">
        <v>0.2666</v>
      </c>
      <c r="J293" s="6">
        <v>0.1675</v>
      </c>
      <c r="K293" s="6">
        <v>0.0</v>
      </c>
      <c r="L293" s="6">
        <v>0.4216</v>
      </c>
      <c r="M293" s="6">
        <v>0.2667</v>
      </c>
    </row>
    <row r="294">
      <c r="A294" s="5" t="s">
        <v>35</v>
      </c>
      <c r="B294" s="5" t="s">
        <v>1867</v>
      </c>
      <c r="C294" s="5" t="s">
        <v>58</v>
      </c>
      <c r="D294" s="6">
        <v>3.0</v>
      </c>
      <c r="E294" s="6">
        <v>2.0</v>
      </c>
      <c r="F294" s="6">
        <v>5.0</v>
      </c>
      <c r="G294" s="6">
        <v>1.0</v>
      </c>
      <c r="H294" s="6">
        <v>13319.0</v>
      </c>
      <c r="I294" s="6">
        <v>0.5113</v>
      </c>
      <c r="J294" s="6">
        <v>0.516</v>
      </c>
      <c r="K294" s="6">
        <v>0.2226</v>
      </c>
      <c r="L294" s="6">
        <v>0.8209</v>
      </c>
      <c r="M294" s="6">
        <v>0.5113</v>
      </c>
    </row>
    <row r="295">
      <c r="A295" s="5" t="s">
        <v>35</v>
      </c>
      <c r="B295" s="5" t="s">
        <v>1867</v>
      </c>
      <c r="C295" s="5" t="s">
        <v>58</v>
      </c>
      <c r="D295" s="6">
        <v>3.0</v>
      </c>
      <c r="E295" s="6">
        <v>3.0</v>
      </c>
      <c r="F295" s="6">
        <v>5.0</v>
      </c>
      <c r="G295" s="6">
        <v>1.0</v>
      </c>
      <c r="H295" s="6">
        <v>13319.0</v>
      </c>
      <c r="I295" s="6">
        <v>0.7484</v>
      </c>
      <c r="J295" s="6">
        <v>0.8567</v>
      </c>
      <c r="K295" s="6">
        <v>0.6125</v>
      </c>
      <c r="L295" s="6">
        <v>1.0</v>
      </c>
      <c r="M295" s="6">
        <v>0.7484</v>
      </c>
    </row>
    <row r="296">
      <c r="A296" s="5" t="s">
        <v>35</v>
      </c>
      <c r="B296" s="5" t="s">
        <v>1867</v>
      </c>
      <c r="C296" s="5" t="s">
        <v>58</v>
      </c>
      <c r="D296" s="6">
        <v>3.0</v>
      </c>
      <c r="E296" s="6">
        <v>4.0</v>
      </c>
      <c r="F296" s="6">
        <v>5.0</v>
      </c>
      <c r="G296" s="6">
        <v>1.0</v>
      </c>
      <c r="H296" s="6">
        <v>13319.0</v>
      </c>
      <c r="I296" s="6">
        <v>0.9869</v>
      </c>
      <c r="J296" s="6">
        <v>1.0</v>
      </c>
      <c r="K296" s="6">
        <v>1.0</v>
      </c>
      <c r="L296" s="6">
        <v>1.0</v>
      </c>
      <c r="M296" s="6">
        <v>0.9869</v>
      </c>
    </row>
    <row r="297">
      <c r="A297" s="5" t="s">
        <v>35</v>
      </c>
      <c r="B297" s="5" t="s">
        <v>1867</v>
      </c>
      <c r="C297" s="5" t="s">
        <v>58</v>
      </c>
      <c r="D297" s="6">
        <v>3.0</v>
      </c>
      <c r="E297" s="6">
        <v>5.0</v>
      </c>
      <c r="F297" s="6">
        <v>5.0</v>
      </c>
      <c r="G297" s="6">
        <v>1.0</v>
      </c>
      <c r="H297" s="6">
        <v>13319.0</v>
      </c>
      <c r="I297" s="6">
        <v>1.0</v>
      </c>
      <c r="J297" s="6">
        <v>1.0</v>
      </c>
      <c r="K297" s="6">
        <v>1.0</v>
      </c>
      <c r="L297" s="6">
        <v>1.0</v>
      </c>
      <c r="M297" s="6">
        <v>1.0</v>
      </c>
    </row>
    <row r="298">
      <c r="A298" s="5" t="s">
        <v>35</v>
      </c>
      <c r="B298" s="5" t="s">
        <v>163</v>
      </c>
      <c r="C298" s="5" t="s">
        <v>59</v>
      </c>
      <c r="D298" s="6">
        <v>4.0</v>
      </c>
      <c r="E298" s="6">
        <v>1.0</v>
      </c>
      <c r="F298" s="6">
        <v>5.0</v>
      </c>
      <c r="G298" s="6">
        <v>1.0</v>
      </c>
      <c r="H298" s="6">
        <v>11839.0</v>
      </c>
      <c r="I298" s="6">
        <v>0.2901</v>
      </c>
      <c r="J298" s="6">
        <v>0.2367</v>
      </c>
      <c r="K298" s="6">
        <v>0.0423</v>
      </c>
      <c r="L298" s="6">
        <v>0.414</v>
      </c>
      <c r="M298" s="6">
        <v>0.2903</v>
      </c>
    </row>
    <row r="299">
      <c r="A299" s="5" t="s">
        <v>35</v>
      </c>
      <c r="B299" s="5" t="s">
        <v>163</v>
      </c>
      <c r="C299" s="5" t="s">
        <v>59</v>
      </c>
      <c r="D299" s="6">
        <v>4.0</v>
      </c>
      <c r="E299" s="6">
        <v>2.0</v>
      </c>
      <c r="F299" s="6">
        <v>5.0</v>
      </c>
      <c r="G299" s="6">
        <v>1.0</v>
      </c>
      <c r="H299" s="6">
        <v>11839.0</v>
      </c>
      <c r="I299" s="6">
        <v>0.5369</v>
      </c>
      <c r="J299" s="6">
        <v>0.5372</v>
      </c>
      <c r="K299" s="6">
        <v>0.3548</v>
      </c>
      <c r="L299" s="6">
        <v>0.7511</v>
      </c>
      <c r="M299" s="6">
        <v>0.5371</v>
      </c>
    </row>
    <row r="300">
      <c r="A300" s="5" t="s">
        <v>35</v>
      </c>
      <c r="B300" s="5" t="s">
        <v>163</v>
      </c>
      <c r="C300" s="5" t="s">
        <v>59</v>
      </c>
      <c r="D300" s="6">
        <v>4.0</v>
      </c>
      <c r="E300" s="6">
        <v>3.0</v>
      </c>
      <c r="F300" s="6">
        <v>5.0</v>
      </c>
      <c r="G300" s="6">
        <v>1.0</v>
      </c>
      <c r="H300" s="6">
        <v>11839.0</v>
      </c>
      <c r="I300" s="6">
        <v>0.7617</v>
      </c>
      <c r="J300" s="6">
        <v>0.8113</v>
      </c>
      <c r="K300" s="6">
        <v>0.6614</v>
      </c>
      <c r="L300" s="6">
        <v>0.9832</v>
      </c>
      <c r="M300" s="6">
        <v>0.7619</v>
      </c>
    </row>
    <row r="301">
      <c r="A301" s="5" t="s">
        <v>35</v>
      </c>
      <c r="B301" s="5" t="s">
        <v>163</v>
      </c>
      <c r="C301" s="5" t="s">
        <v>59</v>
      </c>
      <c r="D301" s="6">
        <v>4.0</v>
      </c>
      <c r="E301" s="6">
        <v>4.0</v>
      </c>
      <c r="F301" s="6">
        <v>5.0</v>
      </c>
      <c r="G301" s="6">
        <v>1.0</v>
      </c>
      <c r="H301" s="6">
        <v>11839.0</v>
      </c>
      <c r="I301" s="6">
        <v>0.9885</v>
      </c>
      <c r="J301" s="6">
        <v>1.0</v>
      </c>
      <c r="K301" s="6">
        <v>1.0</v>
      </c>
      <c r="L301" s="6">
        <v>1.0</v>
      </c>
      <c r="M301" s="6">
        <v>0.9885</v>
      </c>
    </row>
    <row r="302">
      <c r="A302" s="5" t="s">
        <v>35</v>
      </c>
      <c r="B302" s="5" t="s">
        <v>163</v>
      </c>
      <c r="C302" s="5" t="s">
        <v>59</v>
      </c>
      <c r="D302" s="6">
        <v>4.0</v>
      </c>
      <c r="E302" s="6">
        <v>5.0</v>
      </c>
      <c r="F302" s="6">
        <v>5.0</v>
      </c>
      <c r="G302" s="6">
        <v>1.0</v>
      </c>
      <c r="H302" s="6">
        <v>11839.0</v>
      </c>
      <c r="I302" s="6">
        <v>1.0</v>
      </c>
      <c r="J302" s="6">
        <v>1.0</v>
      </c>
      <c r="K302" s="6">
        <v>1.0</v>
      </c>
      <c r="L302" s="6">
        <v>1.0</v>
      </c>
      <c r="M302" s="6">
        <v>1.0</v>
      </c>
    </row>
    <row r="303">
      <c r="A303" s="5" t="s">
        <v>35</v>
      </c>
      <c r="B303" s="5" t="s">
        <v>1867</v>
      </c>
      <c r="C303" s="5" t="s">
        <v>59</v>
      </c>
      <c r="D303" s="6">
        <v>4.0</v>
      </c>
      <c r="E303" s="6">
        <v>1.0</v>
      </c>
      <c r="F303" s="6">
        <v>5.0</v>
      </c>
      <c r="G303" s="6">
        <v>1.0</v>
      </c>
      <c r="H303" s="6">
        <v>6051.0</v>
      </c>
      <c r="I303" s="6">
        <v>0.2781</v>
      </c>
      <c r="J303" s="6">
        <v>0.2113</v>
      </c>
      <c r="K303" s="6">
        <v>0.0</v>
      </c>
      <c r="L303" s="6">
        <v>0.4171</v>
      </c>
      <c r="M303" s="6">
        <v>0.2783</v>
      </c>
    </row>
    <row r="304">
      <c r="A304" s="5" t="s">
        <v>35</v>
      </c>
      <c r="B304" s="5" t="s">
        <v>1867</v>
      </c>
      <c r="C304" s="5" t="s">
        <v>59</v>
      </c>
      <c r="D304" s="6">
        <v>4.0</v>
      </c>
      <c r="E304" s="6">
        <v>2.0</v>
      </c>
      <c r="F304" s="6">
        <v>5.0</v>
      </c>
      <c r="G304" s="6">
        <v>1.0</v>
      </c>
      <c r="H304" s="6">
        <v>6051.0</v>
      </c>
      <c r="I304" s="6">
        <v>0.5191</v>
      </c>
      <c r="J304" s="6">
        <v>0.5264</v>
      </c>
      <c r="K304" s="6">
        <v>0.2882</v>
      </c>
      <c r="L304" s="6">
        <v>0.7868</v>
      </c>
      <c r="M304" s="6">
        <v>0.5192</v>
      </c>
    </row>
    <row r="305">
      <c r="A305" s="5" t="s">
        <v>35</v>
      </c>
      <c r="B305" s="5" t="s">
        <v>1867</v>
      </c>
      <c r="C305" s="5" t="s">
        <v>59</v>
      </c>
      <c r="D305" s="6">
        <v>4.0</v>
      </c>
      <c r="E305" s="6">
        <v>3.0</v>
      </c>
      <c r="F305" s="6">
        <v>5.0</v>
      </c>
      <c r="G305" s="6">
        <v>1.0</v>
      </c>
      <c r="H305" s="6">
        <v>6051.0</v>
      </c>
      <c r="I305" s="6">
        <v>0.748</v>
      </c>
      <c r="J305" s="6">
        <v>0.8214</v>
      </c>
      <c r="K305" s="6">
        <v>0.6334</v>
      </c>
      <c r="L305" s="6">
        <v>0.9987</v>
      </c>
      <c r="M305" s="6">
        <v>0.7481</v>
      </c>
    </row>
    <row r="306">
      <c r="A306" s="5" t="s">
        <v>35</v>
      </c>
      <c r="B306" s="5" t="s">
        <v>1867</v>
      </c>
      <c r="C306" s="5" t="s">
        <v>59</v>
      </c>
      <c r="D306" s="6">
        <v>4.0</v>
      </c>
      <c r="E306" s="6">
        <v>4.0</v>
      </c>
      <c r="F306" s="6">
        <v>5.0</v>
      </c>
      <c r="G306" s="6">
        <v>1.0</v>
      </c>
      <c r="H306" s="6">
        <v>6051.0</v>
      </c>
      <c r="I306" s="6">
        <v>0.9874</v>
      </c>
      <c r="J306" s="6">
        <v>1.0</v>
      </c>
      <c r="K306" s="6">
        <v>1.0</v>
      </c>
      <c r="L306" s="6">
        <v>1.0</v>
      </c>
      <c r="M306" s="6">
        <v>0.9874</v>
      </c>
    </row>
    <row r="307">
      <c r="A307" s="5" t="s">
        <v>35</v>
      </c>
      <c r="B307" s="5" t="s">
        <v>1867</v>
      </c>
      <c r="C307" s="5" t="s">
        <v>59</v>
      </c>
      <c r="D307" s="6">
        <v>4.0</v>
      </c>
      <c r="E307" s="6">
        <v>5.0</v>
      </c>
      <c r="F307" s="6">
        <v>5.0</v>
      </c>
      <c r="G307" s="6">
        <v>1.0</v>
      </c>
      <c r="H307" s="6">
        <v>6051.0</v>
      </c>
      <c r="I307" s="6">
        <v>1.0</v>
      </c>
      <c r="J307" s="6">
        <v>1.0</v>
      </c>
      <c r="K307" s="6">
        <v>1.0</v>
      </c>
      <c r="L307" s="6">
        <v>1.0</v>
      </c>
      <c r="M307" s="6">
        <v>1.0</v>
      </c>
    </row>
    <row r="308">
      <c r="A308" s="5" t="s">
        <v>35</v>
      </c>
      <c r="B308" s="5" t="s">
        <v>163</v>
      </c>
      <c r="C308" s="5" t="s">
        <v>60</v>
      </c>
      <c r="D308" s="6">
        <v>5.0</v>
      </c>
      <c r="E308" s="6">
        <v>1.0</v>
      </c>
      <c r="F308" s="6">
        <v>5.0</v>
      </c>
      <c r="G308" s="6">
        <v>1.0</v>
      </c>
      <c r="H308" s="6">
        <v>1595.0</v>
      </c>
      <c r="I308" s="6">
        <v>0.2482</v>
      </c>
      <c r="J308" s="6">
        <v>0.1908</v>
      </c>
      <c r="K308" s="6">
        <v>0.0</v>
      </c>
      <c r="L308" s="6">
        <v>0.3601</v>
      </c>
      <c r="M308" s="6">
        <v>0.2487</v>
      </c>
    </row>
    <row r="309">
      <c r="A309" s="5" t="s">
        <v>35</v>
      </c>
      <c r="B309" s="5" t="s">
        <v>163</v>
      </c>
      <c r="C309" s="5" t="s">
        <v>60</v>
      </c>
      <c r="D309" s="6">
        <v>5.0</v>
      </c>
      <c r="E309" s="6">
        <v>2.0</v>
      </c>
      <c r="F309" s="6">
        <v>5.0</v>
      </c>
      <c r="G309" s="6">
        <v>1.0</v>
      </c>
      <c r="H309" s="6">
        <v>1595.0</v>
      </c>
      <c r="I309" s="6">
        <v>0.4721</v>
      </c>
      <c r="J309" s="6">
        <v>0.4969</v>
      </c>
      <c r="K309" s="6">
        <v>0.0733</v>
      </c>
      <c r="L309" s="6">
        <v>0.7357</v>
      </c>
      <c r="M309" s="6">
        <v>0.4729</v>
      </c>
    </row>
    <row r="310">
      <c r="A310" s="5" t="s">
        <v>35</v>
      </c>
      <c r="B310" s="5" t="s">
        <v>163</v>
      </c>
      <c r="C310" s="5" t="s">
        <v>60</v>
      </c>
      <c r="D310" s="6">
        <v>5.0</v>
      </c>
      <c r="E310" s="6">
        <v>3.0</v>
      </c>
      <c r="F310" s="6">
        <v>5.0</v>
      </c>
      <c r="G310" s="6">
        <v>1.0</v>
      </c>
      <c r="H310" s="6">
        <v>1595.0</v>
      </c>
      <c r="I310" s="6">
        <v>0.7162</v>
      </c>
      <c r="J310" s="6">
        <v>0.7889</v>
      </c>
      <c r="K310" s="6">
        <v>0.6196</v>
      </c>
      <c r="L310" s="6">
        <v>0.9735</v>
      </c>
      <c r="M310" s="6">
        <v>0.7174</v>
      </c>
    </row>
    <row r="311">
      <c r="A311" s="5" t="s">
        <v>35</v>
      </c>
      <c r="B311" s="5" t="s">
        <v>163</v>
      </c>
      <c r="C311" s="5" t="s">
        <v>60</v>
      </c>
      <c r="D311" s="6">
        <v>5.0</v>
      </c>
      <c r="E311" s="6">
        <v>4.0</v>
      </c>
      <c r="F311" s="6">
        <v>5.0</v>
      </c>
      <c r="G311" s="6">
        <v>1.0</v>
      </c>
      <c r="H311" s="6">
        <v>1595.0</v>
      </c>
      <c r="I311" s="6">
        <v>0.9866</v>
      </c>
      <c r="J311" s="6">
        <v>1.0</v>
      </c>
      <c r="K311" s="6">
        <v>0.9997</v>
      </c>
      <c r="L311" s="6">
        <v>1.0</v>
      </c>
      <c r="M311" s="6">
        <v>0.9868</v>
      </c>
    </row>
    <row r="312">
      <c r="A312" s="5" t="s">
        <v>35</v>
      </c>
      <c r="B312" s="5" t="s">
        <v>163</v>
      </c>
      <c r="C312" s="5" t="s">
        <v>60</v>
      </c>
      <c r="D312" s="6">
        <v>5.0</v>
      </c>
      <c r="E312" s="6">
        <v>5.0</v>
      </c>
      <c r="F312" s="6">
        <v>5.0</v>
      </c>
      <c r="G312" s="6">
        <v>1.0</v>
      </c>
      <c r="H312" s="6">
        <v>1595.0</v>
      </c>
      <c r="I312" s="6">
        <v>1.0</v>
      </c>
      <c r="J312" s="6">
        <v>1.0</v>
      </c>
      <c r="K312" s="6">
        <v>1.0</v>
      </c>
      <c r="L312" s="6">
        <v>1.0</v>
      </c>
      <c r="M312" s="6">
        <v>1.0</v>
      </c>
    </row>
    <row r="313">
      <c r="A313" s="5" t="s">
        <v>35</v>
      </c>
      <c r="B313" s="5" t="s">
        <v>1867</v>
      </c>
      <c r="C313" s="5" t="s">
        <v>60</v>
      </c>
      <c r="D313" s="6">
        <v>5.0</v>
      </c>
      <c r="E313" s="6">
        <v>1.0</v>
      </c>
      <c r="F313" s="6">
        <v>5.0</v>
      </c>
      <c r="G313" s="6">
        <v>1.0</v>
      </c>
      <c r="H313" s="6">
        <v>734.0</v>
      </c>
      <c r="I313" s="6">
        <v>0.2726</v>
      </c>
      <c r="J313" s="6">
        <v>0.2078</v>
      </c>
      <c r="K313" s="6">
        <v>0.0</v>
      </c>
      <c r="L313" s="6">
        <v>0.4282</v>
      </c>
      <c r="M313" s="6">
        <v>0.273</v>
      </c>
    </row>
    <row r="314">
      <c r="A314" s="5" t="s">
        <v>35</v>
      </c>
      <c r="B314" s="5" t="s">
        <v>1867</v>
      </c>
      <c r="C314" s="5" t="s">
        <v>60</v>
      </c>
      <c r="D314" s="6">
        <v>5.0</v>
      </c>
      <c r="E314" s="6">
        <v>2.0</v>
      </c>
      <c r="F314" s="6">
        <v>5.0</v>
      </c>
      <c r="G314" s="6">
        <v>1.0</v>
      </c>
      <c r="H314" s="6">
        <v>734.0</v>
      </c>
      <c r="I314" s="6">
        <v>0.5058</v>
      </c>
      <c r="J314" s="6">
        <v>0.5318</v>
      </c>
      <c r="K314" s="6">
        <v>0.2159</v>
      </c>
      <c r="L314" s="6">
        <v>0.7747</v>
      </c>
      <c r="M314" s="6">
        <v>0.5064</v>
      </c>
    </row>
    <row r="315">
      <c r="A315" s="5" t="s">
        <v>35</v>
      </c>
      <c r="B315" s="5" t="s">
        <v>1867</v>
      </c>
      <c r="C315" s="5" t="s">
        <v>60</v>
      </c>
      <c r="D315" s="6">
        <v>5.0</v>
      </c>
      <c r="E315" s="6">
        <v>3.0</v>
      </c>
      <c r="F315" s="6">
        <v>5.0</v>
      </c>
      <c r="G315" s="6">
        <v>1.0</v>
      </c>
      <c r="H315" s="6">
        <v>734.0</v>
      </c>
      <c r="I315" s="6">
        <v>0.7281</v>
      </c>
      <c r="J315" s="6">
        <v>0.8204</v>
      </c>
      <c r="K315" s="6">
        <v>0.626</v>
      </c>
      <c r="L315" s="6">
        <v>0.9943</v>
      </c>
      <c r="M315" s="6">
        <v>0.7285</v>
      </c>
    </row>
    <row r="316">
      <c r="A316" s="5" t="s">
        <v>35</v>
      </c>
      <c r="B316" s="5" t="s">
        <v>1867</v>
      </c>
      <c r="C316" s="5" t="s">
        <v>60</v>
      </c>
      <c r="D316" s="6">
        <v>5.0</v>
      </c>
      <c r="E316" s="6">
        <v>4.0</v>
      </c>
      <c r="F316" s="6">
        <v>5.0</v>
      </c>
      <c r="G316" s="6">
        <v>1.0</v>
      </c>
      <c r="H316" s="6">
        <v>734.0</v>
      </c>
      <c r="I316" s="6">
        <v>0.9844</v>
      </c>
      <c r="J316" s="6">
        <v>1.0</v>
      </c>
      <c r="K316" s="6">
        <v>1.0</v>
      </c>
      <c r="L316" s="6">
        <v>1.0</v>
      </c>
      <c r="M316" s="6">
        <v>0.9845</v>
      </c>
    </row>
    <row r="317">
      <c r="A317" s="5" t="s">
        <v>35</v>
      </c>
      <c r="B317" s="5" t="s">
        <v>1867</v>
      </c>
      <c r="C317" s="5" t="s">
        <v>60</v>
      </c>
      <c r="D317" s="6">
        <v>5.0</v>
      </c>
      <c r="E317" s="6">
        <v>5.0</v>
      </c>
      <c r="F317" s="6">
        <v>5.0</v>
      </c>
      <c r="G317" s="6">
        <v>1.0</v>
      </c>
      <c r="H317" s="6">
        <v>734.0</v>
      </c>
      <c r="I317" s="6">
        <v>1.0</v>
      </c>
      <c r="J317" s="6">
        <v>1.0</v>
      </c>
      <c r="K317" s="6">
        <v>1.0</v>
      </c>
      <c r="L317" s="6">
        <v>1.0</v>
      </c>
      <c r="M317" s="6">
        <v>1.0</v>
      </c>
    </row>
    <row r="318">
      <c r="A318" s="5" t="s">
        <v>69</v>
      </c>
      <c r="B318" s="5" t="s">
        <v>163</v>
      </c>
      <c r="C318" s="5" t="s">
        <v>56</v>
      </c>
      <c r="D318" s="6">
        <v>1.0</v>
      </c>
      <c r="E318" s="6">
        <v>1.0</v>
      </c>
      <c r="F318" s="6">
        <v>2.0</v>
      </c>
      <c r="G318" s="6">
        <v>4.0</v>
      </c>
      <c r="H318" s="6">
        <v>79784.0</v>
      </c>
      <c r="I318" s="6">
        <v>0.9229</v>
      </c>
      <c r="J318" s="6">
        <v>1.0</v>
      </c>
      <c r="K318" s="6">
        <v>1.0</v>
      </c>
      <c r="L318" s="6">
        <v>1.0</v>
      </c>
      <c r="M318" s="6">
        <v>0.9228</v>
      </c>
    </row>
    <row r="319">
      <c r="A319" s="5" t="s">
        <v>69</v>
      </c>
      <c r="B319" s="5" t="s">
        <v>163</v>
      </c>
      <c r="C319" s="5" t="s">
        <v>56</v>
      </c>
      <c r="D319" s="6">
        <v>1.0</v>
      </c>
      <c r="E319" s="6">
        <v>2.0</v>
      </c>
      <c r="F319" s="6">
        <v>2.0</v>
      </c>
      <c r="G319" s="6">
        <v>4.0</v>
      </c>
      <c r="H319" s="6">
        <v>79784.0</v>
      </c>
      <c r="I319" s="6">
        <v>1.0</v>
      </c>
      <c r="J319" s="6">
        <v>1.0</v>
      </c>
      <c r="K319" s="6">
        <v>1.0</v>
      </c>
      <c r="L319" s="6">
        <v>1.0</v>
      </c>
      <c r="M319" s="6">
        <v>1.0</v>
      </c>
    </row>
    <row r="320">
      <c r="A320" s="5" t="s">
        <v>69</v>
      </c>
      <c r="B320" s="5" t="s">
        <v>1867</v>
      </c>
      <c r="C320" s="5" t="s">
        <v>56</v>
      </c>
      <c r="D320" s="6">
        <v>1.0</v>
      </c>
      <c r="E320" s="6">
        <v>1.0</v>
      </c>
      <c r="F320" s="6">
        <v>2.0</v>
      </c>
      <c r="G320" s="6">
        <v>4.0</v>
      </c>
      <c r="H320" s="6">
        <v>58676.0</v>
      </c>
      <c r="I320" s="6">
        <v>0.9184</v>
      </c>
      <c r="J320" s="6">
        <v>1.0</v>
      </c>
      <c r="K320" s="6">
        <v>1.0</v>
      </c>
      <c r="L320" s="6">
        <v>1.0</v>
      </c>
      <c r="M320" s="6">
        <v>0.9183</v>
      </c>
    </row>
    <row r="321">
      <c r="A321" s="5" t="s">
        <v>69</v>
      </c>
      <c r="B321" s="5" t="s">
        <v>1867</v>
      </c>
      <c r="C321" s="5" t="s">
        <v>56</v>
      </c>
      <c r="D321" s="6">
        <v>1.0</v>
      </c>
      <c r="E321" s="6">
        <v>2.0</v>
      </c>
      <c r="F321" s="6">
        <v>2.0</v>
      </c>
      <c r="G321" s="6">
        <v>4.0</v>
      </c>
      <c r="H321" s="6">
        <v>58676.0</v>
      </c>
      <c r="I321" s="6">
        <v>1.0</v>
      </c>
      <c r="J321" s="6">
        <v>1.0</v>
      </c>
      <c r="K321" s="6">
        <v>1.0</v>
      </c>
      <c r="L321" s="6">
        <v>1.0</v>
      </c>
      <c r="M321" s="6">
        <v>1.0</v>
      </c>
    </row>
    <row r="322">
      <c r="A322" s="5" t="s">
        <v>69</v>
      </c>
      <c r="B322" s="5" t="s">
        <v>163</v>
      </c>
      <c r="C322" s="5" t="s">
        <v>57</v>
      </c>
      <c r="D322" s="6">
        <v>2.0</v>
      </c>
      <c r="E322" s="6">
        <v>1.0</v>
      </c>
      <c r="F322" s="6">
        <v>2.0</v>
      </c>
      <c r="G322" s="6">
        <v>4.0</v>
      </c>
      <c r="H322" s="6">
        <v>67986.0</v>
      </c>
      <c r="I322" s="6">
        <v>0.9255</v>
      </c>
      <c r="J322" s="6">
        <v>1.0</v>
      </c>
      <c r="K322" s="6">
        <v>0.9997</v>
      </c>
      <c r="L322" s="6">
        <v>1.0</v>
      </c>
      <c r="M322" s="6">
        <v>0.9255</v>
      </c>
    </row>
    <row r="323">
      <c r="A323" s="5" t="s">
        <v>69</v>
      </c>
      <c r="B323" s="5" t="s">
        <v>163</v>
      </c>
      <c r="C323" s="5" t="s">
        <v>57</v>
      </c>
      <c r="D323" s="6">
        <v>2.0</v>
      </c>
      <c r="E323" s="6">
        <v>2.0</v>
      </c>
      <c r="F323" s="6">
        <v>2.0</v>
      </c>
      <c r="G323" s="6">
        <v>4.0</v>
      </c>
      <c r="H323" s="6">
        <v>67986.0</v>
      </c>
      <c r="I323" s="6">
        <v>1.0</v>
      </c>
      <c r="J323" s="6">
        <v>1.0</v>
      </c>
      <c r="K323" s="6">
        <v>1.0</v>
      </c>
      <c r="L323" s="6">
        <v>1.0</v>
      </c>
      <c r="M323" s="6">
        <v>1.0</v>
      </c>
    </row>
    <row r="324">
      <c r="A324" s="5" t="s">
        <v>69</v>
      </c>
      <c r="B324" s="5" t="s">
        <v>1867</v>
      </c>
      <c r="C324" s="5" t="s">
        <v>57</v>
      </c>
      <c r="D324" s="6">
        <v>2.0</v>
      </c>
      <c r="E324" s="6">
        <v>1.0</v>
      </c>
      <c r="F324" s="6">
        <v>2.0</v>
      </c>
      <c r="G324" s="6">
        <v>4.0</v>
      </c>
      <c r="H324" s="6">
        <v>40018.0</v>
      </c>
      <c r="I324" s="6">
        <v>0.9183</v>
      </c>
      <c r="J324" s="6">
        <v>1.0</v>
      </c>
      <c r="K324" s="6">
        <v>0.9997</v>
      </c>
      <c r="L324" s="6">
        <v>1.0</v>
      </c>
      <c r="M324" s="6">
        <v>0.9183</v>
      </c>
    </row>
    <row r="325">
      <c r="A325" s="5" t="s">
        <v>69</v>
      </c>
      <c r="B325" s="5" t="s">
        <v>1867</v>
      </c>
      <c r="C325" s="5" t="s">
        <v>57</v>
      </c>
      <c r="D325" s="6">
        <v>2.0</v>
      </c>
      <c r="E325" s="6">
        <v>2.0</v>
      </c>
      <c r="F325" s="6">
        <v>2.0</v>
      </c>
      <c r="G325" s="6">
        <v>4.0</v>
      </c>
      <c r="H325" s="6">
        <v>40018.0</v>
      </c>
      <c r="I325" s="6">
        <v>1.0</v>
      </c>
      <c r="J325" s="6">
        <v>1.0</v>
      </c>
      <c r="K325" s="6">
        <v>1.0</v>
      </c>
      <c r="L325" s="6">
        <v>1.0</v>
      </c>
      <c r="M325" s="6">
        <v>1.0</v>
      </c>
    </row>
    <row r="326">
      <c r="A326" s="5" t="s">
        <v>69</v>
      </c>
      <c r="B326" s="5" t="s">
        <v>163</v>
      </c>
      <c r="C326" s="5" t="s">
        <v>58</v>
      </c>
      <c r="D326" s="6">
        <v>3.0</v>
      </c>
      <c r="E326" s="6">
        <v>1.0</v>
      </c>
      <c r="F326" s="6">
        <v>2.0</v>
      </c>
      <c r="G326" s="6">
        <v>4.0</v>
      </c>
      <c r="H326" s="6">
        <v>44522.0</v>
      </c>
      <c r="I326" s="6">
        <v>0.929</v>
      </c>
      <c r="J326" s="6">
        <v>1.0</v>
      </c>
      <c r="K326" s="6">
        <v>0.9866</v>
      </c>
      <c r="L326" s="6">
        <v>1.0</v>
      </c>
      <c r="M326" s="6">
        <v>0.9289</v>
      </c>
    </row>
    <row r="327">
      <c r="A327" s="5" t="s">
        <v>69</v>
      </c>
      <c r="B327" s="5" t="s">
        <v>163</v>
      </c>
      <c r="C327" s="5" t="s">
        <v>58</v>
      </c>
      <c r="D327" s="6">
        <v>3.0</v>
      </c>
      <c r="E327" s="6">
        <v>2.0</v>
      </c>
      <c r="F327" s="6">
        <v>2.0</v>
      </c>
      <c r="G327" s="6">
        <v>4.0</v>
      </c>
      <c r="H327" s="6">
        <v>44522.0</v>
      </c>
      <c r="I327" s="6">
        <v>1.0</v>
      </c>
      <c r="J327" s="6">
        <v>1.0</v>
      </c>
      <c r="K327" s="6">
        <v>1.0</v>
      </c>
      <c r="L327" s="6">
        <v>1.0</v>
      </c>
      <c r="M327" s="6">
        <v>1.0</v>
      </c>
    </row>
    <row r="328">
      <c r="A328" s="5" t="s">
        <v>69</v>
      </c>
      <c r="B328" s="5" t="s">
        <v>1867</v>
      </c>
      <c r="C328" s="5" t="s">
        <v>58</v>
      </c>
      <c r="D328" s="6">
        <v>3.0</v>
      </c>
      <c r="E328" s="6">
        <v>1.0</v>
      </c>
      <c r="F328" s="6">
        <v>2.0</v>
      </c>
      <c r="G328" s="6">
        <v>4.0</v>
      </c>
      <c r="H328" s="6">
        <v>24185.0</v>
      </c>
      <c r="I328" s="6">
        <v>0.9168</v>
      </c>
      <c r="J328" s="6">
        <v>1.0</v>
      </c>
      <c r="K328" s="6">
        <v>0.9864</v>
      </c>
      <c r="L328" s="6">
        <v>1.0</v>
      </c>
      <c r="M328" s="6">
        <v>0.9165</v>
      </c>
    </row>
    <row r="329">
      <c r="A329" s="5" t="s">
        <v>69</v>
      </c>
      <c r="B329" s="5" t="s">
        <v>1867</v>
      </c>
      <c r="C329" s="5" t="s">
        <v>58</v>
      </c>
      <c r="D329" s="6">
        <v>3.0</v>
      </c>
      <c r="E329" s="6">
        <v>2.0</v>
      </c>
      <c r="F329" s="6">
        <v>2.0</v>
      </c>
      <c r="G329" s="6">
        <v>4.0</v>
      </c>
      <c r="H329" s="6">
        <v>24185.0</v>
      </c>
      <c r="I329" s="6">
        <v>1.0</v>
      </c>
      <c r="J329" s="6">
        <v>1.0</v>
      </c>
      <c r="K329" s="6">
        <v>1.0</v>
      </c>
      <c r="L329" s="6">
        <v>1.0</v>
      </c>
      <c r="M329" s="6">
        <v>1.0</v>
      </c>
    </row>
    <row r="330">
      <c r="A330" s="5" t="s">
        <v>69</v>
      </c>
      <c r="B330" s="5" t="s">
        <v>163</v>
      </c>
      <c r="C330" s="5" t="s">
        <v>59</v>
      </c>
      <c r="D330" s="6">
        <v>4.0</v>
      </c>
      <c r="E330" s="6">
        <v>1.0</v>
      </c>
      <c r="F330" s="6">
        <v>2.0</v>
      </c>
      <c r="G330" s="6">
        <v>4.0</v>
      </c>
      <c r="H330" s="6">
        <v>21750.0</v>
      </c>
      <c r="I330" s="6">
        <v>0.9364</v>
      </c>
      <c r="J330" s="6">
        <v>1.0</v>
      </c>
      <c r="K330" s="6">
        <v>0.9782</v>
      </c>
      <c r="L330" s="6">
        <v>1.0</v>
      </c>
      <c r="M330" s="6">
        <v>0.9363</v>
      </c>
    </row>
    <row r="331">
      <c r="A331" s="5" t="s">
        <v>69</v>
      </c>
      <c r="B331" s="5" t="s">
        <v>163</v>
      </c>
      <c r="C331" s="5" t="s">
        <v>59</v>
      </c>
      <c r="D331" s="6">
        <v>4.0</v>
      </c>
      <c r="E331" s="6">
        <v>2.0</v>
      </c>
      <c r="F331" s="6">
        <v>2.0</v>
      </c>
      <c r="G331" s="6">
        <v>4.0</v>
      </c>
      <c r="H331" s="6">
        <v>21750.0</v>
      </c>
      <c r="I331" s="6">
        <v>1.0</v>
      </c>
      <c r="J331" s="6">
        <v>1.0</v>
      </c>
      <c r="K331" s="6">
        <v>1.0</v>
      </c>
      <c r="L331" s="6">
        <v>1.0</v>
      </c>
      <c r="M331" s="6">
        <v>1.0</v>
      </c>
    </row>
    <row r="332">
      <c r="A332" s="5" t="s">
        <v>69</v>
      </c>
      <c r="B332" s="5" t="s">
        <v>1867</v>
      </c>
      <c r="C332" s="5" t="s">
        <v>59</v>
      </c>
      <c r="D332" s="6">
        <v>4.0</v>
      </c>
      <c r="E332" s="6">
        <v>1.0</v>
      </c>
      <c r="F332" s="6">
        <v>2.0</v>
      </c>
      <c r="G332" s="6">
        <v>4.0</v>
      </c>
      <c r="H332" s="6">
        <v>11107.0</v>
      </c>
      <c r="I332" s="6">
        <v>0.9175</v>
      </c>
      <c r="J332" s="6">
        <v>1.0</v>
      </c>
      <c r="K332" s="6">
        <v>0.9723</v>
      </c>
      <c r="L332" s="6">
        <v>1.0</v>
      </c>
      <c r="M332" s="6">
        <v>0.9173</v>
      </c>
    </row>
    <row r="333">
      <c r="A333" s="5" t="s">
        <v>69</v>
      </c>
      <c r="B333" s="5" t="s">
        <v>1867</v>
      </c>
      <c r="C333" s="5" t="s">
        <v>59</v>
      </c>
      <c r="D333" s="6">
        <v>4.0</v>
      </c>
      <c r="E333" s="6">
        <v>2.0</v>
      </c>
      <c r="F333" s="6">
        <v>2.0</v>
      </c>
      <c r="G333" s="6">
        <v>4.0</v>
      </c>
      <c r="H333" s="6">
        <v>11107.0</v>
      </c>
      <c r="I333" s="6">
        <v>1.0</v>
      </c>
      <c r="J333" s="6">
        <v>1.0</v>
      </c>
      <c r="K333" s="6">
        <v>1.0</v>
      </c>
      <c r="L333" s="6">
        <v>1.0</v>
      </c>
      <c r="M333" s="6">
        <v>1.0</v>
      </c>
    </row>
    <row r="334">
      <c r="A334" s="5" t="s">
        <v>69</v>
      </c>
      <c r="B334" s="5" t="s">
        <v>163</v>
      </c>
      <c r="C334" s="5" t="s">
        <v>60</v>
      </c>
      <c r="D334" s="6">
        <v>5.0</v>
      </c>
      <c r="E334" s="6">
        <v>1.0</v>
      </c>
      <c r="F334" s="6">
        <v>2.0</v>
      </c>
      <c r="G334" s="6">
        <v>4.0</v>
      </c>
      <c r="H334" s="6">
        <v>3329.0</v>
      </c>
      <c r="I334" s="6">
        <v>0.9351</v>
      </c>
      <c r="J334" s="6">
        <v>1.0</v>
      </c>
      <c r="K334" s="6">
        <v>0.9472</v>
      </c>
      <c r="L334" s="6">
        <v>1.0</v>
      </c>
      <c r="M334" s="6">
        <v>0.9354</v>
      </c>
    </row>
    <row r="335">
      <c r="A335" s="5" t="s">
        <v>69</v>
      </c>
      <c r="B335" s="5" t="s">
        <v>163</v>
      </c>
      <c r="C335" s="5" t="s">
        <v>60</v>
      </c>
      <c r="D335" s="6">
        <v>5.0</v>
      </c>
      <c r="E335" s="6">
        <v>2.0</v>
      </c>
      <c r="F335" s="6">
        <v>2.0</v>
      </c>
      <c r="G335" s="6">
        <v>4.0</v>
      </c>
      <c r="H335" s="6">
        <v>3329.0</v>
      </c>
      <c r="I335" s="6">
        <v>1.0</v>
      </c>
      <c r="J335" s="6">
        <v>1.0</v>
      </c>
      <c r="K335" s="6">
        <v>1.0</v>
      </c>
      <c r="L335" s="6">
        <v>1.0</v>
      </c>
      <c r="M335" s="6">
        <v>1.0</v>
      </c>
    </row>
    <row r="336">
      <c r="A336" s="5" t="s">
        <v>69</v>
      </c>
      <c r="B336" s="5" t="s">
        <v>1867</v>
      </c>
      <c r="C336" s="5" t="s">
        <v>60</v>
      </c>
      <c r="D336" s="6">
        <v>5.0</v>
      </c>
      <c r="E336" s="6">
        <v>1.0</v>
      </c>
      <c r="F336" s="6">
        <v>2.0</v>
      </c>
      <c r="G336" s="6">
        <v>4.0</v>
      </c>
      <c r="H336" s="6">
        <v>1705.0</v>
      </c>
      <c r="I336" s="6">
        <v>0.9201</v>
      </c>
      <c r="J336" s="6">
        <v>1.0</v>
      </c>
      <c r="K336" s="6">
        <v>0.9382</v>
      </c>
      <c r="L336" s="6">
        <v>1.0</v>
      </c>
      <c r="M336" s="6">
        <v>0.9205</v>
      </c>
    </row>
    <row r="337">
      <c r="A337" s="5" t="s">
        <v>69</v>
      </c>
      <c r="B337" s="5" t="s">
        <v>1867</v>
      </c>
      <c r="C337" s="5" t="s">
        <v>60</v>
      </c>
      <c r="D337" s="6">
        <v>5.0</v>
      </c>
      <c r="E337" s="6">
        <v>2.0</v>
      </c>
      <c r="F337" s="6">
        <v>2.0</v>
      </c>
      <c r="G337" s="6">
        <v>4.0</v>
      </c>
      <c r="H337" s="6">
        <v>1705.0</v>
      </c>
      <c r="I337" s="6">
        <v>1.0</v>
      </c>
      <c r="J337" s="6">
        <v>1.0</v>
      </c>
      <c r="K337" s="6">
        <v>1.0</v>
      </c>
      <c r="L337" s="6">
        <v>1.0</v>
      </c>
      <c r="M337" s="6">
        <v>1.0</v>
      </c>
    </row>
    <row r="338">
      <c r="A338" s="5" t="s">
        <v>134</v>
      </c>
      <c r="B338" s="5" t="s">
        <v>163</v>
      </c>
      <c r="C338" s="5" t="s">
        <v>56</v>
      </c>
      <c r="D338" s="6">
        <v>1.0</v>
      </c>
      <c r="E338" s="6">
        <v>1.0</v>
      </c>
      <c r="F338" s="6">
        <v>8.0</v>
      </c>
      <c r="G338" s="6">
        <v>2.0</v>
      </c>
      <c r="H338" s="6">
        <v>49096.0</v>
      </c>
      <c r="I338" s="6">
        <v>0.2511</v>
      </c>
      <c r="J338" s="6">
        <v>0.0</v>
      </c>
      <c r="K338" s="6">
        <v>0.0</v>
      </c>
      <c r="L338" s="6">
        <v>0.4163</v>
      </c>
      <c r="M338" s="6">
        <v>0.2613</v>
      </c>
    </row>
    <row r="339">
      <c r="A339" s="5" t="s">
        <v>134</v>
      </c>
      <c r="B339" s="5" t="s">
        <v>163</v>
      </c>
      <c r="C339" s="5" t="s">
        <v>56</v>
      </c>
      <c r="D339" s="6">
        <v>1.0</v>
      </c>
      <c r="E339" s="6">
        <v>2.0</v>
      </c>
      <c r="F339" s="6">
        <v>8.0</v>
      </c>
      <c r="G339" s="6">
        <v>2.0</v>
      </c>
      <c r="H339" s="6">
        <v>49096.0</v>
      </c>
      <c r="I339" s="6">
        <v>0.4126</v>
      </c>
      <c r="J339" s="6">
        <v>0.173</v>
      </c>
      <c r="K339" s="6">
        <v>0.0</v>
      </c>
      <c r="L339" s="6">
        <v>1.0</v>
      </c>
      <c r="M339" s="6">
        <v>0.427</v>
      </c>
    </row>
    <row r="340">
      <c r="A340" s="5" t="s">
        <v>134</v>
      </c>
      <c r="B340" s="5" t="s">
        <v>163</v>
      </c>
      <c r="C340" s="5" t="s">
        <v>56</v>
      </c>
      <c r="D340" s="6">
        <v>1.0</v>
      </c>
      <c r="E340" s="6">
        <v>3.0</v>
      </c>
      <c r="F340" s="6">
        <v>8.0</v>
      </c>
      <c r="G340" s="6">
        <v>2.0</v>
      </c>
      <c r="H340" s="6">
        <v>49096.0</v>
      </c>
      <c r="I340" s="6">
        <v>0.5375</v>
      </c>
      <c r="J340" s="6">
        <v>0.585</v>
      </c>
      <c r="K340" s="6">
        <v>0.0036</v>
      </c>
      <c r="L340" s="6">
        <v>1.0</v>
      </c>
      <c r="M340" s="6">
        <v>0.5533</v>
      </c>
    </row>
    <row r="341">
      <c r="A341" s="5" t="s">
        <v>134</v>
      </c>
      <c r="B341" s="5" t="s">
        <v>163</v>
      </c>
      <c r="C341" s="5" t="s">
        <v>56</v>
      </c>
      <c r="D341" s="6">
        <v>1.0</v>
      </c>
      <c r="E341" s="6">
        <v>4.0</v>
      </c>
      <c r="F341" s="6">
        <v>8.0</v>
      </c>
      <c r="G341" s="6">
        <v>2.0</v>
      </c>
      <c r="H341" s="6">
        <v>49096.0</v>
      </c>
      <c r="I341" s="6">
        <v>0.6589</v>
      </c>
      <c r="J341" s="6">
        <v>0.9782</v>
      </c>
      <c r="K341" s="6">
        <v>0.211</v>
      </c>
      <c r="L341" s="6">
        <v>1.0</v>
      </c>
      <c r="M341" s="6">
        <v>0.6738</v>
      </c>
    </row>
    <row r="342">
      <c r="A342" s="5" t="s">
        <v>134</v>
      </c>
      <c r="B342" s="5" t="s">
        <v>163</v>
      </c>
      <c r="C342" s="5" t="s">
        <v>56</v>
      </c>
      <c r="D342" s="6">
        <v>1.0</v>
      </c>
      <c r="E342" s="6">
        <v>5.0</v>
      </c>
      <c r="F342" s="6">
        <v>8.0</v>
      </c>
      <c r="G342" s="6">
        <v>2.0</v>
      </c>
      <c r="H342" s="6">
        <v>49096.0</v>
      </c>
      <c r="I342" s="6">
        <v>0.7684</v>
      </c>
      <c r="J342" s="6">
        <v>1.0</v>
      </c>
      <c r="K342" s="6">
        <v>0.5858</v>
      </c>
      <c r="L342" s="6">
        <v>1.0</v>
      </c>
      <c r="M342" s="6">
        <v>0.7808</v>
      </c>
    </row>
    <row r="343">
      <c r="A343" s="5" t="s">
        <v>134</v>
      </c>
      <c r="B343" s="5" t="s">
        <v>163</v>
      </c>
      <c r="C343" s="5" t="s">
        <v>56</v>
      </c>
      <c r="D343" s="6">
        <v>1.0</v>
      </c>
      <c r="E343" s="6">
        <v>6.0</v>
      </c>
      <c r="F343" s="6">
        <v>8.0</v>
      </c>
      <c r="G343" s="6">
        <v>2.0</v>
      </c>
      <c r="H343" s="6">
        <v>49096.0</v>
      </c>
      <c r="I343" s="6">
        <v>0.8782</v>
      </c>
      <c r="J343" s="6">
        <v>1.0</v>
      </c>
      <c r="K343" s="6">
        <v>0.9743</v>
      </c>
      <c r="L343" s="6">
        <v>1.0</v>
      </c>
      <c r="M343" s="6">
        <v>0.8856</v>
      </c>
    </row>
    <row r="344">
      <c r="A344" s="5" t="s">
        <v>134</v>
      </c>
      <c r="B344" s="5" t="s">
        <v>163</v>
      </c>
      <c r="C344" s="5" t="s">
        <v>56</v>
      </c>
      <c r="D344" s="6">
        <v>1.0</v>
      </c>
      <c r="E344" s="6">
        <v>7.0</v>
      </c>
      <c r="F344" s="6">
        <v>8.0</v>
      </c>
      <c r="G344" s="6">
        <v>2.0</v>
      </c>
      <c r="H344" s="6">
        <v>49096.0</v>
      </c>
      <c r="I344" s="6">
        <v>0.9916</v>
      </c>
      <c r="J344" s="6">
        <v>1.0</v>
      </c>
      <c r="K344" s="6">
        <v>1.0</v>
      </c>
      <c r="L344" s="6">
        <v>1.0</v>
      </c>
      <c r="M344" s="6">
        <v>0.9924</v>
      </c>
    </row>
    <row r="345">
      <c r="A345" s="5" t="s">
        <v>134</v>
      </c>
      <c r="B345" s="5" t="s">
        <v>163</v>
      </c>
      <c r="C345" s="5" t="s">
        <v>56</v>
      </c>
      <c r="D345" s="6">
        <v>1.0</v>
      </c>
      <c r="E345" s="6">
        <v>8.0</v>
      </c>
      <c r="F345" s="6">
        <v>8.0</v>
      </c>
      <c r="G345" s="6">
        <v>2.0</v>
      </c>
      <c r="H345" s="6">
        <v>49096.0</v>
      </c>
      <c r="I345" s="6">
        <v>1.0</v>
      </c>
      <c r="J345" s="6">
        <v>1.0</v>
      </c>
      <c r="K345" s="6">
        <v>1.0</v>
      </c>
      <c r="L345" s="6">
        <v>1.0</v>
      </c>
      <c r="M345" s="6">
        <v>1.0</v>
      </c>
    </row>
    <row r="346">
      <c r="A346" s="5" t="s">
        <v>134</v>
      </c>
      <c r="B346" s="5" t="s">
        <v>1867</v>
      </c>
      <c r="C346" s="5" t="s">
        <v>56</v>
      </c>
      <c r="D346" s="6">
        <v>1.0</v>
      </c>
      <c r="E346" s="6">
        <v>1.0</v>
      </c>
      <c r="F346" s="6">
        <v>8.0</v>
      </c>
      <c r="G346" s="6">
        <v>2.0</v>
      </c>
      <c r="H346" s="6">
        <v>37281.0</v>
      </c>
      <c r="I346" s="6">
        <v>0.2581</v>
      </c>
      <c r="J346" s="6">
        <v>1.0E-4</v>
      </c>
      <c r="K346" s="6">
        <v>0.0</v>
      </c>
      <c r="L346" s="6">
        <v>0.4537</v>
      </c>
      <c r="M346" s="6">
        <v>0.266</v>
      </c>
    </row>
    <row r="347">
      <c r="A347" s="5" t="s">
        <v>134</v>
      </c>
      <c r="B347" s="5" t="s">
        <v>1867</v>
      </c>
      <c r="C347" s="5" t="s">
        <v>56</v>
      </c>
      <c r="D347" s="6">
        <v>1.0</v>
      </c>
      <c r="E347" s="6">
        <v>2.0</v>
      </c>
      <c r="F347" s="6">
        <v>8.0</v>
      </c>
      <c r="G347" s="6">
        <v>2.0</v>
      </c>
      <c r="H347" s="6">
        <v>37281.0</v>
      </c>
      <c r="I347" s="6">
        <v>0.4295</v>
      </c>
      <c r="J347" s="6">
        <v>0.2172</v>
      </c>
      <c r="K347" s="6">
        <v>0.0</v>
      </c>
      <c r="L347" s="6">
        <v>1.0</v>
      </c>
      <c r="M347" s="6">
        <v>0.44</v>
      </c>
    </row>
    <row r="348">
      <c r="A348" s="5" t="s">
        <v>134</v>
      </c>
      <c r="B348" s="5" t="s">
        <v>1867</v>
      </c>
      <c r="C348" s="5" t="s">
        <v>56</v>
      </c>
      <c r="D348" s="6">
        <v>1.0</v>
      </c>
      <c r="E348" s="6">
        <v>3.0</v>
      </c>
      <c r="F348" s="6">
        <v>8.0</v>
      </c>
      <c r="G348" s="6">
        <v>2.0</v>
      </c>
      <c r="H348" s="6">
        <v>37281.0</v>
      </c>
      <c r="I348" s="6">
        <v>0.557</v>
      </c>
      <c r="J348" s="6">
        <v>0.6566</v>
      </c>
      <c r="K348" s="6">
        <v>0.0179</v>
      </c>
      <c r="L348" s="6">
        <v>1.0</v>
      </c>
      <c r="M348" s="6">
        <v>0.5683</v>
      </c>
    </row>
    <row r="349">
      <c r="A349" s="5" t="s">
        <v>134</v>
      </c>
      <c r="B349" s="5" t="s">
        <v>1867</v>
      </c>
      <c r="C349" s="5" t="s">
        <v>56</v>
      </c>
      <c r="D349" s="6">
        <v>1.0</v>
      </c>
      <c r="E349" s="6">
        <v>4.0</v>
      </c>
      <c r="F349" s="6">
        <v>8.0</v>
      </c>
      <c r="G349" s="6">
        <v>2.0</v>
      </c>
      <c r="H349" s="6">
        <v>37281.0</v>
      </c>
      <c r="I349" s="6">
        <v>0.6769</v>
      </c>
      <c r="J349" s="6">
        <v>0.9878</v>
      </c>
      <c r="K349" s="6">
        <v>0.2686</v>
      </c>
      <c r="L349" s="6">
        <v>1.0</v>
      </c>
      <c r="M349" s="6">
        <v>0.6882</v>
      </c>
    </row>
    <row r="350">
      <c r="A350" s="5" t="s">
        <v>134</v>
      </c>
      <c r="B350" s="5" t="s">
        <v>1867</v>
      </c>
      <c r="C350" s="5" t="s">
        <v>56</v>
      </c>
      <c r="D350" s="6">
        <v>1.0</v>
      </c>
      <c r="E350" s="6">
        <v>5.0</v>
      </c>
      <c r="F350" s="6">
        <v>8.0</v>
      </c>
      <c r="G350" s="6">
        <v>2.0</v>
      </c>
      <c r="H350" s="6">
        <v>37281.0</v>
      </c>
      <c r="I350" s="6">
        <v>0.7839</v>
      </c>
      <c r="J350" s="6">
        <v>1.0</v>
      </c>
      <c r="K350" s="6">
        <v>0.6515</v>
      </c>
      <c r="L350" s="6">
        <v>1.0</v>
      </c>
      <c r="M350" s="6">
        <v>0.7936</v>
      </c>
    </row>
    <row r="351">
      <c r="A351" s="5" t="s">
        <v>134</v>
      </c>
      <c r="B351" s="5" t="s">
        <v>1867</v>
      </c>
      <c r="C351" s="5" t="s">
        <v>56</v>
      </c>
      <c r="D351" s="6">
        <v>1.0</v>
      </c>
      <c r="E351" s="6">
        <v>6.0</v>
      </c>
      <c r="F351" s="6">
        <v>8.0</v>
      </c>
      <c r="G351" s="6">
        <v>2.0</v>
      </c>
      <c r="H351" s="6">
        <v>37281.0</v>
      </c>
      <c r="I351" s="6">
        <v>0.8891</v>
      </c>
      <c r="J351" s="6">
        <v>1.0</v>
      </c>
      <c r="K351" s="6">
        <v>0.9855</v>
      </c>
      <c r="L351" s="6">
        <v>1.0</v>
      </c>
      <c r="M351" s="6">
        <v>0.8948</v>
      </c>
    </row>
    <row r="352">
      <c r="A352" s="5" t="s">
        <v>134</v>
      </c>
      <c r="B352" s="5" t="s">
        <v>1867</v>
      </c>
      <c r="C352" s="5" t="s">
        <v>56</v>
      </c>
      <c r="D352" s="6">
        <v>1.0</v>
      </c>
      <c r="E352" s="6">
        <v>7.0</v>
      </c>
      <c r="F352" s="6">
        <v>8.0</v>
      </c>
      <c r="G352" s="6">
        <v>2.0</v>
      </c>
      <c r="H352" s="6">
        <v>37281.0</v>
      </c>
      <c r="I352" s="6">
        <v>0.9925</v>
      </c>
      <c r="J352" s="6">
        <v>1.0</v>
      </c>
      <c r="K352" s="6">
        <v>1.0</v>
      </c>
      <c r="L352" s="6">
        <v>1.0</v>
      </c>
      <c r="M352" s="6">
        <v>0.9931</v>
      </c>
    </row>
    <row r="353">
      <c r="A353" s="5" t="s">
        <v>134</v>
      </c>
      <c r="B353" s="5" t="s">
        <v>1867</v>
      </c>
      <c r="C353" s="5" t="s">
        <v>56</v>
      </c>
      <c r="D353" s="6">
        <v>1.0</v>
      </c>
      <c r="E353" s="6">
        <v>8.0</v>
      </c>
      <c r="F353" s="6">
        <v>8.0</v>
      </c>
      <c r="G353" s="6">
        <v>2.0</v>
      </c>
      <c r="H353" s="6">
        <v>37281.0</v>
      </c>
      <c r="I353" s="6">
        <v>1.0</v>
      </c>
      <c r="J353" s="6">
        <v>1.0</v>
      </c>
      <c r="K353" s="6">
        <v>1.0</v>
      </c>
      <c r="L353" s="6">
        <v>1.0</v>
      </c>
      <c r="M353" s="6">
        <v>1.0</v>
      </c>
    </row>
    <row r="354">
      <c r="A354" s="5" t="s">
        <v>134</v>
      </c>
      <c r="B354" s="5" t="s">
        <v>163</v>
      </c>
      <c r="C354" s="5" t="s">
        <v>57</v>
      </c>
      <c r="D354" s="6">
        <v>2.0</v>
      </c>
      <c r="E354" s="6">
        <v>1.0</v>
      </c>
      <c r="F354" s="6">
        <v>8.0</v>
      </c>
      <c r="G354" s="6">
        <v>2.0</v>
      </c>
      <c r="H354" s="6">
        <v>47500.0</v>
      </c>
      <c r="I354" s="6">
        <v>0.2575</v>
      </c>
      <c r="J354" s="6">
        <v>0.0099</v>
      </c>
      <c r="K354" s="6">
        <v>0.0</v>
      </c>
      <c r="L354" s="6">
        <v>0.4078</v>
      </c>
      <c r="M354" s="6">
        <v>0.2729</v>
      </c>
    </row>
    <row r="355">
      <c r="A355" s="5" t="s">
        <v>134</v>
      </c>
      <c r="B355" s="5" t="s">
        <v>163</v>
      </c>
      <c r="C355" s="5" t="s">
        <v>57</v>
      </c>
      <c r="D355" s="6">
        <v>2.0</v>
      </c>
      <c r="E355" s="6">
        <v>2.0</v>
      </c>
      <c r="F355" s="6">
        <v>8.0</v>
      </c>
      <c r="G355" s="6">
        <v>2.0</v>
      </c>
      <c r="H355" s="6">
        <v>47500.0</v>
      </c>
      <c r="I355" s="6">
        <v>0.4149</v>
      </c>
      <c r="J355" s="6">
        <v>0.2244</v>
      </c>
      <c r="K355" s="6">
        <v>0.0</v>
      </c>
      <c r="L355" s="6">
        <v>0.9986</v>
      </c>
      <c r="M355" s="6">
        <v>0.4346</v>
      </c>
    </row>
    <row r="356">
      <c r="A356" s="5" t="s">
        <v>134</v>
      </c>
      <c r="B356" s="5" t="s">
        <v>163</v>
      </c>
      <c r="C356" s="5" t="s">
        <v>57</v>
      </c>
      <c r="D356" s="6">
        <v>2.0</v>
      </c>
      <c r="E356" s="6">
        <v>3.0</v>
      </c>
      <c r="F356" s="6">
        <v>8.0</v>
      </c>
      <c r="G356" s="6">
        <v>2.0</v>
      </c>
      <c r="H356" s="6">
        <v>47500.0</v>
      </c>
      <c r="I356" s="6">
        <v>0.5439</v>
      </c>
      <c r="J356" s="6">
        <v>0.55</v>
      </c>
      <c r="K356" s="6">
        <v>0.0558</v>
      </c>
      <c r="L356" s="6">
        <v>1.0</v>
      </c>
      <c r="M356" s="6">
        <v>0.5629</v>
      </c>
    </row>
    <row r="357">
      <c r="A357" s="5" t="s">
        <v>134</v>
      </c>
      <c r="B357" s="5" t="s">
        <v>163</v>
      </c>
      <c r="C357" s="5" t="s">
        <v>57</v>
      </c>
      <c r="D357" s="6">
        <v>2.0</v>
      </c>
      <c r="E357" s="6">
        <v>4.0</v>
      </c>
      <c r="F357" s="6">
        <v>8.0</v>
      </c>
      <c r="G357" s="6">
        <v>2.0</v>
      </c>
      <c r="H357" s="6">
        <v>47500.0</v>
      </c>
      <c r="I357" s="6">
        <v>0.668</v>
      </c>
      <c r="J357" s="6">
        <v>0.9195</v>
      </c>
      <c r="K357" s="6">
        <v>0.3174</v>
      </c>
      <c r="L357" s="6">
        <v>1.0</v>
      </c>
      <c r="M357" s="6">
        <v>0.6852</v>
      </c>
    </row>
    <row r="358">
      <c r="A358" s="5" t="s">
        <v>134</v>
      </c>
      <c r="B358" s="5" t="s">
        <v>163</v>
      </c>
      <c r="C358" s="5" t="s">
        <v>57</v>
      </c>
      <c r="D358" s="6">
        <v>2.0</v>
      </c>
      <c r="E358" s="6">
        <v>5.0</v>
      </c>
      <c r="F358" s="6">
        <v>8.0</v>
      </c>
      <c r="G358" s="6">
        <v>2.0</v>
      </c>
      <c r="H358" s="6">
        <v>47500.0</v>
      </c>
      <c r="I358" s="6">
        <v>0.7748</v>
      </c>
      <c r="J358" s="6">
        <v>0.9998</v>
      </c>
      <c r="K358" s="6">
        <v>0.6116</v>
      </c>
      <c r="L358" s="6">
        <v>1.0</v>
      </c>
      <c r="M358" s="6">
        <v>0.7889</v>
      </c>
    </row>
    <row r="359">
      <c r="A359" s="5" t="s">
        <v>134</v>
      </c>
      <c r="B359" s="5" t="s">
        <v>163</v>
      </c>
      <c r="C359" s="5" t="s">
        <v>57</v>
      </c>
      <c r="D359" s="6">
        <v>2.0</v>
      </c>
      <c r="E359" s="6">
        <v>6.0</v>
      </c>
      <c r="F359" s="6">
        <v>8.0</v>
      </c>
      <c r="G359" s="6">
        <v>2.0</v>
      </c>
      <c r="H359" s="6">
        <v>47500.0</v>
      </c>
      <c r="I359" s="6">
        <v>0.8846</v>
      </c>
      <c r="J359" s="6">
        <v>1.0</v>
      </c>
      <c r="K359" s="6">
        <v>0.9206</v>
      </c>
      <c r="L359" s="6">
        <v>1.0</v>
      </c>
      <c r="M359" s="6">
        <v>0.893</v>
      </c>
    </row>
    <row r="360">
      <c r="A360" s="5" t="s">
        <v>134</v>
      </c>
      <c r="B360" s="5" t="s">
        <v>163</v>
      </c>
      <c r="C360" s="5" t="s">
        <v>57</v>
      </c>
      <c r="D360" s="6">
        <v>2.0</v>
      </c>
      <c r="E360" s="6">
        <v>7.0</v>
      </c>
      <c r="F360" s="6">
        <v>8.0</v>
      </c>
      <c r="G360" s="6">
        <v>2.0</v>
      </c>
      <c r="H360" s="6">
        <v>47500.0</v>
      </c>
      <c r="I360" s="6">
        <v>0.9932</v>
      </c>
      <c r="J360" s="6">
        <v>1.0</v>
      </c>
      <c r="K360" s="6">
        <v>1.0</v>
      </c>
      <c r="L360" s="6">
        <v>1.0</v>
      </c>
      <c r="M360" s="6">
        <v>0.994</v>
      </c>
    </row>
    <row r="361">
      <c r="A361" s="5" t="s">
        <v>134</v>
      </c>
      <c r="B361" s="5" t="s">
        <v>163</v>
      </c>
      <c r="C361" s="5" t="s">
        <v>57</v>
      </c>
      <c r="D361" s="6">
        <v>2.0</v>
      </c>
      <c r="E361" s="6">
        <v>8.0</v>
      </c>
      <c r="F361" s="6">
        <v>8.0</v>
      </c>
      <c r="G361" s="6">
        <v>2.0</v>
      </c>
      <c r="H361" s="6">
        <v>47500.0</v>
      </c>
      <c r="I361" s="6">
        <v>1.0</v>
      </c>
      <c r="J361" s="6">
        <v>1.0</v>
      </c>
      <c r="K361" s="6">
        <v>1.0</v>
      </c>
      <c r="L361" s="6">
        <v>1.0</v>
      </c>
      <c r="M361" s="6">
        <v>1.0</v>
      </c>
    </row>
    <row r="362">
      <c r="A362" s="5" t="s">
        <v>134</v>
      </c>
      <c r="B362" s="5" t="s">
        <v>1867</v>
      </c>
      <c r="C362" s="5" t="s">
        <v>57</v>
      </c>
      <c r="D362" s="6">
        <v>2.0</v>
      </c>
      <c r="E362" s="6">
        <v>1.0</v>
      </c>
      <c r="F362" s="6">
        <v>8.0</v>
      </c>
      <c r="G362" s="6">
        <v>2.0</v>
      </c>
      <c r="H362" s="6">
        <v>28345.0</v>
      </c>
      <c r="I362" s="6">
        <v>0.2381</v>
      </c>
      <c r="J362" s="6">
        <v>0.0027</v>
      </c>
      <c r="K362" s="6">
        <v>0.0</v>
      </c>
      <c r="L362" s="6">
        <v>0.3269</v>
      </c>
      <c r="M362" s="6">
        <v>0.2511</v>
      </c>
    </row>
    <row r="363">
      <c r="A363" s="5" t="s">
        <v>134</v>
      </c>
      <c r="B363" s="5" t="s">
        <v>1867</v>
      </c>
      <c r="C363" s="5" t="s">
        <v>57</v>
      </c>
      <c r="D363" s="6">
        <v>2.0</v>
      </c>
      <c r="E363" s="6">
        <v>2.0</v>
      </c>
      <c r="F363" s="6">
        <v>8.0</v>
      </c>
      <c r="G363" s="6">
        <v>2.0</v>
      </c>
      <c r="H363" s="6">
        <v>28345.0</v>
      </c>
      <c r="I363" s="6">
        <v>0.3967</v>
      </c>
      <c r="J363" s="6">
        <v>0.2026</v>
      </c>
      <c r="K363" s="6">
        <v>0.0</v>
      </c>
      <c r="L363" s="6">
        <v>0.9746</v>
      </c>
      <c r="M363" s="6">
        <v>0.4139</v>
      </c>
    </row>
    <row r="364">
      <c r="A364" s="5" t="s">
        <v>134</v>
      </c>
      <c r="B364" s="5" t="s">
        <v>1867</v>
      </c>
      <c r="C364" s="5" t="s">
        <v>57</v>
      </c>
      <c r="D364" s="6">
        <v>2.0</v>
      </c>
      <c r="E364" s="6">
        <v>3.0</v>
      </c>
      <c r="F364" s="6">
        <v>8.0</v>
      </c>
      <c r="G364" s="6">
        <v>2.0</v>
      </c>
      <c r="H364" s="6">
        <v>28345.0</v>
      </c>
      <c r="I364" s="6">
        <v>0.5307</v>
      </c>
      <c r="J364" s="6">
        <v>0.5266</v>
      </c>
      <c r="K364" s="6">
        <v>0.0426</v>
      </c>
      <c r="L364" s="6">
        <v>1.0</v>
      </c>
      <c r="M364" s="6">
        <v>0.5475</v>
      </c>
    </row>
    <row r="365">
      <c r="A365" s="5" t="s">
        <v>134</v>
      </c>
      <c r="B365" s="5" t="s">
        <v>1867</v>
      </c>
      <c r="C365" s="5" t="s">
        <v>57</v>
      </c>
      <c r="D365" s="6">
        <v>2.0</v>
      </c>
      <c r="E365" s="6">
        <v>4.0</v>
      </c>
      <c r="F365" s="6">
        <v>8.0</v>
      </c>
      <c r="G365" s="6">
        <v>2.0</v>
      </c>
      <c r="H365" s="6">
        <v>28345.0</v>
      </c>
      <c r="I365" s="6">
        <v>0.6573</v>
      </c>
      <c r="J365" s="6">
        <v>0.884</v>
      </c>
      <c r="K365" s="6">
        <v>0.2856</v>
      </c>
      <c r="L365" s="6">
        <v>1.0</v>
      </c>
      <c r="M365" s="6">
        <v>0.6722</v>
      </c>
    </row>
    <row r="366">
      <c r="A366" s="5" t="s">
        <v>134</v>
      </c>
      <c r="B366" s="5" t="s">
        <v>1867</v>
      </c>
      <c r="C366" s="5" t="s">
        <v>57</v>
      </c>
      <c r="D366" s="6">
        <v>2.0</v>
      </c>
      <c r="E366" s="6">
        <v>5.0</v>
      </c>
      <c r="F366" s="6">
        <v>8.0</v>
      </c>
      <c r="G366" s="6">
        <v>2.0</v>
      </c>
      <c r="H366" s="6">
        <v>28345.0</v>
      </c>
      <c r="I366" s="6">
        <v>0.7679</v>
      </c>
      <c r="J366" s="6">
        <v>0.9986</v>
      </c>
      <c r="K366" s="6">
        <v>0.5976</v>
      </c>
      <c r="L366" s="6">
        <v>1.0</v>
      </c>
      <c r="M366" s="6">
        <v>0.7804</v>
      </c>
    </row>
    <row r="367">
      <c r="A367" s="5" t="s">
        <v>134</v>
      </c>
      <c r="B367" s="5" t="s">
        <v>1867</v>
      </c>
      <c r="C367" s="5" t="s">
        <v>57</v>
      </c>
      <c r="D367" s="6">
        <v>2.0</v>
      </c>
      <c r="E367" s="6">
        <v>6.0</v>
      </c>
      <c r="F367" s="6">
        <v>8.0</v>
      </c>
      <c r="G367" s="6">
        <v>2.0</v>
      </c>
      <c r="H367" s="6">
        <v>28345.0</v>
      </c>
      <c r="I367" s="6">
        <v>0.8819</v>
      </c>
      <c r="J367" s="6">
        <v>1.0</v>
      </c>
      <c r="K367" s="6">
        <v>0.9355</v>
      </c>
      <c r="L367" s="6">
        <v>1.0</v>
      </c>
      <c r="M367" s="6">
        <v>0.8888</v>
      </c>
    </row>
    <row r="368">
      <c r="A368" s="5" t="s">
        <v>134</v>
      </c>
      <c r="B368" s="5" t="s">
        <v>1867</v>
      </c>
      <c r="C368" s="5" t="s">
        <v>57</v>
      </c>
      <c r="D368" s="6">
        <v>2.0</v>
      </c>
      <c r="E368" s="6">
        <v>7.0</v>
      </c>
      <c r="F368" s="6">
        <v>8.0</v>
      </c>
      <c r="G368" s="6">
        <v>2.0</v>
      </c>
      <c r="H368" s="6">
        <v>28345.0</v>
      </c>
      <c r="I368" s="6">
        <v>0.9932</v>
      </c>
      <c r="J368" s="6">
        <v>1.0</v>
      </c>
      <c r="K368" s="6">
        <v>1.0</v>
      </c>
      <c r="L368" s="6">
        <v>1.0</v>
      </c>
      <c r="M368" s="6">
        <v>0.994</v>
      </c>
    </row>
    <row r="369">
      <c r="A369" s="5" t="s">
        <v>134</v>
      </c>
      <c r="B369" s="5" t="s">
        <v>1867</v>
      </c>
      <c r="C369" s="5" t="s">
        <v>57</v>
      </c>
      <c r="D369" s="6">
        <v>2.0</v>
      </c>
      <c r="E369" s="6">
        <v>8.0</v>
      </c>
      <c r="F369" s="6">
        <v>8.0</v>
      </c>
      <c r="G369" s="6">
        <v>2.0</v>
      </c>
      <c r="H369" s="6">
        <v>28345.0</v>
      </c>
      <c r="I369" s="6">
        <v>1.0</v>
      </c>
      <c r="J369" s="6">
        <v>1.0</v>
      </c>
      <c r="K369" s="6">
        <v>1.0</v>
      </c>
      <c r="L369" s="6">
        <v>1.0</v>
      </c>
      <c r="M369" s="6">
        <v>1.0</v>
      </c>
    </row>
    <row r="370">
      <c r="A370" s="5" t="s">
        <v>134</v>
      </c>
      <c r="B370" s="5" t="s">
        <v>163</v>
      </c>
      <c r="C370" s="5" t="s">
        <v>58</v>
      </c>
      <c r="D370" s="6">
        <v>3.0</v>
      </c>
      <c r="E370" s="6">
        <v>1.0</v>
      </c>
      <c r="F370" s="6">
        <v>8.0</v>
      </c>
      <c r="G370" s="6">
        <v>2.0</v>
      </c>
      <c r="H370" s="6">
        <v>35132.0</v>
      </c>
      <c r="I370" s="6">
        <v>0.2375</v>
      </c>
      <c r="J370" s="6">
        <v>0.0195</v>
      </c>
      <c r="K370" s="6">
        <v>0.0</v>
      </c>
      <c r="L370" s="6">
        <v>0.311</v>
      </c>
      <c r="M370" s="6">
        <v>0.2543</v>
      </c>
    </row>
    <row r="371">
      <c r="A371" s="5" t="s">
        <v>134</v>
      </c>
      <c r="B371" s="5" t="s">
        <v>163</v>
      </c>
      <c r="C371" s="5" t="s">
        <v>58</v>
      </c>
      <c r="D371" s="6">
        <v>3.0</v>
      </c>
      <c r="E371" s="6">
        <v>2.0</v>
      </c>
      <c r="F371" s="6">
        <v>8.0</v>
      </c>
      <c r="G371" s="6">
        <v>2.0</v>
      </c>
      <c r="H371" s="6">
        <v>35132.0</v>
      </c>
      <c r="I371" s="6">
        <v>0.3834</v>
      </c>
      <c r="J371" s="6">
        <v>0.2173</v>
      </c>
      <c r="K371" s="6">
        <v>1.0E-4</v>
      </c>
      <c r="L371" s="6">
        <v>0.9003</v>
      </c>
      <c r="M371" s="6">
        <v>0.4041</v>
      </c>
    </row>
    <row r="372">
      <c r="A372" s="5" t="s">
        <v>134</v>
      </c>
      <c r="B372" s="5" t="s">
        <v>163</v>
      </c>
      <c r="C372" s="5" t="s">
        <v>58</v>
      </c>
      <c r="D372" s="6">
        <v>3.0</v>
      </c>
      <c r="E372" s="6">
        <v>3.0</v>
      </c>
      <c r="F372" s="6">
        <v>8.0</v>
      </c>
      <c r="G372" s="6">
        <v>2.0</v>
      </c>
      <c r="H372" s="6">
        <v>35132.0</v>
      </c>
      <c r="I372" s="6">
        <v>0.5104</v>
      </c>
      <c r="J372" s="6">
        <v>0.4577</v>
      </c>
      <c r="K372" s="6">
        <v>0.0611</v>
      </c>
      <c r="L372" s="6">
        <v>1.0</v>
      </c>
      <c r="M372" s="6">
        <v>0.5315</v>
      </c>
    </row>
    <row r="373">
      <c r="A373" s="5" t="s">
        <v>134</v>
      </c>
      <c r="B373" s="5" t="s">
        <v>163</v>
      </c>
      <c r="C373" s="5" t="s">
        <v>58</v>
      </c>
      <c r="D373" s="6">
        <v>3.0</v>
      </c>
      <c r="E373" s="6">
        <v>4.0</v>
      </c>
      <c r="F373" s="6">
        <v>8.0</v>
      </c>
      <c r="G373" s="6">
        <v>2.0</v>
      </c>
      <c r="H373" s="6">
        <v>35132.0</v>
      </c>
      <c r="I373" s="6">
        <v>0.6376</v>
      </c>
      <c r="J373" s="6">
        <v>0.7528</v>
      </c>
      <c r="K373" s="6">
        <v>0.3203</v>
      </c>
      <c r="L373" s="6">
        <v>1.0</v>
      </c>
      <c r="M373" s="6">
        <v>0.6569</v>
      </c>
    </row>
    <row r="374">
      <c r="A374" s="5" t="s">
        <v>134</v>
      </c>
      <c r="B374" s="5" t="s">
        <v>163</v>
      </c>
      <c r="C374" s="5" t="s">
        <v>58</v>
      </c>
      <c r="D374" s="6">
        <v>3.0</v>
      </c>
      <c r="E374" s="6">
        <v>5.0</v>
      </c>
      <c r="F374" s="6">
        <v>8.0</v>
      </c>
      <c r="G374" s="6">
        <v>2.0</v>
      </c>
      <c r="H374" s="6">
        <v>35132.0</v>
      </c>
      <c r="I374" s="6">
        <v>0.7503</v>
      </c>
      <c r="J374" s="6">
        <v>0.971</v>
      </c>
      <c r="K374" s="6">
        <v>0.5734</v>
      </c>
      <c r="L374" s="6">
        <v>1.0</v>
      </c>
      <c r="M374" s="6">
        <v>0.7662</v>
      </c>
    </row>
    <row r="375">
      <c r="A375" s="5" t="s">
        <v>134</v>
      </c>
      <c r="B375" s="5" t="s">
        <v>163</v>
      </c>
      <c r="C375" s="5" t="s">
        <v>58</v>
      </c>
      <c r="D375" s="6">
        <v>3.0</v>
      </c>
      <c r="E375" s="6">
        <v>6.0</v>
      </c>
      <c r="F375" s="6">
        <v>8.0</v>
      </c>
      <c r="G375" s="6">
        <v>2.0</v>
      </c>
      <c r="H375" s="6">
        <v>35132.0</v>
      </c>
      <c r="I375" s="6">
        <v>0.8728</v>
      </c>
      <c r="J375" s="6">
        <v>1.0</v>
      </c>
      <c r="K375" s="6">
        <v>0.8583</v>
      </c>
      <c r="L375" s="6">
        <v>1.0</v>
      </c>
      <c r="M375" s="6">
        <v>0.8818</v>
      </c>
    </row>
    <row r="376">
      <c r="A376" s="5" t="s">
        <v>134</v>
      </c>
      <c r="B376" s="5" t="s">
        <v>163</v>
      </c>
      <c r="C376" s="5" t="s">
        <v>58</v>
      </c>
      <c r="D376" s="6">
        <v>3.0</v>
      </c>
      <c r="E376" s="6">
        <v>7.0</v>
      </c>
      <c r="F376" s="6">
        <v>8.0</v>
      </c>
      <c r="G376" s="6">
        <v>2.0</v>
      </c>
      <c r="H376" s="6">
        <v>35132.0</v>
      </c>
      <c r="I376" s="6">
        <v>0.9936</v>
      </c>
      <c r="J376" s="6">
        <v>1.0</v>
      </c>
      <c r="K376" s="6">
        <v>1.0</v>
      </c>
      <c r="L376" s="6">
        <v>1.0</v>
      </c>
      <c r="M376" s="6">
        <v>0.9944</v>
      </c>
    </row>
    <row r="377">
      <c r="A377" s="5" t="s">
        <v>134</v>
      </c>
      <c r="B377" s="5" t="s">
        <v>163</v>
      </c>
      <c r="C377" s="5" t="s">
        <v>58</v>
      </c>
      <c r="D377" s="6">
        <v>3.0</v>
      </c>
      <c r="E377" s="6">
        <v>8.0</v>
      </c>
      <c r="F377" s="6">
        <v>8.0</v>
      </c>
      <c r="G377" s="6">
        <v>2.0</v>
      </c>
      <c r="H377" s="6">
        <v>35132.0</v>
      </c>
      <c r="I377" s="6">
        <v>1.0</v>
      </c>
      <c r="J377" s="6">
        <v>1.0</v>
      </c>
      <c r="K377" s="6">
        <v>1.0</v>
      </c>
      <c r="L377" s="6">
        <v>1.0</v>
      </c>
      <c r="M377" s="6">
        <v>1.0</v>
      </c>
    </row>
    <row r="378">
      <c r="A378" s="5" t="s">
        <v>134</v>
      </c>
      <c r="B378" s="5" t="s">
        <v>1867</v>
      </c>
      <c r="C378" s="5" t="s">
        <v>58</v>
      </c>
      <c r="D378" s="6">
        <v>3.0</v>
      </c>
      <c r="E378" s="6">
        <v>1.0</v>
      </c>
      <c r="F378" s="6">
        <v>8.0</v>
      </c>
      <c r="G378" s="6">
        <v>2.0</v>
      </c>
      <c r="H378" s="6">
        <v>20358.0</v>
      </c>
      <c r="I378" s="6">
        <v>0.2077</v>
      </c>
      <c r="J378" s="6">
        <v>0.0037</v>
      </c>
      <c r="K378" s="6">
        <v>0.0</v>
      </c>
      <c r="L378" s="6">
        <v>0.2442</v>
      </c>
      <c r="M378" s="6">
        <v>0.2213</v>
      </c>
    </row>
    <row r="379">
      <c r="A379" s="5" t="s">
        <v>134</v>
      </c>
      <c r="B379" s="5" t="s">
        <v>1867</v>
      </c>
      <c r="C379" s="5" t="s">
        <v>58</v>
      </c>
      <c r="D379" s="6">
        <v>3.0</v>
      </c>
      <c r="E379" s="6">
        <v>2.0</v>
      </c>
      <c r="F379" s="6">
        <v>8.0</v>
      </c>
      <c r="G379" s="6">
        <v>2.0</v>
      </c>
      <c r="H379" s="6">
        <v>20358.0</v>
      </c>
      <c r="I379" s="6">
        <v>0.3532</v>
      </c>
      <c r="J379" s="6">
        <v>0.1746</v>
      </c>
      <c r="K379" s="6">
        <v>0.0</v>
      </c>
      <c r="L379" s="6">
        <v>0.7499</v>
      </c>
      <c r="M379" s="6">
        <v>0.3707</v>
      </c>
    </row>
    <row r="380">
      <c r="A380" s="5" t="s">
        <v>134</v>
      </c>
      <c r="B380" s="5" t="s">
        <v>1867</v>
      </c>
      <c r="C380" s="5" t="s">
        <v>58</v>
      </c>
      <c r="D380" s="6">
        <v>3.0</v>
      </c>
      <c r="E380" s="6">
        <v>3.0</v>
      </c>
      <c r="F380" s="6">
        <v>8.0</v>
      </c>
      <c r="G380" s="6">
        <v>2.0</v>
      </c>
      <c r="H380" s="6">
        <v>20358.0</v>
      </c>
      <c r="I380" s="6">
        <v>0.4863</v>
      </c>
      <c r="J380" s="6">
        <v>0.4329</v>
      </c>
      <c r="K380" s="6">
        <v>0.0129</v>
      </c>
      <c r="L380" s="6">
        <v>0.9974</v>
      </c>
      <c r="M380" s="6">
        <v>0.5041</v>
      </c>
    </row>
    <row r="381">
      <c r="A381" s="5" t="s">
        <v>134</v>
      </c>
      <c r="B381" s="5" t="s">
        <v>1867</v>
      </c>
      <c r="C381" s="5" t="s">
        <v>58</v>
      </c>
      <c r="D381" s="6">
        <v>3.0</v>
      </c>
      <c r="E381" s="6">
        <v>4.0</v>
      </c>
      <c r="F381" s="6">
        <v>8.0</v>
      </c>
      <c r="G381" s="6">
        <v>2.0</v>
      </c>
      <c r="H381" s="6">
        <v>20358.0</v>
      </c>
      <c r="I381" s="6">
        <v>0.6184</v>
      </c>
      <c r="J381" s="6">
        <v>0.7267</v>
      </c>
      <c r="K381" s="6">
        <v>0.2488</v>
      </c>
      <c r="L381" s="6">
        <v>1.0</v>
      </c>
      <c r="M381" s="6">
        <v>0.6348</v>
      </c>
    </row>
    <row r="382">
      <c r="A382" s="5" t="s">
        <v>134</v>
      </c>
      <c r="B382" s="5" t="s">
        <v>1867</v>
      </c>
      <c r="C382" s="5" t="s">
        <v>58</v>
      </c>
      <c r="D382" s="6">
        <v>3.0</v>
      </c>
      <c r="E382" s="6">
        <v>5.0</v>
      </c>
      <c r="F382" s="6">
        <v>8.0</v>
      </c>
      <c r="G382" s="6">
        <v>2.0</v>
      </c>
      <c r="H382" s="6">
        <v>20358.0</v>
      </c>
      <c r="I382" s="6">
        <v>0.7381</v>
      </c>
      <c r="J382" s="6">
        <v>0.9717</v>
      </c>
      <c r="K382" s="6">
        <v>0.5458</v>
      </c>
      <c r="L382" s="6">
        <v>1.0</v>
      </c>
      <c r="M382" s="6">
        <v>0.7519</v>
      </c>
    </row>
    <row r="383">
      <c r="A383" s="5" t="s">
        <v>134</v>
      </c>
      <c r="B383" s="5" t="s">
        <v>1867</v>
      </c>
      <c r="C383" s="5" t="s">
        <v>58</v>
      </c>
      <c r="D383" s="6">
        <v>3.0</v>
      </c>
      <c r="E383" s="6">
        <v>6.0</v>
      </c>
      <c r="F383" s="6">
        <v>8.0</v>
      </c>
      <c r="G383" s="6">
        <v>2.0</v>
      </c>
      <c r="H383" s="6">
        <v>20358.0</v>
      </c>
      <c r="I383" s="6">
        <v>0.8668</v>
      </c>
      <c r="J383" s="6">
        <v>1.0</v>
      </c>
      <c r="K383" s="6">
        <v>0.8725</v>
      </c>
      <c r="L383" s="6">
        <v>1.0</v>
      </c>
      <c r="M383" s="6">
        <v>0.8748</v>
      </c>
    </row>
    <row r="384">
      <c r="A384" s="5" t="s">
        <v>134</v>
      </c>
      <c r="B384" s="5" t="s">
        <v>1867</v>
      </c>
      <c r="C384" s="5" t="s">
        <v>58</v>
      </c>
      <c r="D384" s="6">
        <v>3.0</v>
      </c>
      <c r="E384" s="6">
        <v>7.0</v>
      </c>
      <c r="F384" s="6">
        <v>8.0</v>
      </c>
      <c r="G384" s="6">
        <v>2.0</v>
      </c>
      <c r="H384" s="6">
        <v>20358.0</v>
      </c>
      <c r="I384" s="6">
        <v>0.9923</v>
      </c>
      <c r="J384" s="6">
        <v>1.0</v>
      </c>
      <c r="K384" s="6">
        <v>1.0</v>
      </c>
      <c r="L384" s="6">
        <v>1.0</v>
      </c>
      <c r="M384" s="6">
        <v>0.9932</v>
      </c>
    </row>
    <row r="385">
      <c r="A385" s="5" t="s">
        <v>134</v>
      </c>
      <c r="B385" s="5" t="s">
        <v>1867</v>
      </c>
      <c r="C385" s="5" t="s">
        <v>58</v>
      </c>
      <c r="D385" s="6">
        <v>3.0</v>
      </c>
      <c r="E385" s="6">
        <v>8.0</v>
      </c>
      <c r="F385" s="6">
        <v>8.0</v>
      </c>
      <c r="G385" s="6">
        <v>2.0</v>
      </c>
      <c r="H385" s="6">
        <v>20358.0</v>
      </c>
      <c r="I385" s="6">
        <v>1.0</v>
      </c>
      <c r="J385" s="6">
        <v>1.0</v>
      </c>
      <c r="K385" s="6">
        <v>1.0</v>
      </c>
      <c r="L385" s="6">
        <v>1.0</v>
      </c>
      <c r="M385" s="6">
        <v>1.0</v>
      </c>
    </row>
    <row r="386">
      <c r="A386" s="5" t="s">
        <v>134</v>
      </c>
      <c r="B386" s="5" t="s">
        <v>163</v>
      </c>
      <c r="C386" s="5" t="s">
        <v>59</v>
      </c>
      <c r="D386" s="6">
        <v>4.0</v>
      </c>
      <c r="E386" s="6">
        <v>1.0</v>
      </c>
      <c r="F386" s="6">
        <v>8.0</v>
      </c>
      <c r="G386" s="6">
        <v>2.0</v>
      </c>
      <c r="H386" s="6">
        <v>15563.0</v>
      </c>
      <c r="I386" s="6">
        <v>0.2136</v>
      </c>
      <c r="J386" s="6">
        <v>0.0401</v>
      </c>
      <c r="K386" s="6">
        <v>0.0</v>
      </c>
      <c r="L386" s="6">
        <v>0.242</v>
      </c>
      <c r="M386" s="6">
        <v>0.2316</v>
      </c>
    </row>
    <row r="387">
      <c r="A387" s="5" t="s">
        <v>134</v>
      </c>
      <c r="B387" s="5" t="s">
        <v>163</v>
      </c>
      <c r="C387" s="5" t="s">
        <v>59</v>
      </c>
      <c r="D387" s="6">
        <v>4.0</v>
      </c>
      <c r="E387" s="6">
        <v>2.0</v>
      </c>
      <c r="F387" s="6">
        <v>8.0</v>
      </c>
      <c r="G387" s="6">
        <v>2.0</v>
      </c>
      <c r="H387" s="6">
        <v>15563.0</v>
      </c>
      <c r="I387" s="6">
        <v>0.3401</v>
      </c>
      <c r="J387" s="6">
        <v>0.2057</v>
      </c>
      <c r="K387" s="6">
        <v>0.0</v>
      </c>
      <c r="L387" s="6">
        <v>0.5941</v>
      </c>
      <c r="M387" s="6">
        <v>0.3624</v>
      </c>
    </row>
    <row r="388">
      <c r="A388" s="5" t="s">
        <v>134</v>
      </c>
      <c r="B388" s="5" t="s">
        <v>163</v>
      </c>
      <c r="C388" s="5" t="s">
        <v>59</v>
      </c>
      <c r="D388" s="6">
        <v>4.0</v>
      </c>
      <c r="E388" s="6">
        <v>3.0</v>
      </c>
      <c r="F388" s="6">
        <v>8.0</v>
      </c>
      <c r="G388" s="6">
        <v>2.0</v>
      </c>
      <c r="H388" s="6">
        <v>15563.0</v>
      </c>
      <c r="I388" s="6">
        <v>0.4699</v>
      </c>
      <c r="J388" s="6">
        <v>0.408</v>
      </c>
      <c r="K388" s="6">
        <v>0.0528</v>
      </c>
      <c r="L388" s="6">
        <v>0.9636</v>
      </c>
      <c r="M388" s="6">
        <v>0.4922</v>
      </c>
    </row>
    <row r="389">
      <c r="A389" s="5" t="s">
        <v>134</v>
      </c>
      <c r="B389" s="5" t="s">
        <v>163</v>
      </c>
      <c r="C389" s="5" t="s">
        <v>59</v>
      </c>
      <c r="D389" s="6">
        <v>4.0</v>
      </c>
      <c r="E389" s="6">
        <v>4.0</v>
      </c>
      <c r="F389" s="6">
        <v>8.0</v>
      </c>
      <c r="G389" s="6">
        <v>2.0</v>
      </c>
      <c r="H389" s="6">
        <v>15563.0</v>
      </c>
      <c r="I389" s="6">
        <v>0.6027</v>
      </c>
      <c r="J389" s="6">
        <v>0.6346</v>
      </c>
      <c r="K389" s="6">
        <v>0.3121</v>
      </c>
      <c r="L389" s="6">
        <v>1.0</v>
      </c>
      <c r="M389" s="6">
        <v>0.6236</v>
      </c>
    </row>
    <row r="390">
      <c r="A390" s="5" t="s">
        <v>134</v>
      </c>
      <c r="B390" s="5" t="s">
        <v>163</v>
      </c>
      <c r="C390" s="5" t="s">
        <v>59</v>
      </c>
      <c r="D390" s="6">
        <v>4.0</v>
      </c>
      <c r="E390" s="6">
        <v>5.0</v>
      </c>
      <c r="F390" s="6">
        <v>8.0</v>
      </c>
      <c r="G390" s="6">
        <v>2.0</v>
      </c>
      <c r="H390" s="6">
        <v>15563.0</v>
      </c>
      <c r="I390" s="6">
        <v>0.7286</v>
      </c>
      <c r="J390" s="6">
        <v>0.854</v>
      </c>
      <c r="K390" s="6">
        <v>0.5721</v>
      </c>
      <c r="L390" s="6">
        <v>1.0</v>
      </c>
      <c r="M390" s="6">
        <v>0.7446</v>
      </c>
    </row>
    <row r="391">
      <c r="A391" s="5" t="s">
        <v>134</v>
      </c>
      <c r="B391" s="5" t="s">
        <v>163</v>
      </c>
      <c r="C391" s="5" t="s">
        <v>59</v>
      </c>
      <c r="D391" s="6">
        <v>4.0</v>
      </c>
      <c r="E391" s="6">
        <v>6.0</v>
      </c>
      <c r="F391" s="6">
        <v>8.0</v>
      </c>
      <c r="G391" s="6">
        <v>2.0</v>
      </c>
      <c r="H391" s="6">
        <v>15563.0</v>
      </c>
      <c r="I391" s="6">
        <v>0.8602</v>
      </c>
      <c r="J391" s="6">
        <v>0.9989</v>
      </c>
      <c r="K391" s="6">
        <v>0.8232</v>
      </c>
      <c r="L391" s="6">
        <v>1.0</v>
      </c>
      <c r="M391" s="6">
        <v>0.869</v>
      </c>
    </row>
    <row r="392">
      <c r="A392" s="5" t="s">
        <v>134</v>
      </c>
      <c r="B392" s="5" t="s">
        <v>163</v>
      </c>
      <c r="C392" s="5" t="s">
        <v>59</v>
      </c>
      <c r="D392" s="6">
        <v>4.0</v>
      </c>
      <c r="E392" s="6">
        <v>7.0</v>
      </c>
      <c r="F392" s="6">
        <v>8.0</v>
      </c>
      <c r="G392" s="6">
        <v>2.0</v>
      </c>
      <c r="H392" s="6">
        <v>15563.0</v>
      </c>
      <c r="I392" s="6">
        <v>0.9936</v>
      </c>
      <c r="J392" s="6">
        <v>1.0</v>
      </c>
      <c r="K392" s="6">
        <v>1.0</v>
      </c>
      <c r="L392" s="6">
        <v>1.0</v>
      </c>
      <c r="M392" s="6">
        <v>0.9942</v>
      </c>
    </row>
    <row r="393">
      <c r="A393" s="5" t="s">
        <v>134</v>
      </c>
      <c r="B393" s="5" t="s">
        <v>163</v>
      </c>
      <c r="C393" s="5" t="s">
        <v>59</v>
      </c>
      <c r="D393" s="6">
        <v>4.0</v>
      </c>
      <c r="E393" s="6">
        <v>8.0</v>
      </c>
      <c r="F393" s="6">
        <v>8.0</v>
      </c>
      <c r="G393" s="6">
        <v>2.0</v>
      </c>
      <c r="H393" s="6">
        <v>15563.0</v>
      </c>
      <c r="I393" s="6">
        <v>1.0</v>
      </c>
      <c r="J393" s="6">
        <v>1.0</v>
      </c>
      <c r="K393" s="6">
        <v>1.0</v>
      </c>
      <c r="L393" s="6">
        <v>1.0</v>
      </c>
      <c r="M393" s="6">
        <v>1.0</v>
      </c>
    </row>
    <row r="394">
      <c r="A394" s="5" t="s">
        <v>134</v>
      </c>
      <c r="B394" s="5" t="s">
        <v>1867</v>
      </c>
      <c r="C394" s="5" t="s">
        <v>59</v>
      </c>
      <c r="D394" s="6">
        <v>4.0</v>
      </c>
      <c r="E394" s="6">
        <v>1.0</v>
      </c>
      <c r="F394" s="6">
        <v>8.0</v>
      </c>
      <c r="G394" s="6">
        <v>2.0</v>
      </c>
      <c r="H394" s="6">
        <v>9630.0</v>
      </c>
      <c r="I394" s="6">
        <v>0.184</v>
      </c>
      <c r="J394" s="6">
        <v>0.0012</v>
      </c>
      <c r="K394" s="6">
        <v>0.0</v>
      </c>
      <c r="L394" s="6">
        <v>0.1982</v>
      </c>
      <c r="M394" s="6">
        <v>0.198</v>
      </c>
    </row>
    <row r="395">
      <c r="A395" s="5" t="s">
        <v>134</v>
      </c>
      <c r="B395" s="5" t="s">
        <v>1867</v>
      </c>
      <c r="C395" s="5" t="s">
        <v>59</v>
      </c>
      <c r="D395" s="6">
        <v>4.0</v>
      </c>
      <c r="E395" s="6">
        <v>2.0</v>
      </c>
      <c r="F395" s="6">
        <v>8.0</v>
      </c>
      <c r="G395" s="6">
        <v>2.0</v>
      </c>
      <c r="H395" s="6">
        <v>9630.0</v>
      </c>
      <c r="I395" s="6">
        <v>0.3174</v>
      </c>
      <c r="J395" s="6">
        <v>0.146</v>
      </c>
      <c r="K395" s="6">
        <v>0.0</v>
      </c>
      <c r="L395" s="6">
        <v>0.5807</v>
      </c>
      <c r="M395" s="6">
        <v>0.335</v>
      </c>
    </row>
    <row r="396">
      <c r="A396" s="5" t="s">
        <v>134</v>
      </c>
      <c r="B396" s="5" t="s">
        <v>1867</v>
      </c>
      <c r="C396" s="5" t="s">
        <v>59</v>
      </c>
      <c r="D396" s="6">
        <v>4.0</v>
      </c>
      <c r="E396" s="6">
        <v>3.0</v>
      </c>
      <c r="F396" s="6">
        <v>8.0</v>
      </c>
      <c r="G396" s="6">
        <v>2.0</v>
      </c>
      <c r="H396" s="6">
        <v>9630.0</v>
      </c>
      <c r="I396" s="6">
        <v>0.4507</v>
      </c>
      <c r="J396" s="6">
        <v>0.3894</v>
      </c>
      <c r="K396" s="6">
        <v>9.0E-4</v>
      </c>
      <c r="L396" s="6">
        <v>0.9403</v>
      </c>
      <c r="M396" s="6">
        <v>0.4687</v>
      </c>
    </row>
    <row r="397">
      <c r="A397" s="5" t="s">
        <v>134</v>
      </c>
      <c r="B397" s="5" t="s">
        <v>1867</v>
      </c>
      <c r="C397" s="5" t="s">
        <v>59</v>
      </c>
      <c r="D397" s="6">
        <v>4.0</v>
      </c>
      <c r="E397" s="6">
        <v>4.0</v>
      </c>
      <c r="F397" s="6">
        <v>8.0</v>
      </c>
      <c r="G397" s="6">
        <v>2.0</v>
      </c>
      <c r="H397" s="6">
        <v>9630.0</v>
      </c>
      <c r="I397" s="6">
        <v>0.5883</v>
      </c>
      <c r="J397" s="6">
        <v>0.6451</v>
      </c>
      <c r="K397" s="6">
        <v>0.2078</v>
      </c>
      <c r="L397" s="6">
        <v>1.0</v>
      </c>
      <c r="M397" s="6">
        <v>0.6055</v>
      </c>
    </row>
    <row r="398">
      <c r="A398" s="5" t="s">
        <v>134</v>
      </c>
      <c r="B398" s="5" t="s">
        <v>1867</v>
      </c>
      <c r="C398" s="5" t="s">
        <v>59</v>
      </c>
      <c r="D398" s="6">
        <v>4.0</v>
      </c>
      <c r="E398" s="6">
        <v>5.0</v>
      </c>
      <c r="F398" s="6">
        <v>8.0</v>
      </c>
      <c r="G398" s="6">
        <v>2.0</v>
      </c>
      <c r="H398" s="6">
        <v>9630.0</v>
      </c>
      <c r="I398" s="6">
        <v>0.716</v>
      </c>
      <c r="J398" s="6">
        <v>0.8944</v>
      </c>
      <c r="K398" s="6">
        <v>0.5267</v>
      </c>
      <c r="L398" s="6">
        <v>1.0</v>
      </c>
      <c r="M398" s="6">
        <v>0.7297</v>
      </c>
    </row>
    <row r="399">
      <c r="A399" s="5" t="s">
        <v>134</v>
      </c>
      <c r="B399" s="5" t="s">
        <v>1867</v>
      </c>
      <c r="C399" s="5" t="s">
        <v>59</v>
      </c>
      <c r="D399" s="6">
        <v>4.0</v>
      </c>
      <c r="E399" s="6">
        <v>6.0</v>
      </c>
      <c r="F399" s="6">
        <v>8.0</v>
      </c>
      <c r="G399" s="6">
        <v>2.0</v>
      </c>
      <c r="H399" s="6">
        <v>9630.0</v>
      </c>
      <c r="I399" s="6">
        <v>0.8555</v>
      </c>
      <c r="J399" s="6">
        <v>1.0</v>
      </c>
      <c r="K399" s="6">
        <v>0.8349</v>
      </c>
      <c r="L399" s="6">
        <v>1.0</v>
      </c>
      <c r="M399" s="6">
        <v>0.8628</v>
      </c>
    </row>
    <row r="400">
      <c r="A400" s="5" t="s">
        <v>134</v>
      </c>
      <c r="B400" s="5" t="s">
        <v>1867</v>
      </c>
      <c r="C400" s="5" t="s">
        <v>59</v>
      </c>
      <c r="D400" s="6">
        <v>4.0</v>
      </c>
      <c r="E400" s="6">
        <v>7.0</v>
      </c>
      <c r="F400" s="6">
        <v>8.0</v>
      </c>
      <c r="G400" s="6">
        <v>2.0</v>
      </c>
      <c r="H400" s="6">
        <v>9630.0</v>
      </c>
      <c r="I400" s="6">
        <v>0.9925</v>
      </c>
      <c r="J400" s="6">
        <v>1.0</v>
      </c>
      <c r="K400" s="6">
        <v>1.0</v>
      </c>
      <c r="L400" s="6">
        <v>1.0</v>
      </c>
      <c r="M400" s="6">
        <v>0.9931</v>
      </c>
    </row>
    <row r="401">
      <c r="A401" s="5" t="s">
        <v>134</v>
      </c>
      <c r="B401" s="5" t="s">
        <v>1867</v>
      </c>
      <c r="C401" s="5" t="s">
        <v>59</v>
      </c>
      <c r="D401" s="6">
        <v>4.0</v>
      </c>
      <c r="E401" s="6">
        <v>8.0</v>
      </c>
      <c r="F401" s="6">
        <v>8.0</v>
      </c>
      <c r="G401" s="6">
        <v>2.0</v>
      </c>
      <c r="H401" s="6">
        <v>9630.0</v>
      </c>
      <c r="I401" s="6">
        <v>1.0</v>
      </c>
      <c r="J401" s="6">
        <v>1.0</v>
      </c>
      <c r="K401" s="6">
        <v>1.0</v>
      </c>
      <c r="L401" s="6">
        <v>1.0</v>
      </c>
      <c r="M401" s="6">
        <v>1.0</v>
      </c>
    </row>
    <row r="402">
      <c r="A402" s="5" t="s">
        <v>134</v>
      </c>
      <c r="B402" s="5" t="s">
        <v>163</v>
      </c>
      <c r="C402" s="5" t="s">
        <v>60</v>
      </c>
      <c r="D402" s="6">
        <v>5.0</v>
      </c>
      <c r="E402" s="6">
        <v>1.0</v>
      </c>
      <c r="F402" s="6">
        <v>8.0</v>
      </c>
      <c r="G402" s="6">
        <v>2.0</v>
      </c>
      <c r="H402" s="6">
        <v>1532.0</v>
      </c>
      <c r="I402" s="6">
        <v>0.1801</v>
      </c>
      <c r="J402" s="6">
        <v>0.0616</v>
      </c>
      <c r="K402" s="6">
        <v>0.0</v>
      </c>
      <c r="L402" s="6">
        <v>0.2028</v>
      </c>
      <c r="M402" s="6">
        <v>0.1992</v>
      </c>
    </row>
    <row r="403">
      <c r="A403" s="5" t="s">
        <v>134</v>
      </c>
      <c r="B403" s="5" t="s">
        <v>163</v>
      </c>
      <c r="C403" s="5" t="s">
        <v>60</v>
      </c>
      <c r="D403" s="6">
        <v>5.0</v>
      </c>
      <c r="E403" s="6">
        <v>2.0</v>
      </c>
      <c r="F403" s="6">
        <v>8.0</v>
      </c>
      <c r="G403" s="6">
        <v>2.0</v>
      </c>
      <c r="H403" s="6">
        <v>1532.0</v>
      </c>
      <c r="I403" s="6">
        <v>0.3059</v>
      </c>
      <c r="J403" s="6">
        <v>0.2224</v>
      </c>
      <c r="K403" s="6">
        <v>0.0</v>
      </c>
      <c r="L403" s="6">
        <v>0.4534</v>
      </c>
      <c r="M403" s="6">
        <v>0.3256</v>
      </c>
    </row>
    <row r="404">
      <c r="A404" s="5" t="s">
        <v>134</v>
      </c>
      <c r="B404" s="5" t="s">
        <v>163</v>
      </c>
      <c r="C404" s="5" t="s">
        <v>60</v>
      </c>
      <c r="D404" s="6">
        <v>5.0</v>
      </c>
      <c r="E404" s="6">
        <v>3.0</v>
      </c>
      <c r="F404" s="6">
        <v>8.0</v>
      </c>
      <c r="G404" s="6">
        <v>2.0</v>
      </c>
      <c r="H404" s="6">
        <v>1532.0</v>
      </c>
      <c r="I404" s="6">
        <v>0.4434</v>
      </c>
      <c r="J404" s="6">
        <v>0.4084</v>
      </c>
      <c r="K404" s="6">
        <v>0.0084</v>
      </c>
      <c r="L404" s="6">
        <v>0.7767</v>
      </c>
      <c r="M404" s="6">
        <v>0.4614</v>
      </c>
    </row>
    <row r="405">
      <c r="A405" s="5" t="s">
        <v>134</v>
      </c>
      <c r="B405" s="5" t="s">
        <v>163</v>
      </c>
      <c r="C405" s="5" t="s">
        <v>60</v>
      </c>
      <c r="D405" s="6">
        <v>5.0</v>
      </c>
      <c r="E405" s="6">
        <v>4.0</v>
      </c>
      <c r="F405" s="6">
        <v>8.0</v>
      </c>
      <c r="G405" s="6">
        <v>2.0</v>
      </c>
      <c r="H405" s="6">
        <v>1532.0</v>
      </c>
      <c r="I405" s="6">
        <v>0.5761</v>
      </c>
      <c r="J405" s="6">
        <v>0.6018</v>
      </c>
      <c r="K405" s="6">
        <v>0.3133</v>
      </c>
      <c r="L405" s="6">
        <v>0.9983</v>
      </c>
      <c r="M405" s="6">
        <v>0.5917</v>
      </c>
    </row>
    <row r="406">
      <c r="A406" s="5" t="s">
        <v>134</v>
      </c>
      <c r="B406" s="5" t="s">
        <v>163</v>
      </c>
      <c r="C406" s="5" t="s">
        <v>60</v>
      </c>
      <c r="D406" s="6">
        <v>5.0</v>
      </c>
      <c r="E406" s="6">
        <v>5.0</v>
      </c>
      <c r="F406" s="6">
        <v>8.0</v>
      </c>
      <c r="G406" s="6">
        <v>2.0</v>
      </c>
      <c r="H406" s="6">
        <v>1532.0</v>
      </c>
      <c r="I406" s="6">
        <v>0.6994</v>
      </c>
      <c r="J406" s="6">
        <v>0.7755</v>
      </c>
      <c r="K406" s="6">
        <v>0.5712</v>
      </c>
      <c r="L406" s="6">
        <v>1.0</v>
      </c>
      <c r="M406" s="6">
        <v>0.7118</v>
      </c>
    </row>
    <row r="407">
      <c r="A407" s="5" t="s">
        <v>134</v>
      </c>
      <c r="B407" s="5" t="s">
        <v>163</v>
      </c>
      <c r="C407" s="5" t="s">
        <v>60</v>
      </c>
      <c r="D407" s="6">
        <v>5.0</v>
      </c>
      <c r="E407" s="6">
        <v>6.0</v>
      </c>
      <c r="F407" s="6">
        <v>8.0</v>
      </c>
      <c r="G407" s="6">
        <v>2.0</v>
      </c>
      <c r="H407" s="6">
        <v>1532.0</v>
      </c>
      <c r="I407" s="6">
        <v>0.8445</v>
      </c>
      <c r="J407" s="6">
        <v>0.9681</v>
      </c>
      <c r="K407" s="6">
        <v>0.8158</v>
      </c>
      <c r="L407" s="6">
        <v>1.0</v>
      </c>
      <c r="M407" s="6">
        <v>0.8514</v>
      </c>
    </row>
    <row r="408">
      <c r="A408" s="5" t="s">
        <v>134</v>
      </c>
      <c r="B408" s="5" t="s">
        <v>163</v>
      </c>
      <c r="C408" s="5" t="s">
        <v>60</v>
      </c>
      <c r="D408" s="6">
        <v>5.0</v>
      </c>
      <c r="E408" s="6">
        <v>7.0</v>
      </c>
      <c r="F408" s="6">
        <v>8.0</v>
      </c>
      <c r="G408" s="6">
        <v>2.0</v>
      </c>
      <c r="H408" s="6">
        <v>1532.0</v>
      </c>
      <c r="I408" s="6">
        <v>0.9923</v>
      </c>
      <c r="J408" s="6">
        <v>1.0</v>
      </c>
      <c r="K408" s="6">
        <v>1.0</v>
      </c>
      <c r="L408" s="6">
        <v>1.0</v>
      </c>
      <c r="M408" s="6">
        <v>0.9927</v>
      </c>
    </row>
    <row r="409">
      <c r="A409" s="5" t="s">
        <v>134</v>
      </c>
      <c r="B409" s="5" t="s">
        <v>163</v>
      </c>
      <c r="C409" s="5" t="s">
        <v>60</v>
      </c>
      <c r="D409" s="6">
        <v>5.0</v>
      </c>
      <c r="E409" s="6">
        <v>8.0</v>
      </c>
      <c r="F409" s="6">
        <v>8.0</v>
      </c>
      <c r="G409" s="6">
        <v>2.0</v>
      </c>
      <c r="H409" s="6">
        <v>1532.0</v>
      </c>
      <c r="I409" s="6">
        <v>1.0</v>
      </c>
      <c r="J409" s="6">
        <v>1.0</v>
      </c>
      <c r="K409" s="6">
        <v>1.0</v>
      </c>
      <c r="L409" s="6">
        <v>1.0</v>
      </c>
      <c r="M409" s="6">
        <v>1.0</v>
      </c>
    </row>
    <row r="410">
      <c r="A410" s="5" t="s">
        <v>134</v>
      </c>
      <c r="B410" s="5" t="s">
        <v>1867</v>
      </c>
      <c r="C410" s="5" t="s">
        <v>60</v>
      </c>
      <c r="D410" s="6">
        <v>5.0</v>
      </c>
      <c r="E410" s="6">
        <v>1.0</v>
      </c>
      <c r="F410" s="6">
        <v>8.0</v>
      </c>
      <c r="G410" s="6">
        <v>2.0</v>
      </c>
      <c r="H410" s="6">
        <v>1095.0</v>
      </c>
      <c r="I410" s="6">
        <v>0.163</v>
      </c>
      <c r="J410" s="6">
        <v>0.0</v>
      </c>
      <c r="K410" s="6">
        <v>0.0</v>
      </c>
      <c r="L410" s="6">
        <v>0.1631</v>
      </c>
      <c r="M410" s="6">
        <v>0.1732</v>
      </c>
    </row>
    <row r="411">
      <c r="A411" s="5" t="s">
        <v>134</v>
      </c>
      <c r="B411" s="5" t="s">
        <v>1867</v>
      </c>
      <c r="C411" s="5" t="s">
        <v>60</v>
      </c>
      <c r="D411" s="6">
        <v>5.0</v>
      </c>
      <c r="E411" s="6">
        <v>2.0</v>
      </c>
      <c r="F411" s="6">
        <v>8.0</v>
      </c>
      <c r="G411" s="6">
        <v>2.0</v>
      </c>
      <c r="H411" s="6">
        <v>1095.0</v>
      </c>
      <c r="I411" s="6">
        <v>0.2861</v>
      </c>
      <c r="J411" s="6">
        <v>0.0334</v>
      </c>
      <c r="K411" s="6">
        <v>0.0</v>
      </c>
      <c r="L411" s="6">
        <v>0.4874</v>
      </c>
      <c r="M411" s="6">
        <v>0.2969</v>
      </c>
    </row>
    <row r="412">
      <c r="A412" s="5" t="s">
        <v>134</v>
      </c>
      <c r="B412" s="5" t="s">
        <v>1867</v>
      </c>
      <c r="C412" s="5" t="s">
        <v>60</v>
      </c>
      <c r="D412" s="6">
        <v>5.0</v>
      </c>
      <c r="E412" s="6">
        <v>3.0</v>
      </c>
      <c r="F412" s="6">
        <v>8.0</v>
      </c>
      <c r="G412" s="6">
        <v>2.0</v>
      </c>
      <c r="H412" s="6">
        <v>1095.0</v>
      </c>
      <c r="I412" s="6">
        <v>0.4119</v>
      </c>
      <c r="J412" s="6">
        <v>0.3302</v>
      </c>
      <c r="K412" s="6">
        <v>0.0</v>
      </c>
      <c r="L412" s="6">
        <v>0.8782</v>
      </c>
      <c r="M412" s="6">
        <v>0.4233</v>
      </c>
    </row>
    <row r="413">
      <c r="A413" s="5" t="s">
        <v>134</v>
      </c>
      <c r="B413" s="5" t="s">
        <v>1867</v>
      </c>
      <c r="C413" s="5" t="s">
        <v>60</v>
      </c>
      <c r="D413" s="6">
        <v>5.0</v>
      </c>
      <c r="E413" s="6">
        <v>4.0</v>
      </c>
      <c r="F413" s="6">
        <v>8.0</v>
      </c>
      <c r="G413" s="6">
        <v>2.0</v>
      </c>
      <c r="H413" s="6">
        <v>1095.0</v>
      </c>
      <c r="I413" s="6">
        <v>0.5511</v>
      </c>
      <c r="J413" s="6">
        <v>0.6107</v>
      </c>
      <c r="K413" s="6">
        <v>0.0111</v>
      </c>
      <c r="L413" s="6">
        <v>1.0</v>
      </c>
      <c r="M413" s="6">
        <v>0.5628</v>
      </c>
    </row>
    <row r="414">
      <c r="A414" s="5" t="s">
        <v>134</v>
      </c>
      <c r="B414" s="5" t="s">
        <v>1867</v>
      </c>
      <c r="C414" s="5" t="s">
        <v>60</v>
      </c>
      <c r="D414" s="6">
        <v>5.0</v>
      </c>
      <c r="E414" s="6">
        <v>5.0</v>
      </c>
      <c r="F414" s="6">
        <v>8.0</v>
      </c>
      <c r="G414" s="6">
        <v>2.0</v>
      </c>
      <c r="H414" s="6">
        <v>1095.0</v>
      </c>
      <c r="I414" s="6">
        <v>0.6797</v>
      </c>
      <c r="J414" s="6">
        <v>0.8441</v>
      </c>
      <c r="K414" s="6">
        <v>0.4384</v>
      </c>
      <c r="L414" s="6">
        <v>1.0</v>
      </c>
      <c r="M414" s="6">
        <v>0.6894</v>
      </c>
    </row>
    <row r="415">
      <c r="A415" s="5" t="s">
        <v>134</v>
      </c>
      <c r="B415" s="5" t="s">
        <v>1867</v>
      </c>
      <c r="C415" s="5" t="s">
        <v>60</v>
      </c>
      <c r="D415" s="6">
        <v>5.0</v>
      </c>
      <c r="E415" s="6">
        <v>6.0</v>
      </c>
      <c r="F415" s="6">
        <v>8.0</v>
      </c>
      <c r="G415" s="6">
        <v>2.0</v>
      </c>
      <c r="H415" s="6">
        <v>1095.0</v>
      </c>
      <c r="I415" s="6">
        <v>0.8267</v>
      </c>
      <c r="J415" s="6">
        <v>0.9996</v>
      </c>
      <c r="K415" s="6">
        <v>0.8106</v>
      </c>
      <c r="L415" s="6">
        <v>1.0</v>
      </c>
      <c r="M415" s="6">
        <v>0.8322</v>
      </c>
    </row>
    <row r="416">
      <c r="A416" s="5" t="s">
        <v>134</v>
      </c>
      <c r="B416" s="5" t="s">
        <v>1867</v>
      </c>
      <c r="C416" s="5" t="s">
        <v>60</v>
      </c>
      <c r="D416" s="6">
        <v>5.0</v>
      </c>
      <c r="E416" s="6">
        <v>7.0</v>
      </c>
      <c r="F416" s="6">
        <v>8.0</v>
      </c>
      <c r="G416" s="6">
        <v>2.0</v>
      </c>
      <c r="H416" s="6">
        <v>1095.0</v>
      </c>
      <c r="I416" s="6">
        <v>0.9902</v>
      </c>
      <c r="J416" s="6">
        <v>1.0</v>
      </c>
      <c r="K416" s="6">
        <v>1.0</v>
      </c>
      <c r="L416" s="6">
        <v>1.0</v>
      </c>
      <c r="M416" s="6">
        <v>0.9912</v>
      </c>
    </row>
    <row r="417">
      <c r="A417" s="5" t="s">
        <v>134</v>
      </c>
      <c r="B417" s="5" t="s">
        <v>1867</v>
      </c>
      <c r="C417" s="5" t="s">
        <v>60</v>
      </c>
      <c r="D417" s="6">
        <v>5.0</v>
      </c>
      <c r="E417" s="6">
        <v>8.0</v>
      </c>
      <c r="F417" s="6">
        <v>8.0</v>
      </c>
      <c r="G417" s="6">
        <v>2.0</v>
      </c>
      <c r="H417" s="6">
        <v>1095.0</v>
      </c>
      <c r="I417" s="6">
        <v>1.0</v>
      </c>
      <c r="J417" s="6">
        <v>1.0</v>
      </c>
      <c r="K417" s="6">
        <v>1.0</v>
      </c>
      <c r="L417" s="6">
        <v>1.0</v>
      </c>
      <c r="M417" s="6">
        <v>1.0</v>
      </c>
    </row>
    <row r="418">
      <c r="A418" s="5" t="s">
        <v>32</v>
      </c>
      <c r="B418" s="5" t="s">
        <v>163</v>
      </c>
      <c r="C418" s="5" t="s">
        <v>56</v>
      </c>
      <c r="D418" s="6">
        <v>1.0</v>
      </c>
      <c r="E418" s="6">
        <v>1.0</v>
      </c>
      <c r="F418" s="6">
        <v>2.0</v>
      </c>
      <c r="G418" s="6">
        <v>4.0</v>
      </c>
      <c r="H418" s="6">
        <v>77372.0</v>
      </c>
      <c r="I418" s="6">
        <v>0.918</v>
      </c>
      <c r="J418" s="6">
        <v>1.0</v>
      </c>
      <c r="K418" s="6">
        <v>1.0</v>
      </c>
      <c r="L418" s="6">
        <v>1.0</v>
      </c>
      <c r="M418" s="6">
        <v>0.918</v>
      </c>
    </row>
    <row r="419">
      <c r="A419" s="5" t="s">
        <v>32</v>
      </c>
      <c r="B419" s="5" t="s">
        <v>163</v>
      </c>
      <c r="C419" s="5" t="s">
        <v>56</v>
      </c>
      <c r="D419" s="6">
        <v>1.0</v>
      </c>
      <c r="E419" s="6">
        <v>2.0</v>
      </c>
      <c r="F419" s="6">
        <v>2.0</v>
      </c>
      <c r="G419" s="6">
        <v>4.0</v>
      </c>
      <c r="H419" s="6">
        <v>77372.0</v>
      </c>
      <c r="I419" s="6">
        <v>1.0</v>
      </c>
      <c r="J419" s="6">
        <v>1.0</v>
      </c>
      <c r="K419" s="6">
        <v>1.0</v>
      </c>
      <c r="L419" s="6">
        <v>1.0</v>
      </c>
      <c r="M419" s="6">
        <v>1.0</v>
      </c>
    </row>
    <row r="420">
      <c r="A420" s="5" t="s">
        <v>32</v>
      </c>
      <c r="B420" s="5" t="s">
        <v>1867</v>
      </c>
      <c r="C420" s="5" t="s">
        <v>56</v>
      </c>
      <c r="D420" s="6">
        <v>1.0</v>
      </c>
      <c r="E420" s="6">
        <v>1.0</v>
      </c>
      <c r="F420" s="6">
        <v>2.0</v>
      </c>
      <c r="G420" s="6">
        <v>4.0</v>
      </c>
      <c r="H420" s="6">
        <v>56848.0</v>
      </c>
      <c r="I420" s="6">
        <v>0.9155</v>
      </c>
      <c r="J420" s="6">
        <v>1.0</v>
      </c>
      <c r="K420" s="6">
        <v>1.0</v>
      </c>
      <c r="L420" s="6">
        <v>1.0</v>
      </c>
      <c r="M420" s="6">
        <v>0.9155</v>
      </c>
    </row>
    <row r="421">
      <c r="A421" s="5" t="s">
        <v>32</v>
      </c>
      <c r="B421" s="5" t="s">
        <v>1867</v>
      </c>
      <c r="C421" s="5" t="s">
        <v>56</v>
      </c>
      <c r="D421" s="6">
        <v>1.0</v>
      </c>
      <c r="E421" s="6">
        <v>2.0</v>
      </c>
      <c r="F421" s="6">
        <v>2.0</v>
      </c>
      <c r="G421" s="6">
        <v>4.0</v>
      </c>
      <c r="H421" s="6">
        <v>56848.0</v>
      </c>
      <c r="I421" s="6">
        <v>1.0</v>
      </c>
      <c r="J421" s="6">
        <v>1.0</v>
      </c>
      <c r="K421" s="6">
        <v>1.0</v>
      </c>
      <c r="L421" s="6">
        <v>1.0</v>
      </c>
      <c r="M421" s="6">
        <v>1.0</v>
      </c>
    </row>
    <row r="422">
      <c r="A422" s="5" t="s">
        <v>32</v>
      </c>
      <c r="B422" s="5" t="s">
        <v>163</v>
      </c>
      <c r="C422" s="5" t="s">
        <v>57</v>
      </c>
      <c r="D422" s="6">
        <v>2.0</v>
      </c>
      <c r="E422" s="6">
        <v>1.0</v>
      </c>
      <c r="F422" s="6">
        <v>2.0</v>
      </c>
      <c r="G422" s="6">
        <v>4.0</v>
      </c>
      <c r="H422" s="6">
        <v>64967.0</v>
      </c>
      <c r="I422" s="6">
        <v>0.9259</v>
      </c>
      <c r="J422" s="6">
        <v>1.0</v>
      </c>
      <c r="K422" s="6">
        <v>0.9994</v>
      </c>
      <c r="L422" s="6">
        <v>1.0</v>
      </c>
      <c r="M422" s="6">
        <v>0.9259</v>
      </c>
    </row>
    <row r="423">
      <c r="A423" s="5" t="s">
        <v>32</v>
      </c>
      <c r="B423" s="5" t="s">
        <v>163</v>
      </c>
      <c r="C423" s="5" t="s">
        <v>57</v>
      </c>
      <c r="D423" s="6">
        <v>2.0</v>
      </c>
      <c r="E423" s="6">
        <v>2.0</v>
      </c>
      <c r="F423" s="6">
        <v>2.0</v>
      </c>
      <c r="G423" s="6">
        <v>4.0</v>
      </c>
      <c r="H423" s="6">
        <v>64967.0</v>
      </c>
      <c r="I423" s="6">
        <v>1.0</v>
      </c>
      <c r="J423" s="6">
        <v>1.0</v>
      </c>
      <c r="K423" s="6">
        <v>1.0</v>
      </c>
      <c r="L423" s="6">
        <v>1.0</v>
      </c>
      <c r="M423" s="6">
        <v>1.0</v>
      </c>
    </row>
    <row r="424">
      <c r="A424" s="5" t="s">
        <v>32</v>
      </c>
      <c r="B424" s="5" t="s">
        <v>1867</v>
      </c>
      <c r="C424" s="5" t="s">
        <v>57</v>
      </c>
      <c r="D424" s="6">
        <v>2.0</v>
      </c>
      <c r="E424" s="6">
        <v>1.0</v>
      </c>
      <c r="F424" s="6">
        <v>2.0</v>
      </c>
      <c r="G424" s="6">
        <v>4.0</v>
      </c>
      <c r="H424" s="6">
        <v>38091.0</v>
      </c>
      <c r="I424" s="6">
        <v>0.9152</v>
      </c>
      <c r="J424" s="6">
        <v>1.0</v>
      </c>
      <c r="K424" s="6">
        <v>0.9997</v>
      </c>
      <c r="L424" s="6">
        <v>1.0</v>
      </c>
      <c r="M424" s="6">
        <v>0.9152</v>
      </c>
    </row>
    <row r="425">
      <c r="A425" s="5" t="s">
        <v>32</v>
      </c>
      <c r="B425" s="5" t="s">
        <v>1867</v>
      </c>
      <c r="C425" s="5" t="s">
        <v>57</v>
      </c>
      <c r="D425" s="6">
        <v>2.0</v>
      </c>
      <c r="E425" s="6">
        <v>2.0</v>
      </c>
      <c r="F425" s="6">
        <v>2.0</v>
      </c>
      <c r="G425" s="6">
        <v>4.0</v>
      </c>
      <c r="H425" s="6">
        <v>38091.0</v>
      </c>
      <c r="I425" s="6">
        <v>1.0</v>
      </c>
      <c r="J425" s="6">
        <v>1.0</v>
      </c>
      <c r="K425" s="6">
        <v>1.0</v>
      </c>
      <c r="L425" s="6">
        <v>1.0</v>
      </c>
      <c r="M425" s="6">
        <v>1.0</v>
      </c>
    </row>
    <row r="426">
      <c r="A426" s="5" t="s">
        <v>32</v>
      </c>
      <c r="B426" s="5" t="s">
        <v>163</v>
      </c>
      <c r="C426" s="5" t="s">
        <v>58</v>
      </c>
      <c r="D426" s="6">
        <v>3.0</v>
      </c>
      <c r="E426" s="6">
        <v>1.0</v>
      </c>
      <c r="F426" s="6">
        <v>2.0</v>
      </c>
      <c r="G426" s="6">
        <v>4.0</v>
      </c>
      <c r="H426" s="6">
        <v>39093.0</v>
      </c>
      <c r="I426" s="6">
        <v>0.9259</v>
      </c>
      <c r="J426" s="6">
        <v>1.0</v>
      </c>
      <c r="K426" s="6">
        <v>0.9916</v>
      </c>
      <c r="L426" s="6">
        <v>1.0</v>
      </c>
      <c r="M426" s="6">
        <v>0.9259</v>
      </c>
    </row>
    <row r="427">
      <c r="A427" s="5" t="s">
        <v>32</v>
      </c>
      <c r="B427" s="5" t="s">
        <v>163</v>
      </c>
      <c r="C427" s="5" t="s">
        <v>58</v>
      </c>
      <c r="D427" s="6">
        <v>3.0</v>
      </c>
      <c r="E427" s="6">
        <v>2.0</v>
      </c>
      <c r="F427" s="6">
        <v>2.0</v>
      </c>
      <c r="G427" s="6">
        <v>4.0</v>
      </c>
      <c r="H427" s="6">
        <v>39093.0</v>
      </c>
      <c r="I427" s="6">
        <v>1.0</v>
      </c>
      <c r="J427" s="6">
        <v>1.0</v>
      </c>
      <c r="K427" s="6">
        <v>1.0</v>
      </c>
      <c r="L427" s="6">
        <v>1.0</v>
      </c>
      <c r="M427" s="6">
        <v>1.0</v>
      </c>
    </row>
    <row r="428">
      <c r="A428" s="5" t="s">
        <v>32</v>
      </c>
      <c r="B428" s="5" t="s">
        <v>1867</v>
      </c>
      <c r="C428" s="5" t="s">
        <v>58</v>
      </c>
      <c r="D428" s="6">
        <v>3.0</v>
      </c>
      <c r="E428" s="6">
        <v>1.0</v>
      </c>
      <c r="F428" s="6">
        <v>2.0</v>
      </c>
      <c r="G428" s="6">
        <v>4.0</v>
      </c>
      <c r="H428" s="6">
        <v>21624.0</v>
      </c>
      <c r="I428" s="6">
        <v>0.914</v>
      </c>
      <c r="J428" s="6">
        <v>1.0</v>
      </c>
      <c r="K428" s="6">
        <v>0.989</v>
      </c>
      <c r="L428" s="6">
        <v>1.0</v>
      </c>
      <c r="M428" s="6">
        <v>0.914</v>
      </c>
    </row>
    <row r="429">
      <c r="A429" s="5" t="s">
        <v>32</v>
      </c>
      <c r="B429" s="5" t="s">
        <v>1867</v>
      </c>
      <c r="C429" s="5" t="s">
        <v>58</v>
      </c>
      <c r="D429" s="6">
        <v>3.0</v>
      </c>
      <c r="E429" s="6">
        <v>2.0</v>
      </c>
      <c r="F429" s="6">
        <v>2.0</v>
      </c>
      <c r="G429" s="6">
        <v>4.0</v>
      </c>
      <c r="H429" s="6">
        <v>21624.0</v>
      </c>
      <c r="I429" s="6">
        <v>1.0</v>
      </c>
      <c r="J429" s="6">
        <v>1.0</v>
      </c>
      <c r="K429" s="6">
        <v>1.0</v>
      </c>
      <c r="L429" s="6">
        <v>1.0</v>
      </c>
      <c r="M429" s="6">
        <v>1.0</v>
      </c>
    </row>
    <row r="430">
      <c r="A430" s="5" t="s">
        <v>32</v>
      </c>
      <c r="B430" s="5" t="s">
        <v>163</v>
      </c>
      <c r="C430" s="5" t="s">
        <v>59</v>
      </c>
      <c r="D430" s="6">
        <v>4.0</v>
      </c>
      <c r="E430" s="6">
        <v>1.0</v>
      </c>
      <c r="F430" s="6">
        <v>2.0</v>
      </c>
      <c r="G430" s="6">
        <v>4.0</v>
      </c>
      <c r="H430" s="6">
        <v>19268.0</v>
      </c>
      <c r="I430" s="6">
        <v>0.9359</v>
      </c>
      <c r="J430" s="6">
        <v>1.0</v>
      </c>
      <c r="K430" s="6">
        <v>0.98</v>
      </c>
      <c r="L430" s="6">
        <v>1.0</v>
      </c>
      <c r="M430" s="6">
        <v>0.9359</v>
      </c>
    </row>
    <row r="431">
      <c r="A431" s="5" t="s">
        <v>32</v>
      </c>
      <c r="B431" s="5" t="s">
        <v>163</v>
      </c>
      <c r="C431" s="5" t="s">
        <v>59</v>
      </c>
      <c r="D431" s="6">
        <v>4.0</v>
      </c>
      <c r="E431" s="6">
        <v>2.0</v>
      </c>
      <c r="F431" s="6">
        <v>2.0</v>
      </c>
      <c r="G431" s="6">
        <v>4.0</v>
      </c>
      <c r="H431" s="6">
        <v>19268.0</v>
      </c>
      <c r="I431" s="6">
        <v>1.0</v>
      </c>
      <c r="J431" s="6">
        <v>1.0</v>
      </c>
      <c r="K431" s="6">
        <v>1.0</v>
      </c>
      <c r="L431" s="6">
        <v>1.0</v>
      </c>
      <c r="M431" s="6">
        <v>1.0</v>
      </c>
    </row>
    <row r="432">
      <c r="A432" s="5" t="s">
        <v>32</v>
      </c>
      <c r="B432" s="5" t="s">
        <v>1867</v>
      </c>
      <c r="C432" s="5" t="s">
        <v>59</v>
      </c>
      <c r="D432" s="6">
        <v>4.0</v>
      </c>
      <c r="E432" s="6">
        <v>1.0</v>
      </c>
      <c r="F432" s="6">
        <v>2.0</v>
      </c>
      <c r="G432" s="6">
        <v>4.0</v>
      </c>
      <c r="H432" s="6">
        <v>10188.0</v>
      </c>
      <c r="I432" s="6">
        <v>0.9157</v>
      </c>
      <c r="J432" s="6">
        <v>1.0</v>
      </c>
      <c r="K432" s="6">
        <v>0.9685</v>
      </c>
      <c r="L432" s="6">
        <v>1.0</v>
      </c>
      <c r="M432" s="6">
        <v>0.9157</v>
      </c>
    </row>
    <row r="433">
      <c r="A433" s="5" t="s">
        <v>32</v>
      </c>
      <c r="B433" s="5" t="s">
        <v>1867</v>
      </c>
      <c r="C433" s="5" t="s">
        <v>59</v>
      </c>
      <c r="D433" s="6">
        <v>4.0</v>
      </c>
      <c r="E433" s="6">
        <v>2.0</v>
      </c>
      <c r="F433" s="6">
        <v>2.0</v>
      </c>
      <c r="G433" s="6">
        <v>4.0</v>
      </c>
      <c r="H433" s="6">
        <v>10188.0</v>
      </c>
      <c r="I433" s="6">
        <v>1.0</v>
      </c>
      <c r="J433" s="6">
        <v>1.0</v>
      </c>
      <c r="K433" s="6">
        <v>1.0</v>
      </c>
      <c r="L433" s="6">
        <v>1.0</v>
      </c>
      <c r="M433" s="6">
        <v>1.0</v>
      </c>
    </row>
    <row r="434">
      <c r="A434" s="5" t="s">
        <v>32</v>
      </c>
      <c r="B434" s="5" t="s">
        <v>163</v>
      </c>
      <c r="C434" s="5" t="s">
        <v>60</v>
      </c>
      <c r="D434" s="6">
        <v>5.0</v>
      </c>
      <c r="E434" s="6">
        <v>1.0</v>
      </c>
      <c r="F434" s="6">
        <v>2.0</v>
      </c>
      <c r="G434" s="6">
        <v>4.0</v>
      </c>
      <c r="H434" s="6">
        <v>3067.0</v>
      </c>
      <c r="I434" s="6">
        <v>0.9381</v>
      </c>
      <c r="J434" s="6">
        <v>1.0</v>
      </c>
      <c r="K434" s="6">
        <v>0.9537</v>
      </c>
      <c r="L434" s="6">
        <v>1.0</v>
      </c>
      <c r="M434" s="6">
        <v>0.9381</v>
      </c>
    </row>
    <row r="435">
      <c r="A435" s="5" t="s">
        <v>32</v>
      </c>
      <c r="B435" s="5" t="s">
        <v>163</v>
      </c>
      <c r="C435" s="5" t="s">
        <v>60</v>
      </c>
      <c r="D435" s="6">
        <v>5.0</v>
      </c>
      <c r="E435" s="6">
        <v>2.0</v>
      </c>
      <c r="F435" s="6">
        <v>2.0</v>
      </c>
      <c r="G435" s="6">
        <v>4.0</v>
      </c>
      <c r="H435" s="6">
        <v>3067.0</v>
      </c>
      <c r="I435" s="6">
        <v>1.0</v>
      </c>
      <c r="J435" s="6">
        <v>1.0</v>
      </c>
      <c r="K435" s="6">
        <v>1.0</v>
      </c>
      <c r="L435" s="6">
        <v>1.0</v>
      </c>
      <c r="M435" s="6">
        <v>1.0</v>
      </c>
    </row>
    <row r="436">
      <c r="A436" s="5" t="s">
        <v>32</v>
      </c>
      <c r="B436" s="5" t="s">
        <v>1867</v>
      </c>
      <c r="C436" s="5" t="s">
        <v>60</v>
      </c>
      <c r="D436" s="6">
        <v>5.0</v>
      </c>
      <c r="E436" s="6">
        <v>1.0</v>
      </c>
      <c r="F436" s="6">
        <v>2.0</v>
      </c>
      <c r="G436" s="6">
        <v>4.0</v>
      </c>
      <c r="H436" s="6">
        <v>1565.0</v>
      </c>
      <c r="I436" s="6">
        <v>0.9255</v>
      </c>
      <c r="J436" s="6">
        <v>1.0</v>
      </c>
      <c r="K436" s="6">
        <v>0.944</v>
      </c>
      <c r="L436" s="6">
        <v>1.0</v>
      </c>
      <c r="M436" s="6">
        <v>0.9255</v>
      </c>
    </row>
    <row r="437">
      <c r="A437" s="5" t="s">
        <v>32</v>
      </c>
      <c r="B437" s="5" t="s">
        <v>1867</v>
      </c>
      <c r="C437" s="5" t="s">
        <v>60</v>
      </c>
      <c r="D437" s="6">
        <v>5.0</v>
      </c>
      <c r="E437" s="6">
        <v>2.0</v>
      </c>
      <c r="F437" s="6">
        <v>2.0</v>
      </c>
      <c r="G437" s="6">
        <v>4.0</v>
      </c>
      <c r="H437" s="6">
        <v>1565.0</v>
      </c>
      <c r="I437" s="6">
        <v>1.0</v>
      </c>
      <c r="J437" s="6">
        <v>1.0</v>
      </c>
      <c r="K437" s="6">
        <v>1.0</v>
      </c>
      <c r="L437" s="6">
        <v>1.0</v>
      </c>
      <c r="M437" s="6">
        <v>1.0</v>
      </c>
    </row>
  </sheetData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10" t="s">
        <v>2077</v>
      </c>
      <c r="B1" s="510" t="s">
        <v>2022</v>
      </c>
      <c r="C1" s="510" t="s">
        <v>2042</v>
      </c>
      <c r="D1" s="510" t="s">
        <v>2043</v>
      </c>
      <c r="E1" s="510" t="s">
        <v>2095</v>
      </c>
      <c r="F1" s="510" t="s">
        <v>2096</v>
      </c>
      <c r="G1" s="510" t="s">
        <v>2078</v>
      </c>
      <c r="H1" s="510" t="s">
        <v>2097</v>
      </c>
      <c r="I1" s="510" t="s">
        <v>2098</v>
      </c>
      <c r="J1" s="510" t="s">
        <v>2099</v>
      </c>
      <c r="K1" s="510" t="s">
        <v>2100</v>
      </c>
      <c r="L1" s="510" t="s">
        <v>2101</v>
      </c>
      <c r="M1" s="510" t="s">
        <v>2102</v>
      </c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" t="s">
        <v>43</v>
      </c>
      <c r="B2" s="5" t="s">
        <v>163</v>
      </c>
      <c r="C2" s="5" t="s">
        <v>56</v>
      </c>
      <c r="D2" s="6">
        <v>1.0</v>
      </c>
      <c r="E2" s="6">
        <v>1.0</v>
      </c>
      <c r="F2" s="6">
        <v>8.0</v>
      </c>
      <c r="G2" s="6">
        <v>5.0</v>
      </c>
      <c r="H2" s="6">
        <v>35851.0</v>
      </c>
      <c r="I2" s="6">
        <v>0.1632</v>
      </c>
      <c r="J2" s="6">
        <v>0.0</v>
      </c>
      <c r="K2" s="6">
        <v>0.0</v>
      </c>
      <c r="L2" s="6">
        <v>0.0076</v>
      </c>
      <c r="M2" s="5" t="s">
        <v>368</v>
      </c>
    </row>
    <row r="3">
      <c r="A3" s="5" t="s">
        <v>43</v>
      </c>
      <c r="B3" s="5" t="s">
        <v>163</v>
      </c>
      <c r="C3" s="5" t="s">
        <v>56</v>
      </c>
      <c r="D3" s="6">
        <v>1.0</v>
      </c>
      <c r="E3" s="6">
        <v>2.0</v>
      </c>
      <c r="F3" s="6">
        <v>8.0</v>
      </c>
      <c r="G3" s="6">
        <v>5.0</v>
      </c>
      <c r="H3" s="6">
        <v>35851.0</v>
      </c>
      <c r="I3" s="6">
        <v>0.3075</v>
      </c>
      <c r="J3" s="6">
        <v>5.0E-4</v>
      </c>
      <c r="K3" s="6">
        <v>0.0</v>
      </c>
      <c r="L3" s="6">
        <v>0.8727</v>
      </c>
      <c r="M3" s="5" t="s">
        <v>368</v>
      </c>
    </row>
    <row r="4">
      <c r="A4" s="5" t="s">
        <v>43</v>
      </c>
      <c r="B4" s="5" t="s">
        <v>163</v>
      </c>
      <c r="C4" s="5" t="s">
        <v>56</v>
      </c>
      <c r="D4" s="6">
        <v>1.0</v>
      </c>
      <c r="E4" s="6">
        <v>3.0</v>
      </c>
      <c r="F4" s="6">
        <v>8.0</v>
      </c>
      <c r="G4" s="6">
        <v>5.0</v>
      </c>
      <c r="H4" s="6">
        <v>35851.0</v>
      </c>
      <c r="I4" s="6">
        <v>0.4411</v>
      </c>
      <c r="J4" s="6">
        <v>0.206</v>
      </c>
      <c r="K4" s="6">
        <v>0.0</v>
      </c>
      <c r="L4" s="6">
        <v>1.0</v>
      </c>
      <c r="M4" s="5" t="s">
        <v>368</v>
      </c>
    </row>
    <row r="5">
      <c r="A5" s="5" t="s">
        <v>43</v>
      </c>
      <c r="B5" s="5" t="s">
        <v>163</v>
      </c>
      <c r="C5" s="5" t="s">
        <v>56</v>
      </c>
      <c r="D5" s="6">
        <v>1.0</v>
      </c>
      <c r="E5" s="6">
        <v>4.0</v>
      </c>
      <c r="F5" s="6">
        <v>8.0</v>
      </c>
      <c r="G5" s="6">
        <v>5.0</v>
      </c>
      <c r="H5" s="6">
        <v>35851.0</v>
      </c>
      <c r="I5" s="6">
        <v>0.5771</v>
      </c>
      <c r="J5" s="6">
        <v>0.8495</v>
      </c>
      <c r="K5" s="6">
        <v>4.0E-4</v>
      </c>
      <c r="L5" s="6">
        <v>1.0</v>
      </c>
      <c r="M5" s="5" t="s">
        <v>368</v>
      </c>
    </row>
    <row r="6">
      <c r="A6" s="5" t="s">
        <v>43</v>
      </c>
      <c r="B6" s="5" t="s">
        <v>163</v>
      </c>
      <c r="C6" s="5" t="s">
        <v>56</v>
      </c>
      <c r="D6" s="6">
        <v>1.0</v>
      </c>
      <c r="E6" s="6">
        <v>5.0</v>
      </c>
      <c r="F6" s="6">
        <v>8.0</v>
      </c>
      <c r="G6" s="6">
        <v>5.0</v>
      </c>
      <c r="H6" s="6">
        <v>35851.0</v>
      </c>
      <c r="I6" s="6">
        <v>0.7078</v>
      </c>
      <c r="J6" s="6">
        <v>1.0</v>
      </c>
      <c r="K6" s="6">
        <v>0.2754</v>
      </c>
      <c r="L6" s="6">
        <v>1.0</v>
      </c>
      <c r="M6" s="5" t="s">
        <v>368</v>
      </c>
    </row>
    <row r="7">
      <c r="A7" s="5" t="s">
        <v>43</v>
      </c>
      <c r="B7" s="5" t="s">
        <v>163</v>
      </c>
      <c r="C7" s="5" t="s">
        <v>56</v>
      </c>
      <c r="D7" s="6">
        <v>1.0</v>
      </c>
      <c r="E7" s="6">
        <v>6.0</v>
      </c>
      <c r="F7" s="6">
        <v>8.0</v>
      </c>
      <c r="G7" s="6">
        <v>5.0</v>
      </c>
      <c r="H7" s="6">
        <v>35851.0</v>
      </c>
      <c r="I7" s="6">
        <v>0.8346</v>
      </c>
      <c r="J7" s="6">
        <v>1.0</v>
      </c>
      <c r="K7" s="6">
        <v>0.9729</v>
      </c>
      <c r="L7" s="6">
        <v>1.0</v>
      </c>
      <c r="M7" s="5" t="s">
        <v>368</v>
      </c>
    </row>
    <row r="8">
      <c r="A8" s="5" t="s">
        <v>43</v>
      </c>
      <c r="B8" s="5" t="s">
        <v>163</v>
      </c>
      <c r="C8" s="5" t="s">
        <v>56</v>
      </c>
      <c r="D8" s="6">
        <v>1.0</v>
      </c>
      <c r="E8" s="6">
        <v>7.0</v>
      </c>
      <c r="F8" s="6">
        <v>8.0</v>
      </c>
      <c r="G8" s="6">
        <v>5.0</v>
      </c>
      <c r="H8" s="6">
        <v>35851.0</v>
      </c>
      <c r="I8" s="6">
        <v>0.9878</v>
      </c>
      <c r="J8" s="6">
        <v>1.0</v>
      </c>
      <c r="K8" s="6">
        <v>1.0</v>
      </c>
      <c r="L8" s="6">
        <v>1.0</v>
      </c>
      <c r="M8" s="5" t="s">
        <v>368</v>
      </c>
    </row>
    <row r="9">
      <c r="A9" s="5" t="s">
        <v>43</v>
      </c>
      <c r="B9" s="5" t="s">
        <v>163</v>
      </c>
      <c r="C9" s="5" t="s">
        <v>56</v>
      </c>
      <c r="D9" s="6">
        <v>1.0</v>
      </c>
      <c r="E9" s="6">
        <v>8.0</v>
      </c>
      <c r="F9" s="6">
        <v>8.0</v>
      </c>
      <c r="G9" s="6">
        <v>5.0</v>
      </c>
      <c r="H9" s="6">
        <v>35851.0</v>
      </c>
      <c r="I9" s="6">
        <v>0.998</v>
      </c>
      <c r="J9" s="6">
        <v>1.0</v>
      </c>
      <c r="K9" s="6">
        <v>1.0</v>
      </c>
      <c r="L9" s="6">
        <v>1.0</v>
      </c>
      <c r="M9" s="5" t="s">
        <v>368</v>
      </c>
    </row>
    <row r="10">
      <c r="A10" s="5" t="s">
        <v>43</v>
      </c>
      <c r="B10" s="5" t="s">
        <v>1867</v>
      </c>
      <c r="C10" s="5" t="s">
        <v>56</v>
      </c>
      <c r="D10" s="6">
        <v>1.0</v>
      </c>
      <c r="E10" s="6">
        <v>1.0</v>
      </c>
      <c r="F10" s="6">
        <v>8.0</v>
      </c>
      <c r="G10" s="6">
        <v>2.0</v>
      </c>
      <c r="H10" s="6">
        <v>28088.0</v>
      </c>
      <c r="I10" s="6">
        <v>0.1536</v>
      </c>
      <c r="J10" s="6">
        <v>0.0</v>
      </c>
      <c r="K10" s="6">
        <v>0.0</v>
      </c>
      <c r="L10" s="6">
        <v>0.0011</v>
      </c>
      <c r="M10" s="5" t="s">
        <v>368</v>
      </c>
    </row>
    <row r="11">
      <c r="A11" s="5" t="s">
        <v>43</v>
      </c>
      <c r="B11" s="5" t="s">
        <v>1867</v>
      </c>
      <c r="C11" s="5" t="s">
        <v>56</v>
      </c>
      <c r="D11" s="6">
        <v>1.0</v>
      </c>
      <c r="E11" s="6">
        <v>2.0</v>
      </c>
      <c r="F11" s="6">
        <v>8.0</v>
      </c>
      <c r="G11" s="6">
        <v>2.0</v>
      </c>
      <c r="H11" s="6">
        <v>28088.0</v>
      </c>
      <c r="I11" s="6">
        <v>0.3041</v>
      </c>
      <c r="J11" s="6">
        <v>0.0</v>
      </c>
      <c r="K11" s="6">
        <v>0.0</v>
      </c>
      <c r="L11" s="6">
        <v>0.8677</v>
      </c>
      <c r="M11" s="5" t="s">
        <v>368</v>
      </c>
    </row>
    <row r="12">
      <c r="A12" s="5" t="s">
        <v>43</v>
      </c>
      <c r="B12" s="5" t="s">
        <v>1867</v>
      </c>
      <c r="C12" s="5" t="s">
        <v>56</v>
      </c>
      <c r="D12" s="6">
        <v>1.0</v>
      </c>
      <c r="E12" s="6">
        <v>3.0</v>
      </c>
      <c r="F12" s="6">
        <v>8.0</v>
      </c>
      <c r="G12" s="6">
        <v>2.0</v>
      </c>
      <c r="H12" s="6">
        <v>28088.0</v>
      </c>
      <c r="I12" s="6">
        <v>0.4418</v>
      </c>
      <c r="J12" s="6">
        <v>0.1865</v>
      </c>
      <c r="K12" s="6">
        <v>0.0</v>
      </c>
      <c r="L12" s="6">
        <v>1.0</v>
      </c>
      <c r="M12" s="5" t="s">
        <v>368</v>
      </c>
    </row>
    <row r="13">
      <c r="A13" s="5" t="s">
        <v>43</v>
      </c>
      <c r="B13" s="5" t="s">
        <v>1867</v>
      </c>
      <c r="C13" s="5" t="s">
        <v>56</v>
      </c>
      <c r="D13" s="6">
        <v>1.0</v>
      </c>
      <c r="E13" s="6">
        <v>4.0</v>
      </c>
      <c r="F13" s="6">
        <v>8.0</v>
      </c>
      <c r="G13" s="6">
        <v>2.0</v>
      </c>
      <c r="H13" s="6">
        <v>28088.0</v>
      </c>
      <c r="I13" s="6">
        <v>0.5752</v>
      </c>
      <c r="J13" s="6">
        <v>0.8824</v>
      </c>
      <c r="K13" s="6">
        <v>2.0E-4</v>
      </c>
      <c r="L13" s="6">
        <v>1.0</v>
      </c>
      <c r="M13" s="5" t="s">
        <v>368</v>
      </c>
    </row>
    <row r="14">
      <c r="A14" s="5" t="s">
        <v>43</v>
      </c>
      <c r="B14" s="5" t="s">
        <v>1867</v>
      </c>
      <c r="C14" s="5" t="s">
        <v>56</v>
      </c>
      <c r="D14" s="6">
        <v>1.0</v>
      </c>
      <c r="E14" s="6">
        <v>5.0</v>
      </c>
      <c r="F14" s="6">
        <v>8.0</v>
      </c>
      <c r="G14" s="6">
        <v>2.0</v>
      </c>
      <c r="H14" s="6">
        <v>28088.0</v>
      </c>
      <c r="I14" s="6">
        <v>0.7102</v>
      </c>
      <c r="J14" s="6">
        <v>1.0</v>
      </c>
      <c r="K14" s="6">
        <v>0.2521</v>
      </c>
      <c r="L14" s="6">
        <v>1.0</v>
      </c>
      <c r="M14" s="5" t="s">
        <v>368</v>
      </c>
    </row>
    <row r="15">
      <c r="A15" s="5" t="s">
        <v>43</v>
      </c>
      <c r="B15" s="5" t="s">
        <v>1867</v>
      </c>
      <c r="C15" s="5" t="s">
        <v>56</v>
      </c>
      <c r="D15" s="6">
        <v>1.0</v>
      </c>
      <c r="E15" s="6">
        <v>6.0</v>
      </c>
      <c r="F15" s="6">
        <v>8.0</v>
      </c>
      <c r="G15" s="6">
        <v>2.0</v>
      </c>
      <c r="H15" s="6">
        <v>28088.0</v>
      </c>
      <c r="I15" s="6">
        <v>0.8392</v>
      </c>
      <c r="J15" s="6">
        <v>1.0</v>
      </c>
      <c r="K15" s="6">
        <v>0.994</v>
      </c>
      <c r="L15" s="6">
        <v>1.0</v>
      </c>
      <c r="M15" s="5" t="s">
        <v>368</v>
      </c>
    </row>
    <row r="16">
      <c r="A16" s="5" t="s">
        <v>43</v>
      </c>
      <c r="B16" s="5" t="s">
        <v>1867</v>
      </c>
      <c r="C16" s="5" t="s">
        <v>56</v>
      </c>
      <c r="D16" s="6">
        <v>1.0</v>
      </c>
      <c r="E16" s="6">
        <v>7.0</v>
      </c>
      <c r="F16" s="6">
        <v>8.0</v>
      </c>
      <c r="G16" s="6">
        <v>2.0</v>
      </c>
      <c r="H16" s="6">
        <v>28088.0</v>
      </c>
      <c r="I16" s="6">
        <v>0.9875</v>
      </c>
      <c r="J16" s="6">
        <v>1.0</v>
      </c>
      <c r="K16" s="6">
        <v>1.0</v>
      </c>
      <c r="L16" s="6">
        <v>1.0</v>
      </c>
      <c r="M16" s="5" t="s">
        <v>368</v>
      </c>
    </row>
    <row r="17">
      <c r="A17" s="5" t="s">
        <v>43</v>
      </c>
      <c r="B17" s="5" t="s">
        <v>1867</v>
      </c>
      <c r="C17" s="5" t="s">
        <v>56</v>
      </c>
      <c r="D17" s="6">
        <v>1.0</v>
      </c>
      <c r="E17" s="6">
        <v>8.0</v>
      </c>
      <c r="F17" s="6">
        <v>8.0</v>
      </c>
      <c r="G17" s="6">
        <v>2.0</v>
      </c>
      <c r="H17" s="6">
        <v>28088.0</v>
      </c>
      <c r="I17" s="6">
        <v>0.9986</v>
      </c>
      <c r="J17" s="6">
        <v>1.0</v>
      </c>
      <c r="K17" s="6">
        <v>1.0</v>
      </c>
      <c r="L17" s="6">
        <v>1.0</v>
      </c>
      <c r="M17" s="5" t="s">
        <v>368</v>
      </c>
    </row>
    <row r="18">
      <c r="A18" s="5" t="s">
        <v>43</v>
      </c>
      <c r="B18" s="5" t="s">
        <v>163</v>
      </c>
      <c r="C18" s="5" t="s">
        <v>57</v>
      </c>
      <c r="D18" s="6">
        <v>2.0</v>
      </c>
      <c r="E18" s="6">
        <v>1.0</v>
      </c>
      <c r="F18" s="6">
        <v>8.0</v>
      </c>
      <c r="G18" s="6">
        <v>17.0</v>
      </c>
      <c r="H18" s="6">
        <v>41222.0</v>
      </c>
      <c r="I18" s="6">
        <v>0.1592</v>
      </c>
      <c r="J18" s="6">
        <v>0.0</v>
      </c>
      <c r="K18" s="6">
        <v>0.0</v>
      </c>
      <c r="L18" s="6">
        <v>0.077</v>
      </c>
      <c r="M18" s="5" t="s">
        <v>368</v>
      </c>
    </row>
    <row r="19">
      <c r="A19" s="5" t="s">
        <v>43</v>
      </c>
      <c r="B19" s="5" t="s">
        <v>163</v>
      </c>
      <c r="C19" s="5" t="s">
        <v>57</v>
      </c>
      <c r="D19" s="6">
        <v>2.0</v>
      </c>
      <c r="E19" s="6">
        <v>2.0</v>
      </c>
      <c r="F19" s="6">
        <v>8.0</v>
      </c>
      <c r="G19" s="6">
        <v>17.0</v>
      </c>
      <c r="H19" s="6">
        <v>41222.0</v>
      </c>
      <c r="I19" s="6">
        <v>0.3047</v>
      </c>
      <c r="J19" s="6">
        <v>0.0242</v>
      </c>
      <c r="K19" s="6">
        <v>0.0</v>
      </c>
      <c r="L19" s="6">
        <v>0.6482</v>
      </c>
      <c r="M19" s="5" t="s">
        <v>368</v>
      </c>
    </row>
    <row r="20">
      <c r="A20" s="5" t="s">
        <v>43</v>
      </c>
      <c r="B20" s="5" t="s">
        <v>163</v>
      </c>
      <c r="C20" s="5" t="s">
        <v>57</v>
      </c>
      <c r="D20" s="6">
        <v>2.0</v>
      </c>
      <c r="E20" s="6">
        <v>3.0</v>
      </c>
      <c r="F20" s="6">
        <v>8.0</v>
      </c>
      <c r="G20" s="6">
        <v>17.0</v>
      </c>
      <c r="H20" s="6">
        <v>41222.0</v>
      </c>
      <c r="I20" s="6">
        <v>0.4431</v>
      </c>
      <c r="J20" s="6">
        <v>0.3261</v>
      </c>
      <c r="K20" s="6">
        <v>0.0</v>
      </c>
      <c r="L20" s="6">
        <v>0.996</v>
      </c>
      <c r="M20" s="5" t="s">
        <v>368</v>
      </c>
    </row>
    <row r="21">
      <c r="A21" s="5" t="s">
        <v>43</v>
      </c>
      <c r="B21" s="5" t="s">
        <v>163</v>
      </c>
      <c r="C21" s="5" t="s">
        <v>57</v>
      </c>
      <c r="D21" s="6">
        <v>2.0</v>
      </c>
      <c r="E21" s="6">
        <v>4.0</v>
      </c>
      <c r="F21" s="6">
        <v>8.0</v>
      </c>
      <c r="G21" s="6">
        <v>17.0</v>
      </c>
      <c r="H21" s="6">
        <v>41222.0</v>
      </c>
      <c r="I21" s="6">
        <v>0.5801</v>
      </c>
      <c r="J21" s="6">
        <v>0.7237</v>
      </c>
      <c r="K21" s="6">
        <v>0.0361</v>
      </c>
      <c r="L21" s="6">
        <v>1.0</v>
      </c>
      <c r="M21" s="5" t="s">
        <v>368</v>
      </c>
    </row>
    <row r="22">
      <c r="A22" s="5" t="s">
        <v>43</v>
      </c>
      <c r="B22" s="5" t="s">
        <v>163</v>
      </c>
      <c r="C22" s="5" t="s">
        <v>57</v>
      </c>
      <c r="D22" s="6">
        <v>2.0</v>
      </c>
      <c r="E22" s="6">
        <v>5.0</v>
      </c>
      <c r="F22" s="6">
        <v>8.0</v>
      </c>
      <c r="G22" s="6">
        <v>17.0</v>
      </c>
      <c r="H22" s="6">
        <v>41222.0</v>
      </c>
      <c r="I22" s="6">
        <v>0.7125</v>
      </c>
      <c r="J22" s="6">
        <v>0.9932</v>
      </c>
      <c r="K22" s="6">
        <v>0.421</v>
      </c>
      <c r="L22" s="6">
        <v>1.0</v>
      </c>
      <c r="M22" s="5" t="s">
        <v>368</v>
      </c>
    </row>
    <row r="23">
      <c r="A23" s="5" t="s">
        <v>43</v>
      </c>
      <c r="B23" s="5" t="s">
        <v>163</v>
      </c>
      <c r="C23" s="5" t="s">
        <v>57</v>
      </c>
      <c r="D23" s="6">
        <v>2.0</v>
      </c>
      <c r="E23" s="6">
        <v>6.0</v>
      </c>
      <c r="F23" s="6">
        <v>8.0</v>
      </c>
      <c r="G23" s="6">
        <v>17.0</v>
      </c>
      <c r="H23" s="6">
        <v>41222.0</v>
      </c>
      <c r="I23" s="6">
        <v>0.8375</v>
      </c>
      <c r="J23" s="6">
        <v>1.0</v>
      </c>
      <c r="K23" s="6">
        <v>0.8795</v>
      </c>
      <c r="L23" s="6">
        <v>1.0</v>
      </c>
      <c r="M23" s="5" t="s">
        <v>368</v>
      </c>
    </row>
    <row r="24">
      <c r="A24" s="5" t="s">
        <v>43</v>
      </c>
      <c r="B24" s="5" t="s">
        <v>163</v>
      </c>
      <c r="C24" s="5" t="s">
        <v>57</v>
      </c>
      <c r="D24" s="6">
        <v>2.0</v>
      </c>
      <c r="E24" s="6">
        <v>7.0</v>
      </c>
      <c r="F24" s="6">
        <v>8.0</v>
      </c>
      <c r="G24" s="6">
        <v>17.0</v>
      </c>
      <c r="H24" s="6">
        <v>41222.0</v>
      </c>
      <c r="I24" s="6">
        <v>0.986</v>
      </c>
      <c r="J24" s="6">
        <v>1.0</v>
      </c>
      <c r="K24" s="6">
        <v>1.0</v>
      </c>
      <c r="L24" s="6">
        <v>1.0</v>
      </c>
      <c r="M24" s="5" t="s">
        <v>368</v>
      </c>
    </row>
    <row r="25">
      <c r="A25" s="5" t="s">
        <v>43</v>
      </c>
      <c r="B25" s="5" t="s">
        <v>163</v>
      </c>
      <c r="C25" s="5" t="s">
        <v>57</v>
      </c>
      <c r="D25" s="6">
        <v>2.0</v>
      </c>
      <c r="E25" s="6">
        <v>8.0</v>
      </c>
      <c r="F25" s="6">
        <v>8.0</v>
      </c>
      <c r="G25" s="6">
        <v>17.0</v>
      </c>
      <c r="H25" s="6">
        <v>41222.0</v>
      </c>
      <c r="I25" s="6">
        <v>0.9978</v>
      </c>
      <c r="J25" s="6">
        <v>1.0</v>
      </c>
      <c r="K25" s="6">
        <v>1.0</v>
      </c>
      <c r="L25" s="6">
        <v>1.0</v>
      </c>
      <c r="M25" s="5" t="s">
        <v>368</v>
      </c>
    </row>
    <row r="26">
      <c r="A26" s="5" t="s">
        <v>43</v>
      </c>
      <c r="B26" s="5" t="s">
        <v>1867</v>
      </c>
      <c r="C26" s="5" t="s">
        <v>57</v>
      </c>
      <c r="D26" s="6">
        <v>2.0</v>
      </c>
      <c r="E26" s="6">
        <v>1.0</v>
      </c>
      <c r="F26" s="6">
        <v>8.0</v>
      </c>
      <c r="G26" s="6">
        <v>2.0</v>
      </c>
      <c r="H26" s="6">
        <v>26863.0</v>
      </c>
      <c r="I26" s="6">
        <v>0.1491</v>
      </c>
      <c r="J26" s="6">
        <v>0.0</v>
      </c>
      <c r="K26" s="6">
        <v>0.0</v>
      </c>
      <c r="L26" s="6">
        <v>0.0348</v>
      </c>
      <c r="M26" s="5" t="s">
        <v>368</v>
      </c>
    </row>
    <row r="27">
      <c r="A27" s="5" t="s">
        <v>43</v>
      </c>
      <c r="B27" s="5" t="s">
        <v>1867</v>
      </c>
      <c r="C27" s="5" t="s">
        <v>57</v>
      </c>
      <c r="D27" s="6">
        <v>2.0</v>
      </c>
      <c r="E27" s="6">
        <v>2.0</v>
      </c>
      <c r="F27" s="6">
        <v>8.0</v>
      </c>
      <c r="G27" s="6">
        <v>2.0</v>
      </c>
      <c r="H27" s="6">
        <v>26863.0</v>
      </c>
      <c r="I27" s="6">
        <v>0.2994</v>
      </c>
      <c r="J27" s="6">
        <v>0.0093</v>
      </c>
      <c r="K27" s="6">
        <v>0.0</v>
      </c>
      <c r="L27" s="6">
        <v>0.6449</v>
      </c>
      <c r="M27" s="5" t="s">
        <v>368</v>
      </c>
    </row>
    <row r="28">
      <c r="A28" s="5" t="s">
        <v>43</v>
      </c>
      <c r="B28" s="5" t="s">
        <v>1867</v>
      </c>
      <c r="C28" s="5" t="s">
        <v>57</v>
      </c>
      <c r="D28" s="6">
        <v>2.0</v>
      </c>
      <c r="E28" s="6">
        <v>3.0</v>
      </c>
      <c r="F28" s="6">
        <v>8.0</v>
      </c>
      <c r="G28" s="6">
        <v>2.0</v>
      </c>
      <c r="H28" s="6">
        <v>26863.0</v>
      </c>
      <c r="I28" s="6">
        <v>0.4429</v>
      </c>
      <c r="J28" s="6">
        <v>0.311</v>
      </c>
      <c r="K28" s="6">
        <v>0.0</v>
      </c>
      <c r="L28" s="6">
        <v>0.9991</v>
      </c>
      <c r="M28" s="5" t="s">
        <v>368</v>
      </c>
    </row>
    <row r="29">
      <c r="A29" s="5" t="s">
        <v>43</v>
      </c>
      <c r="B29" s="5" t="s">
        <v>1867</v>
      </c>
      <c r="C29" s="5" t="s">
        <v>57</v>
      </c>
      <c r="D29" s="6">
        <v>2.0</v>
      </c>
      <c r="E29" s="6">
        <v>4.0</v>
      </c>
      <c r="F29" s="6">
        <v>8.0</v>
      </c>
      <c r="G29" s="6">
        <v>2.0</v>
      </c>
      <c r="H29" s="6">
        <v>26863.0</v>
      </c>
      <c r="I29" s="6">
        <v>0.58</v>
      </c>
      <c r="J29" s="6">
        <v>0.7413</v>
      </c>
      <c r="K29" s="6">
        <v>0.0212</v>
      </c>
      <c r="L29" s="6">
        <v>1.0</v>
      </c>
      <c r="M29" s="5" t="s">
        <v>368</v>
      </c>
    </row>
    <row r="30">
      <c r="A30" s="5" t="s">
        <v>43</v>
      </c>
      <c r="B30" s="5" t="s">
        <v>1867</v>
      </c>
      <c r="C30" s="5" t="s">
        <v>57</v>
      </c>
      <c r="D30" s="6">
        <v>2.0</v>
      </c>
      <c r="E30" s="6">
        <v>5.0</v>
      </c>
      <c r="F30" s="6">
        <v>8.0</v>
      </c>
      <c r="G30" s="6">
        <v>2.0</v>
      </c>
      <c r="H30" s="6">
        <v>26863.0</v>
      </c>
      <c r="I30" s="6">
        <v>0.7159</v>
      </c>
      <c r="J30" s="6">
        <v>0.9995</v>
      </c>
      <c r="K30" s="6">
        <v>0.4193</v>
      </c>
      <c r="L30" s="6">
        <v>1.0</v>
      </c>
      <c r="M30" s="5" t="s">
        <v>368</v>
      </c>
    </row>
    <row r="31">
      <c r="A31" s="5" t="s">
        <v>43</v>
      </c>
      <c r="B31" s="5" t="s">
        <v>1867</v>
      </c>
      <c r="C31" s="5" t="s">
        <v>57</v>
      </c>
      <c r="D31" s="6">
        <v>2.0</v>
      </c>
      <c r="E31" s="6">
        <v>6.0</v>
      </c>
      <c r="F31" s="6">
        <v>8.0</v>
      </c>
      <c r="G31" s="6">
        <v>2.0</v>
      </c>
      <c r="H31" s="6">
        <v>26863.0</v>
      </c>
      <c r="I31" s="6">
        <v>0.8445</v>
      </c>
      <c r="J31" s="6">
        <v>1.0</v>
      </c>
      <c r="K31" s="6">
        <v>0.9311</v>
      </c>
      <c r="L31" s="6">
        <v>1.0</v>
      </c>
      <c r="M31" s="5" t="s">
        <v>368</v>
      </c>
    </row>
    <row r="32">
      <c r="A32" s="5" t="s">
        <v>43</v>
      </c>
      <c r="B32" s="5" t="s">
        <v>1867</v>
      </c>
      <c r="C32" s="5" t="s">
        <v>57</v>
      </c>
      <c r="D32" s="6">
        <v>2.0</v>
      </c>
      <c r="E32" s="6">
        <v>7.0</v>
      </c>
      <c r="F32" s="6">
        <v>8.0</v>
      </c>
      <c r="G32" s="6">
        <v>2.0</v>
      </c>
      <c r="H32" s="6">
        <v>26863.0</v>
      </c>
      <c r="I32" s="6">
        <v>0.9865</v>
      </c>
      <c r="J32" s="6">
        <v>1.0</v>
      </c>
      <c r="K32" s="6">
        <v>1.0</v>
      </c>
      <c r="L32" s="6">
        <v>1.0</v>
      </c>
      <c r="M32" s="5" t="s">
        <v>368</v>
      </c>
    </row>
    <row r="33">
      <c r="A33" s="5" t="s">
        <v>43</v>
      </c>
      <c r="B33" s="5" t="s">
        <v>1867</v>
      </c>
      <c r="C33" s="5" t="s">
        <v>57</v>
      </c>
      <c r="D33" s="6">
        <v>2.0</v>
      </c>
      <c r="E33" s="6">
        <v>8.0</v>
      </c>
      <c r="F33" s="6">
        <v>8.0</v>
      </c>
      <c r="G33" s="6">
        <v>2.0</v>
      </c>
      <c r="H33" s="6">
        <v>26863.0</v>
      </c>
      <c r="I33" s="6">
        <v>0.9987</v>
      </c>
      <c r="J33" s="6">
        <v>1.0</v>
      </c>
      <c r="K33" s="6">
        <v>1.0</v>
      </c>
      <c r="L33" s="6">
        <v>1.0</v>
      </c>
      <c r="M33" s="5" t="s">
        <v>368</v>
      </c>
    </row>
    <row r="34">
      <c r="A34" s="5" t="s">
        <v>43</v>
      </c>
      <c r="B34" s="5" t="s">
        <v>163</v>
      </c>
      <c r="C34" s="5" t="s">
        <v>58</v>
      </c>
      <c r="D34" s="6">
        <v>3.0</v>
      </c>
      <c r="E34" s="6">
        <v>1.0</v>
      </c>
      <c r="F34" s="6">
        <v>8.0</v>
      </c>
      <c r="G34" s="6">
        <v>56.0</v>
      </c>
      <c r="H34" s="6">
        <v>31919.0</v>
      </c>
      <c r="I34" s="6">
        <v>0.1542</v>
      </c>
      <c r="J34" s="6">
        <v>0.0</v>
      </c>
      <c r="K34" s="6">
        <v>0.0</v>
      </c>
      <c r="L34" s="6">
        <v>0.1206</v>
      </c>
      <c r="M34" s="5" t="s">
        <v>368</v>
      </c>
    </row>
    <row r="35">
      <c r="A35" s="5" t="s">
        <v>43</v>
      </c>
      <c r="B35" s="5" t="s">
        <v>163</v>
      </c>
      <c r="C35" s="5" t="s">
        <v>58</v>
      </c>
      <c r="D35" s="6">
        <v>3.0</v>
      </c>
      <c r="E35" s="6">
        <v>2.0</v>
      </c>
      <c r="F35" s="6">
        <v>8.0</v>
      </c>
      <c r="G35" s="6">
        <v>56.0</v>
      </c>
      <c r="H35" s="6">
        <v>31919.0</v>
      </c>
      <c r="I35" s="6">
        <v>0.2932</v>
      </c>
      <c r="J35" s="6">
        <v>0.0648</v>
      </c>
      <c r="K35" s="6">
        <v>0.0</v>
      </c>
      <c r="L35" s="6">
        <v>0.5249</v>
      </c>
      <c r="M35" s="5" t="s">
        <v>368</v>
      </c>
    </row>
    <row r="36">
      <c r="A36" s="5" t="s">
        <v>43</v>
      </c>
      <c r="B36" s="5" t="s">
        <v>163</v>
      </c>
      <c r="C36" s="5" t="s">
        <v>58</v>
      </c>
      <c r="D36" s="6">
        <v>3.0</v>
      </c>
      <c r="E36" s="6">
        <v>3.0</v>
      </c>
      <c r="F36" s="6">
        <v>8.0</v>
      </c>
      <c r="G36" s="6">
        <v>56.0</v>
      </c>
      <c r="H36" s="6">
        <v>31919.0</v>
      </c>
      <c r="I36" s="6">
        <v>0.4265</v>
      </c>
      <c r="J36" s="6">
        <v>0.3315</v>
      </c>
      <c r="K36" s="6">
        <v>1.0E-4</v>
      </c>
      <c r="L36" s="6">
        <v>0.9357</v>
      </c>
      <c r="M36" s="5" t="s">
        <v>368</v>
      </c>
    </row>
    <row r="37">
      <c r="A37" s="5" t="s">
        <v>43</v>
      </c>
      <c r="B37" s="5" t="s">
        <v>163</v>
      </c>
      <c r="C37" s="5" t="s">
        <v>58</v>
      </c>
      <c r="D37" s="6">
        <v>3.0</v>
      </c>
      <c r="E37" s="6">
        <v>4.0</v>
      </c>
      <c r="F37" s="6">
        <v>8.0</v>
      </c>
      <c r="G37" s="6">
        <v>56.0</v>
      </c>
      <c r="H37" s="6">
        <v>31919.0</v>
      </c>
      <c r="I37" s="6">
        <v>0.5631</v>
      </c>
      <c r="J37" s="6">
        <v>0.6228</v>
      </c>
      <c r="K37" s="6">
        <v>0.0861</v>
      </c>
      <c r="L37" s="6">
        <v>1.0</v>
      </c>
      <c r="M37" s="5" t="s">
        <v>368</v>
      </c>
    </row>
    <row r="38">
      <c r="A38" s="5" t="s">
        <v>43</v>
      </c>
      <c r="B38" s="5" t="s">
        <v>163</v>
      </c>
      <c r="C38" s="5" t="s">
        <v>58</v>
      </c>
      <c r="D38" s="6">
        <v>3.0</v>
      </c>
      <c r="E38" s="6">
        <v>5.0</v>
      </c>
      <c r="F38" s="6">
        <v>8.0</v>
      </c>
      <c r="G38" s="6">
        <v>56.0</v>
      </c>
      <c r="H38" s="6">
        <v>31919.0</v>
      </c>
      <c r="I38" s="6">
        <v>0.6989</v>
      </c>
      <c r="J38" s="6">
        <v>0.9196</v>
      </c>
      <c r="K38" s="6">
        <v>0.445</v>
      </c>
      <c r="L38" s="6">
        <v>1.0</v>
      </c>
      <c r="M38" s="5" t="s">
        <v>368</v>
      </c>
    </row>
    <row r="39">
      <c r="A39" s="5" t="s">
        <v>43</v>
      </c>
      <c r="B39" s="5" t="s">
        <v>163</v>
      </c>
      <c r="C39" s="5" t="s">
        <v>58</v>
      </c>
      <c r="D39" s="6">
        <v>3.0</v>
      </c>
      <c r="E39" s="6">
        <v>6.0</v>
      </c>
      <c r="F39" s="6">
        <v>8.0</v>
      </c>
      <c r="G39" s="6">
        <v>56.0</v>
      </c>
      <c r="H39" s="6">
        <v>31919.0</v>
      </c>
      <c r="I39" s="6">
        <v>0.8323</v>
      </c>
      <c r="J39" s="6">
        <v>1.0</v>
      </c>
      <c r="K39" s="6">
        <v>0.8095</v>
      </c>
      <c r="L39" s="6">
        <v>1.0</v>
      </c>
      <c r="M39" s="5" t="s">
        <v>368</v>
      </c>
    </row>
    <row r="40">
      <c r="A40" s="5" t="s">
        <v>43</v>
      </c>
      <c r="B40" s="5" t="s">
        <v>163</v>
      </c>
      <c r="C40" s="5" t="s">
        <v>58</v>
      </c>
      <c r="D40" s="6">
        <v>3.0</v>
      </c>
      <c r="E40" s="6">
        <v>7.0</v>
      </c>
      <c r="F40" s="6">
        <v>8.0</v>
      </c>
      <c r="G40" s="6">
        <v>56.0</v>
      </c>
      <c r="H40" s="6">
        <v>31919.0</v>
      </c>
      <c r="I40" s="6">
        <v>0.9813</v>
      </c>
      <c r="J40" s="6">
        <v>1.0</v>
      </c>
      <c r="K40" s="6">
        <v>1.0</v>
      </c>
      <c r="L40" s="6">
        <v>1.0</v>
      </c>
      <c r="M40" s="5" t="s">
        <v>368</v>
      </c>
    </row>
    <row r="41">
      <c r="A41" s="5" t="s">
        <v>43</v>
      </c>
      <c r="B41" s="5" t="s">
        <v>163</v>
      </c>
      <c r="C41" s="5" t="s">
        <v>58</v>
      </c>
      <c r="D41" s="6">
        <v>3.0</v>
      </c>
      <c r="E41" s="6">
        <v>8.0</v>
      </c>
      <c r="F41" s="6">
        <v>8.0</v>
      </c>
      <c r="G41" s="6">
        <v>56.0</v>
      </c>
      <c r="H41" s="6">
        <v>31919.0</v>
      </c>
      <c r="I41" s="6">
        <v>0.9967</v>
      </c>
      <c r="J41" s="6">
        <v>1.0</v>
      </c>
      <c r="K41" s="6">
        <v>1.0</v>
      </c>
      <c r="L41" s="6">
        <v>1.0</v>
      </c>
      <c r="M41" s="5" t="s">
        <v>368</v>
      </c>
    </row>
    <row r="42">
      <c r="A42" s="5" t="s">
        <v>43</v>
      </c>
      <c r="B42" s="5" t="s">
        <v>1867</v>
      </c>
      <c r="C42" s="5" t="s">
        <v>58</v>
      </c>
      <c r="D42" s="6">
        <v>3.0</v>
      </c>
      <c r="E42" s="6">
        <v>1.0</v>
      </c>
      <c r="F42" s="6">
        <v>8.0</v>
      </c>
      <c r="G42" s="6">
        <v>53.0</v>
      </c>
      <c r="H42" s="6">
        <v>19733.0</v>
      </c>
      <c r="I42" s="6">
        <v>0.1464</v>
      </c>
      <c r="J42" s="6">
        <v>0.0</v>
      </c>
      <c r="K42" s="6">
        <v>0.0</v>
      </c>
      <c r="L42" s="6">
        <v>0.0943</v>
      </c>
      <c r="M42" s="5" t="s">
        <v>368</v>
      </c>
    </row>
    <row r="43">
      <c r="A43" s="5" t="s">
        <v>43</v>
      </c>
      <c r="B43" s="5" t="s">
        <v>1867</v>
      </c>
      <c r="C43" s="5" t="s">
        <v>58</v>
      </c>
      <c r="D43" s="6">
        <v>3.0</v>
      </c>
      <c r="E43" s="6">
        <v>2.0</v>
      </c>
      <c r="F43" s="6">
        <v>8.0</v>
      </c>
      <c r="G43" s="6">
        <v>53.0</v>
      </c>
      <c r="H43" s="6">
        <v>19733.0</v>
      </c>
      <c r="I43" s="6">
        <v>0.2869</v>
      </c>
      <c r="J43" s="6">
        <v>0.0405</v>
      </c>
      <c r="K43" s="6">
        <v>0.0</v>
      </c>
      <c r="L43" s="6">
        <v>0.5264</v>
      </c>
      <c r="M43" s="5" t="s">
        <v>368</v>
      </c>
    </row>
    <row r="44">
      <c r="A44" s="5" t="s">
        <v>43</v>
      </c>
      <c r="B44" s="5" t="s">
        <v>1867</v>
      </c>
      <c r="C44" s="5" t="s">
        <v>58</v>
      </c>
      <c r="D44" s="6">
        <v>3.0</v>
      </c>
      <c r="E44" s="6">
        <v>3.0</v>
      </c>
      <c r="F44" s="6">
        <v>8.0</v>
      </c>
      <c r="G44" s="6">
        <v>53.0</v>
      </c>
      <c r="H44" s="6">
        <v>19733.0</v>
      </c>
      <c r="I44" s="6">
        <v>0.4297</v>
      </c>
      <c r="J44" s="6">
        <v>0.3338</v>
      </c>
      <c r="K44" s="6">
        <v>0.0</v>
      </c>
      <c r="L44" s="6">
        <v>0.9574</v>
      </c>
      <c r="M44" s="5" t="s">
        <v>368</v>
      </c>
    </row>
    <row r="45">
      <c r="A45" s="5" t="s">
        <v>43</v>
      </c>
      <c r="B45" s="5" t="s">
        <v>1867</v>
      </c>
      <c r="C45" s="5" t="s">
        <v>58</v>
      </c>
      <c r="D45" s="6">
        <v>3.0</v>
      </c>
      <c r="E45" s="6">
        <v>4.0</v>
      </c>
      <c r="F45" s="6">
        <v>8.0</v>
      </c>
      <c r="G45" s="6">
        <v>53.0</v>
      </c>
      <c r="H45" s="6">
        <v>19733.0</v>
      </c>
      <c r="I45" s="6">
        <v>0.5679</v>
      </c>
      <c r="J45" s="6">
        <v>0.644</v>
      </c>
      <c r="K45" s="6">
        <v>0.0675</v>
      </c>
      <c r="L45" s="6">
        <v>1.0</v>
      </c>
      <c r="M45" s="5" t="s">
        <v>368</v>
      </c>
    </row>
    <row r="46">
      <c r="A46" s="5" t="s">
        <v>43</v>
      </c>
      <c r="B46" s="5" t="s">
        <v>1867</v>
      </c>
      <c r="C46" s="5" t="s">
        <v>58</v>
      </c>
      <c r="D46" s="6">
        <v>3.0</v>
      </c>
      <c r="E46" s="6">
        <v>5.0</v>
      </c>
      <c r="F46" s="6">
        <v>8.0</v>
      </c>
      <c r="G46" s="6">
        <v>53.0</v>
      </c>
      <c r="H46" s="6">
        <v>19733.0</v>
      </c>
      <c r="I46" s="6">
        <v>0.7049</v>
      </c>
      <c r="J46" s="6">
        <v>0.9639</v>
      </c>
      <c r="K46" s="6">
        <v>0.4417</v>
      </c>
      <c r="L46" s="6">
        <v>1.0</v>
      </c>
      <c r="M46" s="5" t="s">
        <v>368</v>
      </c>
    </row>
    <row r="47">
      <c r="A47" s="5" t="s">
        <v>43</v>
      </c>
      <c r="B47" s="5" t="s">
        <v>1867</v>
      </c>
      <c r="C47" s="5" t="s">
        <v>58</v>
      </c>
      <c r="D47" s="6">
        <v>3.0</v>
      </c>
      <c r="E47" s="6">
        <v>6.0</v>
      </c>
      <c r="F47" s="6">
        <v>8.0</v>
      </c>
      <c r="G47" s="6">
        <v>53.0</v>
      </c>
      <c r="H47" s="6">
        <v>19733.0</v>
      </c>
      <c r="I47" s="6">
        <v>0.8394</v>
      </c>
      <c r="J47" s="6">
        <v>1.0</v>
      </c>
      <c r="K47" s="6">
        <v>0.836</v>
      </c>
      <c r="L47" s="6">
        <v>1.0</v>
      </c>
      <c r="M47" s="5" t="s">
        <v>368</v>
      </c>
    </row>
    <row r="48">
      <c r="A48" s="5" t="s">
        <v>43</v>
      </c>
      <c r="B48" s="5" t="s">
        <v>1867</v>
      </c>
      <c r="C48" s="5" t="s">
        <v>58</v>
      </c>
      <c r="D48" s="6">
        <v>3.0</v>
      </c>
      <c r="E48" s="6">
        <v>7.0</v>
      </c>
      <c r="F48" s="6">
        <v>8.0</v>
      </c>
      <c r="G48" s="6">
        <v>53.0</v>
      </c>
      <c r="H48" s="6">
        <v>19733.0</v>
      </c>
      <c r="I48" s="6">
        <v>0.9827</v>
      </c>
      <c r="J48" s="6">
        <v>1.0</v>
      </c>
      <c r="K48" s="6">
        <v>1.0</v>
      </c>
      <c r="L48" s="6">
        <v>1.0</v>
      </c>
      <c r="M48" s="5" t="s">
        <v>368</v>
      </c>
    </row>
    <row r="49">
      <c r="A49" s="5" t="s">
        <v>43</v>
      </c>
      <c r="B49" s="5" t="s">
        <v>1867</v>
      </c>
      <c r="C49" s="5" t="s">
        <v>58</v>
      </c>
      <c r="D49" s="6">
        <v>3.0</v>
      </c>
      <c r="E49" s="6">
        <v>8.0</v>
      </c>
      <c r="F49" s="6">
        <v>8.0</v>
      </c>
      <c r="G49" s="6">
        <v>53.0</v>
      </c>
      <c r="H49" s="6">
        <v>19733.0</v>
      </c>
      <c r="I49" s="6">
        <v>0.9975</v>
      </c>
      <c r="J49" s="6">
        <v>1.0</v>
      </c>
      <c r="K49" s="6">
        <v>1.0</v>
      </c>
      <c r="L49" s="6">
        <v>1.0</v>
      </c>
      <c r="M49" s="5" t="s">
        <v>368</v>
      </c>
    </row>
    <row r="50">
      <c r="A50" s="5" t="s">
        <v>43</v>
      </c>
      <c r="B50" s="5" t="s">
        <v>163</v>
      </c>
      <c r="C50" s="5" t="s">
        <v>59</v>
      </c>
      <c r="D50" s="6">
        <v>4.0</v>
      </c>
      <c r="E50" s="6">
        <v>1.0</v>
      </c>
      <c r="F50" s="6">
        <v>8.0</v>
      </c>
      <c r="G50" s="6">
        <v>56.0</v>
      </c>
      <c r="H50" s="6">
        <v>18460.0</v>
      </c>
      <c r="I50" s="6">
        <v>0.1279</v>
      </c>
      <c r="J50" s="6">
        <v>0.0</v>
      </c>
      <c r="K50" s="6">
        <v>0.0</v>
      </c>
      <c r="L50" s="6">
        <v>0.1167</v>
      </c>
      <c r="M50" s="5" t="s">
        <v>368</v>
      </c>
    </row>
    <row r="51">
      <c r="A51" s="5" t="s">
        <v>43</v>
      </c>
      <c r="B51" s="5" t="s">
        <v>163</v>
      </c>
      <c r="C51" s="5" t="s">
        <v>59</v>
      </c>
      <c r="D51" s="6">
        <v>4.0</v>
      </c>
      <c r="E51" s="6">
        <v>2.0</v>
      </c>
      <c r="F51" s="6">
        <v>8.0</v>
      </c>
      <c r="G51" s="6">
        <v>56.0</v>
      </c>
      <c r="H51" s="6">
        <v>18460.0</v>
      </c>
      <c r="I51" s="6">
        <v>0.2661</v>
      </c>
      <c r="J51" s="6">
        <v>0.1049</v>
      </c>
      <c r="K51" s="6">
        <v>0.0</v>
      </c>
      <c r="L51" s="6">
        <v>0.429</v>
      </c>
      <c r="M51" s="5" t="s">
        <v>368</v>
      </c>
    </row>
    <row r="52">
      <c r="A52" s="5" t="s">
        <v>43</v>
      </c>
      <c r="B52" s="5" t="s">
        <v>163</v>
      </c>
      <c r="C52" s="5" t="s">
        <v>59</v>
      </c>
      <c r="D52" s="6">
        <v>4.0</v>
      </c>
      <c r="E52" s="6">
        <v>3.0</v>
      </c>
      <c r="F52" s="6">
        <v>8.0</v>
      </c>
      <c r="G52" s="6">
        <v>56.0</v>
      </c>
      <c r="H52" s="6">
        <v>18460.0</v>
      </c>
      <c r="I52" s="6">
        <v>0.4066</v>
      </c>
      <c r="J52" s="6">
        <v>0.3409</v>
      </c>
      <c r="K52" s="6">
        <v>9.0E-4</v>
      </c>
      <c r="L52" s="6">
        <v>0.7423</v>
      </c>
      <c r="M52" s="5" t="s">
        <v>368</v>
      </c>
    </row>
    <row r="53">
      <c r="A53" s="5" t="s">
        <v>43</v>
      </c>
      <c r="B53" s="5" t="s">
        <v>163</v>
      </c>
      <c r="C53" s="5" t="s">
        <v>59</v>
      </c>
      <c r="D53" s="6">
        <v>4.0</v>
      </c>
      <c r="E53" s="6">
        <v>4.0</v>
      </c>
      <c r="F53" s="6">
        <v>8.0</v>
      </c>
      <c r="G53" s="6">
        <v>56.0</v>
      </c>
      <c r="H53" s="6">
        <v>18460.0</v>
      </c>
      <c r="I53" s="6">
        <v>0.5479</v>
      </c>
      <c r="J53" s="6">
        <v>0.579</v>
      </c>
      <c r="K53" s="6">
        <v>0.1504</v>
      </c>
      <c r="L53" s="6">
        <v>0.9921</v>
      </c>
      <c r="M53" s="5" t="s">
        <v>368</v>
      </c>
    </row>
    <row r="54">
      <c r="A54" s="5" t="s">
        <v>43</v>
      </c>
      <c r="B54" s="5" t="s">
        <v>163</v>
      </c>
      <c r="C54" s="5" t="s">
        <v>59</v>
      </c>
      <c r="D54" s="6">
        <v>4.0</v>
      </c>
      <c r="E54" s="6">
        <v>5.0</v>
      </c>
      <c r="F54" s="6">
        <v>8.0</v>
      </c>
      <c r="G54" s="6">
        <v>56.0</v>
      </c>
      <c r="H54" s="6">
        <v>18460.0</v>
      </c>
      <c r="I54" s="6">
        <v>0.6837</v>
      </c>
      <c r="J54" s="6">
        <v>0.8159</v>
      </c>
      <c r="K54" s="6">
        <v>0.4559</v>
      </c>
      <c r="L54" s="6">
        <v>1.0</v>
      </c>
      <c r="M54" s="5" t="s">
        <v>368</v>
      </c>
    </row>
    <row r="55">
      <c r="A55" s="5" t="s">
        <v>43</v>
      </c>
      <c r="B55" s="5" t="s">
        <v>163</v>
      </c>
      <c r="C55" s="5" t="s">
        <v>59</v>
      </c>
      <c r="D55" s="6">
        <v>4.0</v>
      </c>
      <c r="E55" s="6">
        <v>6.0</v>
      </c>
      <c r="F55" s="6">
        <v>8.0</v>
      </c>
      <c r="G55" s="6">
        <v>56.0</v>
      </c>
      <c r="H55" s="6">
        <v>18460.0</v>
      </c>
      <c r="I55" s="6">
        <v>0.8181</v>
      </c>
      <c r="J55" s="6">
        <v>0.9986</v>
      </c>
      <c r="K55" s="6">
        <v>0.7604</v>
      </c>
      <c r="L55" s="6">
        <v>1.0</v>
      </c>
      <c r="M55" s="5" t="s">
        <v>368</v>
      </c>
    </row>
    <row r="56">
      <c r="A56" s="5" t="s">
        <v>43</v>
      </c>
      <c r="B56" s="5" t="s">
        <v>163</v>
      </c>
      <c r="C56" s="5" t="s">
        <v>59</v>
      </c>
      <c r="D56" s="6">
        <v>4.0</v>
      </c>
      <c r="E56" s="6">
        <v>7.0</v>
      </c>
      <c r="F56" s="6">
        <v>8.0</v>
      </c>
      <c r="G56" s="6">
        <v>56.0</v>
      </c>
      <c r="H56" s="6">
        <v>18460.0</v>
      </c>
      <c r="I56" s="6">
        <v>0.9728</v>
      </c>
      <c r="J56" s="6">
        <v>1.0</v>
      </c>
      <c r="K56" s="6">
        <v>1.0</v>
      </c>
      <c r="L56" s="6">
        <v>1.0</v>
      </c>
      <c r="M56" s="5" t="s">
        <v>368</v>
      </c>
    </row>
    <row r="57">
      <c r="A57" s="5" t="s">
        <v>43</v>
      </c>
      <c r="B57" s="5" t="s">
        <v>163</v>
      </c>
      <c r="C57" s="5" t="s">
        <v>59</v>
      </c>
      <c r="D57" s="6">
        <v>4.0</v>
      </c>
      <c r="E57" s="6">
        <v>8.0</v>
      </c>
      <c r="F57" s="6">
        <v>8.0</v>
      </c>
      <c r="G57" s="6">
        <v>56.0</v>
      </c>
      <c r="H57" s="6">
        <v>18460.0</v>
      </c>
      <c r="I57" s="6">
        <v>0.9968</v>
      </c>
      <c r="J57" s="6">
        <v>1.0</v>
      </c>
      <c r="K57" s="6">
        <v>1.0</v>
      </c>
      <c r="L57" s="6">
        <v>1.0</v>
      </c>
      <c r="M57" s="5" t="s">
        <v>368</v>
      </c>
    </row>
    <row r="58">
      <c r="A58" s="5" t="s">
        <v>43</v>
      </c>
      <c r="B58" s="5" t="s">
        <v>1867</v>
      </c>
      <c r="C58" s="5" t="s">
        <v>59</v>
      </c>
      <c r="D58" s="6">
        <v>4.0</v>
      </c>
      <c r="E58" s="6">
        <v>1.0</v>
      </c>
      <c r="F58" s="6">
        <v>8.0</v>
      </c>
      <c r="G58" s="6">
        <v>56.0</v>
      </c>
      <c r="H58" s="6">
        <v>10588.0</v>
      </c>
      <c r="I58" s="6">
        <v>0.1342</v>
      </c>
      <c r="J58" s="6">
        <v>0.0</v>
      </c>
      <c r="K58" s="6">
        <v>0.0</v>
      </c>
      <c r="L58" s="6">
        <v>0.1124</v>
      </c>
      <c r="M58" s="5" t="s">
        <v>368</v>
      </c>
    </row>
    <row r="59">
      <c r="A59" s="5" t="s">
        <v>43</v>
      </c>
      <c r="B59" s="5" t="s">
        <v>1867</v>
      </c>
      <c r="C59" s="5" t="s">
        <v>59</v>
      </c>
      <c r="D59" s="6">
        <v>4.0</v>
      </c>
      <c r="E59" s="6">
        <v>2.0</v>
      </c>
      <c r="F59" s="6">
        <v>8.0</v>
      </c>
      <c r="G59" s="6">
        <v>56.0</v>
      </c>
      <c r="H59" s="6">
        <v>10588.0</v>
      </c>
      <c r="I59" s="6">
        <v>0.2726</v>
      </c>
      <c r="J59" s="6">
        <v>0.0832</v>
      </c>
      <c r="K59" s="6">
        <v>0.0</v>
      </c>
      <c r="L59" s="6">
        <v>0.4568</v>
      </c>
      <c r="M59" s="5" t="s">
        <v>368</v>
      </c>
    </row>
    <row r="60">
      <c r="A60" s="5" t="s">
        <v>43</v>
      </c>
      <c r="B60" s="5" t="s">
        <v>1867</v>
      </c>
      <c r="C60" s="5" t="s">
        <v>59</v>
      </c>
      <c r="D60" s="6">
        <v>4.0</v>
      </c>
      <c r="E60" s="6">
        <v>3.0</v>
      </c>
      <c r="F60" s="6">
        <v>8.0</v>
      </c>
      <c r="G60" s="6">
        <v>56.0</v>
      </c>
      <c r="H60" s="6">
        <v>10588.0</v>
      </c>
      <c r="I60" s="6">
        <v>0.416</v>
      </c>
      <c r="J60" s="6">
        <v>0.3451</v>
      </c>
      <c r="K60" s="6">
        <v>2.0E-4</v>
      </c>
      <c r="L60" s="6">
        <v>0.8036</v>
      </c>
      <c r="M60" s="5" t="s">
        <v>368</v>
      </c>
    </row>
    <row r="61">
      <c r="A61" s="5" t="s">
        <v>43</v>
      </c>
      <c r="B61" s="5" t="s">
        <v>1867</v>
      </c>
      <c r="C61" s="5" t="s">
        <v>59</v>
      </c>
      <c r="D61" s="6">
        <v>4.0</v>
      </c>
      <c r="E61" s="6">
        <v>4.0</v>
      </c>
      <c r="F61" s="6">
        <v>8.0</v>
      </c>
      <c r="G61" s="6">
        <v>56.0</v>
      </c>
      <c r="H61" s="6">
        <v>10588.0</v>
      </c>
      <c r="I61" s="6">
        <v>0.5578</v>
      </c>
      <c r="J61" s="6">
        <v>0.6064</v>
      </c>
      <c r="K61" s="6">
        <v>0.1338</v>
      </c>
      <c r="L61" s="6">
        <v>0.9992</v>
      </c>
      <c r="M61" s="5" t="s">
        <v>368</v>
      </c>
    </row>
    <row r="62">
      <c r="A62" s="5" t="s">
        <v>43</v>
      </c>
      <c r="B62" s="5" t="s">
        <v>1867</v>
      </c>
      <c r="C62" s="5" t="s">
        <v>59</v>
      </c>
      <c r="D62" s="6">
        <v>4.0</v>
      </c>
      <c r="E62" s="6">
        <v>5.0</v>
      </c>
      <c r="F62" s="6">
        <v>8.0</v>
      </c>
      <c r="G62" s="6">
        <v>56.0</v>
      </c>
      <c r="H62" s="6">
        <v>10588.0</v>
      </c>
      <c r="I62" s="6">
        <v>0.6939</v>
      </c>
      <c r="J62" s="6">
        <v>0.8502</v>
      </c>
      <c r="K62" s="6">
        <v>0.4689</v>
      </c>
      <c r="L62" s="6">
        <v>1.0</v>
      </c>
      <c r="M62" s="5" t="s">
        <v>368</v>
      </c>
    </row>
    <row r="63">
      <c r="A63" s="5" t="s">
        <v>43</v>
      </c>
      <c r="B63" s="5" t="s">
        <v>1867</v>
      </c>
      <c r="C63" s="5" t="s">
        <v>59</v>
      </c>
      <c r="D63" s="6">
        <v>4.0</v>
      </c>
      <c r="E63" s="6">
        <v>6.0</v>
      </c>
      <c r="F63" s="6">
        <v>8.0</v>
      </c>
      <c r="G63" s="6">
        <v>56.0</v>
      </c>
      <c r="H63" s="6">
        <v>10588.0</v>
      </c>
      <c r="I63" s="6">
        <v>0.8285</v>
      </c>
      <c r="J63" s="6">
        <v>1.0</v>
      </c>
      <c r="K63" s="6">
        <v>0.7827</v>
      </c>
      <c r="L63" s="6">
        <v>1.0</v>
      </c>
      <c r="M63" s="5" t="s">
        <v>368</v>
      </c>
    </row>
    <row r="64">
      <c r="A64" s="5" t="s">
        <v>43</v>
      </c>
      <c r="B64" s="5" t="s">
        <v>1867</v>
      </c>
      <c r="C64" s="5" t="s">
        <v>59</v>
      </c>
      <c r="D64" s="6">
        <v>4.0</v>
      </c>
      <c r="E64" s="6">
        <v>7.0</v>
      </c>
      <c r="F64" s="6">
        <v>8.0</v>
      </c>
      <c r="G64" s="6">
        <v>56.0</v>
      </c>
      <c r="H64" s="6">
        <v>10588.0</v>
      </c>
      <c r="I64" s="6">
        <v>0.9762</v>
      </c>
      <c r="J64" s="6">
        <v>1.0</v>
      </c>
      <c r="K64" s="6">
        <v>1.0</v>
      </c>
      <c r="L64" s="6">
        <v>1.0</v>
      </c>
      <c r="M64" s="5" t="s">
        <v>368</v>
      </c>
    </row>
    <row r="65">
      <c r="A65" s="5" t="s">
        <v>43</v>
      </c>
      <c r="B65" s="5" t="s">
        <v>1867</v>
      </c>
      <c r="C65" s="5" t="s">
        <v>59</v>
      </c>
      <c r="D65" s="6">
        <v>4.0</v>
      </c>
      <c r="E65" s="6">
        <v>8.0</v>
      </c>
      <c r="F65" s="6">
        <v>8.0</v>
      </c>
      <c r="G65" s="6">
        <v>56.0</v>
      </c>
      <c r="H65" s="6">
        <v>10588.0</v>
      </c>
      <c r="I65" s="6">
        <v>0.9966</v>
      </c>
      <c r="J65" s="6">
        <v>1.0</v>
      </c>
      <c r="K65" s="6">
        <v>1.0</v>
      </c>
      <c r="L65" s="6">
        <v>1.0</v>
      </c>
      <c r="M65" s="5" t="s">
        <v>368</v>
      </c>
    </row>
    <row r="66">
      <c r="A66" s="5" t="s">
        <v>43</v>
      </c>
      <c r="B66" s="5" t="s">
        <v>163</v>
      </c>
      <c r="C66" s="5" t="s">
        <v>60</v>
      </c>
      <c r="D66" s="6">
        <v>5.0</v>
      </c>
      <c r="E66" s="6">
        <v>1.0</v>
      </c>
      <c r="F66" s="6">
        <v>8.0</v>
      </c>
      <c r="G66" s="6">
        <v>56.0</v>
      </c>
      <c r="H66" s="6">
        <v>3826.0</v>
      </c>
      <c r="I66" s="6">
        <v>0.1645</v>
      </c>
      <c r="J66" s="6">
        <v>1.0E-4</v>
      </c>
      <c r="K66" s="6">
        <v>0.0</v>
      </c>
      <c r="L66" s="6">
        <v>0.2008</v>
      </c>
      <c r="M66" s="5" t="s">
        <v>368</v>
      </c>
    </row>
    <row r="67">
      <c r="A67" s="5" t="s">
        <v>43</v>
      </c>
      <c r="B67" s="5" t="s">
        <v>163</v>
      </c>
      <c r="C67" s="5" t="s">
        <v>60</v>
      </c>
      <c r="D67" s="6">
        <v>5.0</v>
      </c>
      <c r="E67" s="6">
        <v>2.0</v>
      </c>
      <c r="F67" s="6">
        <v>8.0</v>
      </c>
      <c r="G67" s="6">
        <v>56.0</v>
      </c>
      <c r="H67" s="6">
        <v>3826.0</v>
      </c>
      <c r="I67" s="6">
        <v>0.4483</v>
      </c>
      <c r="J67" s="6">
        <v>0.351</v>
      </c>
      <c r="K67" s="6">
        <v>0.0026</v>
      </c>
      <c r="L67" s="6">
        <v>0.9565</v>
      </c>
      <c r="M67" s="5" t="s">
        <v>368</v>
      </c>
    </row>
    <row r="68">
      <c r="A68" s="5" t="s">
        <v>43</v>
      </c>
      <c r="B68" s="5" t="s">
        <v>163</v>
      </c>
      <c r="C68" s="5" t="s">
        <v>60</v>
      </c>
      <c r="D68" s="6">
        <v>5.0</v>
      </c>
      <c r="E68" s="6">
        <v>3.0</v>
      </c>
      <c r="F68" s="6">
        <v>8.0</v>
      </c>
      <c r="G68" s="6">
        <v>56.0</v>
      </c>
      <c r="H68" s="6">
        <v>3826.0</v>
      </c>
      <c r="I68" s="6">
        <v>0.6029</v>
      </c>
      <c r="J68" s="6">
        <v>0.6921</v>
      </c>
      <c r="K68" s="6">
        <v>0.2328</v>
      </c>
      <c r="L68" s="6">
        <v>1.0</v>
      </c>
      <c r="M68" s="5" t="s">
        <v>368</v>
      </c>
    </row>
    <row r="69">
      <c r="A69" s="5" t="s">
        <v>43</v>
      </c>
      <c r="B69" s="5" t="s">
        <v>163</v>
      </c>
      <c r="C69" s="5" t="s">
        <v>60</v>
      </c>
      <c r="D69" s="6">
        <v>5.0</v>
      </c>
      <c r="E69" s="6">
        <v>4.0</v>
      </c>
      <c r="F69" s="6">
        <v>8.0</v>
      </c>
      <c r="G69" s="6">
        <v>56.0</v>
      </c>
      <c r="H69" s="6">
        <v>3826.0</v>
      </c>
      <c r="I69" s="6">
        <v>0.7064</v>
      </c>
      <c r="J69" s="6">
        <v>0.9185</v>
      </c>
      <c r="K69" s="6">
        <v>0.4719</v>
      </c>
      <c r="L69" s="6">
        <v>1.0</v>
      </c>
      <c r="M69" s="5" t="s">
        <v>368</v>
      </c>
    </row>
    <row r="70">
      <c r="A70" s="5" t="s">
        <v>43</v>
      </c>
      <c r="B70" s="5" t="s">
        <v>163</v>
      </c>
      <c r="C70" s="5" t="s">
        <v>60</v>
      </c>
      <c r="D70" s="6">
        <v>5.0</v>
      </c>
      <c r="E70" s="6">
        <v>5.0</v>
      </c>
      <c r="F70" s="6">
        <v>8.0</v>
      </c>
      <c r="G70" s="6">
        <v>56.0</v>
      </c>
      <c r="H70" s="6">
        <v>3826.0</v>
      </c>
      <c r="I70" s="6">
        <v>0.7802</v>
      </c>
      <c r="J70" s="6">
        <v>0.9943</v>
      </c>
      <c r="K70" s="6">
        <v>0.6488</v>
      </c>
      <c r="L70" s="6">
        <v>1.0</v>
      </c>
      <c r="M70" s="5" t="s">
        <v>368</v>
      </c>
    </row>
    <row r="71">
      <c r="A71" s="5" t="s">
        <v>43</v>
      </c>
      <c r="B71" s="5" t="s">
        <v>163</v>
      </c>
      <c r="C71" s="5" t="s">
        <v>60</v>
      </c>
      <c r="D71" s="6">
        <v>5.0</v>
      </c>
      <c r="E71" s="6">
        <v>6.0</v>
      </c>
      <c r="F71" s="6">
        <v>8.0</v>
      </c>
      <c r="G71" s="6">
        <v>56.0</v>
      </c>
      <c r="H71" s="6">
        <v>3826.0</v>
      </c>
      <c r="I71" s="6">
        <v>0.866</v>
      </c>
      <c r="J71" s="6">
        <v>1.0</v>
      </c>
      <c r="K71" s="6">
        <v>0.8452</v>
      </c>
      <c r="L71" s="6">
        <v>1.0</v>
      </c>
      <c r="M71" s="5" t="s">
        <v>368</v>
      </c>
    </row>
    <row r="72">
      <c r="A72" s="5" t="s">
        <v>43</v>
      </c>
      <c r="B72" s="5" t="s">
        <v>163</v>
      </c>
      <c r="C72" s="5" t="s">
        <v>60</v>
      </c>
      <c r="D72" s="6">
        <v>5.0</v>
      </c>
      <c r="E72" s="6">
        <v>7.0</v>
      </c>
      <c r="F72" s="6">
        <v>8.0</v>
      </c>
      <c r="G72" s="6">
        <v>56.0</v>
      </c>
      <c r="H72" s="6">
        <v>3826.0</v>
      </c>
      <c r="I72" s="6">
        <v>0.9762</v>
      </c>
      <c r="J72" s="6">
        <v>1.0</v>
      </c>
      <c r="K72" s="6">
        <v>1.0</v>
      </c>
      <c r="L72" s="6">
        <v>1.0</v>
      </c>
      <c r="M72" s="5" t="s">
        <v>368</v>
      </c>
    </row>
    <row r="73">
      <c r="A73" s="5" t="s">
        <v>43</v>
      </c>
      <c r="B73" s="5" t="s">
        <v>163</v>
      </c>
      <c r="C73" s="5" t="s">
        <v>60</v>
      </c>
      <c r="D73" s="6">
        <v>5.0</v>
      </c>
      <c r="E73" s="6">
        <v>8.0</v>
      </c>
      <c r="F73" s="6">
        <v>8.0</v>
      </c>
      <c r="G73" s="6">
        <v>56.0</v>
      </c>
      <c r="H73" s="6">
        <v>3826.0</v>
      </c>
      <c r="I73" s="6">
        <v>0.9982</v>
      </c>
      <c r="J73" s="6">
        <v>1.0</v>
      </c>
      <c r="K73" s="6">
        <v>1.0</v>
      </c>
      <c r="L73" s="6">
        <v>1.0</v>
      </c>
      <c r="M73" s="5" t="s">
        <v>368</v>
      </c>
    </row>
    <row r="74">
      <c r="A74" s="5" t="s">
        <v>43</v>
      </c>
      <c r="B74" s="5" t="s">
        <v>1867</v>
      </c>
      <c r="C74" s="5" t="s">
        <v>60</v>
      </c>
      <c r="D74" s="6">
        <v>5.0</v>
      </c>
      <c r="E74" s="6">
        <v>1.0</v>
      </c>
      <c r="F74" s="6">
        <v>8.0</v>
      </c>
      <c r="G74" s="6">
        <v>56.0</v>
      </c>
      <c r="H74" s="6">
        <v>1981.0</v>
      </c>
      <c r="I74" s="6">
        <v>0.1461</v>
      </c>
      <c r="J74" s="6">
        <v>0.0</v>
      </c>
      <c r="K74" s="6">
        <v>0.0</v>
      </c>
      <c r="L74" s="6">
        <v>0.1589</v>
      </c>
      <c r="M74" s="5" t="s">
        <v>368</v>
      </c>
    </row>
    <row r="75">
      <c r="A75" s="5" t="s">
        <v>43</v>
      </c>
      <c r="B75" s="5" t="s">
        <v>1867</v>
      </c>
      <c r="C75" s="5" t="s">
        <v>60</v>
      </c>
      <c r="D75" s="6">
        <v>5.0</v>
      </c>
      <c r="E75" s="6">
        <v>2.0</v>
      </c>
      <c r="F75" s="6">
        <v>8.0</v>
      </c>
      <c r="G75" s="6">
        <v>56.0</v>
      </c>
      <c r="H75" s="6">
        <v>1981.0</v>
      </c>
      <c r="I75" s="6">
        <v>0.3656</v>
      </c>
      <c r="J75" s="6">
        <v>0.237</v>
      </c>
      <c r="K75" s="6">
        <v>0.0</v>
      </c>
      <c r="L75" s="6">
        <v>0.7069</v>
      </c>
      <c r="M75" s="5" t="s">
        <v>368</v>
      </c>
    </row>
    <row r="76">
      <c r="A76" s="5" t="s">
        <v>43</v>
      </c>
      <c r="B76" s="5" t="s">
        <v>1867</v>
      </c>
      <c r="C76" s="5" t="s">
        <v>60</v>
      </c>
      <c r="D76" s="6">
        <v>5.0</v>
      </c>
      <c r="E76" s="6">
        <v>3.0</v>
      </c>
      <c r="F76" s="6">
        <v>8.0</v>
      </c>
      <c r="G76" s="6">
        <v>56.0</v>
      </c>
      <c r="H76" s="6">
        <v>1981.0</v>
      </c>
      <c r="I76" s="6">
        <v>0.5253</v>
      </c>
      <c r="J76" s="6">
        <v>0.5485</v>
      </c>
      <c r="K76" s="6">
        <v>0.0188</v>
      </c>
      <c r="L76" s="6">
        <v>0.9968</v>
      </c>
      <c r="M76" s="5" t="s">
        <v>368</v>
      </c>
    </row>
    <row r="77">
      <c r="A77" s="5" t="s">
        <v>43</v>
      </c>
      <c r="B77" s="5" t="s">
        <v>1867</v>
      </c>
      <c r="C77" s="5" t="s">
        <v>60</v>
      </c>
      <c r="D77" s="6">
        <v>5.0</v>
      </c>
      <c r="E77" s="6">
        <v>4.0</v>
      </c>
      <c r="F77" s="6">
        <v>8.0</v>
      </c>
      <c r="G77" s="6">
        <v>56.0</v>
      </c>
      <c r="H77" s="6">
        <v>1981.0</v>
      </c>
      <c r="I77" s="6">
        <v>0.6595</v>
      </c>
      <c r="J77" s="6">
        <v>0.8083</v>
      </c>
      <c r="K77" s="6">
        <v>0.379</v>
      </c>
      <c r="L77" s="6">
        <v>1.0</v>
      </c>
      <c r="M77" s="5" t="s">
        <v>368</v>
      </c>
    </row>
    <row r="78">
      <c r="A78" s="5" t="s">
        <v>43</v>
      </c>
      <c r="B78" s="5" t="s">
        <v>1867</v>
      </c>
      <c r="C78" s="5" t="s">
        <v>60</v>
      </c>
      <c r="D78" s="6">
        <v>5.0</v>
      </c>
      <c r="E78" s="6">
        <v>5.0</v>
      </c>
      <c r="F78" s="6">
        <v>8.0</v>
      </c>
      <c r="G78" s="6">
        <v>56.0</v>
      </c>
      <c r="H78" s="6">
        <v>1981.0</v>
      </c>
      <c r="I78" s="6">
        <v>0.7591</v>
      </c>
      <c r="J78" s="6">
        <v>0.9728</v>
      </c>
      <c r="K78" s="6">
        <v>0.6193</v>
      </c>
      <c r="L78" s="6">
        <v>1.0</v>
      </c>
      <c r="M78" s="5" t="s">
        <v>368</v>
      </c>
    </row>
    <row r="79">
      <c r="A79" s="5" t="s">
        <v>43</v>
      </c>
      <c r="B79" s="5" t="s">
        <v>1867</v>
      </c>
      <c r="C79" s="5" t="s">
        <v>60</v>
      </c>
      <c r="D79" s="6">
        <v>5.0</v>
      </c>
      <c r="E79" s="6">
        <v>6.0</v>
      </c>
      <c r="F79" s="6">
        <v>8.0</v>
      </c>
      <c r="G79" s="6">
        <v>56.0</v>
      </c>
      <c r="H79" s="6">
        <v>1981.0</v>
      </c>
      <c r="I79" s="6">
        <v>0.8621</v>
      </c>
      <c r="J79" s="6">
        <v>1.0</v>
      </c>
      <c r="K79" s="6">
        <v>0.8542</v>
      </c>
      <c r="L79" s="6">
        <v>1.0</v>
      </c>
      <c r="M79" s="5" t="s">
        <v>368</v>
      </c>
    </row>
    <row r="80">
      <c r="A80" s="5" t="s">
        <v>43</v>
      </c>
      <c r="B80" s="5" t="s">
        <v>1867</v>
      </c>
      <c r="C80" s="5" t="s">
        <v>60</v>
      </c>
      <c r="D80" s="6">
        <v>5.0</v>
      </c>
      <c r="E80" s="6">
        <v>7.0</v>
      </c>
      <c r="F80" s="6">
        <v>8.0</v>
      </c>
      <c r="G80" s="6">
        <v>56.0</v>
      </c>
      <c r="H80" s="6">
        <v>1981.0</v>
      </c>
      <c r="I80" s="6">
        <v>0.9784</v>
      </c>
      <c r="J80" s="6">
        <v>1.0</v>
      </c>
      <c r="K80" s="6">
        <v>1.0</v>
      </c>
      <c r="L80" s="6">
        <v>1.0</v>
      </c>
      <c r="M80" s="5" t="s">
        <v>368</v>
      </c>
    </row>
    <row r="81">
      <c r="A81" s="5" t="s">
        <v>43</v>
      </c>
      <c r="B81" s="5" t="s">
        <v>1867</v>
      </c>
      <c r="C81" s="5" t="s">
        <v>60</v>
      </c>
      <c r="D81" s="6">
        <v>5.0</v>
      </c>
      <c r="E81" s="6">
        <v>8.0</v>
      </c>
      <c r="F81" s="6">
        <v>8.0</v>
      </c>
      <c r="G81" s="6">
        <v>56.0</v>
      </c>
      <c r="H81" s="6">
        <v>1981.0</v>
      </c>
      <c r="I81" s="6">
        <v>0.9981</v>
      </c>
      <c r="J81" s="6">
        <v>1.0</v>
      </c>
      <c r="K81" s="6">
        <v>1.0</v>
      </c>
      <c r="L81" s="6">
        <v>1.0</v>
      </c>
      <c r="M81" s="5" t="s">
        <v>368</v>
      </c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517" t="s">
        <v>2042</v>
      </c>
      <c r="B1" s="517" t="s">
        <v>2022</v>
      </c>
      <c r="C1" s="517" t="s">
        <v>2103</v>
      </c>
      <c r="D1" s="517" t="s">
        <v>2104</v>
      </c>
      <c r="E1" s="517" t="s">
        <v>2105</v>
      </c>
      <c r="F1" s="517" t="s">
        <v>2106</v>
      </c>
      <c r="G1" s="517" t="s">
        <v>2107</v>
      </c>
      <c r="H1" s="517" t="s">
        <v>2108</v>
      </c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" t="s">
        <v>56</v>
      </c>
      <c r="B2" s="5" t="s">
        <v>163</v>
      </c>
      <c r="C2" s="5">
        <v>7906.1</v>
      </c>
      <c r="D2" s="5">
        <v>772.0</v>
      </c>
      <c r="E2" s="5">
        <v>1911.0</v>
      </c>
      <c r="F2" s="5">
        <v>4553.0</v>
      </c>
      <c r="G2" s="5">
        <v>10021.0</v>
      </c>
      <c r="H2" s="5">
        <v>17251.0</v>
      </c>
    </row>
    <row r="3">
      <c r="A3" s="5" t="s">
        <v>57</v>
      </c>
      <c r="B3" s="5" t="s">
        <v>163</v>
      </c>
      <c r="C3" s="5">
        <v>24490.1</v>
      </c>
      <c r="D3" s="5">
        <v>5536.0</v>
      </c>
      <c r="E3" s="5">
        <v>9419.0</v>
      </c>
      <c r="F3" s="5">
        <v>19134.0</v>
      </c>
      <c r="G3" s="5">
        <v>31258.0</v>
      </c>
      <c r="H3" s="5">
        <v>45422.0</v>
      </c>
    </row>
    <row r="4">
      <c r="A4" s="5" t="s">
        <v>58</v>
      </c>
      <c r="B4" s="5" t="s">
        <v>163</v>
      </c>
      <c r="C4" s="5">
        <v>47180.2</v>
      </c>
      <c r="D4" s="5">
        <v>11180.0</v>
      </c>
      <c r="E4" s="5">
        <v>18851.0</v>
      </c>
      <c r="F4" s="5">
        <v>38620.0</v>
      </c>
      <c r="G4" s="5">
        <v>61778.0</v>
      </c>
      <c r="H4" s="5">
        <v>88902.0</v>
      </c>
    </row>
    <row r="5">
      <c r="A5" s="5" t="s">
        <v>59</v>
      </c>
      <c r="B5" s="5" t="s">
        <v>163</v>
      </c>
      <c r="C5" s="5">
        <v>96527.0</v>
      </c>
      <c r="D5" s="5">
        <v>24408.0</v>
      </c>
      <c r="E5" s="5">
        <v>44118.0</v>
      </c>
      <c r="F5" s="5">
        <v>83292.0</v>
      </c>
      <c r="G5" s="5">
        <v>128357.0</v>
      </c>
      <c r="H5" s="5">
        <v>185129.0</v>
      </c>
    </row>
    <row r="6">
      <c r="A6" s="5" t="s">
        <v>60</v>
      </c>
      <c r="B6" s="5" t="s">
        <v>163</v>
      </c>
      <c r="C6" s="5">
        <v>173958.4</v>
      </c>
      <c r="D6" s="5">
        <v>44295.0</v>
      </c>
      <c r="E6" s="5">
        <v>82596.0</v>
      </c>
      <c r="F6" s="5">
        <v>139889.0</v>
      </c>
      <c r="G6" s="5">
        <v>246841.0</v>
      </c>
      <c r="H6" s="5">
        <v>343988.0</v>
      </c>
    </row>
    <row r="7">
      <c r="A7" s="5" t="s">
        <v>56</v>
      </c>
      <c r="B7" s="5" t="s">
        <v>1867</v>
      </c>
      <c r="C7" s="5">
        <v>8513.2</v>
      </c>
      <c r="D7" s="5">
        <v>1017.0</v>
      </c>
      <c r="E7" s="5">
        <v>2378.0</v>
      </c>
      <c r="F7" s="5">
        <v>5438.0</v>
      </c>
      <c r="G7" s="5">
        <v>11064.0</v>
      </c>
      <c r="H7" s="5">
        <v>17880.0</v>
      </c>
    </row>
    <row r="8">
      <c r="A8" s="5" t="s">
        <v>57</v>
      </c>
      <c r="B8" s="5" t="s">
        <v>1867</v>
      </c>
      <c r="C8" s="5">
        <v>24799.5</v>
      </c>
      <c r="D8" s="5">
        <v>5914.0</v>
      </c>
      <c r="E8" s="5">
        <v>10409.0</v>
      </c>
      <c r="F8" s="5">
        <v>20371.0</v>
      </c>
      <c r="G8" s="5">
        <v>32242.0</v>
      </c>
      <c r="H8" s="5">
        <v>45193.0</v>
      </c>
    </row>
    <row r="9">
      <c r="A9" s="5" t="s">
        <v>58</v>
      </c>
      <c r="B9" s="5" t="s">
        <v>1867</v>
      </c>
      <c r="C9" s="5">
        <v>46374.6</v>
      </c>
      <c r="D9" s="5">
        <v>11888.0</v>
      </c>
      <c r="E9" s="5">
        <v>19475.0</v>
      </c>
      <c r="F9" s="5">
        <v>38625.0</v>
      </c>
      <c r="G9" s="5">
        <v>61751.0</v>
      </c>
      <c r="H9" s="5">
        <v>87662.0</v>
      </c>
    </row>
    <row r="10">
      <c r="A10" s="5" t="s">
        <v>59</v>
      </c>
      <c r="B10" s="5" t="s">
        <v>1867</v>
      </c>
      <c r="C10" s="5">
        <v>96358.6</v>
      </c>
      <c r="D10" s="5">
        <v>24192.0</v>
      </c>
      <c r="E10" s="5">
        <v>41977.0</v>
      </c>
      <c r="F10" s="5">
        <v>83537.0</v>
      </c>
      <c r="G10" s="5">
        <v>126253.0</v>
      </c>
      <c r="H10" s="5">
        <v>182099.0</v>
      </c>
    </row>
    <row r="11">
      <c r="A11" s="5" t="s">
        <v>60</v>
      </c>
      <c r="B11" s="5" t="s">
        <v>1867</v>
      </c>
      <c r="C11" s="5">
        <v>186726.2</v>
      </c>
      <c r="D11" s="5">
        <v>62161.0</v>
      </c>
      <c r="E11" s="5">
        <v>92376.0</v>
      </c>
      <c r="F11" s="5">
        <v>157274.0</v>
      </c>
      <c r="G11" s="5">
        <v>254767.0</v>
      </c>
      <c r="H11" s="5">
        <v>351071.0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10" t="s">
        <v>2042</v>
      </c>
      <c r="B1" s="510" t="s">
        <v>2022</v>
      </c>
      <c r="C1" s="510" t="s">
        <v>2043</v>
      </c>
      <c r="D1" s="510" t="s">
        <v>2109</v>
      </c>
      <c r="E1" s="510" t="s">
        <v>2045</v>
      </c>
      <c r="F1" s="510" t="s">
        <v>2110</v>
      </c>
      <c r="G1" s="510" t="s">
        <v>2111</v>
      </c>
      <c r="H1" s="510" t="s">
        <v>2112</v>
      </c>
      <c r="I1" s="510" t="s">
        <v>2113</v>
      </c>
      <c r="J1" s="510" t="s">
        <v>2114</v>
      </c>
      <c r="K1" s="510" t="s">
        <v>2115</v>
      </c>
      <c r="L1" s="510" t="s">
        <v>2116</v>
      </c>
      <c r="M1" s="510" t="s">
        <v>2117</v>
      </c>
      <c r="N1" s="510" t="s">
        <v>2118</v>
      </c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" t="s">
        <v>56</v>
      </c>
      <c r="B2" s="5" t="s">
        <v>163</v>
      </c>
      <c r="C2" s="6">
        <v>1.0</v>
      </c>
      <c r="D2" s="6">
        <v>200116.0</v>
      </c>
      <c r="E2" s="6">
        <v>1280823.0</v>
      </c>
      <c r="F2" s="6">
        <v>13.7289</v>
      </c>
      <c r="G2" s="6">
        <v>5.4403</v>
      </c>
      <c r="H2" s="6">
        <v>0.3963</v>
      </c>
      <c r="I2" s="6">
        <v>1.0</v>
      </c>
      <c r="J2" s="6">
        <v>3.0</v>
      </c>
      <c r="K2" s="6">
        <v>5.0</v>
      </c>
      <c r="L2" s="6">
        <v>9.0</v>
      </c>
      <c r="M2" s="6">
        <v>2.5633</v>
      </c>
      <c r="N2" s="6">
        <v>0.6731</v>
      </c>
    </row>
    <row r="3">
      <c r="A3" s="5" t="s">
        <v>56</v>
      </c>
      <c r="B3" s="5" t="s">
        <v>1867</v>
      </c>
      <c r="C3" s="6">
        <v>1.0</v>
      </c>
      <c r="D3" s="6">
        <v>119171.0</v>
      </c>
      <c r="E3" s="6">
        <v>1001557.0</v>
      </c>
      <c r="F3" s="6">
        <v>17.5711</v>
      </c>
      <c r="G3" s="6">
        <v>5.2665</v>
      </c>
      <c r="H3" s="6">
        <v>0.2997</v>
      </c>
      <c r="I3" s="6">
        <v>1.0</v>
      </c>
      <c r="J3" s="6">
        <v>2.0</v>
      </c>
      <c r="K3" s="6">
        <v>4.0</v>
      </c>
      <c r="L3" s="6">
        <v>8.0</v>
      </c>
      <c r="M3" s="6">
        <v>2.2146</v>
      </c>
      <c r="N3" s="6">
        <v>0.5946</v>
      </c>
    </row>
    <row r="4">
      <c r="A4" s="5" t="s">
        <v>57</v>
      </c>
      <c r="B4" s="5" t="s">
        <v>163</v>
      </c>
      <c r="C4" s="6">
        <v>2.0</v>
      </c>
      <c r="D4" s="6">
        <v>152643.0</v>
      </c>
      <c r="E4" s="6">
        <v>864326.0</v>
      </c>
      <c r="F4" s="6">
        <v>26.4086</v>
      </c>
      <c r="G4" s="6">
        <v>13.7592</v>
      </c>
      <c r="H4" s="6">
        <v>0.521</v>
      </c>
      <c r="I4" s="6">
        <v>3.0</v>
      </c>
      <c r="J4" s="6">
        <v>7.0</v>
      </c>
      <c r="K4" s="6">
        <v>13.0</v>
      </c>
      <c r="L4" s="6">
        <v>20.0</v>
      </c>
      <c r="M4" s="6">
        <v>4.0682</v>
      </c>
      <c r="N4" s="6">
        <v>0.7847</v>
      </c>
    </row>
    <row r="5">
      <c r="A5" s="5" t="s">
        <v>57</v>
      </c>
      <c r="B5" s="5" t="s">
        <v>1867</v>
      </c>
      <c r="C5" s="6">
        <v>2.0</v>
      </c>
      <c r="D5" s="6">
        <v>88675.0</v>
      </c>
      <c r="E5" s="6">
        <v>496066.0</v>
      </c>
      <c r="F5" s="6">
        <v>33.1317</v>
      </c>
      <c r="G5" s="6">
        <v>13.5714</v>
      </c>
      <c r="H5" s="6">
        <v>0.4096</v>
      </c>
      <c r="I5" s="6">
        <v>3.0</v>
      </c>
      <c r="J5" s="6">
        <v>6.0</v>
      </c>
      <c r="K5" s="6">
        <v>13.0</v>
      </c>
      <c r="L5" s="6">
        <v>20.0</v>
      </c>
      <c r="M5" s="6">
        <v>3.4886</v>
      </c>
      <c r="N5" s="6">
        <v>0.7375</v>
      </c>
    </row>
    <row r="6">
      <c r="A6" s="5" t="s">
        <v>58</v>
      </c>
      <c r="B6" s="5" t="s">
        <v>163</v>
      </c>
      <c r="C6" s="6">
        <v>3.0</v>
      </c>
      <c r="D6" s="6">
        <v>100076.0</v>
      </c>
      <c r="E6" s="6">
        <v>510967.0</v>
      </c>
      <c r="F6" s="6">
        <v>40.3267</v>
      </c>
      <c r="G6" s="6">
        <v>26.5121</v>
      </c>
      <c r="H6" s="6">
        <v>0.6574</v>
      </c>
      <c r="I6" s="6">
        <v>7.0</v>
      </c>
      <c r="J6" s="6">
        <v>14.0</v>
      </c>
      <c r="K6" s="6">
        <v>25.0</v>
      </c>
      <c r="L6" s="6">
        <v>38.0</v>
      </c>
      <c r="M6" s="6">
        <v>6.2671</v>
      </c>
      <c r="N6" s="6">
        <v>0.8604</v>
      </c>
    </row>
    <row r="7">
      <c r="A7" s="5" t="s">
        <v>58</v>
      </c>
      <c r="B7" s="5" t="s">
        <v>1867</v>
      </c>
      <c r="C7" s="6">
        <v>3.0</v>
      </c>
      <c r="D7" s="6">
        <v>56332.0</v>
      </c>
      <c r="E7" s="6">
        <v>269707.0</v>
      </c>
      <c r="F7" s="6">
        <v>48.5488</v>
      </c>
      <c r="G7" s="6">
        <v>26.3409</v>
      </c>
      <c r="H7" s="6">
        <v>0.5426</v>
      </c>
      <c r="I7" s="6">
        <v>6.0</v>
      </c>
      <c r="J7" s="6">
        <v>13.0</v>
      </c>
      <c r="K7" s="6">
        <v>26.0</v>
      </c>
      <c r="L7" s="6">
        <v>39.0</v>
      </c>
      <c r="M7" s="6">
        <v>5.2475</v>
      </c>
      <c r="N7" s="6">
        <v>0.826</v>
      </c>
    </row>
    <row r="8">
      <c r="A8" s="5" t="s">
        <v>59</v>
      </c>
      <c r="B8" s="5" t="s">
        <v>163</v>
      </c>
      <c r="C8" s="6">
        <v>4.0</v>
      </c>
      <c r="D8" s="6">
        <v>46725.0</v>
      </c>
      <c r="E8" s="6">
        <v>242977.0</v>
      </c>
      <c r="F8" s="6">
        <v>69.5145</v>
      </c>
      <c r="G8" s="6">
        <v>53.0323</v>
      </c>
      <c r="H8" s="6">
        <v>0.7629</v>
      </c>
      <c r="I8" s="6">
        <v>13.0</v>
      </c>
      <c r="J8" s="6">
        <v>28.0</v>
      </c>
      <c r="K8" s="6">
        <v>50.0</v>
      </c>
      <c r="L8" s="6">
        <v>78.0</v>
      </c>
      <c r="M8" s="6">
        <v>9.7879</v>
      </c>
      <c r="N8" s="6">
        <v>0.9094</v>
      </c>
    </row>
    <row r="9">
      <c r="A9" s="5" t="s">
        <v>59</v>
      </c>
      <c r="B9" s="5" t="s">
        <v>1867</v>
      </c>
      <c r="C9" s="6">
        <v>4.0</v>
      </c>
      <c r="D9" s="6">
        <v>25352.0</v>
      </c>
      <c r="E9" s="6">
        <v>118828.0</v>
      </c>
      <c r="F9" s="6">
        <v>77.7319</v>
      </c>
      <c r="G9" s="6">
        <v>53.252</v>
      </c>
      <c r="H9" s="6">
        <v>0.6851</v>
      </c>
      <c r="I9" s="6">
        <v>12.0</v>
      </c>
      <c r="J9" s="6">
        <v>28.0</v>
      </c>
      <c r="K9" s="6">
        <v>51.0</v>
      </c>
      <c r="L9" s="6">
        <v>80.0</v>
      </c>
      <c r="M9" s="6">
        <v>8.3845</v>
      </c>
      <c r="N9" s="6">
        <v>0.8908</v>
      </c>
    </row>
    <row r="10">
      <c r="A10" s="5" t="s">
        <v>60</v>
      </c>
      <c r="B10" s="5" t="s">
        <v>163</v>
      </c>
      <c r="C10" s="6">
        <v>5.0</v>
      </c>
      <c r="D10" s="6">
        <v>9121.0</v>
      </c>
      <c r="E10" s="6">
        <v>31636.0</v>
      </c>
      <c r="F10" s="6">
        <v>153.6355</v>
      </c>
      <c r="G10" s="6">
        <v>126.7707</v>
      </c>
      <c r="H10" s="6">
        <v>0.8251</v>
      </c>
      <c r="I10" s="6">
        <v>29.0</v>
      </c>
      <c r="J10" s="6">
        <v>62.0</v>
      </c>
      <c r="K10" s="6">
        <v>115.0</v>
      </c>
      <c r="L10" s="6">
        <v>171.0</v>
      </c>
      <c r="M10" s="6">
        <v>13.9239</v>
      </c>
      <c r="N10" s="6">
        <v>0.9334</v>
      </c>
    </row>
    <row r="11">
      <c r="A11" s="5" t="s">
        <v>60</v>
      </c>
      <c r="B11" s="5" t="s">
        <v>1867</v>
      </c>
      <c r="C11" s="6">
        <v>5.0</v>
      </c>
      <c r="D11" s="6">
        <v>4466.0</v>
      </c>
      <c r="E11" s="6">
        <v>15139.0</v>
      </c>
      <c r="F11" s="6">
        <v>160.918</v>
      </c>
      <c r="G11" s="6">
        <v>126.8699</v>
      </c>
      <c r="H11" s="6">
        <v>0.7884</v>
      </c>
      <c r="I11" s="6">
        <v>28.0</v>
      </c>
      <c r="J11" s="6">
        <v>65.0</v>
      </c>
      <c r="K11" s="6">
        <v>118.0</v>
      </c>
      <c r="L11" s="6">
        <v>177.0</v>
      </c>
      <c r="M11" s="6">
        <v>12.8812</v>
      </c>
      <c r="N11" s="6">
        <v>0.9273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79" t="s">
        <v>2042</v>
      </c>
      <c r="B1" s="279" t="s">
        <v>2022</v>
      </c>
      <c r="C1" s="279" t="s">
        <v>2119</v>
      </c>
      <c r="D1" s="279" t="s">
        <v>2120</v>
      </c>
      <c r="E1" s="279" t="s">
        <v>2121</v>
      </c>
      <c r="F1" s="279" t="s">
        <v>2122</v>
      </c>
      <c r="G1" s="279" t="s">
        <v>2026</v>
      </c>
      <c r="H1" s="279" t="s">
        <v>2123</v>
      </c>
      <c r="I1" s="279" t="s">
        <v>2124</v>
      </c>
      <c r="J1" s="279" t="s">
        <v>2125</v>
      </c>
      <c r="K1" s="279" t="s">
        <v>2126</v>
      </c>
      <c r="L1" s="279" t="s">
        <v>2127</v>
      </c>
      <c r="M1" s="279" t="s">
        <v>2128</v>
      </c>
      <c r="N1" s="279" t="s">
        <v>2129</v>
      </c>
      <c r="O1" s="279" t="s">
        <v>2130</v>
      </c>
      <c r="P1" s="279" t="s">
        <v>2131</v>
      </c>
      <c r="Q1" s="279" t="s">
        <v>2132</v>
      </c>
      <c r="R1" s="279" t="s">
        <v>2133</v>
      </c>
      <c r="S1" s="279" t="s">
        <v>2134</v>
      </c>
      <c r="T1" s="279" t="s">
        <v>2135</v>
      </c>
      <c r="U1" s="279" t="s">
        <v>2136</v>
      </c>
      <c r="V1" s="279" t="s">
        <v>2137</v>
      </c>
    </row>
    <row r="2">
      <c r="A2" s="5" t="s">
        <v>56</v>
      </c>
      <c r="B2" s="5" t="s">
        <v>163</v>
      </c>
      <c r="C2" s="5" t="s">
        <v>1882</v>
      </c>
      <c r="D2" s="6">
        <v>516.7328</v>
      </c>
      <c r="E2" s="6">
        <v>532.8</v>
      </c>
      <c r="F2" s="6">
        <v>-16.0672</v>
      </c>
      <c r="G2" s="6">
        <v>131163.0</v>
      </c>
      <c r="H2" s="6">
        <v>547.8715</v>
      </c>
      <c r="I2" s="6">
        <v>564.907</v>
      </c>
      <c r="J2" s="6">
        <v>-17.0355</v>
      </c>
      <c r="K2" s="6">
        <v>55.7264</v>
      </c>
      <c r="L2" s="6">
        <v>221.9866</v>
      </c>
      <c r="M2" s="6">
        <v>765.4946</v>
      </c>
      <c r="N2" s="6">
        <v>1494.9684</v>
      </c>
      <c r="O2" s="6">
        <v>12.8119</v>
      </c>
      <c r="P2" s="6">
        <v>240.0718</v>
      </c>
      <c r="Q2" s="6">
        <v>810.8343</v>
      </c>
      <c r="R2" s="6">
        <v>1548.0837</v>
      </c>
      <c r="S2" s="6">
        <v>-89.5634</v>
      </c>
      <c r="T2" s="6">
        <v>2.2659</v>
      </c>
      <c r="U2" s="6">
        <v>60.8531</v>
      </c>
      <c r="V2" s="6">
        <v>173.7499</v>
      </c>
    </row>
    <row r="3">
      <c r="A3" s="5" t="s">
        <v>56</v>
      </c>
      <c r="B3" s="5" t="s">
        <v>163</v>
      </c>
      <c r="C3" s="5" t="s">
        <v>72</v>
      </c>
      <c r="D3" s="6">
        <v>5.8794</v>
      </c>
      <c r="E3" s="6">
        <v>6.2596</v>
      </c>
      <c r="F3" s="6">
        <v>-0.3802</v>
      </c>
      <c r="G3" s="6">
        <v>92464.0</v>
      </c>
      <c r="H3" s="6">
        <v>8.8427</v>
      </c>
      <c r="I3" s="6">
        <v>9.4146</v>
      </c>
      <c r="J3" s="6">
        <v>-0.5718</v>
      </c>
      <c r="K3" s="6">
        <v>0.0</v>
      </c>
      <c r="L3" s="6">
        <v>2.0194</v>
      </c>
      <c r="M3" s="6">
        <v>8.7286</v>
      </c>
      <c r="N3" s="6">
        <v>18.0698</v>
      </c>
      <c r="O3" s="6">
        <v>0.0</v>
      </c>
      <c r="P3" s="6">
        <v>2.1127</v>
      </c>
      <c r="Q3" s="6">
        <v>9.5833</v>
      </c>
      <c r="R3" s="6">
        <v>19.4862</v>
      </c>
      <c r="S3" s="6">
        <v>-1.1825</v>
      </c>
      <c r="T3" s="6">
        <v>0.0</v>
      </c>
      <c r="U3" s="6">
        <v>0.921</v>
      </c>
      <c r="V3" s="6">
        <v>2.6509</v>
      </c>
    </row>
    <row r="4">
      <c r="A4" s="5" t="s">
        <v>56</v>
      </c>
      <c r="B4" s="5" t="s">
        <v>163</v>
      </c>
      <c r="C4" s="5" t="s">
        <v>73</v>
      </c>
      <c r="D4" s="6">
        <v>4.9101</v>
      </c>
      <c r="E4" s="6">
        <v>5.1795</v>
      </c>
      <c r="F4" s="6">
        <v>-0.2694</v>
      </c>
      <c r="G4" s="6">
        <v>90105.0</v>
      </c>
      <c r="H4" s="6">
        <v>7.5782</v>
      </c>
      <c r="I4" s="6">
        <v>7.9941</v>
      </c>
      <c r="J4" s="6">
        <v>-0.4159</v>
      </c>
      <c r="K4" s="6">
        <v>0.0</v>
      </c>
      <c r="L4" s="6">
        <v>1.6897</v>
      </c>
      <c r="M4" s="6">
        <v>7.2233</v>
      </c>
      <c r="N4" s="6">
        <v>14.9575</v>
      </c>
      <c r="O4" s="6">
        <v>0.0</v>
      </c>
      <c r="P4" s="6">
        <v>1.6511</v>
      </c>
      <c r="Q4" s="6">
        <v>7.7675</v>
      </c>
      <c r="R4" s="6">
        <v>15.9076</v>
      </c>
      <c r="S4" s="6">
        <v>-1.0057</v>
      </c>
      <c r="T4" s="6">
        <v>0.0</v>
      </c>
      <c r="U4" s="6">
        <v>0.9421</v>
      </c>
      <c r="V4" s="6">
        <v>2.3615</v>
      </c>
    </row>
    <row r="5">
      <c r="A5" s="5" t="s">
        <v>56</v>
      </c>
      <c r="B5" s="5" t="s">
        <v>163</v>
      </c>
      <c r="C5" s="5" t="s">
        <v>74</v>
      </c>
      <c r="D5" s="6">
        <v>2.4708</v>
      </c>
      <c r="E5" s="6">
        <v>2.5179</v>
      </c>
      <c r="F5" s="6">
        <v>-0.0471</v>
      </c>
      <c r="G5" s="6">
        <v>79088.0</v>
      </c>
      <c r="H5" s="6">
        <v>4.3445</v>
      </c>
      <c r="I5" s="6">
        <v>4.4274</v>
      </c>
      <c r="J5" s="6">
        <v>-0.0829</v>
      </c>
      <c r="K5" s="6">
        <v>0.0</v>
      </c>
      <c r="L5" s="6">
        <v>0.966</v>
      </c>
      <c r="M5" s="6">
        <v>3.5622</v>
      </c>
      <c r="N5" s="6">
        <v>7.5189</v>
      </c>
      <c r="O5" s="6">
        <v>0.0</v>
      </c>
      <c r="P5" s="6">
        <v>0.7892</v>
      </c>
      <c r="Q5" s="6">
        <v>3.6254</v>
      </c>
      <c r="R5" s="6">
        <v>8.0084</v>
      </c>
      <c r="S5" s="6">
        <v>-0.1784</v>
      </c>
      <c r="T5" s="6">
        <v>0.0</v>
      </c>
      <c r="U5" s="6">
        <v>0.354</v>
      </c>
      <c r="V5" s="6">
        <v>1.5673</v>
      </c>
    </row>
    <row r="6">
      <c r="A6" s="5" t="s">
        <v>56</v>
      </c>
      <c r="B6" s="5" t="s">
        <v>163</v>
      </c>
      <c r="C6" s="5" t="s">
        <v>69</v>
      </c>
      <c r="D6" s="6">
        <v>8.0471</v>
      </c>
      <c r="E6" s="6">
        <v>8.1382</v>
      </c>
      <c r="F6" s="6">
        <v>-0.0911</v>
      </c>
      <c r="G6" s="6">
        <v>111662.0</v>
      </c>
      <c r="H6" s="6">
        <v>10.0221</v>
      </c>
      <c r="I6" s="6">
        <v>10.1356</v>
      </c>
      <c r="J6" s="6">
        <v>-0.1135</v>
      </c>
      <c r="K6" s="6">
        <v>0.99</v>
      </c>
      <c r="L6" s="6">
        <v>4.0181</v>
      </c>
      <c r="M6" s="6">
        <v>12.7322</v>
      </c>
      <c r="N6" s="6">
        <v>22.4898</v>
      </c>
      <c r="O6" s="6">
        <v>0.2557</v>
      </c>
      <c r="P6" s="6">
        <v>3.2542</v>
      </c>
      <c r="Q6" s="6">
        <v>12.4816</v>
      </c>
      <c r="R6" s="6">
        <v>24.2572</v>
      </c>
      <c r="S6" s="6">
        <v>-1.8365</v>
      </c>
      <c r="T6" s="6">
        <v>-5.0E-4</v>
      </c>
      <c r="U6" s="6">
        <v>1.6196</v>
      </c>
      <c r="V6" s="6">
        <v>4.8332</v>
      </c>
    </row>
    <row r="7">
      <c r="A7" s="5" t="s">
        <v>56</v>
      </c>
      <c r="B7" s="5" t="s">
        <v>163</v>
      </c>
      <c r="C7" s="5" t="s">
        <v>70</v>
      </c>
      <c r="D7" s="6">
        <v>8.0302</v>
      </c>
      <c r="E7" s="6">
        <v>7.8998</v>
      </c>
      <c r="F7" s="6">
        <v>0.1305</v>
      </c>
      <c r="G7" s="6">
        <v>115784.0</v>
      </c>
      <c r="H7" s="6">
        <v>9.645</v>
      </c>
      <c r="I7" s="6">
        <v>9.4883</v>
      </c>
      <c r="J7" s="6">
        <v>0.1567</v>
      </c>
      <c r="K7" s="6">
        <v>1.0832</v>
      </c>
      <c r="L7" s="6">
        <v>4.3466</v>
      </c>
      <c r="M7" s="6">
        <v>12.2433</v>
      </c>
      <c r="N7" s="6">
        <v>22.125</v>
      </c>
      <c r="O7" s="6">
        <v>0.1905</v>
      </c>
      <c r="P7" s="6">
        <v>3.2272</v>
      </c>
      <c r="Q7" s="6">
        <v>12.2198</v>
      </c>
      <c r="R7" s="6">
        <v>23.4678</v>
      </c>
      <c r="S7" s="6">
        <v>-1.5359</v>
      </c>
      <c r="T7" s="6">
        <v>0.018</v>
      </c>
      <c r="U7" s="6">
        <v>1.997</v>
      </c>
      <c r="V7" s="6">
        <v>4.988</v>
      </c>
    </row>
    <row r="8">
      <c r="A8" s="5" t="s">
        <v>56</v>
      </c>
      <c r="B8" s="5" t="s">
        <v>163</v>
      </c>
      <c r="C8" s="5" t="s">
        <v>71</v>
      </c>
      <c r="D8" s="6">
        <v>3.8182</v>
      </c>
      <c r="E8" s="6">
        <v>3.7104</v>
      </c>
      <c r="F8" s="6">
        <v>0.1079</v>
      </c>
      <c r="G8" s="6">
        <v>98716.0</v>
      </c>
      <c r="H8" s="6">
        <v>5.379</v>
      </c>
      <c r="I8" s="6">
        <v>5.227</v>
      </c>
      <c r="J8" s="6">
        <v>0.1519</v>
      </c>
      <c r="K8" s="6">
        <v>0.0778</v>
      </c>
      <c r="L8" s="6">
        <v>1.8038</v>
      </c>
      <c r="M8" s="6">
        <v>5.6398</v>
      </c>
      <c r="N8" s="6">
        <v>10.9014</v>
      </c>
      <c r="O8" s="6">
        <v>0.0</v>
      </c>
      <c r="P8" s="6">
        <v>1.3452</v>
      </c>
      <c r="Q8" s="6">
        <v>5.4562</v>
      </c>
      <c r="R8" s="6">
        <v>11.2566</v>
      </c>
      <c r="S8" s="6">
        <v>-0.7791</v>
      </c>
      <c r="T8" s="6">
        <v>0.0</v>
      </c>
      <c r="U8" s="6">
        <v>1.0003</v>
      </c>
      <c r="V8" s="6">
        <v>2.5291</v>
      </c>
    </row>
    <row r="9">
      <c r="A9" s="5" t="s">
        <v>56</v>
      </c>
      <c r="B9" s="5" t="s">
        <v>163</v>
      </c>
      <c r="C9" s="5" t="s">
        <v>1883</v>
      </c>
      <c r="D9" s="6">
        <v>5.7698</v>
      </c>
      <c r="E9" s="6">
        <v>1.8181</v>
      </c>
      <c r="F9" s="6">
        <v>3.9518</v>
      </c>
      <c r="G9" s="6">
        <v>25225.0</v>
      </c>
      <c r="H9" s="6">
        <v>31.8095</v>
      </c>
      <c r="I9" s="6">
        <v>10.0231</v>
      </c>
      <c r="J9" s="6">
        <v>21.7864</v>
      </c>
      <c r="K9" s="6">
        <v>0.0</v>
      </c>
      <c r="L9" s="6">
        <v>0.0</v>
      </c>
      <c r="M9" s="6">
        <v>0.0402</v>
      </c>
      <c r="N9" s="6">
        <v>30.0</v>
      </c>
      <c r="O9" s="6">
        <v>0.0</v>
      </c>
      <c r="P9" s="6">
        <v>0.0</v>
      </c>
      <c r="Q9" s="6">
        <v>0.0</v>
      </c>
      <c r="R9" s="6">
        <v>7.3154</v>
      </c>
      <c r="S9" s="6">
        <v>0.0</v>
      </c>
      <c r="T9" s="6">
        <v>0.0</v>
      </c>
      <c r="U9" s="6">
        <v>0.0049</v>
      </c>
      <c r="V9" s="6">
        <v>20.1916</v>
      </c>
    </row>
    <row r="10">
      <c r="A10" s="5" t="s">
        <v>56</v>
      </c>
      <c r="B10" s="5" t="s">
        <v>163</v>
      </c>
      <c r="C10" s="5" t="s">
        <v>1884</v>
      </c>
      <c r="D10" s="6">
        <v>26.7128</v>
      </c>
      <c r="E10" s="6">
        <v>7.3727</v>
      </c>
      <c r="F10" s="6">
        <v>19.3401</v>
      </c>
      <c r="G10" s="6">
        <v>87897.0</v>
      </c>
      <c r="H10" s="6">
        <v>42.2638</v>
      </c>
      <c r="I10" s="6">
        <v>11.6647</v>
      </c>
      <c r="J10" s="6">
        <v>30.5991</v>
      </c>
      <c r="K10" s="6">
        <v>0.0</v>
      </c>
      <c r="L10" s="6">
        <v>14.9966</v>
      </c>
      <c r="M10" s="6">
        <v>35.0434</v>
      </c>
      <c r="N10" s="6">
        <v>83.7583</v>
      </c>
      <c r="O10" s="6">
        <v>0.0</v>
      </c>
      <c r="P10" s="6">
        <v>3.4107</v>
      </c>
      <c r="Q10" s="6">
        <v>10.5309</v>
      </c>
      <c r="R10" s="6">
        <v>20.7205</v>
      </c>
      <c r="S10" s="6">
        <v>0.0</v>
      </c>
      <c r="T10" s="6">
        <v>10.208</v>
      </c>
      <c r="U10" s="6">
        <v>24.6546</v>
      </c>
      <c r="V10" s="6">
        <v>64.2831</v>
      </c>
    </row>
    <row r="11">
      <c r="A11" s="5" t="s">
        <v>56</v>
      </c>
      <c r="B11" s="5" t="s">
        <v>163</v>
      </c>
      <c r="C11" s="5" t="s">
        <v>1885</v>
      </c>
      <c r="D11" s="6">
        <v>33.5154</v>
      </c>
      <c r="E11" s="6">
        <v>9.4522</v>
      </c>
      <c r="F11" s="6">
        <v>24.0632</v>
      </c>
      <c r="G11" s="6">
        <v>97587.0</v>
      </c>
      <c r="H11" s="6">
        <v>47.7614</v>
      </c>
      <c r="I11" s="6">
        <v>13.47</v>
      </c>
      <c r="J11" s="6">
        <v>34.2914</v>
      </c>
      <c r="K11" s="6">
        <v>0.7476</v>
      </c>
      <c r="L11" s="6">
        <v>17.344</v>
      </c>
      <c r="M11" s="6">
        <v>46.7123</v>
      </c>
      <c r="N11" s="6">
        <v>103.4425</v>
      </c>
      <c r="O11" s="6">
        <v>2.0E-4</v>
      </c>
      <c r="P11" s="6">
        <v>4.5767</v>
      </c>
      <c r="Q11" s="6">
        <v>13.3675</v>
      </c>
      <c r="R11" s="6">
        <v>26.8637</v>
      </c>
      <c r="S11" s="6">
        <v>0.1667</v>
      </c>
      <c r="T11" s="6">
        <v>10.6158</v>
      </c>
      <c r="U11" s="6">
        <v>31.5158</v>
      </c>
      <c r="V11" s="6">
        <v>77.2197</v>
      </c>
    </row>
    <row r="12">
      <c r="A12" s="5" t="s">
        <v>56</v>
      </c>
      <c r="B12" s="5" t="s">
        <v>163</v>
      </c>
      <c r="C12" s="5" t="s">
        <v>75</v>
      </c>
      <c r="D12" s="6">
        <v>696.4982</v>
      </c>
      <c r="E12" s="6">
        <v>0.0028</v>
      </c>
      <c r="F12" s="6">
        <v>696.4954</v>
      </c>
      <c r="G12" s="6">
        <v>125299.0</v>
      </c>
      <c r="H12" s="6">
        <v>773.0303</v>
      </c>
      <c r="I12" s="6">
        <v>0.0032</v>
      </c>
      <c r="J12" s="6">
        <v>773.0271</v>
      </c>
      <c r="K12" s="6">
        <v>85.8046</v>
      </c>
      <c r="L12" s="6">
        <v>338.1263</v>
      </c>
      <c r="M12" s="6">
        <v>1064.6321</v>
      </c>
      <c r="N12" s="6">
        <v>2000.8788</v>
      </c>
      <c r="O12" s="6">
        <v>0.0</v>
      </c>
      <c r="P12" s="6">
        <v>0.0</v>
      </c>
      <c r="Q12" s="6">
        <v>0.0</v>
      </c>
      <c r="R12" s="6">
        <v>0.0</v>
      </c>
      <c r="S12" s="6">
        <v>85.7934</v>
      </c>
      <c r="T12" s="6">
        <v>338.1254</v>
      </c>
      <c r="U12" s="6">
        <v>1064.6317</v>
      </c>
      <c r="V12" s="6">
        <v>2000.8788</v>
      </c>
    </row>
    <row r="13">
      <c r="A13" s="5" t="s">
        <v>56</v>
      </c>
      <c r="B13" s="5" t="s">
        <v>163</v>
      </c>
      <c r="C13" s="5" t="s">
        <v>68</v>
      </c>
      <c r="D13" s="6">
        <v>91.005</v>
      </c>
      <c r="E13" s="6">
        <v>0.0</v>
      </c>
      <c r="F13" s="6">
        <v>91.005</v>
      </c>
      <c r="G13" s="6">
        <v>92928.0</v>
      </c>
      <c r="H13" s="6">
        <v>136.1892</v>
      </c>
      <c r="I13" s="6">
        <v>0.0</v>
      </c>
      <c r="J13" s="6">
        <v>136.1892</v>
      </c>
      <c r="K13" s="6">
        <v>0.0046</v>
      </c>
      <c r="L13" s="6">
        <v>40.608</v>
      </c>
      <c r="M13" s="6">
        <v>131.5608</v>
      </c>
      <c r="N13" s="6">
        <v>260.9753</v>
      </c>
      <c r="O13" s="6">
        <v>0.0</v>
      </c>
      <c r="P13" s="6">
        <v>0.0</v>
      </c>
      <c r="Q13" s="6">
        <v>0.0</v>
      </c>
      <c r="R13" s="6">
        <v>0.0</v>
      </c>
      <c r="S13" s="6">
        <v>0.0046</v>
      </c>
      <c r="T13" s="6">
        <v>40.608</v>
      </c>
      <c r="U13" s="6">
        <v>131.5608</v>
      </c>
      <c r="V13" s="6">
        <v>260.9753</v>
      </c>
    </row>
    <row r="14">
      <c r="A14" s="5" t="s">
        <v>56</v>
      </c>
      <c r="B14" s="5" t="s">
        <v>163</v>
      </c>
      <c r="C14" s="5" t="s">
        <v>2035</v>
      </c>
      <c r="D14" s="6">
        <v>0.337</v>
      </c>
      <c r="E14" s="6">
        <v>0.0</v>
      </c>
      <c r="F14" s="6">
        <v>0.337</v>
      </c>
      <c r="G14" s="6">
        <v>3697.0</v>
      </c>
      <c r="H14" s="6">
        <v>12.6765</v>
      </c>
      <c r="I14" s="6">
        <v>0.0</v>
      </c>
      <c r="J14" s="6">
        <v>12.6765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</row>
    <row r="15">
      <c r="A15" s="5" t="s">
        <v>56</v>
      </c>
      <c r="B15" s="5" t="s">
        <v>1867</v>
      </c>
      <c r="C15" s="5" t="s">
        <v>1882</v>
      </c>
      <c r="D15" s="6">
        <v>1012.6609</v>
      </c>
      <c r="E15" s="6">
        <v>1048.9874</v>
      </c>
      <c r="F15" s="6">
        <v>-36.3265</v>
      </c>
      <c r="G15" s="6">
        <v>81339.0</v>
      </c>
      <c r="H15" s="6">
        <v>1048.8029</v>
      </c>
      <c r="I15" s="6">
        <v>1086.4259</v>
      </c>
      <c r="J15" s="6">
        <v>-37.623</v>
      </c>
      <c r="K15" s="6">
        <v>115.0073</v>
      </c>
      <c r="L15" s="6">
        <v>567.3964</v>
      </c>
      <c r="M15" s="6">
        <v>1454.6414</v>
      </c>
      <c r="N15" s="6">
        <v>2483.5762</v>
      </c>
      <c r="O15" s="6">
        <v>111.5322</v>
      </c>
      <c r="P15" s="6">
        <v>628.2196</v>
      </c>
      <c r="Q15" s="6">
        <v>1532.1109</v>
      </c>
      <c r="R15" s="6">
        <v>2536.9353</v>
      </c>
      <c r="S15" s="6">
        <v>-108.1281</v>
      </c>
      <c r="T15" s="6">
        <v>-12.8761</v>
      </c>
      <c r="U15" s="6">
        <v>51.0019</v>
      </c>
      <c r="V15" s="6">
        <v>158.6076</v>
      </c>
    </row>
    <row r="16">
      <c r="A16" s="5" t="s">
        <v>56</v>
      </c>
      <c r="B16" s="5" t="s">
        <v>1867</v>
      </c>
      <c r="C16" s="5" t="s">
        <v>72</v>
      </c>
      <c r="D16" s="6">
        <v>9.0169</v>
      </c>
      <c r="E16" s="6">
        <v>10.3395</v>
      </c>
      <c r="F16" s="6">
        <v>-1.3226</v>
      </c>
      <c r="G16" s="6">
        <v>65289.0</v>
      </c>
      <c r="H16" s="6">
        <v>11.6345</v>
      </c>
      <c r="I16" s="6">
        <v>13.341</v>
      </c>
      <c r="J16" s="6">
        <v>-1.7065</v>
      </c>
      <c r="K16" s="6">
        <v>0.8737</v>
      </c>
      <c r="L16" s="6">
        <v>5.1114</v>
      </c>
      <c r="M16" s="6">
        <v>14.345</v>
      </c>
      <c r="N16" s="6">
        <v>24.1752</v>
      </c>
      <c r="O16" s="6">
        <v>0.6339</v>
      </c>
      <c r="P16" s="6">
        <v>6.3091</v>
      </c>
      <c r="Q16" s="6">
        <v>16.5388</v>
      </c>
      <c r="R16" s="6">
        <v>26.7558</v>
      </c>
      <c r="S16" s="6">
        <v>-2.2046</v>
      </c>
      <c r="T16" s="6">
        <v>-0.0804</v>
      </c>
      <c r="U16" s="6">
        <v>0.587</v>
      </c>
      <c r="V16" s="6">
        <v>2.0229</v>
      </c>
    </row>
    <row r="17">
      <c r="A17" s="5" t="s">
        <v>56</v>
      </c>
      <c r="B17" s="5" t="s">
        <v>1867</v>
      </c>
      <c r="C17" s="5" t="s">
        <v>73</v>
      </c>
      <c r="D17" s="6">
        <v>7.5824</v>
      </c>
      <c r="E17" s="6">
        <v>8.6879</v>
      </c>
      <c r="F17" s="6">
        <v>-1.1055</v>
      </c>
      <c r="G17" s="6">
        <v>63803.0</v>
      </c>
      <c r="H17" s="6">
        <v>10.0113</v>
      </c>
      <c r="I17" s="6">
        <v>11.471</v>
      </c>
      <c r="J17" s="6">
        <v>-1.4597</v>
      </c>
      <c r="K17" s="6">
        <v>0.6483</v>
      </c>
      <c r="L17" s="6">
        <v>4.2439</v>
      </c>
      <c r="M17" s="6">
        <v>12.0298</v>
      </c>
      <c r="N17" s="6">
        <v>20.4748</v>
      </c>
      <c r="O17" s="6">
        <v>0.6859</v>
      </c>
      <c r="P17" s="6">
        <v>5.0918</v>
      </c>
      <c r="Q17" s="6">
        <v>13.6903</v>
      </c>
      <c r="R17" s="6">
        <v>22.7664</v>
      </c>
      <c r="S17" s="6">
        <v>-1.8883</v>
      </c>
      <c r="T17" s="6">
        <v>-0.0049</v>
      </c>
      <c r="U17" s="6">
        <v>0.5471</v>
      </c>
      <c r="V17" s="6">
        <v>1.9863</v>
      </c>
    </row>
    <row r="18">
      <c r="A18" s="5" t="s">
        <v>56</v>
      </c>
      <c r="B18" s="5" t="s">
        <v>1867</v>
      </c>
      <c r="C18" s="5" t="s">
        <v>74</v>
      </c>
      <c r="D18" s="6">
        <v>4.1303</v>
      </c>
      <c r="E18" s="6">
        <v>4.8369</v>
      </c>
      <c r="F18" s="6">
        <v>-0.7066</v>
      </c>
      <c r="G18" s="6">
        <v>58987.0</v>
      </c>
      <c r="H18" s="6">
        <v>5.8987</v>
      </c>
      <c r="I18" s="6">
        <v>6.9078</v>
      </c>
      <c r="J18" s="6">
        <v>-1.0091</v>
      </c>
      <c r="K18" s="6">
        <v>0.0144</v>
      </c>
      <c r="L18" s="6">
        <v>2.2968</v>
      </c>
      <c r="M18" s="6">
        <v>6.3639</v>
      </c>
      <c r="N18" s="6">
        <v>11.1765</v>
      </c>
      <c r="O18" s="6">
        <v>0.0086</v>
      </c>
      <c r="P18" s="6">
        <v>2.642</v>
      </c>
      <c r="Q18" s="6">
        <v>7.3821</v>
      </c>
      <c r="R18" s="6">
        <v>12.6877</v>
      </c>
      <c r="S18" s="6">
        <v>-1.0146</v>
      </c>
      <c r="T18" s="6">
        <v>0.0</v>
      </c>
      <c r="U18" s="6">
        <v>0.0054</v>
      </c>
      <c r="V18" s="6">
        <v>1.0142</v>
      </c>
    </row>
    <row r="19">
      <c r="A19" s="5" t="s">
        <v>56</v>
      </c>
      <c r="B19" s="5" t="s">
        <v>1867</v>
      </c>
      <c r="C19" s="5" t="s">
        <v>69</v>
      </c>
      <c r="D19" s="6">
        <v>11.1431</v>
      </c>
      <c r="E19" s="6">
        <v>13.0239</v>
      </c>
      <c r="F19" s="6">
        <v>-1.8807</v>
      </c>
      <c r="G19" s="6">
        <v>73938.0</v>
      </c>
      <c r="H19" s="6">
        <v>12.696</v>
      </c>
      <c r="I19" s="6">
        <v>14.8389</v>
      </c>
      <c r="J19" s="6">
        <v>-2.1428</v>
      </c>
      <c r="K19" s="6">
        <v>1.9625</v>
      </c>
      <c r="L19" s="6">
        <v>8.1744</v>
      </c>
      <c r="M19" s="6">
        <v>17.9763</v>
      </c>
      <c r="N19" s="6">
        <v>26.5053</v>
      </c>
      <c r="O19" s="6">
        <v>1.6591</v>
      </c>
      <c r="P19" s="6">
        <v>9.0308</v>
      </c>
      <c r="Q19" s="6">
        <v>20.9787</v>
      </c>
      <c r="R19" s="6">
        <v>31.7498</v>
      </c>
      <c r="S19" s="6">
        <v>-3.6529</v>
      </c>
      <c r="T19" s="6">
        <v>-0.8779</v>
      </c>
      <c r="U19" s="6">
        <v>0.9542</v>
      </c>
      <c r="V19" s="6">
        <v>2.9632</v>
      </c>
    </row>
    <row r="20">
      <c r="A20" s="5" t="s">
        <v>56</v>
      </c>
      <c r="B20" s="5" t="s">
        <v>1867</v>
      </c>
      <c r="C20" s="5" t="s">
        <v>70</v>
      </c>
      <c r="D20" s="6">
        <v>11.0623</v>
      </c>
      <c r="E20" s="6">
        <v>12.5674</v>
      </c>
      <c r="F20" s="6">
        <v>-1.5051</v>
      </c>
      <c r="G20" s="6">
        <v>75673.0</v>
      </c>
      <c r="H20" s="6">
        <v>12.315</v>
      </c>
      <c r="I20" s="6">
        <v>13.9905</v>
      </c>
      <c r="J20" s="6">
        <v>-1.6755</v>
      </c>
      <c r="K20" s="6">
        <v>2.3646</v>
      </c>
      <c r="L20" s="6">
        <v>8.3475</v>
      </c>
      <c r="M20" s="6">
        <v>17.3443</v>
      </c>
      <c r="N20" s="6">
        <v>26.0603</v>
      </c>
      <c r="O20" s="6">
        <v>1.7101</v>
      </c>
      <c r="P20" s="6">
        <v>8.8983</v>
      </c>
      <c r="Q20" s="6">
        <v>19.8428</v>
      </c>
      <c r="R20" s="6">
        <v>30.4225</v>
      </c>
      <c r="S20" s="6">
        <v>-2.9814</v>
      </c>
      <c r="T20" s="6">
        <v>-0.5236</v>
      </c>
      <c r="U20" s="6">
        <v>1.071</v>
      </c>
      <c r="V20" s="6">
        <v>3.229</v>
      </c>
    </row>
    <row r="21">
      <c r="A21" s="5" t="s">
        <v>56</v>
      </c>
      <c r="B21" s="5" t="s">
        <v>1867</v>
      </c>
      <c r="C21" s="5" t="s">
        <v>71</v>
      </c>
      <c r="D21" s="6">
        <v>5.9431</v>
      </c>
      <c r="E21" s="6">
        <v>6.9695</v>
      </c>
      <c r="F21" s="6">
        <v>-1.0264</v>
      </c>
      <c r="G21" s="6">
        <v>69157.0</v>
      </c>
      <c r="H21" s="6">
        <v>7.2394</v>
      </c>
      <c r="I21" s="6">
        <v>8.4897</v>
      </c>
      <c r="J21" s="6">
        <v>-1.2503</v>
      </c>
      <c r="K21" s="6">
        <v>1.0018</v>
      </c>
      <c r="L21" s="6">
        <v>3.8882</v>
      </c>
      <c r="M21" s="6">
        <v>9.0816</v>
      </c>
      <c r="N21" s="6">
        <v>14.783</v>
      </c>
      <c r="O21" s="6">
        <v>0.91</v>
      </c>
      <c r="P21" s="6">
        <v>4.21</v>
      </c>
      <c r="Q21" s="6">
        <v>10.2684</v>
      </c>
      <c r="R21" s="6">
        <v>17.386</v>
      </c>
      <c r="S21" s="6">
        <v>-1.6461</v>
      </c>
      <c r="T21" s="6">
        <v>-7.0E-4</v>
      </c>
      <c r="U21" s="6">
        <v>0.6318</v>
      </c>
      <c r="V21" s="6">
        <v>1.9588</v>
      </c>
    </row>
    <row r="22">
      <c r="A22" s="5" t="s">
        <v>56</v>
      </c>
      <c r="B22" s="5" t="s">
        <v>1867</v>
      </c>
      <c r="C22" s="5" t="s">
        <v>1883</v>
      </c>
      <c r="D22" s="6">
        <v>10.8377</v>
      </c>
      <c r="E22" s="6">
        <v>9.309</v>
      </c>
      <c r="F22" s="6">
        <v>1.5287</v>
      </c>
      <c r="G22" s="6">
        <v>26282.0</v>
      </c>
      <c r="H22" s="6">
        <v>34.7382</v>
      </c>
      <c r="I22" s="6">
        <v>29.8383</v>
      </c>
      <c r="J22" s="6">
        <v>4.9</v>
      </c>
      <c r="K22" s="6">
        <v>0.0</v>
      </c>
      <c r="L22" s="6">
        <v>0.0</v>
      </c>
      <c r="M22" s="6">
        <v>23.8761</v>
      </c>
      <c r="N22" s="6">
        <v>31.368</v>
      </c>
      <c r="O22" s="6">
        <v>0.0</v>
      </c>
      <c r="P22" s="6">
        <v>0.0</v>
      </c>
      <c r="Q22" s="6">
        <v>8.4809</v>
      </c>
      <c r="R22" s="6">
        <v>25.4746</v>
      </c>
      <c r="S22" s="6">
        <v>0.0</v>
      </c>
      <c r="T22" s="6">
        <v>0.0</v>
      </c>
      <c r="U22" s="6">
        <v>2.1454</v>
      </c>
      <c r="V22" s="6">
        <v>22.7006</v>
      </c>
    </row>
    <row r="23">
      <c r="A23" s="5" t="s">
        <v>56</v>
      </c>
      <c r="B23" s="5" t="s">
        <v>1867</v>
      </c>
      <c r="C23" s="5" t="s">
        <v>1884</v>
      </c>
      <c r="D23" s="6">
        <v>39.7806</v>
      </c>
      <c r="E23" s="6">
        <v>18.0234</v>
      </c>
      <c r="F23" s="6">
        <v>21.7571</v>
      </c>
      <c r="G23" s="6">
        <v>62641.0</v>
      </c>
      <c r="H23" s="6">
        <v>53.4984</v>
      </c>
      <c r="I23" s="6">
        <v>24.2386</v>
      </c>
      <c r="J23" s="6">
        <v>29.2598</v>
      </c>
      <c r="K23" s="6">
        <v>5.3413</v>
      </c>
      <c r="L23" s="6">
        <v>22.2969</v>
      </c>
      <c r="M23" s="6">
        <v>66.7813</v>
      </c>
      <c r="N23" s="6">
        <v>102.2899</v>
      </c>
      <c r="O23" s="6">
        <v>0.3426</v>
      </c>
      <c r="P23" s="6">
        <v>7.8118</v>
      </c>
      <c r="Q23" s="6">
        <v>21.2437</v>
      </c>
      <c r="R23" s="6">
        <v>46.6524</v>
      </c>
      <c r="S23" s="6">
        <v>0.0494</v>
      </c>
      <c r="T23" s="6">
        <v>12.0227</v>
      </c>
      <c r="U23" s="6">
        <v>33.7619</v>
      </c>
      <c r="V23" s="6">
        <v>69.5109</v>
      </c>
    </row>
    <row r="24">
      <c r="A24" s="5" t="s">
        <v>56</v>
      </c>
      <c r="B24" s="5" t="s">
        <v>1867</v>
      </c>
      <c r="C24" s="5" t="s">
        <v>1885</v>
      </c>
      <c r="D24" s="6">
        <v>47.0119</v>
      </c>
      <c r="E24" s="6">
        <v>20.8184</v>
      </c>
      <c r="F24" s="6">
        <v>26.1935</v>
      </c>
      <c r="G24" s="6">
        <v>67089.0</v>
      </c>
      <c r="H24" s="6">
        <v>59.0317</v>
      </c>
      <c r="I24" s="6">
        <v>26.1412</v>
      </c>
      <c r="J24" s="6">
        <v>32.8905</v>
      </c>
      <c r="K24" s="6">
        <v>9.7464</v>
      </c>
      <c r="L24" s="6">
        <v>27.2734</v>
      </c>
      <c r="M24" s="6">
        <v>76.4177</v>
      </c>
      <c r="N24" s="6">
        <v>123.8842</v>
      </c>
      <c r="O24" s="6">
        <v>1.5765</v>
      </c>
      <c r="P24" s="6">
        <v>9.4285</v>
      </c>
      <c r="Q24" s="6">
        <v>26.5839</v>
      </c>
      <c r="R24" s="6">
        <v>53.4111</v>
      </c>
      <c r="S24" s="6">
        <v>1.6191</v>
      </c>
      <c r="T24" s="6">
        <v>13.5235</v>
      </c>
      <c r="U24" s="6">
        <v>40.6288</v>
      </c>
      <c r="V24" s="6">
        <v>80.4507</v>
      </c>
    </row>
    <row r="25">
      <c r="A25" s="5" t="s">
        <v>56</v>
      </c>
      <c r="B25" s="5" t="s">
        <v>1867</v>
      </c>
      <c r="C25" s="5" t="s">
        <v>75</v>
      </c>
      <c r="D25" s="6">
        <v>999.0546</v>
      </c>
      <c r="E25" s="6">
        <v>0.0016</v>
      </c>
      <c r="F25" s="6">
        <v>999.053</v>
      </c>
      <c r="G25" s="6">
        <v>79253.0</v>
      </c>
      <c r="H25" s="6">
        <v>1061.9454</v>
      </c>
      <c r="I25" s="6">
        <v>0.0017</v>
      </c>
      <c r="J25" s="6">
        <v>1061.9437</v>
      </c>
      <c r="K25" s="6">
        <v>167.7794</v>
      </c>
      <c r="L25" s="6">
        <v>677.3251</v>
      </c>
      <c r="M25" s="6">
        <v>1616.907</v>
      </c>
      <c r="N25" s="6">
        <v>2475.7787</v>
      </c>
      <c r="O25" s="6">
        <v>0.0</v>
      </c>
      <c r="P25" s="6">
        <v>0.0</v>
      </c>
      <c r="Q25" s="6">
        <v>0.0</v>
      </c>
      <c r="R25" s="6">
        <v>0.0</v>
      </c>
      <c r="S25" s="6">
        <v>167.7712</v>
      </c>
      <c r="T25" s="6">
        <v>677.3251</v>
      </c>
      <c r="U25" s="6">
        <v>1616.907</v>
      </c>
      <c r="V25" s="6">
        <v>2475.7787</v>
      </c>
    </row>
    <row r="26">
      <c r="A26" s="5" t="s">
        <v>56</v>
      </c>
      <c r="B26" s="5" t="s">
        <v>1867</v>
      </c>
      <c r="C26" s="5" t="s">
        <v>68</v>
      </c>
      <c r="D26" s="6">
        <v>156.9539</v>
      </c>
      <c r="E26" s="6">
        <v>0.0</v>
      </c>
      <c r="F26" s="6">
        <v>156.9539</v>
      </c>
      <c r="G26" s="6">
        <v>66689.0</v>
      </c>
      <c r="H26" s="6">
        <v>198.2652</v>
      </c>
      <c r="I26" s="6">
        <v>0.0</v>
      </c>
      <c r="J26" s="6">
        <v>198.2652</v>
      </c>
      <c r="K26" s="6">
        <v>24.5158</v>
      </c>
      <c r="L26" s="6">
        <v>89.6958</v>
      </c>
      <c r="M26" s="6">
        <v>213.6546</v>
      </c>
      <c r="N26" s="6">
        <v>357.3189</v>
      </c>
      <c r="O26" s="6">
        <v>0.0</v>
      </c>
      <c r="P26" s="6">
        <v>0.0</v>
      </c>
      <c r="Q26" s="6">
        <v>0.0</v>
      </c>
      <c r="R26" s="6">
        <v>0.0</v>
      </c>
      <c r="S26" s="6">
        <v>24.5158</v>
      </c>
      <c r="T26" s="6">
        <v>89.6958</v>
      </c>
      <c r="U26" s="6">
        <v>213.6546</v>
      </c>
      <c r="V26" s="6">
        <v>357.3189</v>
      </c>
    </row>
    <row r="27">
      <c r="A27" s="5" t="s">
        <v>56</v>
      </c>
      <c r="B27" s="5" t="s">
        <v>1867</v>
      </c>
      <c r="C27" s="5" t="s">
        <v>2035</v>
      </c>
      <c r="D27" s="6">
        <v>0.4657</v>
      </c>
      <c r="E27" s="6">
        <v>0.0</v>
      </c>
      <c r="F27" s="6">
        <v>0.4657</v>
      </c>
      <c r="G27" s="6">
        <v>3002.0</v>
      </c>
      <c r="H27" s="6">
        <v>13.0696</v>
      </c>
      <c r="I27" s="6">
        <v>0.0</v>
      </c>
      <c r="J27" s="6">
        <v>13.0696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</row>
    <row r="28">
      <c r="A28" s="5" t="s">
        <v>57</v>
      </c>
      <c r="B28" s="5" t="s">
        <v>163</v>
      </c>
      <c r="C28" s="5" t="s">
        <v>1882</v>
      </c>
      <c r="D28" s="6">
        <v>1164.7928</v>
      </c>
      <c r="E28" s="6">
        <v>1151.7974</v>
      </c>
      <c r="F28" s="6">
        <v>12.9954</v>
      </c>
      <c r="G28" s="6">
        <v>74092.0</v>
      </c>
      <c r="H28" s="6">
        <v>1170.2794</v>
      </c>
      <c r="I28" s="6">
        <v>1157.2228</v>
      </c>
      <c r="J28" s="6">
        <v>13.0566</v>
      </c>
      <c r="K28" s="6">
        <v>161.4291</v>
      </c>
      <c r="L28" s="6">
        <v>691.704</v>
      </c>
      <c r="M28" s="6">
        <v>1991.0154</v>
      </c>
      <c r="N28" s="6">
        <v>2901.7873</v>
      </c>
      <c r="O28" s="6">
        <v>145.3472</v>
      </c>
      <c r="P28" s="6">
        <v>697.1141</v>
      </c>
      <c r="Q28" s="6">
        <v>1958.2254</v>
      </c>
      <c r="R28" s="6">
        <v>2880.9885</v>
      </c>
      <c r="S28" s="6">
        <v>-93.4084</v>
      </c>
      <c r="T28" s="6">
        <v>11.6012</v>
      </c>
      <c r="U28" s="6">
        <v>112.2989</v>
      </c>
      <c r="V28" s="6">
        <v>315.7318</v>
      </c>
    </row>
    <row r="29">
      <c r="A29" s="5" t="s">
        <v>57</v>
      </c>
      <c r="B29" s="5" t="s">
        <v>163</v>
      </c>
      <c r="C29" s="5" t="s">
        <v>72</v>
      </c>
      <c r="D29" s="6">
        <v>12.7193</v>
      </c>
      <c r="E29" s="6">
        <v>13.1429</v>
      </c>
      <c r="F29" s="6">
        <v>-0.4236</v>
      </c>
      <c r="G29" s="6">
        <v>61923.0</v>
      </c>
      <c r="H29" s="6">
        <v>15.2906</v>
      </c>
      <c r="I29" s="6">
        <v>15.7998</v>
      </c>
      <c r="J29" s="6">
        <v>-0.5092</v>
      </c>
      <c r="K29" s="6">
        <v>1.046</v>
      </c>
      <c r="L29" s="6">
        <v>6.7216</v>
      </c>
      <c r="M29" s="6">
        <v>22.0469</v>
      </c>
      <c r="N29" s="6">
        <v>33.6377</v>
      </c>
      <c r="O29" s="6">
        <v>0.9025</v>
      </c>
      <c r="P29" s="6">
        <v>7.2648</v>
      </c>
      <c r="Q29" s="6">
        <v>22.7711</v>
      </c>
      <c r="R29" s="6">
        <v>34.6892</v>
      </c>
      <c r="S29" s="6">
        <v>-1.6307</v>
      </c>
      <c r="T29" s="6">
        <v>-4.0E-4</v>
      </c>
      <c r="U29" s="6">
        <v>1.296</v>
      </c>
      <c r="V29" s="6">
        <v>3.796</v>
      </c>
    </row>
    <row r="30">
      <c r="A30" s="5" t="s">
        <v>57</v>
      </c>
      <c r="B30" s="5" t="s">
        <v>163</v>
      </c>
      <c r="C30" s="5" t="s">
        <v>73</v>
      </c>
      <c r="D30" s="6">
        <v>11.8411</v>
      </c>
      <c r="E30" s="6">
        <v>12.0635</v>
      </c>
      <c r="F30" s="6">
        <v>-0.2224</v>
      </c>
      <c r="G30" s="6">
        <v>62811.0</v>
      </c>
      <c r="H30" s="6">
        <v>14.0336</v>
      </c>
      <c r="I30" s="6">
        <v>14.2972</v>
      </c>
      <c r="J30" s="6">
        <v>-0.2636</v>
      </c>
      <c r="K30" s="6">
        <v>1.1086</v>
      </c>
      <c r="L30" s="6">
        <v>6.5517</v>
      </c>
      <c r="M30" s="6">
        <v>20.4538</v>
      </c>
      <c r="N30" s="6">
        <v>30.7644</v>
      </c>
      <c r="O30" s="6">
        <v>0.9959</v>
      </c>
      <c r="P30" s="6">
        <v>6.6696</v>
      </c>
      <c r="Q30" s="6">
        <v>20.5133</v>
      </c>
      <c r="R30" s="6">
        <v>31.3329</v>
      </c>
      <c r="S30" s="6">
        <v>-1.2074</v>
      </c>
      <c r="T30" s="6">
        <v>0.0038</v>
      </c>
      <c r="U30" s="6">
        <v>1.404</v>
      </c>
      <c r="V30" s="6">
        <v>3.9688</v>
      </c>
    </row>
    <row r="31">
      <c r="A31" s="5" t="s">
        <v>57</v>
      </c>
      <c r="B31" s="5" t="s">
        <v>163</v>
      </c>
      <c r="C31" s="5" t="s">
        <v>74</v>
      </c>
      <c r="D31" s="6">
        <v>5.9689</v>
      </c>
      <c r="E31" s="6">
        <v>6.0102</v>
      </c>
      <c r="F31" s="6">
        <v>-0.0413</v>
      </c>
      <c r="G31" s="6">
        <v>58012.0</v>
      </c>
      <c r="H31" s="6">
        <v>7.6593</v>
      </c>
      <c r="I31" s="6">
        <v>7.7123</v>
      </c>
      <c r="J31" s="6">
        <v>-0.053</v>
      </c>
      <c r="K31" s="6">
        <v>0.8725</v>
      </c>
      <c r="L31" s="6">
        <v>3.4052</v>
      </c>
      <c r="M31" s="6">
        <v>9.9579</v>
      </c>
      <c r="N31" s="6">
        <v>15.5531</v>
      </c>
      <c r="O31" s="6">
        <v>0.1917</v>
      </c>
      <c r="P31" s="6">
        <v>3.1849</v>
      </c>
      <c r="Q31" s="6">
        <v>10.0309</v>
      </c>
      <c r="R31" s="6">
        <v>15.7918</v>
      </c>
      <c r="S31" s="6">
        <v>-0.824</v>
      </c>
      <c r="T31" s="6">
        <v>0.0</v>
      </c>
      <c r="U31" s="6">
        <v>1.0</v>
      </c>
      <c r="V31" s="6">
        <v>2.3309</v>
      </c>
    </row>
    <row r="32">
      <c r="A32" s="5" t="s">
        <v>57</v>
      </c>
      <c r="B32" s="5" t="s">
        <v>163</v>
      </c>
      <c r="C32" s="5" t="s">
        <v>69</v>
      </c>
      <c r="D32" s="6">
        <v>16.2678</v>
      </c>
      <c r="E32" s="6">
        <v>16.8967</v>
      </c>
      <c r="F32" s="6">
        <v>-0.6289</v>
      </c>
      <c r="G32" s="6">
        <v>69475.0</v>
      </c>
      <c r="H32" s="6">
        <v>17.4306</v>
      </c>
      <c r="I32" s="6">
        <v>18.1044</v>
      </c>
      <c r="J32" s="6">
        <v>-0.6738</v>
      </c>
      <c r="K32" s="6">
        <v>3.1736</v>
      </c>
      <c r="L32" s="6">
        <v>11.5711</v>
      </c>
      <c r="M32" s="6">
        <v>27.2773</v>
      </c>
      <c r="N32" s="6">
        <v>38.5749</v>
      </c>
      <c r="O32" s="6">
        <v>1.8201</v>
      </c>
      <c r="P32" s="6">
        <v>9.6158</v>
      </c>
      <c r="Q32" s="6">
        <v>28.9746</v>
      </c>
      <c r="R32" s="6">
        <v>42.9151</v>
      </c>
      <c r="S32" s="6">
        <v>-3.8867</v>
      </c>
      <c r="T32" s="6">
        <v>-0.149</v>
      </c>
      <c r="U32" s="6">
        <v>2.8499</v>
      </c>
      <c r="V32" s="6">
        <v>8.2028</v>
      </c>
    </row>
    <row r="33">
      <c r="A33" s="5" t="s">
        <v>57</v>
      </c>
      <c r="B33" s="5" t="s">
        <v>163</v>
      </c>
      <c r="C33" s="5" t="s">
        <v>70</v>
      </c>
      <c r="D33" s="6">
        <v>16.8233</v>
      </c>
      <c r="E33" s="6">
        <v>16.8635</v>
      </c>
      <c r="F33" s="6">
        <v>-0.0402</v>
      </c>
      <c r="G33" s="6">
        <v>69810.0</v>
      </c>
      <c r="H33" s="6">
        <v>17.9393</v>
      </c>
      <c r="I33" s="6">
        <v>17.9822</v>
      </c>
      <c r="J33" s="6">
        <v>-0.0429</v>
      </c>
      <c r="K33" s="6">
        <v>3.505</v>
      </c>
      <c r="L33" s="6">
        <v>11.9725</v>
      </c>
      <c r="M33" s="6">
        <v>28.4391</v>
      </c>
      <c r="N33" s="6">
        <v>39.5172</v>
      </c>
      <c r="O33" s="6">
        <v>1.6844</v>
      </c>
      <c r="P33" s="6">
        <v>9.8991</v>
      </c>
      <c r="Q33" s="6">
        <v>29.1197</v>
      </c>
      <c r="R33" s="6">
        <v>42.5483</v>
      </c>
      <c r="S33" s="6">
        <v>-2.9534</v>
      </c>
      <c r="T33" s="6">
        <v>0.1816</v>
      </c>
      <c r="U33" s="6">
        <v>3.2492</v>
      </c>
      <c r="V33" s="6">
        <v>8.5797</v>
      </c>
    </row>
    <row r="34">
      <c r="A34" s="5" t="s">
        <v>57</v>
      </c>
      <c r="B34" s="5" t="s">
        <v>163</v>
      </c>
      <c r="C34" s="5" t="s">
        <v>71</v>
      </c>
      <c r="D34" s="6">
        <v>8.9097</v>
      </c>
      <c r="E34" s="6">
        <v>8.5264</v>
      </c>
      <c r="F34" s="6">
        <v>0.3833</v>
      </c>
      <c r="G34" s="6">
        <v>64828.0</v>
      </c>
      <c r="H34" s="6">
        <v>10.2309</v>
      </c>
      <c r="I34" s="6">
        <v>9.7908</v>
      </c>
      <c r="J34" s="6">
        <v>0.4401</v>
      </c>
      <c r="K34" s="6">
        <v>1.3209</v>
      </c>
      <c r="L34" s="6">
        <v>5.4386</v>
      </c>
      <c r="M34" s="6">
        <v>14.6153</v>
      </c>
      <c r="N34" s="6">
        <v>22.487</v>
      </c>
      <c r="O34" s="6">
        <v>0.5568</v>
      </c>
      <c r="P34" s="6">
        <v>4.2425</v>
      </c>
      <c r="Q34" s="6">
        <v>14.0595</v>
      </c>
      <c r="R34" s="6">
        <v>23.0758</v>
      </c>
      <c r="S34" s="6">
        <v>-1.0181</v>
      </c>
      <c r="T34" s="6">
        <v>0.0301</v>
      </c>
      <c r="U34" s="6">
        <v>1.888</v>
      </c>
      <c r="V34" s="6">
        <v>5.099</v>
      </c>
    </row>
    <row r="35">
      <c r="A35" s="5" t="s">
        <v>57</v>
      </c>
      <c r="B35" s="5" t="s">
        <v>163</v>
      </c>
      <c r="C35" s="5" t="s">
        <v>1883</v>
      </c>
      <c r="D35" s="6">
        <v>12.8816</v>
      </c>
      <c r="E35" s="6">
        <v>5.6772</v>
      </c>
      <c r="F35" s="6">
        <v>7.2045</v>
      </c>
      <c r="G35" s="6">
        <v>26886.0</v>
      </c>
      <c r="H35" s="6">
        <v>35.6661</v>
      </c>
      <c r="I35" s="6">
        <v>15.7187</v>
      </c>
      <c r="J35" s="6">
        <v>19.9474</v>
      </c>
      <c r="K35" s="6">
        <v>0.0</v>
      </c>
      <c r="L35" s="6">
        <v>0.0</v>
      </c>
      <c r="M35" s="6">
        <v>25.2224</v>
      </c>
      <c r="N35" s="6">
        <v>42.6777</v>
      </c>
      <c r="O35" s="6">
        <v>0.0</v>
      </c>
      <c r="P35" s="6">
        <v>0.0</v>
      </c>
      <c r="Q35" s="6">
        <v>8.2814</v>
      </c>
      <c r="R35" s="6">
        <v>20.0653</v>
      </c>
      <c r="S35" s="6">
        <v>0.0</v>
      </c>
      <c r="T35" s="6">
        <v>0.0</v>
      </c>
      <c r="U35" s="6">
        <v>11.3759</v>
      </c>
      <c r="V35" s="6">
        <v>26.4874</v>
      </c>
    </row>
    <row r="36">
      <c r="A36" s="5" t="s">
        <v>57</v>
      </c>
      <c r="B36" s="5" t="s">
        <v>163</v>
      </c>
      <c r="C36" s="5" t="s">
        <v>1884</v>
      </c>
      <c r="D36" s="6">
        <v>43.7272</v>
      </c>
      <c r="E36" s="6">
        <v>16.8976</v>
      </c>
      <c r="F36" s="6">
        <v>26.8297</v>
      </c>
      <c r="G36" s="6">
        <v>59239.0</v>
      </c>
      <c r="H36" s="6">
        <v>54.9486</v>
      </c>
      <c r="I36" s="6">
        <v>21.2339</v>
      </c>
      <c r="J36" s="6">
        <v>33.7147</v>
      </c>
      <c r="K36" s="6">
        <v>13.2421</v>
      </c>
      <c r="L36" s="6">
        <v>29.7377</v>
      </c>
      <c r="M36" s="6">
        <v>66.272</v>
      </c>
      <c r="N36" s="6">
        <v>109.0956</v>
      </c>
      <c r="O36" s="6">
        <v>3.5847</v>
      </c>
      <c r="P36" s="6">
        <v>12.3134</v>
      </c>
      <c r="Q36" s="6">
        <v>24.7177</v>
      </c>
      <c r="R36" s="6">
        <v>40.2586</v>
      </c>
      <c r="S36" s="6">
        <v>3.9828</v>
      </c>
      <c r="T36" s="6">
        <v>15.6725</v>
      </c>
      <c r="U36" s="6">
        <v>39.9255</v>
      </c>
      <c r="V36" s="6">
        <v>75.1056</v>
      </c>
    </row>
    <row r="37">
      <c r="A37" s="5" t="s">
        <v>57</v>
      </c>
      <c r="B37" s="5" t="s">
        <v>163</v>
      </c>
      <c r="C37" s="5" t="s">
        <v>1885</v>
      </c>
      <c r="D37" s="6">
        <v>59.3125</v>
      </c>
      <c r="E37" s="6">
        <v>22.1222</v>
      </c>
      <c r="F37" s="6">
        <v>37.1903</v>
      </c>
      <c r="G37" s="6">
        <v>62678.0</v>
      </c>
      <c r="H37" s="6">
        <v>70.4439</v>
      </c>
      <c r="I37" s="6">
        <v>26.2739</v>
      </c>
      <c r="J37" s="6">
        <v>44.17</v>
      </c>
      <c r="K37" s="6">
        <v>10.4463</v>
      </c>
      <c r="L37" s="6">
        <v>39.8883</v>
      </c>
      <c r="M37" s="6">
        <v>96.7597</v>
      </c>
      <c r="N37" s="6">
        <v>146.7567</v>
      </c>
      <c r="O37" s="6">
        <v>5.4342</v>
      </c>
      <c r="P37" s="6">
        <v>15.4184</v>
      </c>
      <c r="Q37" s="6">
        <v>33.8235</v>
      </c>
      <c r="R37" s="6">
        <v>52.9511</v>
      </c>
      <c r="S37" s="6">
        <v>5.1569</v>
      </c>
      <c r="T37" s="6">
        <v>22.0617</v>
      </c>
      <c r="U37" s="6">
        <v>58.6203</v>
      </c>
      <c r="V37" s="6">
        <v>99.5243</v>
      </c>
    </row>
    <row r="38">
      <c r="A38" s="5" t="s">
        <v>57</v>
      </c>
      <c r="B38" s="5" t="s">
        <v>163</v>
      </c>
      <c r="C38" s="5" t="s">
        <v>75</v>
      </c>
      <c r="D38" s="6">
        <v>1266.7755</v>
      </c>
      <c r="E38" s="6">
        <v>0.005</v>
      </c>
      <c r="F38" s="6">
        <v>1266.7705</v>
      </c>
      <c r="G38" s="6">
        <v>71572.0</v>
      </c>
      <c r="H38" s="6">
        <v>1317.5548</v>
      </c>
      <c r="I38" s="6">
        <v>0.0052</v>
      </c>
      <c r="J38" s="6">
        <v>1317.5496</v>
      </c>
      <c r="K38" s="6">
        <v>215.9523</v>
      </c>
      <c r="L38" s="6">
        <v>766.5321</v>
      </c>
      <c r="M38" s="6">
        <v>2113.51</v>
      </c>
      <c r="N38" s="6">
        <v>3242.4348</v>
      </c>
      <c r="O38" s="6">
        <v>0.0</v>
      </c>
      <c r="P38" s="6">
        <v>0.0</v>
      </c>
      <c r="Q38" s="6">
        <v>0.0</v>
      </c>
      <c r="R38" s="6">
        <v>0.0</v>
      </c>
      <c r="S38" s="6">
        <v>215.9463</v>
      </c>
      <c r="T38" s="6">
        <v>766.5321</v>
      </c>
      <c r="U38" s="6">
        <v>2113.51</v>
      </c>
      <c r="V38" s="6">
        <v>3242.4348</v>
      </c>
    </row>
    <row r="39">
      <c r="A39" s="5" t="s">
        <v>57</v>
      </c>
      <c r="B39" s="5" t="s">
        <v>163</v>
      </c>
      <c r="C39" s="5" t="s">
        <v>68</v>
      </c>
      <c r="D39" s="6">
        <v>216.3019</v>
      </c>
      <c r="E39" s="6">
        <v>0.0</v>
      </c>
      <c r="F39" s="6">
        <v>216.3019</v>
      </c>
      <c r="G39" s="6">
        <v>61078.0</v>
      </c>
      <c r="H39" s="6">
        <v>263.6257</v>
      </c>
      <c r="I39" s="6">
        <v>0.0</v>
      </c>
      <c r="J39" s="6">
        <v>263.6257</v>
      </c>
      <c r="K39" s="6">
        <v>39.0773</v>
      </c>
      <c r="L39" s="6">
        <v>123.59</v>
      </c>
      <c r="M39" s="6">
        <v>338.1687</v>
      </c>
      <c r="N39" s="6">
        <v>562.2822</v>
      </c>
      <c r="O39" s="6">
        <v>0.0</v>
      </c>
      <c r="P39" s="6">
        <v>0.0</v>
      </c>
      <c r="Q39" s="6">
        <v>0.0</v>
      </c>
      <c r="R39" s="6">
        <v>0.0</v>
      </c>
      <c r="S39" s="6">
        <v>39.0773</v>
      </c>
      <c r="T39" s="6">
        <v>123.59</v>
      </c>
      <c r="U39" s="6">
        <v>338.1687</v>
      </c>
      <c r="V39" s="6">
        <v>562.2822</v>
      </c>
    </row>
    <row r="40">
      <c r="A40" s="5" t="s">
        <v>57</v>
      </c>
      <c r="B40" s="5" t="s">
        <v>163</v>
      </c>
      <c r="C40" s="5" t="s">
        <v>2035</v>
      </c>
      <c r="D40" s="6">
        <v>1.2052</v>
      </c>
      <c r="E40" s="6">
        <v>0.0</v>
      </c>
      <c r="F40" s="6">
        <v>1.2052</v>
      </c>
      <c r="G40" s="6">
        <v>6080.0</v>
      </c>
      <c r="H40" s="6">
        <v>14.7558</v>
      </c>
      <c r="I40" s="6">
        <v>0.0</v>
      </c>
      <c r="J40" s="6">
        <v>14.7558</v>
      </c>
      <c r="K40" s="6">
        <v>0.0</v>
      </c>
      <c r="L40" s="6">
        <v>0.0</v>
      </c>
      <c r="M40" s="6">
        <v>0.0</v>
      </c>
      <c r="N40" s="6">
        <v>0.3744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0.3744</v>
      </c>
    </row>
    <row r="41">
      <c r="A41" s="5" t="s">
        <v>57</v>
      </c>
      <c r="B41" s="5" t="s">
        <v>1867</v>
      </c>
      <c r="C41" s="5" t="s">
        <v>1882</v>
      </c>
      <c r="D41" s="6">
        <v>2198.6875</v>
      </c>
      <c r="E41" s="6">
        <v>2222.1661</v>
      </c>
      <c r="F41" s="6">
        <v>-23.4787</v>
      </c>
      <c r="G41" s="6">
        <v>38566.0</v>
      </c>
      <c r="H41" s="6">
        <v>2202.9063</v>
      </c>
      <c r="I41" s="6">
        <v>2226.43</v>
      </c>
      <c r="J41" s="6">
        <v>-23.5237</v>
      </c>
      <c r="K41" s="6">
        <v>224.7302</v>
      </c>
      <c r="L41" s="6">
        <v>1180.7323</v>
      </c>
      <c r="M41" s="6">
        <v>3147.3108</v>
      </c>
      <c r="N41" s="6">
        <v>5339.1973</v>
      </c>
      <c r="O41" s="6">
        <v>220.842</v>
      </c>
      <c r="P41" s="6">
        <v>1261.0409</v>
      </c>
      <c r="Q41" s="6">
        <v>3174.9705</v>
      </c>
      <c r="R41" s="6">
        <v>5393.3993</v>
      </c>
      <c r="S41" s="6">
        <v>-93.3012</v>
      </c>
      <c r="T41" s="6">
        <v>2.4871</v>
      </c>
      <c r="U41" s="6">
        <v>91.6181</v>
      </c>
      <c r="V41" s="6">
        <v>251.0689</v>
      </c>
    </row>
    <row r="42">
      <c r="A42" s="5" t="s">
        <v>57</v>
      </c>
      <c r="B42" s="5" t="s">
        <v>1867</v>
      </c>
      <c r="C42" s="5" t="s">
        <v>72</v>
      </c>
      <c r="D42" s="6">
        <v>15.5855</v>
      </c>
      <c r="E42" s="6">
        <v>18.1572</v>
      </c>
      <c r="F42" s="6">
        <v>-2.5717</v>
      </c>
      <c r="G42" s="6">
        <v>33515.0</v>
      </c>
      <c r="H42" s="6">
        <v>17.9688</v>
      </c>
      <c r="I42" s="6">
        <v>20.9338</v>
      </c>
      <c r="J42" s="6">
        <v>-2.965</v>
      </c>
      <c r="K42" s="6">
        <v>1.6653</v>
      </c>
      <c r="L42" s="6">
        <v>9.2667</v>
      </c>
      <c r="M42" s="6">
        <v>26.8306</v>
      </c>
      <c r="N42" s="6">
        <v>39.4201</v>
      </c>
      <c r="O42" s="6">
        <v>1.6504</v>
      </c>
      <c r="P42" s="6">
        <v>11.4381</v>
      </c>
      <c r="Q42" s="6">
        <v>30.1097</v>
      </c>
      <c r="R42" s="6">
        <v>44.6215</v>
      </c>
      <c r="S42" s="6">
        <v>-3.2378</v>
      </c>
      <c r="T42" s="6">
        <v>-0.379</v>
      </c>
      <c r="U42" s="6">
        <v>0.9462</v>
      </c>
      <c r="V42" s="6">
        <v>2.403</v>
      </c>
    </row>
    <row r="43">
      <c r="A43" s="5" t="s">
        <v>57</v>
      </c>
      <c r="B43" s="5" t="s">
        <v>1867</v>
      </c>
      <c r="C43" s="5" t="s">
        <v>73</v>
      </c>
      <c r="D43" s="6">
        <v>14.2591</v>
      </c>
      <c r="E43" s="6">
        <v>16.6204</v>
      </c>
      <c r="F43" s="6">
        <v>-2.3613</v>
      </c>
      <c r="G43" s="6">
        <v>33587.0</v>
      </c>
      <c r="H43" s="6">
        <v>16.4043</v>
      </c>
      <c r="I43" s="6">
        <v>19.1208</v>
      </c>
      <c r="J43" s="6">
        <v>-2.7166</v>
      </c>
      <c r="K43" s="6">
        <v>1.5676</v>
      </c>
      <c r="L43" s="6">
        <v>8.8433</v>
      </c>
      <c r="M43" s="6">
        <v>24.5565</v>
      </c>
      <c r="N43" s="6">
        <v>35.5139</v>
      </c>
      <c r="O43" s="6">
        <v>1.5247</v>
      </c>
      <c r="P43" s="6">
        <v>10.384</v>
      </c>
      <c r="Q43" s="6">
        <v>27.5611</v>
      </c>
      <c r="R43" s="6">
        <v>40.8062</v>
      </c>
      <c r="S43" s="6">
        <v>-2.9283</v>
      </c>
      <c r="T43" s="6">
        <v>-0.1751</v>
      </c>
      <c r="U43" s="6">
        <v>0.972</v>
      </c>
      <c r="V43" s="6">
        <v>2.359</v>
      </c>
    </row>
    <row r="44">
      <c r="A44" s="5" t="s">
        <v>57</v>
      </c>
      <c r="B44" s="5" t="s">
        <v>1867</v>
      </c>
      <c r="C44" s="5" t="s">
        <v>74</v>
      </c>
      <c r="D44" s="6">
        <v>8.0166</v>
      </c>
      <c r="E44" s="6">
        <v>9.8572</v>
      </c>
      <c r="F44" s="6">
        <v>-1.8406</v>
      </c>
      <c r="G44" s="6">
        <v>31582.0</v>
      </c>
      <c r="H44" s="6">
        <v>9.8082</v>
      </c>
      <c r="I44" s="6">
        <v>12.0601</v>
      </c>
      <c r="J44" s="6">
        <v>-2.2519</v>
      </c>
      <c r="K44" s="6">
        <v>1.0036</v>
      </c>
      <c r="L44" s="6">
        <v>4.9164</v>
      </c>
      <c r="M44" s="6">
        <v>13.4074</v>
      </c>
      <c r="N44" s="6">
        <v>20.1189</v>
      </c>
      <c r="O44" s="6">
        <v>0.9812</v>
      </c>
      <c r="P44" s="6">
        <v>5.8155</v>
      </c>
      <c r="Q44" s="6">
        <v>15.3991</v>
      </c>
      <c r="R44" s="6">
        <v>24.6038</v>
      </c>
      <c r="S44" s="6">
        <v>-1.9051</v>
      </c>
      <c r="T44" s="6">
        <v>-3.0E-4</v>
      </c>
      <c r="U44" s="6">
        <v>0.3288</v>
      </c>
      <c r="V44" s="6">
        <v>1.5789</v>
      </c>
    </row>
    <row r="45">
      <c r="A45" s="5" t="s">
        <v>57</v>
      </c>
      <c r="B45" s="5" t="s">
        <v>1867</v>
      </c>
      <c r="C45" s="5" t="s">
        <v>69</v>
      </c>
      <c r="D45" s="6">
        <v>18.8288</v>
      </c>
      <c r="E45" s="6">
        <v>23.3253</v>
      </c>
      <c r="F45" s="6">
        <v>-4.4965</v>
      </c>
      <c r="G45" s="6">
        <v>37127.0</v>
      </c>
      <c r="H45" s="6">
        <v>19.5961</v>
      </c>
      <c r="I45" s="6">
        <v>24.2759</v>
      </c>
      <c r="J45" s="6">
        <v>-4.6797</v>
      </c>
      <c r="K45" s="6">
        <v>4.0396</v>
      </c>
      <c r="L45" s="6">
        <v>14.6533</v>
      </c>
      <c r="M45" s="6">
        <v>31.0967</v>
      </c>
      <c r="N45" s="6">
        <v>42.3692</v>
      </c>
      <c r="O45" s="6">
        <v>3.2021</v>
      </c>
      <c r="P45" s="6">
        <v>17.0779</v>
      </c>
      <c r="Q45" s="6">
        <v>38.4025</v>
      </c>
      <c r="R45" s="6">
        <v>54.594</v>
      </c>
      <c r="S45" s="6">
        <v>-7.6223</v>
      </c>
      <c r="T45" s="6">
        <v>-2.1281</v>
      </c>
      <c r="U45" s="6">
        <v>1.1012</v>
      </c>
      <c r="V45" s="6">
        <v>4.1073</v>
      </c>
    </row>
    <row r="46">
      <c r="A46" s="5" t="s">
        <v>57</v>
      </c>
      <c r="B46" s="5" t="s">
        <v>1867</v>
      </c>
      <c r="C46" s="5" t="s">
        <v>70</v>
      </c>
      <c r="D46" s="6">
        <v>19.581</v>
      </c>
      <c r="E46" s="6">
        <v>23.4454</v>
      </c>
      <c r="F46" s="6">
        <v>-3.8643</v>
      </c>
      <c r="G46" s="6">
        <v>37220.0</v>
      </c>
      <c r="H46" s="6">
        <v>20.3281</v>
      </c>
      <c r="I46" s="6">
        <v>24.3398</v>
      </c>
      <c r="J46" s="6">
        <v>-4.0118</v>
      </c>
      <c r="K46" s="6">
        <v>4.49</v>
      </c>
      <c r="L46" s="6">
        <v>15.2904</v>
      </c>
      <c r="M46" s="6">
        <v>32.4561</v>
      </c>
      <c r="N46" s="6">
        <v>43.7792</v>
      </c>
      <c r="O46" s="6">
        <v>3.2484</v>
      </c>
      <c r="P46" s="6">
        <v>17.1071</v>
      </c>
      <c r="Q46" s="6">
        <v>38.6035</v>
      </c>
      <c r="R46" s="6">
        <v>54.5542</v>
      </c>
      <c r="S46" s="6">
        <v>-6.7345</v>
      </c>
      <c r="T46" s="6">
        <v>-1.5908</v>
      </c>
      <c r="U46" s="6">
        <v>1.6431</v>
      </c>
      <c r="V46" s="6">
        <v>4.638</v>
      </c>
    </row>
    <row r="47">
      <c r="A47" s="5" t="s">
        <v>57</v>
      </c>
      <c r="B47" s="5" t="s">
        <v>1867</v>
      </c>
      <c r="C47" s="5" t="s">
        <v>71</v>
      </c>
      <c r="D47" s="6">
        <v>11.5544</v>
      </c>
      <c r="E47" s="6">
        <v>14.5129</v>
      </c>
      <c r="F47" s="6">
        <v>-2.9585</v>
      </c>
      <c r="G47" s="6">
        <v>35303.0</v>
      </c>
      <c r="H47" s="6">
        <v>12.6466</v>
      </c>
      <c r="I47" s="6">
        <v>15.8847</v>
      </c>
      <c r="J47" s="6">
        <v>-3.2381</v>
      </c>
      <c r="K47" s="6">
        <v>1.9725</v>
      </c>
      <c r="L47" s="6">
        <v>7.552</v>
      </c>
      <c r="M47" s="6">
        <v>18.846</v>
      </c>
      <c r="N47" s="6">
        <v>28.2264</v>
      </c>
      <c r="O47" s="6">
        <v>1.5067</v>
      </c>
      <c r="P47" s="6">
        <v>8.6685</v>
      </c>
      <c r="Q47" s="6">
        <v>22.9095</v>
      </c>
      <c r="R47" s="6">
        <v>36.8131</v>
      </c>
      <c r="S47" s="6">
        <v>-4.4002</v>
      </c>
      <c r="T47" s="6">
        <v>-0.7187</v>
      </c>
      <c r="U47" s="6">
        <v>0.9146</v>
      </c>
      <c r="V47" s="6">
        <v>2.3769</v>
      </c>
    </row>
    <row r="48">
      <c r="A48" s="5" t="s">
        <v>57</v>
      </c>
      <c r="B48" s="5" t="s">
        <v>1867</v>
      </c>
      <c r="C48" s="5" t="s">
        <v>1883</v>
      </c>
      <c r="D48" s="6">
        <v>21.9383</v>
      </c>
      <c r="E48" s="6">
        <v>29.3315</v>
      </c>
      <c r="F48" s="6">
        <v>-7.3932</v>
      </c>
      <c r="G48" s="6">
        <v>17873.0</v>
      </c>
      <c r="H48" s="6">
        <v>47.4288</v>
      </c>
      <c r="I48" s="6">
        <v>63.4124</v>
      </c>
      <c r="J48" s="6">
        <v>-15.9836</v>
      </c>
      <c r="K48" s="6">
        <v>0.0</v>
      </c>
      <c r="L48" s="6">
        <v>1.5048</v>
      </c>
      <c r="M48" s="6">
        <v>35.6663</v>
      </c>
      <c r="N48" s="6">
        <v>70.2691</v>
      </c>
      <c r="O48" s="6">
        <v>0.0</v>
      </c>
      <c r="P48" s="6">
        <v>3.4318</v>
      </c>
      <c r="Q48" s="6">
        <v>33.031</v>
      </c>
      <c r="R48" s="6">
        <v>94.4986</v>
      </c>
      <c r="S48" s="6">
        <v>-0.4591</v>
      </c>
      <c r="T48" s="6">
        <v>0.0</v>
      </c>
      <c r="U48" s="6">
        <v>4.0593</v>
      </c>
      <c r="V48" s="6">
        <v>21.4434</v>
      </c>
    </row>
    <row r="49">
      <c r="A49" s="5" t="s">
        <v>57</v>
      </c>
      <c r="B49" s="5" t="s">
        <v>1867</v>
      </c>
      <c r="C49" s="5" t="s">
        <v>1884</v>
      </c>
      <c r="D49" s="6">
        <v>62.0396</v>
      </c>
      <c r="E49" s="6">
        <v>45.7554</v>
      </c>
      <c r="F49" s="6">
        <v>16.2842</v>
      </c>
      <c r="G49" s="6">
        <v>33156.0</v>
      </c>
      <c r="H49" s="6">
        <v>72.3009</v>
      </c>
      <c r="I49" s="6">
        <v>53.3234</v>
      </c>
      <c r="J49" s="6">
        <v>18.9776</v>
      </c>
      <c r="K49" s="6">
        <v>15.0056</v>
      </c>
      <c r="L49" s="6">
        <v>39.4007</v>
      </c>
      <c r="M49" s="6">
        <v>100.5502</v>
      </c>
      <c r="N49" s="6">
        <v>155.2548</v>
      </c>
      <c r="O49" s="6">
        <v>8.0365</v>
      </c>
      <c r="P49" s="6">
        <v>20.4523</v>
      </c>
      <c r="Q49" s="6">
        <v>58.4885</v>
      </c>
      <c r="R49" s="6">
        <v>126.545</v>
      </c>
      <c r="S49" s="6">
        <v>0.3167</v>
      </c>
      <c r="T49" s="6">
        <v>11.4953</v>
      </c>
      <c r="U49" s="6">
        <v>33.444</v>
      </c>
      <c r="V49" s="6">
        <v>69.0416</v>
      </c>
    </row>
    <row r="50">
      <c r="A50" s="5" t="s">
        <v>57</v>
      </c>
      <c r="B50" s="5" t="s">
        <v>1867</v>
      </c>
      <c r="C50" s="5" t="s">
        <v>1885</v>
      </c>
      <c r="D50" s="6">
        <v>74.6078</v>
      </c>
      <c r="E50" s="6">
        <v>50.9154</v>
      </c>
      <c r="F50" s="6">
        <v>23.6924</v>
      </c>
      <c r="G50" s="6">
        <v>34494.0</v>
      </c>
      <c r="H50" s="6">
        <v>83.5753</v>
      </c>
      <c r="I50" s="6">
        <v>57.0351</v>
      </c>
      <c r="J50" s="6">
        <v>26.5401</v>
      </c>
      <c r="K50" s="6">
        <v>17.0429</v>
      </c>
      <c r="L50" s="6">
        <v>50.9121</v>
      </c>
      <c r="M50" s="6">
        <v>123.6948</v>
      </c>
      <c r="N50" s="6">
        <v>179.8741</v>
      </c>
      <c r="O50" s="6">
        <v>8.0949</v>
      </c>
      <c r="P50" s="6">
        <v>25.7446</v>
      </c>
      <c r="Q50" s="6">
        <v>68.3482</v>
      </c>
      <c r="R50" s="6">
        <v>134.6528</v>
      </c>
      <c r="S50" s="6">
        <v>2.1161</v>
      </c>
      <c r="T50" s="6">
        <v>14.763</v>
      </c>
      <c r="U50" s="6">
        <v>43.525</v>
      </c>
      <c r="V50" s="6">
        <v>85.5106</v>
      </c>
    </row>
    <row r="51">
      <c r="A51" s="5" t="s">
        <v>57</v>
      </c>
      <c r="B51" s="5" t="s">
        <v>1867</v>
      </c>
      <c r="C51" s="5" t="s">
        <v>75</v>
      </c>
      <c r="D51" s="6">
        <v>1541.0498</v>
      </c>
      <c r="E51" s="6">
        <v>0.0032</v>
      </c>
      <c r="F51" s="6">
        <v>1541.0466</v>
      </c>
      <c r="G51" s="6">
        <v>37761.0</v>
      </c>
      <c r="H51" s="6">
        <v>1576.9223</v>
      </c>
      <c r="I51" s="6">
        <v>0.0032</v>
      </c>
      <c r="J51" s="6">
        <v>1576.9191</v>
      </c>
      <c r="K51" s="6">
        <v>269.4415</v>
      </c>
      <c r="L51" s="6">
        <v>1000.2568</v>
      </c>
      <c r="M51" s="6">
        <v>2593.2688</v>
      </c>
      <c r="N51" s="6">
        <v>3741.0807</v>
      </c>
      <c r="O51" s="6">
        <v>0.0</v>
      </c>
      <c r="P51" s="6">
        <v>0.0</v>
      </c>
      <c r="Q51" s="6">
        <v>0.0</v>
      </c>
      <c r="R51" s="6">
        <v>0.0</v>
      </c>
      <c r="S51" s="6">
        <v>269.4409</v>
      </c>
      <c r="T51" s="6">
        <v>1000.2568</v>
      </c>
      <c r="U51" s="6">
        <v>2593.2688</v>
      </c>
      <c r="V51" s="6">
        <v>3741.0807</v>
      </c>
    </row>
    <row r="52">
      <c r="A52" s="5" t="s">
        <v>57</v>
      </c>
      <c r="B52" s="5" t="s">
        <v>1867</v>
      </c>
      <c r="C52" s="5" t="s">
        <v>68</v>
      </c>
      <c r="D52" s="6">
        <v>335.5277</v>
      </c>
      <c r="E52" s="6">
        <v>0.0</v>
      </c>
      <c r="F52" s="6">
        <v>335.5277</v>
      </c>
      <c r="G52" s="6">
        <v>34214.0</v>
      </c>
      <c r="H52" s="6">
        <v>378.9324</v>
      </c>
      <c r="I52" s="6">
        <v>0.0</v>
      </c>
      <c r="J52" s="6">
        <v>378.9324</v>
      </c>
      <c r="K52" s="6">
        <v>47.4956</v>
      </c>
      <c r="L52" s="6">
        <v>183.3784</v>
      </c>
      <c r="M52" s="6">
        <v>453.1425</v>
      </c>
      <c r="N52" s="6">
        <v>761.3226</v>
      </c>
      <c r="O52" s="6">
        <v>0.0</v>
      </c>
      <c r="P52" s="6">
        <v>0.0</v>
      </c>
      <c r="Q52" s="6">
        <v>0.0</v>
      </c>
      <c r="R52" s="6">
        <v>0.0</v>
      </c>
      <c r="S52" s="6">
        <v>47.4956</v>
      </c>
      <c r="T52" s="6">
        <v>183.3784</v>
      </c>
      <c r="U52" s="6">
        <v>453.1425</v>
      </c>
      <c r="V52" s="6">
        <v>761.3226</v>
      </c>
    </row>
    <row r="53">
      <c r="A53" s="5" t="s">
        <v>57</v>
      </c>
      <c r="B53" s="5" t="s">
        <v>1867</v>
      </c>
      <c r="C53" s="5" t="s">
        <v>2035</v>
      </c>
      <c r="D53" s="6">
        <v>1.5238</v>
      </c>
      <c r="E53" s="6">
        <v>0.0</v>
      </c>
      <c r="F53" s="6">
        <v>1.5238</v>
      </c>
      <c r="G53" s="6">
        <v>3871.0</v>
      </c>
      <c r="H53" s="6">
        <v>15.2105</v>
      </c>
      <c r="I53" s="6">
        <v>0.0</v>
      </c>
      <c r="J53" s="6">
        <v>15.2105</v>
      </c>
      <c r="K53" s="6">
        <v>0.0</v>
      </c>
      <c r="L53" s="6">
        <v>0.0</v>
      </c>
      <c r="M53" s="6">
        <v>0.0</v>
      </c>
      <c r="N53" s="6">
        <v>5.0221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5.0221</v>
      </c>
    </row>
    <row r="54">
      <c r="A54" s="5" t="s">
        <v>58</v>
      </c>
      <c r="B54" s="5" t="s">
        <v>163</v>
      </c>
      <c r="C54" s="5" t="s">
        <v>1882</v>
      </c>
      <c r="D54" s="6">
        <v>1761.6121</v>
      </c>
      <c r="E54" s="6">
        <v>1746.8974</v>
      </c>
      <c r="F54" s="6">
        <v>14.7147</v>
      </c>
      <c r="G54" s="6">
        <v>47497.0</v>
      </c>
      <c r="H54" s="6">
        <v>1766.4707</v>
      </c>
      <c r="I54" s="6">
        <v>1751.7155</v>
      </c>
      <c r="J54" s="6">
        <v>14.7553</v>
      </c>
      <c r="K54" s="6">
        <v>287.7837</v>
      </c>
      <c r="L54" s="6">
        <v>972.4492</v>
      </c>
      <c r="M54" s="6">
        <v>2873.6111</v>
      </c>
      <c r="N54" s="6">
        <v>4572.9189</v>
      </c>
      <c r="O54" s="6">
        <v>280.0422</v>
      </c>
      <c r="P54" s="6">
        <v>984.0523</v>
      </c>
      <c r="Q54" s="6">
        <v>2760.8951</v>
      </c>
      <c r="R54" s="6">
        <v>4472.4221</v>
      </c>
      <c r="S54" s="6">
        <v>-123.5461</v>
      </c>
      <c r="T54" s="6">
        <v>14.0838</v>
      </c>
      <c r="U54" s="6">
        <v>156.3969</v>
      </c>
      <c r="V54" s="6">
        <v>456.7017</v>
      </c>
    </row>
    <row r="55">
      <c r="A55" s="5" t="s">
        <v>58</v>
      </c>
      <c r="B55" s="5" t="s">
        <v>163</v>
      </c>
      <c r="C55" s="5" t="s">
        <v>72</v>
      </c>
      <c r="D55" s="6">
        <v>16.4728</v>
      </c>
      <c r="E55" s="6">
        <v>17.1075</v>
      </c>
      <c r="F55" s="6">
        <v>-0.6347</v>
      </c>
      <c r="G55" s="6">
        <v>42919.0</v>
      </c>
      <c r="H55" s="6">
        <v>18.2802</v>
      </c>
      <c r="I55" s="6">
        <v>18.9846</v>
      </c>
      <c r="J55" s="6">
        <v>-0.7044</v>
      </c>
      <c r="K55" s="6">
        <v>2.0399</v>
      </c>
      <c r="L55" s="6">
        <v>8.1426</v>
      </c>
      <c r="M55" s="6">
        <v>26.7477</v>
      </c>
      <c r="N55" s="6">
        <v>45.6583</v>
      </c>
      <c r="O55" s="6">
        <v>2.0473</v>
      </c>
      <c r="P55" s="6">
        <v>9.2045</v>
      </c>
      <c r="Q55" s="6">
        <v>27.7289</v>
      </c>
      <c r="R55" s="6">
        <v>46.6021</v>
      </c>
      <c r="S55" s="6">
        <v>-1.9993</v>
      </c>
      <c r="T55" s="6">
        <v>0.0029</v>
      </c>
      <c r="U55" s="6">
        <v>1.6947</v>
      </c>
      <c r="V55" s="6">
        <v>4.2056</v>
      </c>
    </row>
    <row r="56">
      <c r="A56" s="5" t="s">
        <v>58</v>
      </c>
      <c r="B56" s="5" t="s">
        <v>163</v>
      </c>
      <c r="C56" s="5" t="s">
        <v>73</v>
      </c>
      <c r="D56" s="6">
        <v>17.2482</v>
      </c>
      <c r="E56" s="6">
        <v>17.6004</v>
      </c>
      <c r="F56" s="6">
        <v>-0.3523</v>
      </c>
      <c r="G56" s="6">
        <v>43789.0</v>
      </c>
      <c r="H56" s="6">
        <v>18.7604</v>
      </c>
      <c r="I56" s="6">
        <v>19.1435</v>
      </c>
      <c r="J56" s="6">
        <v>-0.3831</v>
      </c>
      <c r="K56" s="6">
        <v>2.3551</v>
      </c>
      <c r="L56" s="6">
        <v>9.2571</v>
      </c>
      <c r="M56" s="6">
        <v>27.8585</v>
      </c>
      <c r="N56" s="6">
        <v>46.9133</v>
      </c>
      <c r="O56" s="6">
        <v>2.097</v>
      </c>
      <c r="P56" s="6">
        <v>9.2833</v>
      </c>
      <c r="Q56" s="6">
        <v>27.8051</v>
      </c>
      <c r="R56" s="6">
        <v>47.5202</v>
      </c>
      <c r="S56" s="6">
        <v>-1.7447</v>
      </c>
      <c r="T56" s="6">
        <v>0.0332</v>
      </c>
      <c r="U56" s="6">
        <v>2.0464</v>
      </c>
      <c r="V56" s="6">
        <v>5.2776</v>
      </c>
    </row>
    <row r="57">
      <c r="A57" s="5" t="s">
        <v>58</v>
      </c>
      <c r="B57" s="5" t="s">
        <v>163</v>
      </c>
      <c r="C57" s="5" t="s">
        <v>74</v>
      </c>
      <c r="D57" s="6">
        <v>9.3973</v>
      </c>
      <c r="E57" s="6">
        <v>9.4019</v>
      </c>
      <c r="F57" s="6">
        <v>-0.0046</v>
      </c>
      <c r="G57" s="6">
        <v>41622.0</v>
      </c>
      <c r="H57" s="6">
        <v>10.7533</v>
      </c>
      <c r="I57" s="6">
        <v>10.7586</v>
      </c>
      <c r="J57" s="6">
        <v>-0.0053</v>
      </c>
      <c r="K57" s="6">
        <v>1.1523</v>
      </c>
      <c r="L57" s="6">
        <v>4.8585</v>
      </c>
      <c r="M57" s="6">
        <v>14.8634</v>
      </c>
      <c r="N57" s="6">
        <v>25.2136</v>
      </c>
      <c r="O57" s="6">
        <v>1.0034</v>
      </c>
      <c r="P57" s="6">
        <v>4.8076</v>
      </c>
      <c r="Q57" s="6">
        <v>14.7</v>
      </c>
      <c r="R57" s="6">
        <v>25.1308</v>
      </c>
      <c r="S57" s="6">
        <v>-0.9667</v>
      </c>
      <c r="T57" s="6">
        <v>0.0</v>
      </c>
      <c r="U57" s="6">
        <v>1.0538</v>
      </c>
      <c r="V57" s="6">
        <v>3.1139</v>
      </c>
    </row>
    <row r="58">
      <c r="A58" s="5" t="s">
        <v>58</v>
      </c>
      <c r="B58" s="5" t="s">
        <v>163</v>
      </c>
      <c r="C58" s="5" t="s">
        <v>69</v>
      </c>
      <c r="D58" s="6">
        <v>22.2389</v>
      </c>
      <c r="E58" s="6">
        <v>22.9706</v>
      </c>
      <c r="F58" s="6">
        <v>-0.7316</v>
      </c>
      <c r="G58" s="6">
        <v>45609.0</v>
      </c>
      <c r="H58" s="6">
        <v>23.2234</v>
      </c>
      <c r="I58" s="6">
        <v>23.9874</v>
      </c>
      <c r="J58" s="6">
        <v>-0.764</v>
      </c>
      <c r="K58" s="6">
        <v>5.1027</v>
      </c>
      <c r="L58" s="6">
        <v>13.8235</v>
      </c>
      <c r="M58" s="6">
        <v>36.3819</v>
      </c>
      <c r="N58" s="6">
        <v>55.7156</v>
      </c>
      <c r="O58" s="6">
        <v>2.7248</v>
      </c>
      <c r="P58" s="6">
        <v>11.2218</v>
      </c>
      <c r="Q58" s="6">
        <v>37.0515</v>
      </c>
      <c r="R58" s="6">
        <v>62.3699</v>
      </c>
      <c r="S58" s="6">
        <v>-5.3557</v>
      </c>
      <c r="T58" s="6">
        <v>-0.0806</v>
      </c>
      <c r="U58" s="6">
        <v>4.287</v>
      </c>
      <c r="V58" s="6">
        <v>12.0077</v>
      </c>
    </row>
    <row r="59">
      <c r="A59" s="5" t="s">
        <v>58</v>
      </c>
      <c r="B59" s="5" t="s">
        <v>163</v>
      </c>
      <c r="C59" s="5" t="s">
        <v>70</v>
      </c>
      <c r="D59" s="6">
        <v>22.6154</v>
      </c>
      <c r="E59" s="6">
        <v>22.7326</v>
      </c>
      <c r="F59" s="6">
        <v>-0.1171</v>
      </c>
      <c r="G59" s="6">
        <v>45644.0</v>
      </c>
      <c r="H59" s="6">
        <v>23.5985</v>
      </c>
      <c r="I59" s="6">
        <v>23.7207</v>
      </c>
      <c r="J59" s="6">
        <v>-0.1222</v>
      </c>
      <c r="K59" s="6">
        <v>5.4851</v>
      </c>
      <c r="L59" s="6">
        <v>14.036</v>
      </c>
      <c r="M59" s="6">
        <v>36.8656</v>
      </c>
      <c r="N59" s="6">
        <v>56.5018</v>
      </c>
      <c r="O59" s="6">
        <v>2.6478</v>
      </c>
      <c r="P59" s="6">
        <v>11.4584</v>
      </c>
      <c r="Q59" s="6">
        <v>36.7799</v>
      </c>
      <c r="R59" s="6">
        <v>61.2281</v>
      </c>
      <c r="S59" s="6">
        <v>-4.2923</v>
      </c>
      <c r="T59" s="6">
        <v>0.203</v>
      </c>
      <c r="U59" s="6">
        <v>4.694</v>
      </c>
      <c r="V59" s="6">
        <v>12.3951</v>
      </c>
    </row>
    <row r="60">
      <c r="A60" s="5" t="s">
        <v>58</v>
      </c>
      <c r="B60" s="5" t="s">
        <v>163</v>
      </c>
      <c r="C60" s="5" t="s">
        <v>71</v>
      </c>
      <c r="D60" s="6">
        <v>13.0459</v>
      </c>
      <c r="E60" s="6">
        <v>12.4152</v>
      </c>
      <c r="F60" s="6">
        <v>0.6307</v>
      </c>
      <c r="G60" s="6">
        <v>43892.0</v>
      </c>
      <c r="H60" s="6">
        <v>14.1564</v>
      </c>
      <c r="I60" s="6">
        <v>13.4719</v>
      </c>
      <c r="J60" s="6">
        <v>0.6844</v>
      </c>
      <c r="K60" s="6">
        <v>2.304</v>
      </c>
      <c r="L60" s="6">
        <v>7.22</v>
      </c>
      <c r="M60" s="6">
        <v>20.3031</v>
      </c>
      <c r="N60" s="6">
        <v>34.4687</v>
      </c>
      <c r="O60" s="6">
        <v>1.0226</v>
      </c>
      <c r="P60" s="6">
        <v>5.553</v>
      </c>
      <c r="Q60" s="6">
        <v>19.1246</v>
      </c>
      <c r="R60" s="6">
        <v>35.1061</v>
      </c>
      <c r="S60" s="6">
        <v>-1.8574</v>
      </c>
      <c r="T60" s="6">
        <v>0.1744</v>
      </c>
      <c r="U60" s="6">
        <v>2.6289</v>
      </c>
      <c r="V60" s="6">
        <v>7.9706</v>
      </c>
    </row>
    <row r="61">
      <c r="A61" s="5" t="s">
        <v>58</v>
      </c>
      <c r="B61" s="5" t="s">
        <v>163</v>
      </c>
      <c r="C61" s="5" t="s">
        <v>1883</v>
      </c>
      <c r="D61" s="6">
        <v>20.7752</v>
      </c>
      <c r="E61" s="6">
        <v>10.92</v>
      </c>
      <c r="F61" s="6">
        <v>9.8552</v>
      </c>
      <c r="G61" s="6">
        <v>23689.0</v>
      </c>
      <c r="H61" s="6">
        <v>41.7696</v>
      </c>
      <c r="I61" s="6">
        <v>21.9553</v>
      </c>
      <c r="J61" s="6">
        <v>19.8143</v>
      </c>
      <c r="K61" s="6">
        <v>0.0</v>
      </c>
      <c r="L61" s="6">
        <v>4.745</v>
      </c>
      <c r="M61" s="6">
        <v>33.1271</v>
      </c>
      <c r="N61" s="6">
        <v>62.8189</v>
      </c>
      <c r="O61" s="6">
        <v>0.0</v>
      </c>
      <c r="P61" s="6">
        <v>1.2044</v>
      </c>
      <c r="Q61" s="6">
        <v>16.7783</v>
      </c>
      <c r="R61" s="6">
        <v>33.9893</v>
      </c>
      <c r="S61" s="6">
        <v>0.0</v>
      </c>
      <c r="T61" s="6">
        <v>0.6377</v>
      </c>
      <c r="U61" s="6">
        <v>15.2047</v>
      </c>
      <c r="V61" s="6">
        <v>32.8172</v>
      </c>
    </row>
    <row r="62">
      <c r="A62" s="5" t="s">
        <v>58</v>
      </c>
      <c r="B62" s="5" t="s">
        <v>163</v>
      </c>
      <c r="C62" s="5" t="s">
        <v>1884</v>
      </c>
      <c r="D62" s="6">
        <v>53.5473</v>
      </c>
      <c r="E62" s="6">
        <v>24.5364</v>
      </c>
      <c r="F62" s="6">
        <v>29.0109</v>
      </c>
      <c r="G62" s="6">
        <v>39438.0</v>
      </c>
      <c r="H62" s="6">
        <v>64.6673</v>
      </c>
      <c r="I62" s="6">
        <v>29.6318</v>
      </c>
      <c r="J62" s="6">
        <v>35.0355</v>
      </c>
      <c r="K62" s="6">
        <v>14.662</v>
      </c>
      <c r="L62" s="6">
        <v>35.012</v>
      </c>
      <c r="M62" s="6">
        <v>78.9049</v>
      </c>
      <c r="N62" s="6">
        <v>134.5011</v>
      </c>
      <c r="O62" s="6">
        <v>6.3015</v>
      </c>
      <c r="P62" s="6">
        <v>16.8739</v>
      </c>
      <c r="Q62" s="6">
        <v>34.6414</v>
      </c>
      <c r="R62" s="6">
        <v>59.1737</v>
      </c>
      <c r="S62" s="6">
        <v>4.4152</v>
      </c>
      <c r="T62" s="6">
        <v>16.5292</v>
      </c>
      <c r="U62" s="6">
        <v>42.5201</v>
      </c>
      <c r="V62" s="6">
        <v>79.9335</v>
      </c>
    </row>
    <row r="63">
      <c r="A63" s="5" t="s">
        <v>58</v>
      </c>
      <c r="B63" s="5" t="s">
        <v>163</v>
      </c>
      <c r="C63" s="5" t="s">
        <v>1885</v>
      </c>
      <c r="D63" s="6">
        <v>77.0833</v>
      </c>
      <c r="E63" s="6">
        <v>33.2486</v>
      </c>
      <c r="F63" s="6">
        <v>43.8348</v>
      </c>
      <c r="G63" s="6">
        <v>41909.0</v>
      </c>
      <c r="H63" s="6">
        <v>87.6023</v>
      </c>
      <c r="I63" s="6">
        <v>37.7858</v>
      </c>
      <c r="J63" s="6">
        <v>49.8166</v>
      </c>
      <c r="K63" s="6">
        <v>18.6825</v>
      </c>
      <c r="L63" s="6">
        <v>50.4982</v>
      </c>
      <c r="M63" s="6">
        <v>120.9027</v>
      </c>
      <c r="N63" s="6">
        <v>193.2161</v>
      </c>
      <c r="O63" s="6">
        <v>8.0942</v>
      </c>
      <c r="P63" s="6">
        <v>22.0824</v>
      </c>
      <c r="Q63" s="6">
        <v>49.7842</v>
      </c>
      <c r="R63" s="6">
        <v>80.8111</v>
      </c>
      <c r="S63" s="6">
        <v>7.0534</v>
      </c>
      <c r="T63" s="6">
        <v>25.7913</v>
      </c>
      <c r="U63" s="6">
        <v>68.1412</v>
      </c>
      <c r="V63" s="6">
        <v>117.289</v>
      </c>
    </row>
    <row r="64">
      <c r="A64" s="5" t="s">
        <v>58</v>
      </c>
      <c r="B64" s="5" t="s">
        <v>163</v>
      </c>
      <c r="C64" s="5" t="s">
        <v>75</v>
      </c>
      <c r="D64" s="6">
        <v>1617.6831</v>
      </c>
      <c r="E64" s="6">
        <v>0.0076</v>
      </c>
      <c r="F64" s="6">
        <v>1617.6756</v>
      </c>
      <c r="G64" s="6">
        <v>46238.0</v>
      </c>
      <c r="H64" s="6">
        <v>1666.3137</v>
      </c>
      <c r="I64" s="6">
        <v>0.0078</v>
      </c>
      <c r="J64" s="6">
        <v>1666.3059</v>
      </c>
      <c r="K64" s="6">
        <v>317.7713</v>
      </c>
      <c r="L64" s="6">
        <v>886.501</v>
      </c>
      <c r="M64" s="6">
        <v>2557.5212</v>
      </c>
      <c r="N64" s="6">
        <v>4353.8217</v>
      </c>
      <c r="O64" s="6">
        <v>0.0</v>
      </c>
      <c r="P64" s="6">
        <v>0.0</v>
      </c>
      <c r="Q64" s="6">
        <v>0.0</v>
      </c>
      <c r="R64" s="6">
        <v>0.0</v>
      </c>
      <c r="S64" s="6">
        <v>317.7592</v>
      </c>
      <c r="T64" s="6">
        <v>886.501</v>
      </c>
      <c r="U64" s="6">
        <v>2557.5212</v>
      </c>
      <c r="V64" s="6">
        <v>4353.8217</v>
      </c>
    </row>
    <row r="65">
      <c r="A65" s="5" t="s">
        <v>58</v>
      </c>
      <c r="B65" s="5" t="s">
        <v>163</v>
      </c>
      <c r="C65" s="5" t="s">
        <v>68</v>
      </c>
      <c r="D65" s="6">
        <v>305.4772</v>
      </c>
      <c r="E65" s="6">
        <v>0.0</v>
      </c>
      <c r="F65" s="6">
        <v>305.4772</v>
      </c>
      <c r="G65" s="6">
        <v>41407.0</v>
      </c>
      <c r="H65" s="6">
        <v>351.3721</v>
      </c>
      <c r="I65" s="6">
        <v>0.0</v>
      </c>
      <c r="J65" s="6">
        <v>351.3721</v>
      </c>
      <c r="K65" s="6">
        <v>49.214</v>
      </c>
      <c r="L65" s="6">
        <v>167.6588</v>
      </c>
      <c r="M65" s="6">
        <v>460.9459</v>
      </c>
      <c r="N65" s="6">
        <v>816.891</v>
      </c>
      <c r="O65" s="6">
        <v>0.0</v>
      </c>
      <c r="P65" s="6">
        <v>0.0</v>
      </c>
      <c r="Q65" s="6">
        <v>0.0</v>
      </c>
      <c r="R65" s="6">
        <v>0.0</v>
      </c>
      <c r="S65" s="6">
        <v>49.214</v>
      </c>
      <c r="T65" s="6">
        <v>167.6588</v>
      </c>
      <c r="U65" s="6">
        <v>460.9459</v>
      </c>
      <c r="V65" s="6">
        <v>816.891</v>
      </c>
    </row>
    <row r="66">
      <c r="A66" s="5" t="s">
        <v>58</v>
      </c>
      <c r="B66" s="5" t="s">
        <v>163</v>
      </c>
      <c r="C66" s="5" t="s">
        <v>2035</v>
      </c>
      <c r="D66" s="6">
        <v>2.7939</v>
      </c>
      <c r="E66" s="6">
        <v>0.0</v>
      </c>
      <c r="F66" s="6">
        <v>2.7939</v>
      </c>
      <c r="G66" s="6">
        <v>7063.0</v>
      </c>
      <c r="H66" s="6">
        <v>18.8404</v>
      </c>
      <c r="I66" s="6">
        <v>0.0</v>
      </c>
      <c r="J66" s="6">
        <v>18.8404</v>
      </c>
      <c r="K66" s="6">
        <v>0.0</v>
      </c>
      <c r="L66" s="6">
        <v>0.0</v>
      </c>
      <c r="M66" s="6">
        <v>0.0</v>
      </c>
      <c r="N66" s="6">
        <v>10.0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10.0</v>
      </c>
    </row>
    <row r="67">
      <c r="A67" s="5" t="s">
        <v>58</v>
      </c>
      <c r="B67" s="5" t="s">
        <v>1867</v>
      </c>
      <c r="C67" s="5" t="s">
        <v>1882</v>
      </c>
      <c r="D67" s="6">
        <v>3379.2882</v>
      </c>
      <c r="E67" s="6">
        <v>3405.9469</v>
      </c>
      <c r="F67" s="6">
        <v>-26.6587</v>
      </c>
      <c r="G67" s="6">
        <v>24679.0</v>
      </c>
      <c r="H67" s="6">
        <v>3382.4375</v>
      </c>
      <c r="I67" s="6">
        <v>3409.1211</v>
      </c>
      <c r="J67" s="6">
        <v>-26.6836</v>
      </c>
      <c r="K67" s="6">
        <v>373.1568</v>
      </c>
      <c r="L67" s="6">
        <v>1327.4858</v>
      </c>
      <c r="M67" s="6">
        <v>4473.5887</v>
      </c>
      <c r="N67" s="6">
        <v>8707.5913</v>
      </c>
      <c r="O67" s="6">
        <v>371.9051</v>
      </c>
      <c r="P67" s="6">
        <v>1335.5591</v>
      </c>
      <c r="Q67" s="6">
        <v>4517.0757</v>
      </c>
      <c r="R67" s="6">
        <v>8858.162</v>
      </c>
      <c r="S67" s="6">
        <v>-105.4719</v>
      </c>
      <c r="T67" s="6">
        <v>3.5732</v>
      </c>
      <c r="U67" s="6">
        <v>110.3312</v>
      </c>
      <c r="V67" s="6">
        <v>306.0554</v>
      </c>
    </row>
    <row r="68">
      <c r="A68" s="5" t="s">
        <v>58</v>
      </c>
      <c r="B68" s="5" t="s">
        <v>1867</v>
      </c>
      <c r="C68" s="5" t="s">
        <v>72</v>
      </c>
      <c r="D68" s="6">
        <v>18.5282</v>
      </c>
      <c r="E68" s="6">
        <v>22.8476</v>
      </c>
      <c r="F68" s="6">
        <v>-4.3194</v>
      </c>
      <c r="G68" s="6">
        <v>22808.0</v>
      </c>
      <c r="H68" s="6">
        <v>20.0668</v>
      </c>
      <c r="I68" s="6">
        <v>24.7449</v>
      </c>
      <c r="J68" s="6">
        <v>-4.6781</v>
      </c>
      <c r="K68" s="6">
        <v>2.4123</v>
      </c>
      <c r="L68" s="6">
        <v>9.125</v>
      </c>
      <c r="M68" s="6">
        <v>29.8728</v>
      </c>
      <c r="N68" s="6">
        <v>51.4745</v>
      </c>
      <c r="O68" s="6">
        <v>2.5967</v>
      </c>
      <c r="P68" s="6">
        <v>10.6702</v>
      </c>
      <c r="Q68" s="6">
        <v>35.9337</v>
      </c>
      <c r="R68" s="6">
        <v>61.569</v>
      </c>
      <c r="S68" s="6">
        <v>-4.4654</v>
      </c>
      <c r="T68" s="6">
        <v>-0.8789</v>
      </c>
      <c r="U68" s="6">
        <v>0.9809</v>
      </c>
      <c r="V68" s="6">
        <v>2.6901</v>
      </c>
    </row>
    <row r="69">
      <c r="A69" s="5" t="s">
        <v>58</v>
      </c>
      <c r="B69" s="5" t="s">
        <v>1867</v>
      </c>
      <c r="C69" s="5" t="s">
        <v>73</v>
      </c>
      <c r="D69" s="6">
        <v>18.5699</v>
      </c>
      <c r="E69" s="6">
        <v>22.6188</v>
      </c>
      <c r="F69" s="6">
        <v>-4.0489</v>
      </c>
      <c r="G69" s="6">
        <v>22989.0</v>
      </c>
      <c r="H69" s="6">
        <v>19.9536</v>
      </c>
      <c r="I69" s="6">
        <v>24.3042</v>
      </c>
      <c r="J69" s="6">
        <v>-4.3506</v>
      </c>
      <c r="K69" s="6">
        <v>2.5797</v>
      </c>
      <c r="L69" s="6">
        <v>9.9101</v>
      </c>
      <c r="M69" s="6">
        <v>29.6528</v>
      </c>
      <c r="N69" s="6">
        <v>51.1419</v>
      </c>
      <c r="O69" s="6">
        <v>2.6217</v>
      </c>
      <c r="P69" s="6">
        <v>10.7342</v>
      </c>
      <c r="Q69" s="6">
        <v>35.0362</v>
      </c>
      <c r="R69" s="6">
        <v>60.7483</v>
      </c>
      <c r="S69" s="6">
        <v>-4.2057</v>
      </c>
      <c r="T69" s="6">
        <v>-0.6065</v>
      </c>
      <c r="U69" s="6">
        <v>1.0137</v>
      </c>
      <c r="V69" s="6">
        <v>3.0117</v>
      </c>
    </row>
    <row r="70">
      <c r="A70" s="5" t="s">
        <v>58</v>
      </c>
      <c r="B70" s="5" t="s">
        <v>1867</v>
      </c>
      <c r="C70" s="5" t="s">
        <v>74</v>
      </c>
      <c r="D70" s="6">
        <v>11.0712</v>
      </c>
      <c r="E70" s="6">
        <v>14.484</v>
      </c>
      <c r="F70" s="6">
        <v>-3.4129</v>
      </c>
      <c r="G70" s="6">
        <v>22001.0</v>
      </c>
      <c r="H70" s="6">
        <v>12.4303</v>
      </c>
      <c r="I70" s="6">
        <v>16.2622</v>
      </c>
      <c r="J70" s="6">
        <v>-3.8319</v>
      </c>
      <c r="K70" s="6">
        <v>1.7051</v>
      </c>
      <c r="L70" s="6">
        <v>5.7148</v>
      </c>
      <c r="M70" s="6">
        <v>17.5514</v>
      </c>
      <c r="N70" s="6">
        <v>29.8838</v>
      </c>
      <c r="O70" s="6">
        <v>1.6149</v>
      </c>
      <c r="P70" s="6">
        <v>6.4939</v>
      </c>
      <c r="Q70" s="6">
        <v>21.4664</v>
      </c>
      <c r="R70" s="6">
        <v>38.8689</v>
      </c>
      <c r="S70" s="6">
        <v>-2.9278</v>
      </c>
      <c r="T70" s="6">
        <v>-0.1784</v>
      </c>
      <c r="U70" s="6">
        <v>0.4383</v>
      </c>
      <c r="V70" s="6">
        <v>1.9562</v>
      </c>
    </row>
    <row r="71">
      <c r="A71" s="5" t="s">
        <v>58</v>
      </c>
      <c r="B71" s="5" t="s">
        <v>1867</v>
      </c>
      <c r="C71" s="5" t="s">
        <v>69</v>
      </c>
      <c r="D71" s="6">
        <v>24.0177</v>
      </c>
      <c r="E71" s="6">
        <v>30.4618</v>
      </c>
      <c r="F71" s="6">
        <v>-6.4441</v>
      </c>
      <c r="G71" s="6">
        <v>24029.0</v>
      </c>
      <c r="H71" s="6">
        <v>24.6904</v>
      </c>
      <c r="I71" s="6">
        <v>31.315</v>
      </c>
      <c r="J71" s="6">
        <v>-6.6246</v>
      </c>
      <c r="K71" s="6">
        <v>5.8745</v>
      </c>
      <c r="L71" s="6">
        <v>15.8809</v>
      </c>
      <c r="M71" s="6">
        <v>38.6203</v>
      </c>
      <c r="N71" s="6">
        <v>58.5635</v>
      </c>
      <c r="O71" s="6">
        <v>4.5979</v>
      </c>
      <c r="P71" s="6">
        <v>17.3829</v>
      </c>
      <c r="Q71" s="6">
        <v>49.2731</v>
      </c>
      <c r="R71" s="6">
        <v>78.1997</v>
      </c>
      <c r="S71" s="6">
        <v>-10.6905</v>
      </c>
      <c r="T71" s="6">
        <v>-2.6844</v>
      </c>
      <c r="U71" s="6">
        <v>1.8583</v>
      </c>
      <c r="V71" s="6">
        <v>5.9799</v>
      </c>
    </row>
    <row r="72">
      <c r="A72" s="5" t="s">
        <v>58</v>
      </c>
      <c r="B72" s="5" t="s">
        <v>1867</v>
      </c>
      <c r="C72" s="5" t="s">
        <v>70</v>
      </c>
      <c r="D72" s="6">
        <v>24.5979</v>
      </c>
      <c r="E72" s="6">
        <v>30.39</v>
      </c>
      <c r="F72" s="6">
        <v>-5.7921</v>
      </c>
      <c r="G72" s="6">
        <v>24071.0</v>
      </c>
      <c r="H72" s="6">
        <v>25.2427</v>
      </c>
      <c r="I72" s="6">
        <v>31.1866</v>
      </c>
      <c r="J72" s="6">
        <v>-5.9439</v>
      </c>
      <c r="K72" s="6">
        <v>6.4516</v>
      </c>
      <c r="L72" s="6">
        <v>16.1413</v>
      </c>
      <c r="M72" s="6">
        <v>39.5967</v>
      </c>
      <c r="N72" s="6">
        <v>59.8207</v>
      </c>
      <c r="O72" s="6">
        <v>4.7448</v>
      </c>
      <c r="P72" s="6">
        <v>17.3068</v>
      </c>
      <c r="Q72" s="6">
        <v>49.1748</v>
      </c>
      <c r="R72" s="6">
        <v>77.4983</v>
      </c>
      <c r="S72" s="6">
        <v>-9.6083</v>
      </c>
      <c r="T72" s="6">
        <v>-2.0662</v>
      </c>
      <c r="U72" s="6">
        <v>2.3194</v>
      </c>
      <c r="V72" s="6">
        <v>6.4292</v>
      </c>
    </row>
    <row r="73">
      <c r="A73" s="5" t="s">
        <v>58</v>
      </c>
      <c r="B73" s="5" t="s">
        <v>1867</v>
      </c>
      <c r="C73" s="5" t="s">
        <v>71</v>
      </c>
      <c r="D73" s="6">
        <v>15.2853</v>
      </c>
      <c r="E73" s="6">
        <v>19.9335</v>
      </c>
      <c r="F73" s="6">
        <v>-4.6482</v>
      </c>
      <c r="G73" s="6">
        <v>23365.0</v>
      </c>
      <c r="H73" s="6">
        <v>16.1599</v>
      </c>
      <c r="I73" s="6">
        <v>21.0741</v>
      </c>
      <c r="J73" s="6">
        <v>-4.9142</v>
      </c>
      <c r="K73" s="6">
        <v>2.7627</v>
      </c>
      <c r="L73" s="6">
        <v>8.5421</v>
      </c>
      <c r="M73" s="6">
        <v>24.0844</v>
      </c>
      <c r="N73" s="6">
        <v>40.2351</v>
      </c>
      <c r="O73" s="6">
        <v>2.0929</v>
      </c>
      <c r="P73" s="6">
        <v>9.322</v>
      </c>
      <c r="Q73" s="6">
        <v>30.6485</v>
      </c>
      <c r="R73" s="6">
        <v>54.7704</v>
      </c>
      <c r="S73" s="6">
        <v>-6.3724</v>
      </c>
      <c r="T73" s="6">
        <v>-1.0827</v>
      </c>
      <c r="U73" s="6">
        <v>0.9923</v>
      </c>
      <c r="V73" s="6">
        <v>3.3426</v>
      </c>
    </row>
    <row r="74">
      <c r="A74" s="5" t="s">
        <v>58</v>
      </c>
      <c r="B74" s="5" t="s">
        <v>1867</v>
      </c>
      <c r="C74" s="5" t="s">
        <v>1883</v>
      </c>
      <c r="D74" s="6">
        <v>31.6978</v>
      </c>
      <c r="E74" s="6">
        <v>41.4069</v>
      </c>
      <c r="F74" s="6">
        <v>-9.7091</v>
      </c>
      <c r="G74" s="6">
        <v>14028.0</v>
      </c>
      <c r="H74" s="6">
        <v>55.8169</v>
      </c>
      <c r="I74" s="6">
        <v>72.9137</v>
      </c>
      <c r="J74" s="6">
        <v>-17.0967</v>
      </c>
      <c r="K74" s="6">
        <v>0.0</v>
      </c>
      <c r="L74" s="6">
        <v>12.9195</v>
      </c>
      <c r="M74" s="6">
        <v>50.895</v>
      </c>
      <c r="N74" s="6">
        <v>95.9574</v>
      </c>
      <c r="O74" s="6">
        <v>0.0</v>
      </c>
      <c r="P74" s="6">
        <v>11.2697</v>
      </c>
      <c r="Q74" s="6">
        <v>48.3792</v>
      </c>
      <c r="R74" s="6">
        <v>123.807</v>
      </c>
      <c r="S74" s="6">
        <v>-3.8814</v>
      </c>
      <c r="T74" s="6">
        <v>0.0</v>
      </c>
      <c r="U74" s="6">
        <v>6.843</v>
      </c>
      <c r="V74" s="6">
        <v>22.8727</v>
      </c>
    </row>
    <row r="75">
      <c r="A75" s="5" t="s">
        <v>58</v>
      </c>
      <c r="B75" s="5" t="s">
        <v>1867</v>
      </c>
      <c r="C75" s="5" t="s">
        <v>1884</v>
      </c>
      <c r="D75" s="6">
        <v>73.8414</v>
      </c>
      <c r="E75" s="6">
        <v>60.9255</v>
      </c>
      <c r="F75" s="6">
        <v>12.9159</v>
      </c>
      <c r="G75" s="6">
        <v>22199.0</v>
      </c>
      <c r="H75" s="6">
        <v>82.1672</v>
      </c>
      <c r="I75" s="6">
        <v>67.795</v>
      </c>
      <c r="J75" s="6">
        <v>14.3722</v>
      </c>
      <c r="K75" s="6">
        <v>17.3207</v>
      </c>
      <c r="L75" s="6">
        <v>44.2827</v>
      </c>
      <c r="M75" s="6">
        <v>112.5276</v>
      </c>
      <c r="N75" s="6">
        <v>188.919</v>
      </c>
      <c r="O75" s="6">
        <v>11.3628</v>
      </c>
      <c r="P75" s="6">
        <v>26.7158</v>
      </c>
      <c r="Q75" s="6">
        <v>76.4305</v>
      </c>
      <c r="R75" s="6">
        <v>164.2663</v>
      </c>
      <c r="S75" s="6">
        <v>0.3284</v>
      </c>
      <c r="T75" s="6">
        <v>10.52</v>
      </c>
      <c r="U75" s="6">
        <v>30.4202</v>
      </c>
      <c r="V75" s="6">
        <v>66.118</v>
      </c>
    </row>
    <row r="76">
      <c r="A76" s="5" t="s">
        <v>58</v>
      </c>
      <c r="B76" s="5" t="s">
        <v>1867</v>
      </c>
      <c r="C76" s="5" t="s">
        <v>1885</v>
      </c>
      <c r="D76" s="6">
        <v>91.1637</v>
      </c>
      <c r="E76" s="6">
        <v>68.5319</v>
      </c>
      <c r="F76" s="6">
        <v>22.6317</v>
      </c>
      <c r="G76" s="6">
        <v>22850.0</v>
      </c>
      <c r="H76" s="6">
        <v>98.5525</v>
      </c>
      <c r="I76" s="6">
        <v>74.0865</v>
      </c>
      <c r="J76" s="6">
        <v>24.466</v>
      </c>
      <c r="K76" s="6">
        <v>20.8227</v>
      </c>
      <c r="L76" s="6">
        <v>56.9806</v>
      </c>
      <c r="M76" s="6">
        <v>143.5797</v>
      </c>
      <c r="N76" s="6">
        <v>228.8293</v>
      </c>
      <c r="O76" s="6">
        <v>12.5593</v>
      </c>
      <c r="P76" s="6">
        <v>32.4876</v>
      </c>
      <c r="Q76" s="6">
        <v>91.4802</v>
      </c>
      <c r="R76" s="6">
        <v>178.7713</v>
      </c>
      <c r="S76" s="6">
        <v>2.3046</v>
      </c>
      <c r="T76" s="6">
        <v>14.9106</v>
      </c>
      <c r="U76" s="6">
        <v>43.3359</v>
      </c>
      <c r="V76" s="6">
        <v>87.288</v>
      </c>
    </row>
    <row r="77">
      <c r="A77" s="5" t="s">
        <v>58</v>
      </c>
      <c r="B77" s="5" t="s">
        <v>1867</v>
      </c>
      <c r="C77" s="5" t="s">
        <v>75</v>
      </c>
      <c r="D77" s="6">
        <v>1837.6337</v>
      </c>
      <c r="E77" s="6">
        <v>4.0E-4</v>
      </c>
      <c r="F77" s="6">
        <v>1837.6333</v>
      </c>
      <c r="G77" s="6">
        <v>24210.0</v>
      </c>
      <c r="H77" s="6">
        <v>1874.9784</v>
      </c>
      <c r="I77" s="6">
        <v>5.0E-4</v>
      </c>
      <c r="J77" s="6">
        <v>1874.978</v>
      </c>
      <c r="K77" s="6">
        <v>358.2626</v>
      </c>
      <c r="L77" s="6">
        <v>997.369</v>
      </c>
      <c r="M77" s="6">
        <v>2897.2957</v>
      </c>
      <c r="N77" s="6">
        <v>4910.36</v>
      </c>
      <c r="O77" s="6">
        <v>0.0</v>
      </c>
      <c r="P77" s="6">
        <v>0.0</v>
      </c>
      <c r="Q77" s="6">
        <v>0.0</v>
      </c>
      <c r="R77" s="6">
        <v>0.0</v>
      </c>
      <c r="S77" s="6">
        <v>358.2555</v>
      </c>
      <c r="T77" s="6">
        <v>997.369</v>
      </c>
      <c r="U77" s="6">
        <v>2897.2957</v>
      </c>
      <c r="V77" s="6">
        <v>4910.36</v>
      </c>
    </row>
    <row r="78">
      <c r="A78" s="5" t="s">
        <v>58</v>
      </c>
      <c r="B78" s="5" t="s">
        <v>1867</v>
      </c>
      <c r="C78" s="5" t="s">
        <v>68</v>
      </c>
      <c r="D78" s="6">
        <v>445.8764</v>
      </c>
      <c r="E78" s="6">
        <v>0.0</v>
      </c>
      <c r="F78" s="6">
        <v>445.8764</v>
      </c>
      <c r="G78" s="6">
        <v>22621.0</v>
      </c>
      <c r="H78" s="6">
        <v>486.8944</v>
      </c>
      <c r="I78" s="6">
        <v>0.0</v>
      </c>
      <c r="J78" s="6">
        <v>486.8944</v>
      </c>
      <c r="K78" s="6">
        <v>71.3459</v>
      </c>
      <c r="L78" s="6">
        <v>207.4129</v>
      </c>
      <c r="M78" s="6">
        <v>580.0948</v>
      </c>
      <c r="N78" s="6">
        <v>1092.3105</v>
      </c>
      <c r="O78" s="6">
        <v>0.0</v>
      </c>
      <c r="P78" s="6">
        <v>0.0</v>
      </c>
      <c r="Q78" s="6">
        <v>0.0</v>
      </c>
      <c r="R78" s="6">
        <v>0.0</v>
      </c>
      <c r="S78" s="6">
        <v>71.3459</v>
      </c>
      <c r="T78" s="6">
        <v>207.4129</v>
      </c>
      <c r="U78" s="6">
        <v>580.0948</v>
      </c>
      <c r="V78" s="6">
        <v>1092.3105</v>
      </c>
    </row>
    <row r="79">
      <c r="A79" s="5" t="s">
        <v>58</v>
      </c>
      <c r="B79" s="5" t="s">
        <v>1867</v>
      </c>
      <c r="C79" s="5" t="s">
        <v>2035</v>
      </c>
      <c r="D79" s="6">
        <v>3.0724</v>
      </c>
      <c r="E79" s="6">
        <v>0.0</v>
      </c>
      <c r="F79" s="6">
        <v>3.0724</v>
      </c>
      <c r="G79" s="6">
        <v>4076.0</v>
      </c>
      <c r="H79" s="6">
        <v>18.62</v>
      </c>
      <c r="I79" s="6">
        <v>0.0</v>
      </c>
      <c r="J79" s="6">
        <v>18.62</v>
      </c>
      <c r="K79" s="6">
        <v>0.0</v>
      </c>
      <c r="L79" s="6">
        <v>0.0</v>
      </c>
      <c r="M79" s="6">
        <v>0.0</v>
      </c>
      <c r="N79" s="6">
        <v>10.2078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10.2078</v>
      </c>
    </row>
    <row r="80">
      <c r="A80" s="5" t="s">
        <v>59</v>
      </c>
      <c r="B80" s="5" t="s">
        <v>163</v>
      </c>
      <c r="C80" s="5" t="s">
        <v>1882</v>
      </c>
      <c r="D80" s="6">
        <v>2838.9534</v>
      </c>
      <c r="E80" s="6">
        <v>2844.5554</v>
      </c>
      <c r="F80" s="6">
        <v>-5.602</v>
      </c>
      <c r="G80" s="6">
        <v>25273.0</v>
      </c>
      <c r="H80" s="6">
        <v>2840.9753</v>
      </c>
      <c r="I80" s="6">
        <v>2846.5813</v>
      </c>
      <c r="J80" s="6">
        <v>-5.606</v>
      </c>
      <c r="K80" s="6">
        <v>574.9156</v>
      </c>
      <c r="L80" s="6">
        <v>1414.7176</v>
      </c>
      <c r="M80" s="6">
        <v>3917.6604</v>
      </c>
      <c r="N80" s="6">
        <v>7828.2452</v>
      </c>
      <c r="O80" s="6">
        <v>560.0914</v>
      </c>
      <c r="P80" s="6">
        <v>1428.924</v>
      </c>
      <c r="Q80" s="6">
        <v>3802.3365</v>
      </c>
      <c r="R80" s="6">
        <v>7572.7476</v>
      </c>
      <c r="S80" s="6">
        <v>-189.9599</v>
      </c>
      <c r="T80" s="6">
        <v>5.601</v>
      </c>
      <c r="U80" s="6">
        <v>209.438</v>
      </c>
      <c r="V80" s="6">
        <v>702.928</v>
      </c>
    </row>
    <row r="81">
      <c r="A81" s="5" t="s">
        <v>59</v>
      </c>
      <c r="B81" s="5" t="s">
        <v>163</v>
      </c>
      <c r="C81" s="5" t="s">
        <v>72</v>
      </c>
      <c r="D81" s="6">
        <v>22.7087</v>
      </c>
      <c r="E81" s="6">
        <v>24.2801</v>
      </c>
      <c r="F81" s="6">
        <v>-1.5714</v>
      </c>
      <c r="G81" s="6">
        <v>24212.0</v>
      </c>
      <c r="H81" s="6">
        <v>23.7207</v>
      </c>
      <c r="I81" s="6">
        <v>25.3622</v>
      </c>
      <c r="J81" s="6">
        <v>-1.6415</v>
      </c>
      <c r="K81" s="6">
        <v>4.2258</v>
      </c>
      <c r="L81" s="6">
        <v>11.4599</v>
      </c>
      <c r="M81" s="6">
        <v>31.4291</v>
      </c>
      <c r="N81" s="6">
        <v>65.0692</v>
      </c>
      <c r="O81" s="6">
        <v>4.4932</v>
      </c>
      <c r="P81" s="6">
        <v>13.1628</v>
      </c>
      <c r="Q81" s="6">
        <v>34.1712</v>
      </c>
      <c r="R81" s="6">
        <v>67.3711</v>
      </c>
      <c r="S81" s="6">
        <v>-3.5478</v>
      </c>
      <c r="T81" s="6">
        <v>-0.351</v>
      </c>
      <c r="U81" s="6">
        <v>1.8947</v>
      </c>
      <c r="V81" s="6">
        <v>4.9887</v>
      </c>
    </row>
    <row r="82">
      <c r="A82" s="5" t="s">
        <v>59</v>
      </c>
      <c r="B82" s="5" t="s">
        <v>163</v>
      </c>
      <c r="C82" s="5" t="s">
        <v>73</v>
      </c>
      <c r="D82" s="6">
        <v>25.4074</v>
      </c>
      <c r="E82" s="6">
        <v>26.4249</v>
      </c>
      <c r="F82" s="6">
        <v>-1.0175</v>
      </c>
      <c r="G82" s="6">
        <v>24419.0</v>
      </c>
      <c r="H82" s="6">
        <v>26.3147</v>
      </c>
      <c r="I82" s="6">
        <v>27.3685</v>
      </c>
      <c r="J82" s="6">
        <v>-1.0538</v>
      </c>
      <c r="K82" s="6">
        <v>5.2604</v>
      </c>
      <c r="L82" s="6">
        <v>13.1405</v>
      </c>
      <c r="M82" s="6">
        <v>34.6511</v>
      </c>
      <c r="N82" s="6">
        <v>72.6252</v>
      </c>
      <c r="O82" s="6">
        <v>4.9184</v>
      </c>
      <c r="P82" s="6">
        <v>13.6211</v>
      </c>
      <c r="Q82" s="6">
        <v>35.9965</v>
      </c>
      <c r="R82" s="6">
        <v>73.8039</v>
      </c>
      <c r="S82" s="6">
        <v>-2.8046</v>
      </c>
      <c r="T82" s="6">
        <v>0.0312</v>
      </c>
      <c r="U82" s="6">
        <v>2.6257</v>
      </c>
      <c r="V82" s="6">
        <v>6.9075</v>
      </c>
    </row>
    <row r="83">
      <c r="A83" s="5" t="s">
        <v>59</v>
      </c>
      <c r="B83" s="5" t="s">
        <v>163</v>
      </c>
      <c r="C83" s="5" t="s">
        <v>74</v>
      </c>
      <c r="D83" s="6">
        <v>16.1234</v>
      </c>
      <c r="E83" s="6">
        <v>16.8895</v>
      </c>
      <c r="F83" s="6">
        <v>-0.7661</v>
      </c>
      <c r="G83" s="6">
        <v>24130.0</v>
      </c>
      <c r="H83" s="6">
        <v>16.8991</v>
      </c>
      <c r="I83" s="6">
        <v>17.7021</v>
      </c>
      <c r="J83" s="6">
        <v>-0.803</v>
      </c>
      <c r="K83" s="6">
        <v>2.8099</v>
      </c>
      <c r="L83" s="6">
        <v>7.3154</v>
      </c>
      <c r="M83" s="6">
        <v>21.2146</v>
      </c>
      <c r="N83" s="6">
        <v>46.3894</v>
      </c>
      <c r="O83" s="6">
        <v>2.4693</v>
      </c>
      <c r="P83" s="6">
        <v>7.694</v>
      </c>
      <c r="Q83" s="6">
        <v>21.4572</v>
      </c>
      <c r="R83" s="6">
        <v>46.4706</v>
      </c>
      <c r="S83" s="6">
        <v>-1.502</v>
      </c>
      <c r="T83" s="6">
        <v>-1.0E-4</v>
      </c>
      <c r="U83" s="6">
        <v>1.5792</v>
      </c>
      <c r="V83" s="6">
        <v>4.2854</v>
      </c>
    </row>
    <row r="84">
      <c r="A84" s="5" t="s">
        <v>59</v>
      </c>
      <c r="B84" s="5" t="s">
        <v>163</v>
      </c>
      <c r="C84" s="5" t="s">
        <v>69</v>
      </c>
      <c r="D84" s="6">
        <v>31.4716</v>
      </c>
      <c r="E84" s="6">
        <v>32.1418</v>
      </c>
      <c r="F84" s="6">
        <v>-0.6702</v>
      </c>
      <c r="G84" s="6">
        <v>24498.0</v>
      </c>
      <c r="H84" s="6">
        <v>32.4903</v>
      </c>
      <c r="I84" s="6">
        <v>33.1823</v>
      </c>
      <c r="J84" s="6">
        <v>-0.6919</v>
      </c>
      <c r="K84" s="6">
        <v>8.218</v>
      </c>
      <c r="L84" s="6">
        <v>17.0694</v>
      </c>
      <c r="M84" s="6">
        <v>43.724</v>
      </c>
      <c r="N84" s="6">
        <v>85.3123</v>
      </c>
      <c r="O84" s="6">
        <v>5.0573</v>
      </c>
      <c r="P84" s="6">
        <v>15.3872</v>
      </c>
      <c r="Q84" s="6">
        <v>42.8607</v>
      </c>
      <c r="R84" s="6">
        <v>90.6255</v>
      </c>
      <c r="S84" s="6">
        <v>-7.7801</v>
      </c>
      <c r="T84" s="6">
        <v>-0.7034</v>
      </c>
      <c r="U84" s="6">
        <v>6.2309</v>
      </c>
      <c r="V84" s="6">
        <v>17.9496</v>
      </c>
    </row>
    <row r="85">
      <c r="A85" s="5" t="s">
        <v>59</v>
      </c>
      <c r="B85" s="5" t="s">
        <v>163</v>
      </c>
      <c r="C85" s="5" t="s">
        <v>70</v>
      </c>
      <c r="D85" s="6">
        <v>31.69</v>
      </c>
      <c r="E85" s="6">
        <v>32.3759</v>
      </c>
      <c r="F85" s="6">
        <v>-0.6859</v>
      </c>
      <c r="G85" s="6">
        <v>24553.0</v>
      </c>
      <c r="H85" s="6">
        <v>32.6425</v>
      </c>
      <c r="I85" s="6">
        <v>33.349</v>
      </c>
      <c r="J85" s="6">
        <v>-0.7066</v>
      </c>
      <c r="K85" s="6">
        <v>8.4224</v>
      </c>
      <c r="L85" s="6">
        <v>17.6311</v>
      </c>
      <c r="M85" s="6">
        <v>44.6159</v>
      </c>
      <c r="N85" s="6">
        <v>84.7531</v>
      </c>
      <c r="O85" s="6">
        <v>5.1281</v>
      </c>
      <c r="P85" s="6">
        <v>16.1744</v>
      </c>
      <c r="Q85" s="6">
        <v>43.4748</v>
      </c>
      <c r="R85" s="6">
        <v>89.9281</v>
      </c>
      <c r="S85" s="6">
        <v>-7.7048</v>
      </c>
      <c r="T85" s="6">
        <v>-0.6371</v>
      </c>
      <c r="U85" s="6">
        <v>6.3351</v>
      </c>
      <c r="V85" s="6">
        <v>18.42</v>
      </c>
    </row>
    <row r="86">
      <c r="A86" s="5" t="s">
        <v>59</v>
      </c>
      <c r="B86" s="5" t="s">
        <v>163</v>
      </c>
      <c r="C86" s="5" t="s">
        <v>71</v>
      </c>
      <c r="D86" s="6">
        <v>19.5201</v>
      </c>
      <c r="E86" s="6">
        <v>18.6832</v>
      </c>
      <c r="F86" s="6">
        <v>0.8369</v>
      </c>
      <c r="G86" s="6">
        <v>24346.0</v>
      </c>
      <c r="H86" s="6">
        <v>20.2777</v>
      </c>
      <c r="I86" s="6">
        <v>19.4084</v>
      </c>
      <c r="J86" s="6">
        <v>0.8694</v>
      </c>
      <c r="K86" s="6">
        <v>4.2109</v>
      </c>
      <c r="L86" s="6">
        <v>9.6887</v>
      </c>
      <c r="M86" s="6">
        <v>25.9283</v>
      </c>
      <c r="N86" s="6">
        <v>53.9519</v>
      </c>
      <c r="O86" s="6">
        <v>2.3746</v>
      </c>
      <c r="P86" s="6">
        <v>8.3735</v>
      </c>
      <c r="Q86" s="6">
        <v>23.2828</v>
      </c>
      <c r="R86" s="6">
        <v>52.1826</v>
      </c>
      <c r="S86" s="6">
        <v>-3.468</v>
      </c>
      <c r="T86" s="6">
        <v>0.0588</v>
      </c>
      <c r="U86" s="6">
        <v>3.9281</v>
      </c>
      <c r="V86" s="6">
        <v>12.1691</v>
      </c>
    </row>
    <row r="87">
      <c r="A87" s="5" t="s">
        <v>59</v>
      </c>
      <c r="B87" s="5" t="s">
        <v>163</v>
      </c>
      <c r="C87" s="5" t="s">
        <v>1883</v>
      </c>
      <c r="D87" s="6">
        <v>31.5371</v>
      </c>
      <c r="E87" s="6">
        <v>19.6373</v>
      </c>
      <c r="F87" s="6">
        <v>11.8998</v>
      </c>
      <c r="G87" s="6">
        <v>15343.0</v>
      </c>
      <c r="H87" s="6">
        <v>51.9849</v>
      </c>
      <c r="I87" s="6">
        <v>32.3696</v>
      </c>
      <c r="J87" s="6">
        <v>19.6153</v>
      </c>
      <c r="K87" s="6">
        <v>0.0</v>
      </c>
      <c r="L87" s="6">
        <v>12.6385</v>
      </c>
      <c r="M87" s="6">
        <v>45.1489</v>
      </c>
      <c r="N87" s="6">
        <v>101.3243</v>
      </c>
      <c r="O87" s="6">
        <v>0.0</v>
      </c>
      <c r="P87" s="6">
        <v>7.6888</v>
      </c>
      <c r="Q87" s="6">
        <v>26.9946</v>
      </c>
      <c r="R87" s="6">
        <v>60.0664</v>
      </c>
      <c r="S87" s="6">
        <v>0.0</v>
      </c>
      <c r="T87" s="6">
        <v>2.967</v>
      </c>
      <c r="U87" s="6">
        <v>16.7425</v>
      </c>
      <c r="V87" s="6">
        <v>40.3665</v>
      </c>
    </row>
    <row r="88">
      <c r="A88" s="5" t="s">
        <v>59</v>
      </c>
      <c r="B88" s="5" t="s">
        <v>163</v>
      </c>
      <c r="C88" s="5" t="s">
        <v>1884</v>
      </c>
      <c r="D88" s="6">
        <v>71.9471</v>
      </c>
      <c r="E88" s="6">
        <v>39.3335</v>
      </c>
      <c r="F88" s="6">
        <v>32.6136</v>
      </c>
      <c r="G88" s="6">
        <v>21535.0</v>
      </c>
      <c r="H88" s="6">
        <v>84.4957</v>
      </c>
      <c r="I88" s="6">
        <v>46.1938</v>
      </c>
      <c r="J88" s="6">
        <v>38.3019</v>
      </c>
      <c r="K88" s="6">
        <v>14.5124</v>
      </c>
      <c r="L88" s="6">
        <v>37.0991</v>
      </c>
      <c r="M88" s="6">
        <v>100.8463</v>
      </c>
      <c r="N88" s="6">
        <v>197.2503</v>
      </c>
      <c r="O88" s="6">
        <v>7.9536</v>
      </c>
      <c r="P88" s="6">
        <v>20.5585</v>
      </c>
      <c r="Q88" s="6">
        <v>52.8598</v>
      </c>
      <c r="R88" s="6">
        <v>103.5025</v>
      </c>
      <c r="S88" s="6">
        <v>3.5979</v>
      </c>
      <c r="T88" s="6">
        <v>14.8969</v>
      </c>
      <c r="U88" s="6">
        <v>45.8776</v>
      </c>
      <c r="V88" s="6">
        <v>95.9246</v>
      </c>
    </row>
    <row r="89">
      <c r="A89" s="5" t="s">
        <v>59</v>
      </c>
      <c r="B89" s="5" t="s">
        <v>163</v>
      </c>
      <c r="C89" s="5" t="s">
        <v>1885</v>
      </c>
      <c r="D89" s="6">
        <v>101.3726</v>
      </c>
      <c r="E89" s="6">
        <v>50.0563</v>
      </c>
      <c r="F89" s="6">
        <v>51.3164</v>
      </c>
      <c r="G89" s="6">
        <v>22956.0</v>
      </c>
      <c r="H89" s="6">
        <v>111.6839</v>
      </c>
      <c r="I89" s="6">
        <v>55.1478</v>
      </c>
      <c r="J89" s="6">
        <v>56.5361</v>
      </c>
      <c r="K89" s="6">
        <v>25.5337</v>
      </c>
      <c r="L89" s="6">
        <v>67.5045</v>
      </c>
      <c r="M89" s="6">
        <v>147.9396</v>
      </c>
      <c r="N89" s="6">
        <v>246.7776</v>
      </c>
      <c r="O89" s="6">
        <v>12.9958</v>
      </c>
      <c r="P89" s="6">
        <v>31.1025</v>
      </c>
      <c r="Q89" s="6">
        <v>71.1584</v>
      </c>
      <c r="R89" s="6">
        <v>122.466</v>
      </c>
      <c r="S89" s="6">
        <v>8.9507</v>
      </c>
      <c r="T89" s="6">
        <v>30.8587</v>
      </c>
      <c r="U89" s="6">
        <v>75.7137</v>
      </c>
      <c r="V89" s="6">
        <v>132.7578</v>
      </c>
    </row>
    <row r="90">
      <c r="A90" s="5" t="s">
        <v>59</v>
      </c>
      <c r="B90" s="5" t="s">
        <v>163</v>
      </c>
      <c r="C90" s="5" t="s">
        <v>75</v>
      </c>
      <c r="D90" s="6">
        <v>2239.2617</v>
      </c>
      <c r="E90" s="6">
        <v>0.0183</v>
      </c>
      <c r="F90" s="6">
        <v>2239.2434</v>
      </c>
      <c r="G90" s="6">
        <v>24640.0</v>
      </c>
      <c r="H90" s="6">
        <v>2298.424</v>
      </c>
      <c r="I90" s="6">
        <v>0.0188</v>
      </c>
      <c r="J90" s="6">
        <v>2298.4052</v>
      </c>
      <c r="K90" s="6">
        <v>505.1205</v>
      </c>
      <c r="L90" s="6">
        <v>1131.4995</v>
      </c>
      <c r="M90" s="6">
        <v>3015.837</v>
      </c>
      <c r="N90" s="6">
        <v>6293.9979</v>
      </c>
      <c r="O90" s="6">
        <v>0.0</v>
      </c>
      <c r="P90" s="6">
        <v>0.0</v>
      </c>
      <c r="Q90" s="6">
        <v>0.0</v>
      </c>
      <c r="R90" s="6">
        <v>0.0</v>
      </c>
      <c r="S90" s="6">
        <v>505.1205</v>
      </c>
      <c r="T90" s="6">
        <v>1131.4204</v>
      </c>
      <c r="U90" s="6">
        <v>3015.8352</v>
      </c>
      <c r="V90" s="6">
        <v>6293.9979</v>
      </c>
    </row>
    <row r="91">
      <c r="A91" s="5" t="s">
        <v>59</v>
      </c>
      <c r="B91" s="5" t="s">
        <v>163</v>
      </c>
      <c r="C91" s="5" t="s">
        <v>68</v>
      </c>
      <c r="D91" s="6">
        <v>405.7357</v>
      </c>
      <c r="E91" s="6">
        <v>0.0</v>
      </c>
      <c r="F91" s="6">
        <v>405.7357</v>
      </c>
      <c r="G91" s="6">
        <v>22720.0</v>
      </c>
      <c r="H91" s="6">
        <v>451.6489</v>
      </c>
      <c r="I91" s="6">
        <v>0.0</v>
      </c>
      <c r="J91" s="6">
        <v>451.6489</v>
      </c>
      <c r="K91" s="6">
        <v>66.0351</v>
      </c>
      <c r="L91" s="6">
        <v>196.5421</v>
      </c>
      <c r="M91" s="6">
        <v>574.3758</v>
      </c>
      <c r="N91" s="6">
        <v>1129.7105</v>
      </c>
      <c r="O91" s="6">
        <v>0.0</v>
      </c>
      <c r="P91" s="6">
        <v>0.0</v>
      </c>
      <c r="Q91" s="6">
        <v>0.0</v>
      </c>
      <c r="R91" s="6">
        <v>0.0</v>
      </c>
      <c r="S91" s="6">
        <v>66.0351</v>
      </c>
      <c r="T91" s="6">
        <v>196.5421</v>
      </c>
      <c r="U91" s="6">
        <v>574.3758</v>
      </c>
      <c r="V91" s="6">
        <v>1129.7105</v>
      </c>
    </row>
    <row r="92">
      <c r="A92" s="5" t="s">
        <v>59</v>
      </c>
      <c r="B92" s="5" t="s">
        <v>163</v>
      </c>
      <c r="C92" s="5" t="s">
        <v>2035</v>
      </c>
      <c r="D92" s="6">
        <v>6.1894</v>
      </c>
      <c r="E92" s="6">
        <v>0.0</v>
      </c>
      <c r="F92" s="6">
        <v>6.1894</v>
      </c>
      <c r="G92" s="6">
        <v>5182.0</v>
      </c>
      <c r="H92" s="6">
        <v>30.2074</v>
      </c>
      <c r="I92" s="6">
        <v>0.0</v>
      </c>
      <c r="J92" s="6">
        <v>30.2074</v>
      </c>
      <c r="K92" s="6">
        <v>0.0</v>
      </c>
      <c r="L92" s="6">
        <v>0.0</v>
      </c>
      <c r="M92" s="6">
        <v>0.2415</v>
      </c>
      <c r="N92" s="6">
        <v>15.2626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0.2415</v>
      </c>
      <c r="V92" s="6">
        <v>15.2626</v>
      </c>
    </row>
    <row r="93">
      <c r="A93" s="5" t="s">
        <v>59</v>
      </c>
      <c r="B93" s="5" t="s">
        <v>1867</v>
      </c>
      <c r="C93" s="5" t="s">
        <v>1882</v>
      </c>
      <c r="D93" s="6">
        <v>5516.6762</v>
      </c>
      <c r="E93" s="6">
        <v>5593.6999</v>
      </c>
      <c r="F93" s="6">
        <v>-77.0237</v>
      </c>
      <c r="G93" s="6">
        <v>12591.0</v>
      </c>
      <c r="H93" s="6">
        <v>5518.4288</v>
      </c>
      <c r="I93" s="6">
        <v>5595.4769</v>
      </c>
      <c r="J93" s="6">
        <v>-77.0481</v>
      </c>
      <c r="K93" s="6">
        <v>782.6142</v>
      </c>
      <c r="L93" s="6">
        <v>2148.8718</v>
      </c>
      <c r="M93" s="6">
        <v>5984.2745</v>
      </c>
      <c r="N93" s="6">
        <v>14032.7042</v>
      </c>
      <c r="O93" s="6">
        <v>793.8525</v>
      </c>
      <c r="P93" s="6">
        <v>2198.3164</v>
      </c>
      <c r="Q93" s="6">
        <v>6094.0939</v>
      </c>
      <c r="R93" s="6">
        <v>14188.0617</v>
      </c>
      <c r="S93" s="6">
        <v>-147.1287</v>
      </c>
      <c r="T93" s="6">
        <v>-1.0332</v>
      </c>
      <c r="U93" s="6">
        <v>127.2538</v>
      </c>
      <c r="V93" s="6">
        <v>384.9264</v>
      </c>
    </row>
    <row r="94">
      <c r="A94" s="5" t="s">
        <v>59</v>
      </c>
      <c r="B94" s="5" t="s">
        <v>1867</v>
      </c>
      <c r="C94" s="5" t="s">
        <v>72</v>
      </c>
      <c r="D94" s="6">
        <v>24.648</v>
      </c>
      <c r="E94" s="6">
        <v>32.2213</v>
      </c>
      <c r="F94" s="6">
        <v>-7.5733</v>
      </c>
      <c r="G94" s="6">
        <v>12217.0</v>
      </c>
      <c r="H94" s="6">
        <v>25.4106</v>
      </c>
      <c r="I94" s="6">
        <v>33.2182</v>
      </c>
      <c r="J94" s="6">
        <v>-7.8076</v>
      </c>
      <c r="K94" s="6">
        <v>4.7896</v>
      </c>
      <c r="L94" s="6">
        <v>13.9916</v>
      </c>
      <c r="M94" s="6">
        <v>33.9096</v>
      </c>
      <c r="N94" s="6">
        <v>66.0028</v>
      </c>
      <c r="O94" s="6">
        <v>5.5001</v>
      </c>
      <c r="P94" s="6">
        <v>16.2414</v>
      </c>
      <c r="Q94" s="6">
        <v>41.8004</v>
      </c>
      <c r="R94" s="6">
        <v>83.1276</v>
      </c>
      <c r="S94" s="6">
        <v>-6.6707</v>
      </c>
      <c r="T94" s="6">
        <v>-1.4203</v>
      </c>
      <c r="U94" s="6">
        <v>0.8793</v>
      </c>
      <c r="V94" s="6">
        <v>2.9385</v>
      </c>
    </row>
    <row r="95">
      <c r="A95" s="5" t="s">
        <v>59</v>
      </c>
      <c r="B95" s="5" t="s">
        <v>1867</v>
      </c>
      <c r="C95" s="5" t="s">
        <v>73</v>
      </c>
      <c r="D95" s="6">
        <v>26.1615</v>
      </c>
      <c r="E95" s="6">
        <v>33.3617</v>
      </c>
      <c r="F95" s="6">
        <v>-7.2002</v>
      </c>
      <c r="G95" s="6">
        <v>12265.0</v>
      </c>
      <c r="H95" s="6">
        <v>26.8654</v>
      </c>
      <c r="I95" s="6">
        <v>34.2593</v>
      </c>
      <c r="J95" s="6">
        <v>-7.3939</v>
      </c>
      <c r="K95" s="6">
        <v>5.6887</v>
      </c>
      <c r="L95" s="6">
        <v>15.2109</v>
      </c>
      <c r="M95" s="6">
        <v>35.6032</v>
      </c>
      <c r="N95" s="6">
        <v>70.2141</v>
      </c>
      <c r="O95" s="6">
        <v>5.8402</v>
      </c>
      <c r="P95" s="6">
        <v>16.9419</v>
      </c>
      <c r="Q95" s="6">
        <v>43.1446</v>
      </c>
      <c r="R95" s="6">
        <v>86.6583</v>
      </c>
      <c r="S95" s="6">
        <v>-6.314</v>
      </c>
      <c r="T95" s="6">
        <v>-1.1049</v>
      </c>
      <c r="U95" s="6">
        <v>1.0755</v>
      </c>
      <c r="V95" s="6">
        <v>3.9124</v>
      </c>
    </row>
    <row r="96">
      <c r="A96" s="5" t="s">
        <v>59</v>
      </c>
      <c r="B96" s="5" t="s">
        <v>1867</v>
      </c>
      <c r="C96" s="5" t="s">
        <v>74</v>
      </c>
      <c r="D96" s="6">
        <v>17.6207</v>
      </c>
      <c r="E96" s="6">
        <v>23.7849</v>
      </c>
      <c r="F96" s="6">
        <v>-6.1642</v>
      </c>
      <c r="G96" s="6">
        <v>12113.0</v>
      </c>
      <c r="H96" s="6">
        <v>18.3219</v>
      </c>
      <c r="I96" s="6">
        <v>24.7314</v>
      </c>
      <c r="J96" s="6">
        <v>-6.4095</v>
      </c>
      <c r="K96" s="6">
        <v>3.272</v>
      </c>
      <c r="L96" s="6">
        <v>9.6654</v>
      </c>
      <c r="M96" s="6">
        <v>23.4366</v>
      </c>
      <c r="N96" s="6">
        <v>47.9072</v>
      </c>
      <c r="O96" s="6">
        <v>3.6351</v>
      </c>
      <c r="P96" s="6">
        <v>10.9986</v>
      </c>
      <c r="Q96" s="6">
        <v>28.9983</v>
      </c>
      <c r="R96" s="6">
        <v>62.3414</v>
      </c>
      <c r="S96" s="6">
        <v>-4.5492</v>
      </c>
      <c r="T96" s="6">
        <v>-0.8801</v>
      </c>
      <c r="U96" s="6">
        <v>0.3705</v>
      </c>
      <c r="V96" s="6">
        <v>2.0</v>
      </c>
    </row>
    <row r="97">
      <c r="A97" s="5" t="s">
        <v>59</v>
      </c>
      <c r="B97" s="5" t="s">
        <v>1867</v>
      </c>
      <c r="C97" s="5" t="s">
        <v>69</v>
      </c>
      <c r="D97" s="6">
        <v>33.5369</v>
      </c>
      <c r="E97" s="6">
        <v>43.6621</v>
      </c>
      <c r="F97" s="6">
        <v>-10.1252</v>
      </c>
      <c r="G97" s="6">
        <v>12321.0</v>
      </c>
      <c r="H97" s="6">
        <v>34.2827</v>
      </c>
      <c r="I97" s="6">
        <v>44.6331</v>
      </c>
      <c r="J97" s="6">
        <v>-10.3504</v>
      </c>
      <c r="K97" s="6">
        <v>10.0467</v>
      </c>
      <c r="L97" s="6">
        <v>21.9737</v>
      </c>
      <c r="M97" s="6">
        <v>46.4915</v>
      </c>
      <c r="N97" s="6">
        <v>83.5022</v>
      </c>
      <c r="O97" s="6">
        <v>9.1736</v>
      </c>
      <c r="P97" s="6">
        <v>25.1724</v>
      </c>
      <c r="Q97" s="6">
        <v>60.3294</v>
      </c>
      <c r="R97" s="6">
        <v>112.1912</v>
      </c>
      <c r="S97" s="6">
        <v>-15.0509</v>
      </c>
      <c r="T97" s="6">
        <v>-4.7497</v>
      </c>
      <c r="U97" s="6">
        <v>1.8744</v>
      </c>
      <c r="V97" s="6">
        <v>8.6283</v>
      </c>
    </row>
    <row r="98">
      <c r="A98" s="5" t="s">
        <v>59</v>
      </c>
      <c r="B98" s="5" t="s">
        <v>1867</v>
      </c>
      <c r="C98" s="5" t="s">
        <v>70</v>
      </c>
      <c r="D98" s="6">
        <v>33.7686</v>
      </c>
      <c r="E98" s="6">
        <v>43.6473</v>
      </c>
      <c r="F98" s="6">
        <v>-9.8788</v>
      </c>
      <c r="G98" s="6">
        <v>12318.0</v>
      </c>
      <c r="H98" s="6">
        <v>34.5279</v>
      </c>
      <c r="I98" s="6">
        <v>44.6288</v>
      </c>
      <c r="J98" s="6">
        <v>-10.1009</v>
      </c>
      <c r="K98" s="6">
        <v>10.1391</v>
      </c>
      <c r="L98" s="6">
        <v>22.2145</v>
      </c>
      <c r="M98" s="6">
        <v>47.0234</v>
      </c>
      <c r="N98" s="6">
        <v>83.4151</v>
      </c>
      <c r="O98" s="6">
        <v>9.2724</v>
      </c>
      <c r="P98" s="6">
        <v>25.4843</v>
      </c>
      <c r="Q98" s="6">
        <v>60.5058</v>
      </c>
      <c r="R98" s="6">
        <v>112.1974</v>
      </c>
      <c r="S98" s="6">
        <v>-14.6169</v>
      </c>
      <c r="T98" s="6">
        <v>-4.2896</v>
      </c>
      <c r="U98" s="6">
        <v>2.0051</v>
      </c>
      <c r="V98" s="6">
        <v>8.7389</v>
      </c>
    </row>
    <row r="99">
      <c r="A99" s="5" t="s">
        <v>59</v>
      </c>
      <c r="B99" s="5" t="s">
        <v>1867</v>
      </c>
      <c r="C99" s="5" t="s">
        <v>71</v>
      </c>
      <c r="D99" s="6">
        <v>21.9715</v>
      </c>
      <c r="E99" s="6">
        <v>29.2382</v>
      </c>
      <c r="F99" s="6">
        <v>-7.2667</v>
      </c>
      <c r="G99" s="6">
        <v>12232.0</v>
      </c>
      <c r="H99" s="6">
        <v>22.6235</v>
      </c>
      <c r="I99" s="6">
        <v>30.1059</v>
      </c>
      <c r="J99" s="6">
        <v>-7.4823</v>
      </c>
      <c r="K99" s="6">
        <v>5.1201</v>
      </c>
      <c r="L99" s="6">
        <v>12.9037</v>
      </c>
      <c r="M99" s="6">
        <v>29.7835</v>
      </c>
      <c r="N99" s="6">
        <v>56.3591</v>
      </c>
      <c r="O99" s="6">
        <v>4.5197</v>
      </c>
      <c r="P99" s="6">
        <v>14.2943</v>
      </c>
      <c r="Q99" s="6">
        <v>38.1782</v>
      </c>
      <c r="R99" s="6">
        <v>78.6636</v>
      </c>
      <c r="S99" s="6">
        <v>-9.2716</v>
      </c>
      <c r="T99" s="6">
        <v>-2.0539</v>
      </c>
      <c r="U99" s="6">
        <v>1.1691</v>
      </c>
      <c r="V99" s="6">
        <v>5.3682</v>
      </c>
    </row>
    <row r="100">
      <c r="A100" s="5" t="s">
        <v>59</v>
      </c>
      <c r="B100" s="5" t="s">
        <v>1867</v>
      </c>
      <c r="C100" s="5" t="s">
        <v>1883</v>
      </c>
      <c r="D100" s="6">
        <v>45.505</v>
      </c>
      <c r="E100" s="6">
        <v>56.7658</v>
      </c>
      <c r="F100" s="6">
        <v>-11.2608</v>
      </c>
      <c r="G100" s="6">
        <v>9009.0</v>
      </c>
      <c r="H100" s="6">
        <v>63.618</v>
      </c>
      <c r="I100" s="6">
        <v>79.3612</v>
      </c>
      <c r="J100" s="6">
        <v>-15.7431</v>
      </c>
      <c r="K100" s="6">
        <v>0.3485</v>
      </c>
      <c r="L100" s="6">
        <v>23.0279</v>
      </c>
      <c r="M100" s="6">
        <v>64.8639</v>
      </c>
      <c r="N100" s="6">
        <v>126.1599</v>
      </c>
      <c r="O100" s="6">
        <v>2.3296</v>
      </c>
      <c r="P100" s="6">
        <v>20.3185</v>
      </c>
      <c r="Q100" s="6">
        <v>62.0391</v>
      </c>
      <c r="R100" s="6">
        <v>152.5012</v>
      </c>
      <c r="S100" s="6">
        <v>-6.4283</v>
      </c>
      <c r="T100" s="6">
        <v>0.0646</v>
      </c>
      <c r="U100" s="6">
        <v>9.6681</v>
      </c>
      <c r="V100" s="6">
        <v>25.5835</v>
      </c>
    </row>
    <row r="101">
      <c r="A101" s="5" t="s">
        <v>59</v>
      </c>
      <c r="B101" s="5" t="s">
        <v>1867</v>
      </c>
      <c r="C101" s="5" t="s">
        <v>1884</v>
      </c>
      <c r="D101" s="6">
        <v>97.3545</v>
      </c>
      <c r="E101" s="6">
        <v>84.8796</v>
      </c>
      <c r="F101" s="6">
        <v>12.4749</v>
      </c>
      <c r="G101" s="6">
        <v>11641.0</v>
      </c>
      <c r="H101" s="6">
        <v>105.3329</v>
      </c>
      <c r="I101" s="6">
        <v>91.8357</v>
      </c>
      <c r="J101" s="6">
        <v>13.4972</v>
      </c>
      <c r="K101" s="6">
        <v>25.3485</v>
      </c>
      <c r="L101" s="6">
        <v>57.55</v>
      </c>
      <c r="M101" s="6">
        <v>138.7257</v>
      </c>
      <c r="N101" s="6">
        <v>246.0862</v>
      </c>
      <c r="O101" s="6">
        <v>16.8463</v>
      </c>
      <c r="P101" s="6">
        <v>39.2722</v>
      </c>
      <c r="Q101" s="6">
        <v>100.644</v>
      </c>
      <c r="R101" s="6">
        <v>216.5027</v>
      </c>
      <c r="S101" s="6">
        <v>0.4249</v>
      </c>
      <c r="T101" s="6">
        <v>11.9751</v>
      </c>
      <c r="U101" s="6">
        <v>34.8382</v>
      </c>
      <c r="V101" s="6">
        <v>72.7782</v>
      </c>
    </row>
    <row r="102">
      <c r="A102" s="5" t="s">
        <v>59</v>
      </c>
      <c r="B102" s="5" t="s">
        <v>1867</v>
      </c>
      <c r="C102" s="5" t="s">
        <v>1885</v>
      </c>
      <c r="D102" s="6">
        <v>119.3489</v>
      </c>
      <c r="E102" s="6">
        <v>93.5481</v>
      </c>
      <c r="F102" s="6">
        <v>25.8009</v>
      </c>
      <c r="G102" s="6">
        <v>11933.0</v>
      </c>
      <c r="H102" s="6">
        <v>125.97</v>
      </c>
      <c r="I102" s="6">
        <v>98.7378</v>
      </c>
      <c r="J102" s="6">
        <v>27.2322</v>
      </c>
      <c r="K102" s="6">
        <v>33.6064</v>
      </c>
      <c r="L102" s="6">
        <v>81.872</v>
      </c>
      <c r="M102" s="6">
        <v>172.6365</v>
      </c>
      <c r="N102" s="6">
        <v>281.0027</v>
      </c>
      <c r="O102" s="6">
        <v>21.5176</v>
      </c>
      <c r="P102" s="6">
        <v>49.8209</v>
      </c>
      <c r="Q102" s="6">
        <v>114.8415</v>
      </c>
      <c r="R102" s="6">
        <v>228.1536</v>
      </c>
      <c r="S102" s="6">
        <v>3.9386</v>
      </c>
      <c r="T102" s="6">
        <v>20.3207</v>
      </c>
      <c r="U102" s="6">
        <v>53.1848</v>
      </c>
      <c r="V102" s="6">
        <v>98.3668</v>
      </c>
    </row>
    <row r="103">
      <c r="A103" s="5" t="s">
        <v>59</v>
      </c>
      <c r="B103" s="5" t="s">
        <v>1867</v>
      </c>
      <c r="C103" s="5" t="s">
        <v>75</v>
      </c>
      <c r="D103" s="6">
        <v>2479.9205</v>
      </c>
      <c r="E103" s="6">
        <v>0.0351</v>
      </c>
      <c r="F103" s="6">
        <v>2479.8854</v>
      </c>
      <c r="G103" s="6">
        <v>12352.0</v>
      </c>
      <c r="H103" s="6">
        <v>2528.7078</v>
      </c>
      <c r="I103" s="6">
        <v>0.0358</v>
      </c>
      <c r="J103" s="6">
        <v>2528.672</v>
      </c>
      <c r="K103" s="6">
        <v>590.736</v>
      </c>
      <c r="L103" s="6">
        <v>1403.8815</v>
      </c>
      <c r="M103" s="6">
        <v>3326.3658</v>
      </c>
      <c r="N103" s="6">
        <v>6536.9655</v>
      </c>
      <c r="O103" s="6">
        <v>0.0</v>
      </c>
      <c r="P103" s="6">
        <v>0.0</v>
      </c>
      <c r="Q103" s="6">
        <v>0.0</v>
      </c>
      <c r="R103" s="6">
        <v>0.0</v>
      </c>
      <c r="S103" s="6">
        <v>590.5809</v>
      </c>
      <c r="T103" s="6">
        <v>1403.8815</v>
      </c>
      <c r="U103" s="6">
        <v>3326.3658</v>
      </c>
      <c r="V103" s="6">
        <v>6536.9655</v>
      </c>
    </row>
    <row r="104">
      <c r="A104" s="5" t="s">
        <v>59</v>
      </c>
      <c r="B104" s="5" t="s">
        <v>1867</v>
      </c>
      <c r="C104" s="5" t="s">
        <v>68</v>
      </c>
      <c r="D104" s="6">
        <v>598.1965</v>
      </c>
      <c r="E104" s="6">
        <v>0.0</v>
      </c>
      <c r="F104" s="6">
        <v>598.1965</v>
      </c>
      <c r="G104" s="6">
        <v>11899.0</v>
      </c>
      <c r="H104" s="6">
        <v>633.1864</v>
      </c>
      <c r="I104" s="6">
        <v>0.0</v>
      </c>
      <c r="J104" s="6">
        <v>633.1864</v>
      </c>
      <c r="K104" s="6">
        <v>95.3511</v>
      </c>
      <c r="L104" s="6">
        <v>280.203</v>
      </c>
      <c r="M104" s="6">
        <v>715.5746</v>
      </c>
      <c r="N104" s="6">
        <v>1453.999</v>
      </c>
      <c r="O104" s="6">
        <v>0.0</v>
      </c>
      <c r="P104" s="6">
        <v>0.0</v>
      </c>
      <c r="Q104" s="6">
        <v>0.0</v>
      </c>
      <c r="R104" s="6">
        <v>0.0</v>
      </c>
      <c r="S104" s="6">
        <v>95.3511</v>
      </c>
      <c r="T104" s="6">
        <v>280.203</v>
      </c>
      <c r="U104" s="6">
        <v>715.5746</v>
      </c>
      <c r="V104" s="6">
        <v>1453.999</v>
      </c>
    </row>
    <row r="105">
      <c r="A105" s="5" t="s">
        <v>59</v>
      </c>
      <c r="B105" s="5" t="s">
        <v>1867</v>
      </c>
      <c r="C105" s="5" t="s">
        <v>2035</v>
      </c>
      <c r="D105" s="6">
        <v>6.4347</v>
      </c>
      <c r="E105" s="6">
        <v>0.0</v>
      </c>
      <c r="F105" s="6">
        <v>6.4347</v>
      </c>
      <c r="G105" s="6">
        <v>3095.0</v>
      </c>
      <c r="H105" s="6">
        <v>26.1858</v>
      </c>
      <c r="I105" s="6">
        <v>0.0</v>
      </c>
      <c r="J105" s="6">
        <v>26.1858</v>
      </c>
      <c r="K105" s="6">
        <v>0.0</v>
      </c>
      <c r="L105" s="6">
        <v>0.0</v>
      </c>
      <c r="M105" s="6">
        <v>4.4162</v>
      </c>
      <c r="N105" s="6">
        <v>19.8856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4.4162</v>
      </c>
      <c r="V105" s="6">
        <v>19.8856</v>
      </c>
    </row>
    <row r="106">
      <c r="A106" s="5" t="s">
        <v>60</v>
      </c>
      <c r="B106" s="5" t="s">
        <v>163</v>
      </c>
      <c r="C106" s="5" t="s">
        <v>1882</v>
      </c>
      <c r="D106" s="6">
        <v>3455.7606</v>
      </c>
      <c r="E106" s="6">
        <v>3916.4998</v>
      </c>
      <c r="F106" s="6">
        <v>-460.7392</v>
      </c>
      <c r="G106" s="6">
        <v>4193.0</v>
      </c>
      <c r="H106" s="6">
        <v>3456.5848</v>
      </c>
      <c r="I106" s="6">
        <v>3917.4338</v>
      </c>
      <c r="J106" s="6">
        <v>-460.849</v>
      </c>
      <c r="K106" s="6">
        <v>865.5147</v>
      </c>
      <c r="L106" s="6">
        <v>1487.3257</v>
      </c>
      <c r="M106" s="6">
        <v>3110.3251</v>
      </c>
      <c r="N106" s="6">
        <v>10468.1594</v>
      </c>
      <c r="O106" s="6">
        <v>840.793</v>
      </c>
      <c r="P106" s="6">
        <v>1583.7102</v>
      </c>
      <c r="Q106" s="6">
        <v>3194.7114</v>
      </c>
      <c r="R106" s="6">
        <v>9290.8269</v>
      </c>
      <c r="S106" s="6">
        <v>-268.2338</v>
      </c>
      <c r="T106" s="6">
        <v>-68.1188</v>
      </c>
      <c r="U106" s="6">
        <v>190.6424</v>
      </c>
      <c r="V106" s="6">
        <v>847.8125</v>
      </c>
    </row>
    <row r="107">
      <c r="A107" s="5" t="s">
        <v>60</v>
      </c>
      <c r="B107" s="5" t="s">
        <v>163</v>
      </c>
      <c r="C107" s="5" t="s">
        <v>72</v>
      </c>
      <c r="D107" s="6">
        <v>26.3553</v>
      </c>
      <c r="E107" s="6">
        <v>29.5627</v>
      </c>
      <c r="F107" s="6">
        <v>-3.2074</v>
      </c>
      <c r="G107" s="6">
        <v>4070.0</v>
      </c>
      <c r="H107" s="6">
        <v>27.1582</v>
      </c>
      <c r="I107" s="6">
        <v>30.4634</v>
      </c>
      <c r="J107" s="6">
        <v>-3.3052</v>
      </c>
      <c r="K107" s="6">
        <v>6.9685</v>
      </c>
      <c r="L107" s="6">
        <v>12.4302</v>
      </c>
      <c r="M107" s="6">
        <v>25.007</v>
      </c>
      <c r="N107" s="6">
        <v>78.0658</v>
      </c>
      <c r="O107" s="6">
        <v>7.13</v>
      </c>
      <c r="P107" s="6">
        <v>14.9607</v>
      </c>
      <c r="Q107" s="6">
        <v>28.6064</v>
      </c>
      <c r="R107" s="6">
        <v>84.4635</v>
      </c>
      <c r="S107" s="6">
        <v>-5.0045</v>
      </c>
      <c r="T107" s="6">
        <v>-1.9844</v>
      </c>
      <c r="U107" s="6">
        <v>1.5582</v>
      </c>
      <c r="V107" s="6">
        <v>5.7698</v>
      </c>
    </row>
    <row r="108">
      <c r="A108" s="5" t="s">
        <v>60</v>
      </c>
      <c r="B108" s="5" t="s">
        <v>163</v>
      </c>
      <c r="C108" s="5" t="s">
        <v>73</v>
      </c>
      <c r="D108" s="6">
        <v>29.9435</v>
      </c>
      <c r="E108" s="6">
        <v>42.4194</v>
      </c>
      <c r="F108" s="6">
        <v>-12.4759</v>
      </c>
      <c r="G108" s="6">
        <v>4082.0</v>
      </c>
      <c r="H108" s="6">
        <v>30.7651</v>
      </c>
      <c r="I108" s="6">
        <v>43.5833</v>
      </c>
      <c r="J108" s="6">
        <v>-12.8182</v>
      </c>
      <c r="K108" s="6">
        <v>8.0948</v>
      </c>
      <c r="L108" s="6">
        <v>14.0528</v>
      </c>
      <c r="M108" s="6">
        <v>28.7222</v>
      </c>
      <c r="N108" s="6">
        <v>90.1239</v>
      </c>
      <c r="O108" s="6">
        <v>7.5606</v>
      </c>
      <c r="P108" s="6">
        <v>15.8056</v>
      </c>
      <c r="Q108" s="6">
        <v>31.829</v>
      </c>
      <c r="R108" s="6">
        <v>99.4326</v>
      </c>
      <c r="S108" s="6">
        <v>-4.3315</v>
      </c>
      <c r="T108" s="6">
        <v>-1.0559</v>
      </c>
      <c r="U108" s="6">
        <v>2.3612</v>
      </c>
      <c r="V108" s="6">
        <v>7.5067</v>
      </c>
    </row>
    <row r="109">
      <c r="A109" s="5" t="s">
        <v>60</v>
      </c>
      <c r="B109" s="5" t="s">
        <v>163</v>
      </c>
      <c r="C109" s="5" t="s">
        <v>74</v>
      </c>
      <c r="D109" s="6">
        <v>20.5379</v>
      </c>
      <c r="E109" s="6">
        <v>24.4268</v>
      </c>
      <c r="F109" s="6">
        <v>-3.8889</v>
      </c>
      <c r="G109" s="6">
        <v>4075.0</v>
      </c>
      <c r="H109" s="6">
        <v>21.1377</v>
      </c>
      <c r="I109" s="6">
        <v>25.1401</v>
      </c>
      <c r="J109" s="6">
        <v>-4.0025</v>
      </c>
      <c r="K109" s="6">
        <v>4.0789</v>
      </c>
      <c r="L109" s="6">
        <v>7.5627</v>
      </c>
      <c r="M109" s="6">
        <v>17.5913</v>
      </c>
      <c r="N109" s="6">
        <v>64.1902</v>
      </c>
      <c r="O109" s="6">
        <v>4.312</v>
      </c>
      <c r="P109" s="6">
        <v>9.5383</v>
      </c>
      <c r="Q109" s="6">
        <v>20.1448</v>
      </c>
      <c r="R109" s="6">
        <v>67.8986</v>
      </c>
      <c r="S109" s="6">
        <v>-3.9941</v>
      </c>
      <c r="T109" s="6">
        <v>-1.0</v>
      </c>
      <c r="U109" s="6">
        <v>0.9979</v>
      </c>
      <c r="V109" s="6">
        <v>4.1382</v>
      </c>
    </row>
    <row r="110">
      <c r="A110" s="5" t="s">
        <v>60</v>
      </c>
      <c r="B110" s="5" t="s">
        <v>163</v>
      </c>
      <c r="C110" s="5" t="s">
        <v>69</v>
      </c>
      <c r="D110" s="6">
        <v>37.9318</v>
      </c>
      <c r="E110" s="6">
        <v>39.3093</v>
      </c>
      <c r="F110" s="6">
        <v>-1.3774</v>
      </c>
      <c r="G110" s="6">
        <v>4078.0</v>
      </c>
      <c r="H110" s="6">
        <v>39.0108</v>
      </c>
      <c r="I110" s="6">
        <v>40.4274</v>
      </c>
      <c r="J110" s="6">
        <v>-1.4166</v>
      </c>
      <c r="K110" s="6">
        <v>11.277</v>
      </c>
      <c r="L110" s="6">
        <v>19.5825</v>
      </c>
      <c r="M110" s="6">
        <v>37.0908</v>
      </c>
      <c r="N110" s="6">
        <v>110.9613</v>
      </c>
      <c r="O110" s="6">
        <v>6.7134</v>
      </c>
      <c r="P110" s="6">
        <v>18.6329</v>
      </c>
      <c r="Q110" s="6">
        <v>35.871</v>
      </c>
      <c r="R110" s="6">
        <v>95.1682</v>
      </c>
      <c r="S110" s="6">
        <v>-7.5202</v>
      </c>
      <c r="T110" s="6">
        <v>-0.8678</v>
      </c>
      <c r="U110" s="6">
        <v>9.3923</v>
      </c>
      <c r="V110" s="6">
        <v>21.7875</v>
      </c>
    </row>
    <row r="111">
      <c r="A111" s="5" t="s">
        <v>60</v>
      </c>
      <c r="B111" s="5" t="s">
        <v>163</v>
      </c>
      <c r="C111" s="5" t="s">
        <v>70</v>
      </c>
      <c r="D111" s="6">
        <v>39.1214</v>
      </c>
      <c r="E111" s="6">
        <v>40.6211</v>
      </c>
      <c r="F111" s="6">
        <v>-1.4998</v>
      </c>
      <c r="G111" s="6">
        <v>4077.0</v>
      </c>
      <c r="H111" s="6">
        <v>40.2441</v>
      </c>
      <c r="I111" s="6">
        <v>41.7869</v>
      </c>
      <c r="J111" s="6">
        <v>-1.5428</v>
      </c>
      <c r="K111" s="6">
        <v>11.9748</v>
      </c>
      <c r="L111" s="6">
        <v>21.439</v>
      </c>
      <c r="M111" s="6">
        <v>38.7836</v>
      </c>
      <c r="N111" s="6">
        <v>112.0086</v>
      </c>
      <c r="O111" s="6">
        <v>7.4426</v>
      </c>
      <c r="P111" s="6">
        <v>20.2619</v>
      </c>
      <c r="Q111" s="6">
        <v>37.779</v>
      </c>
      <c r="R111" s="6">
        <v>96.7785</v>
      </c>
      <c r="S111" s="6">
        <v>-7.9024</v>
      </c>
      <c r="T111" s="6">
        <v>-0.8693</v>
      </c>
      <c r="U111" s="6">
        <v>9.8127</v>
      </c>
      <c r="V111" s="6">
        <v>22.9228</v>
      </c>
    </row>
    <row r="112">
      <c r="A112" s="5" t="s">
        <v>60</v>
      </c>
      <c r="B112" s="5" t="s">
        <v>163</v>
      </c>
      <c r="C112" s="5" t="s">
        <v>71</v>
      </c>
      <c r="D112" s="6">
        <v>23.6452</v>
      </c>
      <c r="E112" s="6">
        <v>24.6762</v>
      </c>
      <c r="F112" s="6">
        <v>-1.031</v>
      </c>
      <c r="G112" s="6">
        <v>4071.0</v>
      </c>
      <c r="H112" s="6">
        <v>24.3596</v>
      </c>
      <c r="I112" s="6">
        <v>25.4218</v>
      </c>
      <c r="J112" s="6">
        <v>-1.0621</v>
      </c>
      <c r="K112" s="6">
        <v>6.053</v>
      </c>
      <c r="L112" s="6">
        <v>10.5662</v>
      </c>
      <c r="M112" s="6">
        <v>22.0898</v>
      </c>
      <c r="N112" s="6">
        <v>64.9346</v>
      </c>
      <c r="O112" s="6">
        <v>3.2363</v>
      </c>
      <c r="P112" s="6">
        <v>10.6331</v>
      </c>
      <c r="Q112" s="6">
        <v>20.1952</v>
      </c>
      <c r="R112" s="6">
        <v>52.783</v>
      </c>
      <c r="S112" s="6">
        <v>-4.2303</v>
      </c>
      <c r="T112" s="6">
        <v>-0.0095</v>
      </c>
      <c r="U112" s="6">
        <v>5.8661</v>
      </c>
      <c r="V112" s="6">
        <v>15.0193</v>
      </c>
    </row>
    <row r="113">
      <c r="A113" s="5" t="s">
        <v>60</v>
      </c>
      <c r="B113" s="5" t="s">
        <v>163</v>
      </c>
      <c r="C113" s="5" t="s">
        <v>1883</v>
      </c>
      <c r="D113" s="6">
        <v>27.072</v>
      </c>
      <c r="E113" s="6">
        <v>20.9912</v>
      </c>
      <c r="F113" s="6">
        <v>6.0808</v>
      </c>
      <c r="G113" s="6">
        <v>2444.0</v>
      </c>
      <c r="H113" s="6">
        <v>46.4566</v>
      </c>
      <c r="I113" s="6">
        <v>36.0217</v>
      </c>
      <c r="J113" s="6">
        <v>10.4349</v>
      </c>
      <c r="K113" s="6">
        <v>0.0</v>
      </c>
      <c r="L113" s="6">
        <v>14.2576</v>
      </c>
      <c r="M113" s="6">
        <v>26.1443</v>
      </c>
      <c r="N113" s="6">
        <v>90.6248</v>
      </c>
      <c r="O113" s="6">
        <v>0.0</v>
      </c>
      <c r="P113" s="6">
        <v>8.8239</v>
      </c>
      <c r="Q113" s="6">
        <v>23.8248</v>
      </c>
      <c r="R113" s="6">
        <v>63.722</v>
      </c>
      <c r="S113" s="6">
        <v>0.0</v>
      </c>
      <c r="T113" s="6">
        <v>0.01</v>
      </c>
      <c r="U113" s="6">
        <v>7.982</v>
      </c>
      <c r="V113" s="6">
        <v>23.0646</v>
      </c>
    </row>
    <row r="114">
      <c r="A114" s="5" t="s">
        <v>60</v>
      </c>
      <c r="B114" s="5" t="s">
        <v>163</v>
      </c>
      <c r="C114" s="5" t="s">
        <v>1884</v>
      </c>
      <c r="D114" s="6">
        <v>67.7361</v>
      </c>
      <c r="E114" s="6">
        <v>46.0777</v>
      </c>
      <c r="F114" s="6">
        <v>21.6583</v>
      </c>
      <c r="G114" s="6">
        <v>3614.0</v>
      </c>
      <c r="H114" s="6">
        <v>78.6068</v>
      </c>
      <c r="I114" s="6">
        <v>53.4726</v>
      </c>
      <c r="J114" s="6">
        <v>25.1342</v>
      </c>
      <c r="K114" s="6">
        <v>13.1395</v>
      </c>
      <c r="L114" s="6">
        <v>28.2129</v>
      </c>
      <c r="M114" s="6">
        <v>58.6395</v>
      </c>
      <c r="N114" s="6">
        <v>199.4605</v>
      </c>
      <c r="O114" s="6">
        <v>9.263</v>
      </c>
      <c r="P114" s="6">
        <v>21.9188</v>
      </c>
      <c r="Q114" s="6">
        <v>42.9324</v>
      </c>
      <c r="R114" s="6">
        <v>122.1199</v>
      </c>
      <c r="S114" s="6">
        <v>0.0259</v>
      </c>
      <c r="T114" s="6">
        <v>6.593</v>
      </c>
      <c r="U114" s="6">
        <v>20.6726</v>
      </c>
      <c r="V114" s="6">
        <v>68.054</v>
      </c>
    </row>
    <row r="115">
      <c r="A115" s="5" t="s">
        <v>60</v>
      </c>
      <c r="B115" s="5" t="s">
        <v>163</v>
      </c>
      <c r="C115" s="5" t="s">
        <v>1885</v>
      </c>
      <c r="D115" s="6">
        <v>97.0315</v>
      </c>
      <c r="E115" s="6">
        <v>57.8696</v>
      </c>
      <c r="F115" s="6">
        <v>39.1619</v>
      </c>
      <c r="G115" s="6">
        <v>3793.0</v>
      </c>
      <c r="H115" s="6">
        <v>107.2897</v>
      </c>
      <c r="I115" s="6">
        <v>63.9876</v>
      </c>
      <c r="J115" s="6">
        <v>43.3021</v>
      </c>
      <c r="K115" s="6">
        <v>23.2333</v>
      </c>
      <c r="L115" s="6">
        <v>46.8048</v>
      </c>
      <c r="M115" s="6">
        <v>99.4974</v>
      </c>
      <c r="N115" s="6">
        <v>254.3597</v>
      </c>
      <c r="O115" s="6">
        <v>14.393</v>
      </c>
      <c r="P115" s="6">
        <v>31.9959</v>
      </c>
      <c r="Q115" s="6">
        <v>60.6774</v>
      </c>
      <c r="R115" s="6">
        <v>142.168</v>
      </c>
      <c r="S115" s="6">
        <v>3.4559</v>
      </c>
      <c r="T115" s="6">
        <v>13.9497</v>
      </c>
      <c r="U115" s="6">
        <v>39.8011</v>
      </c>
      <c r="V115" s="6">
        <v>113.5322</v>
      </c>
    </row>
    <row r="116">
      <c r="A116" s="5" t="s">
        <v>60</v>
      </c>
      <c r="B116" s="5" t="s">
        <v>163</v>
      </c>
      <c r="C116" s="5" t="s">
        <v>75</v>
      </c>
      <c r="D116" s="6">
        <v>2566.371</v>
      </c>
      <c r="E116" s="6">
        <v>0.0193</v>
      </c>
      <c r="F116" s="6">
        <v>2566.3517</v>
      </c>
      <c r="G116" s="6">
        <v>4085.0</v>
      </c>
      <c r="H116" s="6">
        <v>2634.8494</v>
      </c>
      <c r="I116" s="6">
        <v>0.0198</v>
      </c>
      <c r="J116" s="6">
        <v>2634.8296</v>
      </c>
      <c r="K116" s="6">
        <v>689.2251</v>
      </c>
      <c r="L116" s="6">
        <v>1160.2947</v>
      </c>
      <c r="M116" s="6">
        <v>2433.7967</v>
      </c>
      <c r="N116" s="6">
        <v>7547.2902</v>
      </c>
      <c r="O116" s="6">
        <v>0.0</v>
      </c>
      <c r="P116" s="6">
        <v>0.0</v>
      </c>
      <c r="Q116" s="6">
        <v>0.0</v>
      </c>
      <c r="R116" s="6">
        <v>0.0</v>
      </c>
      <c r="S116" s="6">
        <v>689.2251</v>
      </c>
      <c r="T116" s="6">
        <v>1160.2947</v>
      </c>
      <c r="U116" s="6">
        <v>2433.7967</v>
      </c>
      <c r="V116" s="6">
        <v>7547.2902</v>
      </c>
    </row>
    <row r="117">
      <c r="A117" s="5" t="s">
        <v>60</v>
      </c>
      <c r="B117" s="5" t="s">
        <v>163</v>
      </c>
      <c r="C117" s="5" t="s">
        <v>68</v>
      </c>
      <c r="D117" s="6">
        <v>350.716</v>
      </c>
      <c r="E117" s="6">
        <v>0.0</v>
      </c>
      <c r="F117" s="6">
        <v>350.716</v>
      </c>
      <c r="G117" s="6">
        <v>3652.0</v>
      </c>
      <c r="H117" s="6">
        <v>402.7664</v>
      </c>
      <c r="I117" s="6">
        <v>0.0</v>
      </c>
      <c r="J117" s="6">
        <v>402.7664</v>
      </c>
      <c r="K117" s="6">
        <v>49.8671</v>
      </c>
      <c r="L117" s="6">
        <v>95.9177</v>
      </c>
      <c r="M117" s="6">
        <v>343.2816</v>
      </c>
      <c r="N117" s="6">
        <v>1134.3106</v>
      </c>
      <c r="O117" s="6">
        <v>0.0</v>
      </c>
      <c r="P117" s="6">
        <v>0.0</v>
      </c>
      <c r="Q117" s="6">
        <v>0.0</v>
      </c>
      <c r="R117" s="6">
        <v>0.0</v>
      </c>
      <c r="S117" s="6">
        <v>49.8671</v>
      </c>
      <c r="T117" s="6">
        <v>95.9177</v>
      </c>
      <c r="U117" s="6">
        <v>343.2816</v>
      </c>
      <c r="V117" s="6">
        <v>1134.3106</v>
      </c>
    </row>
    <row r="118">
      <c r="A118" s="5" t="s">
        <v>60</v>
      </c>
      <c r="B118" s="5" t="s">
        <v>163</v>
      </c>
      <c r="C118" s="5" t="s">
        <v>2035</v>
      </c>
      <c r="D118" s="6">
        <v>9.7091</v>
      </c>
      <c r="E118" s="6">
        <v>0.0</v>
      </c>
      <c r="F118" s="6">
        <v>9.7091</v>
      </c>
      <c r="G118" s="6">
        <v>662.0</v>
      </c>
      <c r="H118" s="6">
        <v>61.5106</v>
      </c>
      <c r="I118" s="6">
        <v>0.0</v>
      </c>
      <c r="J118" s="6">
        <v>61.5106</v>
      </c>
      <c r="K118" s="6">
        <v>0.0</v>
      </c>
      <c r="L118" s="6">
        <v>0.0</v>
      </c>
      <c r="M118" s="6">
        <v>0.0</v>
      </c>
      <c r="N118" s="6">
        <v>15.456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15.456</v>
      </c>
    </row>
    <row r="119">
      <c r="A119" s="5" t="s">
        <v>60</v>
      </c>
      <c r="B119" s="5" t="s">
        <v>1867</v>
      </c>
      <c r="C119" s="5" t="s">
        <v>1882</v>
      </c>
      <c r="D119" s="6">
        <v>7199.56</v>
      </c>
      <c r="E119" s="6">
        <v>7443.8659</v>
      </c>
      <c r="F119" s="6">
        <v>-244.3059</v>
      </c>
      <c r="G119" s="6">
        <v>1834.0</v>
      </c>
      <c r="H119" s="6">
        <v>7199.56</v>
      </c>
      <c r="I119" s="6">
        <v>7443.8659</v>
      </c>
      <c r="J119" s="6">
        <v>-244.3059</v>
      </c>
      <c r="K119" s="6">
        <v>1453.4414</v>
      </c>
      <c r="L119" s="6">
        <v>2925.9553</v>
      </c>
      <c r="M119" s="6">
        <v>6803.9734</v>
      </c>
      <c r="N119" s="6">
        <v>15267.2754</v>
      </c>
      <c r="O119" s="6">
        <v>1518.02</v>
      </c>
      <c r="P119" s="6">
        <v>3115.8285</v>
      </c>
      <c r="Q119" s="6">
        <v>6823.7603</v>
      </c>
      <c r="R119" s="6">
        <v>15137.8886</v>
      </c>
      <c r="S119" s="6">
        <v>-245.641</v>
      </c>
      <c r="T119" s="6">
        <v>-56.0725</v>
      </c>
      <c r="U119" s="6">
        <v>104.5102</v>
      </c>
      <c r="V119" s="6">
        <v>447.4138</v>
      </c>
    </row>
    <row r="120">
      <c r="A120" s="5" t="s">
        <v>60</v>
      </c>
      <c r="B120" s="5" t="s">
        <v>1867</v>
      </c>
      <c r="C120" s="5" t="s">
        <v>72</v>
      </c>
      <c r="D120" s="6">
        <v>30.4286</v>
      </c>
      <c r="E120" s="6">
        <v>41.2072</v>
      </c>
      <c r="F120" s="6">
        <v>-10.7786</v>
      </c>
      <c r="G120" s="6">
        <v>1790.0</v>
      </c>
      <c r="H120" s="6">
        <v>31.1765</v>
      </c>
      <c r="I120" s="6">
        <v>42.2201</v>
      </c>
      <c r="J120" s="6">
        <v>-11.0436</v>
      </c>
      <c r="K120" s="6">
        <v>9.0954</v>
      </c>
      <c r="L120" s="6">
        <v>17.7384</v>
      </c>
      <c r="M120" s="6">
        <v>36.5787</v>
      </c>
      <c r="N120" s="6">
        <v>74.6697</v>
      </c>
      <c r="O120" s="6">
        <v>11.0611</v>
      </c>
      <c r="P120" s="6">
        <v>22.916</v>
      </c>
      <c r="Q120" s="6">
        <v>45.5763</v>
      </c>
      <c r="R120" s="6">
        <v>96.1944</v>
      </c>
      <c r="S120" s="6">
        <v>-9.6979</v>
      </c>
      <c r="T120" s="6">
        <v>-3.6601</v>
      </c>
      <c r="U120" s="6">
        <v>0.0</v>
      </c>
      <c r="V120" s="6">
        <v>2.8059</v>
      </c>
    </row>
    <row r="121">
      <c r="A121" s="5" t="s">
        <v>60</v>
      </c>
      <c r="B121" s="5" t="s">
        <v>1867</v>
      </c>
      <c r="C121" s="5" t="s">
        <v>73</v>
      </c>
      <c r="D121" s="6">
        <v>33.2056</v>
      </c>
      <c r="E121" s="6">
        <v>43.4771</v>
      </c>
      <c r="F121" s="6">
        <v>-10.2715</v>
      </c>
      <c r="G121" s="6">
        <v>1790.0</v>
      </c>
      <c r="H121" s="6">
        <v>34.0218</v>
      </c>
      <c r="I121" s="6">
        <v>44.5458</v>
      </c>
      <c r="J121" s="6">
        <v>-10.524</v>
      </c>
      <c r="K121" s="6">
        <v>9.9212</v>
      </c>
      <c r="L121" s="6">
        <v>20.0375</v>
      </c>
      <c r="M121" s="6">
        <v>39.0715</v>
      </c>
      <c r="N121" s="6">
        <v>82.5159</v>
      </c>
      <c r="O121" s="6">
        <v>11.6477</v>
      </c>
      <c r="P121" s="6">
        <v>24.1417</v>
      </c>
      <c r="Q121" s="6">
        <v>48.0695</v>
      </c>
      <c r="R121" s="6">
        <v>101.3664</v>
      </c>
      <c r="S121" s="6">
        <v>-9.243</v>
      </c>
      <c r="T121" s="6">
        <v>-3.1377</v>
      </c>
      <c r="U121" s="6">
        <v>0.612</v>
      </c>
      <c r="V121" s="6">
        <v>4.4464</v>
      </c>
    </row>
    <row r="122">
      <c r="A122" s="5" t="s">
        <v>60</v>
      </c>
      <c r="B122" s="5" t="s">
        <v>1867</v>
      </c>
      <c r="C122" s="5" t="s">
        <v>74</v>
      </c>
      <c r="D122" s="6">
        <v>23.7497</v>
      </c>
      <c r="E122" s="6">
        <v>32.777</v>
      </c>
      <c r="F122" s="6">
        <v>-9.0273</v>
      </c>
      <c r="G122" s="6">
        <v>1790.0</v>
      </c>
      <c r="H122" s="6">
        <v>24.3335</v>
      </c>
      <c r="I122" s="6">
        <v>33.5827</v>
      </c>
      <c r="J122" s="6">
        <v>-9.2492</v>
      </c>
      <c r="K122" s="6">
        <v>6.291</v>
      </c>
      <c r="L122" s="6">
        <v>12.6596</v>
      </c>
      <c r="M122" s="6">
        <v>26.7323</v>
      </c>
      <c r="N122" s="6">
        <v>61.3415</v>
      </c>
      <c r="O122" s="6">
        <v>7.8924</v>
      </c>
      <c r="P122" s="6">
        <v>16.1294</v>
      </c>
      <c r="Q122" s="6">
        <v>34.1619</v>
      </c>
      <c r="R122" s="6">
        <v>79.4734</v>
      </c>
      <c r="S122" s="6">
        <v>-7.162</v>
      </c>
      <c r="T122" s="6">
        <v>-2.7619</v>
      </c>
      <c r="U122" s="6">
        <v>0.0</v>
      </c>
      <c r="V122" s="6">
        <v>2.0</v>
      </c>
    </row>
    <row r="123">
      <c r="A123" s="5" t="s">
        <v>60</v>
      </c>
      <c r="B123" s="5" t="s">
        <v>1867</v>
      </c>
      <c r="C123" s="5" t="s">
        <v>69</v>
      </c>
      <c r="D123" s="6">
        <v>42.9526</v>
      </c>
      <c r="E123" s="6">
        <v>54.5485</v>
      </c>
      <c r="F123" s="6">
        <v>-11.596</v>
      </c>
      <c r="G123" s="6">
        <v>1788.0</v>
      </c>
      <c r="H123" s="6">
        <v>44.0576</v>
      </c>
      <c r="I123" s="6">
        <v>55.9519</v>
      </c>
      <c r="J123" s="6">
        <v>-11.8943</v>
      </c>
      <c r="K123" s="6">
        <v>15.5676</v>
      </c>
      <c r="L123" s="6">
        <v>26.8849</v>
      </c>
      <c r="M123" s="6">
        <v>51.2177</v>
      </c>
      <c r="N123" s="6">
        <v>105.0306</v>
      </c>
      <c r="O123" s="6">
        <v>16.6693</v>
      </c>
      <c r="P123" s="6">
        <v>32.0301</v>
      </c>
      <c r="Q123" s="6">
        <v>63.0651</v>
      </c>
      <c r="R123" s="6">
        <v>129.3873</v>
      </c>
      <c r="S123" s="6">
        <v>-16.5497</v>
      </c>
      <c r="T123" s="6">
        <v>-6.7787</v>
      </c>
      <c r="U123" s="6">
        <v>1.9313</v>
      </c>
      <c r="V123" s="6">
        <v>13.8443</v>
      </c>
    </row>
    <row r="124">
      <c r="A124" s="5" t="s">
        <v>60</v>
      </c>
      <c r="B124" s="5" t="s">
        <v>1867</v>
      </c>
      <c r="C124" s="5" t="s">
        <v>70</v>
      </c>
      <c r="D124" s="6">
        <v>43.8282</v>
      </c>
      <c r="E124" s="6">
        <v>55.633</v>
      </c>
      <c r="F124" s="6">
        <v>-11.8048</v>
      </c>
      <c r="G124" s="6">
        <v>1790.0</v>
      </c>
      <c r="H124" s="6">
        <v>44.9056</v>
      </c>
      <c r="I124" s="6">
        <v>57.0006</v>
      </c>
      <c r="J124" s="6">
        <v>-12.095</v>
      </c>
      <c r="K124" s="6">
        <v>15.8363</v>
      </c>
      <c r="L124" s="6">
        <v>28.1568</v>
      </c>
      <c r="M124" s="6">
        <v>52.7763</v>
      </c>
      <c r="N124" s="6">
        <v>105.2613</v>
      </c>
      <c r="O124" s="6">
        <v>16.8343</v>
      </c>
      <c r="P124" s="6">
        <v>33.6834</v>
      </c>
      <c r="Q124" s="6">
        <v>64.0543</v>
      </c>
      <c r="R124" s="6">
        <v>132.0287</v>
      </c>
      <c r="S124" s="6">
        <v>-16.9317</v>
      </c>
      <c r="T124" s="6">
        <v>-6.6462</v>
      </c>
      <c r="U124" s="6">
        <v>1.9705</v>
      </c>
      <c r="V124" s="6">
        <v>13.7602</v>
      </c>
    </row>
    <row r="125">
      <c r="A125" s="5" t="s">
        <v>60</v>
      </c>
      <c r="B125" s="5" t="s">
        <v>1867</v>
      </c>
      <c r="C125" s="5" t="s">
        <v>71</v>
      </c>
      <c r="D125" s="6">
        <v>28.2508</v>
      </c>
      <c r="E125" s="6">
        <v>37.4945</v>
      </c>
      <c r="F125" s="6">
        <v>-9.2437</v>
      </c>
      <c r="G125" s="6">
        <v>1789.0</v>
      </c>
      <c r="H125" s="6">
        <v>28.9614</v>
      </c>
      <c r="I125" s="6">
        <v>38.4377</v>
      </c>
      <c r="J125" s="6">
        <v>-9.4762</v>
      </c>
      <c r="K125" s="6">
        <v>8.7804</v>
      </c>
      <c r="L125" s="6">
        <v>16.6064</v>
      </c>
      <c r="M125" s="6">
        <v>32.4762</v>
      </c>
      <c r="N125" s="6">
        <v>70.0132</v>
      </c>
      <c r="O125" s="6">
        <v>8.8248</v>
      </c>
      <c r="P125" s="6">
        <v>20.087</v>
      </c>
      <c r="Q125" s="6">
        <v>41.2445</v>
      </c>
      <c r="R125" s="6">
        <v>86.8068</v>
      </c>
      <c r="S125" s="6">
        <v>-11.403</v>
      </c>
      <c r="T125" s="6">
        <v>-3.8716</v>
      </c>
      <c r="U125" s="6">
        <v>1.262</v>
      </c>
      <c r="V125" s="6">
        <v>8.4802</v>
      </c>
    </row>
    <row r="126">
      <c r="A126" s="5" t="s">
        <v>60</v>
      </c>
      <c r="B126" s="5" t="s">
        <v>1867</v>
      </c>
      <c r="C126" s="5" t="s">
        <v>1883</v>
      </c>
      <c r="D126" s="6">
        <v>44.9155</v>
      </c>
      <c r="E126" s="6">
        <v>58.0164</v>
      </c>
      <c r="F126" s="6">
        <v>-13.1009</v>
      </c>
      <c r="G126" s="6">
        <v>1423.0</v>
      </c>
      <c r="H126" s="6">
        <v>57.8883</v>
      </c>
      <c r="I126" s="6">
        <v>74.773</v>
      </c>
      <c r="J126" s="6">
        <v>-16.8848</v>
      </c>
      <c r="K126" s="6">
        <v>10.0</v>
      </c>
      <c r="L126" s="6">
        <v>26.2864</v>
      </c>
      <c r="M126" s="6">
        <v>60.1827</v>
      </c>
      <c r="N126" s="6">
        <v>115.2844</v>
      </c>
      <c r="O126" s="6">
        <v>8.6228</v>
      </c>
      <c r="P126" s="6">
        <v>26.8741</v>
      </c>
      <c r="Q126" s="6">
        <v>62.1455</v>
      </c>
      <c r="R126" s="6">
        <v>139.6692</v>
      </c>
      <c r="S126" s="6">
        <v>-6.6633</v>
      </c>
      <c r="T126" s="6">
        <v>0.0656</v>
      </c>
      <c r="U126" s="6">
        <v>8.7532</v>
      </c>
      <c r="V126" s="6">
        <v>21.3432</v>
      </c>
    </row>
    <row r="127">
      <c r="A127" s="5" t="s">
        <v>60</v>
      </c>
      <c r="B127" s="5" t="s">
        <v>1867</v>
      </c>
      <c r="C127" s="5" t="s">
        <v>1884</v>
      </c>
      <c r="D127" s="6">
        <v>104.2312</v>
      </c>
      <c r="E127" s="6">
        <v>96.681</v>
      </c>
      <c r="F127" s="6">
        <v>7.5502</v>
      </c>
      <c r="G127" s="6">
        <v>1721.0</v>
      </c>
      <c r="H127" s="6">
        <v>111.075</v>
      </c>
      <c r="I127" s="6">
        <v>103.0291</v>
      </c>
      <c r="J127" s="6">
        <v>8.0459</v>
      </c>
      <c r="K127" s="6">
        <v>25.9611</v>
      </c>
      <c r="L127" s="6">
        <v>64.05</v>
      </c>
      <c r="M127" s="6">
        <v>128.9122</v>
      </c>
      <c r="N127" s="6">
        <v>242.1</v>
      </c>
      <c r="O127" s="6">
        <v>21.8003</v>
      </c>
      <c r="P127" s="6">
        <v>48.737</v>
      </c>
      <c r="Q127" s="6">
        <v>108.4155</v>
      </c>
      <c r="R127" s="6">
        <v>227.3282</v>
      </c>
      <c r="S127" s="6">
        <v>0.0</v>
      </c>
      <c r="T127" s="6">
        <v>9.8914</v>
      </c>
      <c r="U127" s="6">
        <v>29.7669</v>
      </c>
      <c r="V127" s="6">
        <v>60.756</v>
      </c>
    </row>
    <row r="128">
      <c r="A128" s="5" t="s">
        <v>60</v>
      </c>
      <c r="B128" s="5" t="s">
        <v>1867</v>
      </c>
      <c r="C128" s="5" t="s">
        <v>1885</v>
      </c>
      <c r="D128" s="6">
        <v>133.6723</v>
      </c>
      <c r="E128" s="6">
        <v>108.6418</v>
      </c>
      <c r="F128" s="6">
        <v>25.0305</v>
      </c>
      <c r="G128" s="6">
        <v>1749.0</v>
      </c>
      <c r="H128" s="6">
        <v>140.1687</v>
      </c>
      <c r="I128" s="6">
        <v>113.9217</v>
      </c>
      <c r="J128" s="6">
        <v>26.247</v>
      </c>
      <c r="K128" s="6">
        <v>43.6301</v>
      </c>
      <c r="L128" s="6">
        <v>85.6032</v>
      </c>
      <c r="M128" s="6">
        <v>168.8462</v>
      </c>
      <c r="N128" s="6">
        <v>294.7876</v>
      </c>
      <c r="O128" s="6">
        <v>29.4257</v>
      </c>
      <c r="P128" s="6">
        <v>61.4317</v>
      </c>
      <c r="Q128" s="6">
        <v>122.1972</v>
      </c>
      <c r="R128" s="6">
        <v>250.5447</v>
      </c>
      <c r="S128" s="6">
        <v>2.5435</v>
      </c>
      <c r="T128" s="6">
        <v>19.5229</v>
      </c>
      <c r="U128" s="6">
        <v>47.6918</v>
      </c>
      <c r="V128" s="6">
        <v>94.6761</v>
      </c>
    </row>
    <row r="129">
      <c r="A129" s="5" t="s">
        <v>60</v>
      </c>
      <c r="B129" s="5" t="s">
        <v>1867</v>
      </c>
      <c r="C129" s="5" t="s">
        <v>75</v>
      </c>
      <c r="D129" s="6">
        <v>3040.9591</v>
      </c>
      <c r="E129" s="6">
        <v>0.0</v>
      </c>
      <c r="F129" s="6">
        <v>3040.9591</v>
      </c>
      <c r="G129" s="6">
        <v>1791.0</v>
      </c>
      <c r="H129" s="6">
        <v>3113.9693</v>
      </c>
      <c r="I129" s="6">
        <v>0.0</v>
      </c>
      <c r="J129" s="6">
        <v>3113.9693</v>
      </c>
      <c r="K129" s="6">
        <v>917.6746</v>
      </c>
      <c r="L129" s="6">
        <v>1784.0888</v>
      </c>
      <c r="M129" s="6">
        <v>3562.3291</v>
      </c>
      <c r="N129" s="6">
        <v>7499.72</v>
      </c>
      <c r="O129" s="6">
        <v>0.0</v>
      </c>
      <c r="P129" s="6">
        <v>0.0</v>
      </c>
      <c r="Q129" s="6">
        <v>0.0</v>
      </c>
      <c r="R129" s="6">
        <v>0.0</v>
      </c>
      <c r="S129" s="6">
        <v>917.6746</v>
      </c>
      <c r="T129" s="6">
        <v>1784.0888</v>
      </c>
      <c r="U129" s="6">
        <v>3562.3291</v>
      </c>
      <c r="V129" s="6">
        <v>7499.72</v>
      </c>
    </row>
    <row r="130">
      <c r="A130" s="5" t="s">
        <v>60</v>
      </c>
      <c r="B130" s="5" t="s">
        <v>1867</v>
      </c>
      <c r="C130" s="5" t="s">
        <v>68</v>
      </c>
      <c r="D130" s="6">
        <v>584.6052</v>
      </c>
      <c r="E130" s="6">
        <v>0.0</v>
      </c>
      <c r="F130" s="6">
        <v>584.6052</v>
      </c>
      <c r="G130" s="6">
        <v>1721.0</v>
      </c>
      <c r="H130" s="6">
        <v>622.9901</v>
      </c>
      <c r="I130" s="6">
        <v>0.0</v>
      </c>
      <c r="J130" s="6">
        <v>622.9901</v>
      </c>
      <c r="K130" s="6">
        <v>92.2312</v>
      </c>
      <c r="L130" s="6">
        <v>254.0827</v>
      </c>
      <c r="M130" s="6">
        <v>690.1919</v>
      </c>
      <c r="N130" s="6">
        <v>1481.0881</v>
      </c>
      <c r="O130" s="6">
        <v>0.0</v>
      </c>
      <c r="P130" s="6">
        <v>0.0</v>
      </c>
      <c r="Q130" s="6">
        <v>0.0</v>
      </c>
      <c r="R130" s="6">
        <v>0.0</v>
      </c>
      <c r="S130" s="6">
        <v>92.2312</v>
      </c>
      <c r="T130" s="6">
        <v>254.0827</v>
      </c>
      <c r="U130" s="6">
        <v>690.1919</v>
      </c>
      <c r="V130" s="6">
        <v>1481.0881</v>
      </c>
    </row>
    <row r="131">
      <c r="A131" s="5" t="s">
        <v>60</v>
      </c>
      <c r="B131" s="5" t="s">
        <v>1867</v>
      </c>
      <c r="C131" s="5" t="s">
        <v>2035</v>
      </c>
      <c r="D131" s="6">
        <v>8.9313</v>
      </c>
      <c r="E131" s="6">
        <v>0.0</v>
      </c>
      <c r="F131" s="6">
        <v>8.9313</v>
      </c>
      <c r="G131" s="6">
        <v>391.0</v>
      </c>
      <c r="H131" s="6">
        <v>41.8926</v>
      </c>
      <c r="I131" s="6">
        <v>0.0</v>
      </c>
      <c r="J131" s="6">
        <v>41.8926</v>
      </c>
      <c r="K131" s="6">
        <v>0.0</v>
      </c>
      <c r="L131" s="6">
        <v>0.0</v>
      </c>
      <c r="M131" s="6">
        <v>0.0</v>
      </c>
      <c r="N131" s="6">
        <v>27.0013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27.0013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79" t="s">
        <v>2042</v>
      </c>
      <c r="B1" s="279" t="s">
        <v>2022</v>
      </c>
      <c r="C1" s="279" t="s">
        <v>2119</v>
      </c>
      <c r="D1" s="279" t="s">
        <v>2138</v>
      </c>
      <c r="E1" s="279" t="s">
        <v>2139</v>
      </c>
      <c r="F1" s="279" t="s">
        <v>2140</v>
      </c>
      <c r="G1" s="279" t="s">
        <v>2026</v>
      </c>
      <c r="H1" s="279" t="s">
        <v>2141</v>
      </c>
      <c r="I1" s="279" t="s">
        <v>2142</v>
      </c>
      <c r="J1" s="279" t="s">
        <v>2143</v>
      </c>
    </row>
    <row r="2">
      <c r="A2" s="5" t="s">
        <v>56</v>
      </c>
      <c r="B2" s="5" t="s">
        <v>163</v>
      </c>
      <c r="C2" s="5" t="s">
        <v>1882</v>
      </c>
      <c r="D2" s="6">
        <v>1.0</v>
      </c>
      <c r="E2" s="6">
        <v>2019761.0</v>
      </c>
      <c r="F2" s="6">
        <v>2364950.0</v>
      </c>
      <c r="G2" s="6">
        <v>131163.0</v>
      </c>
      <c r="H2" s="6">
        <v>15.3989</v>
      </c>
      <c r="I2" s="6">
        <v>18.0306</v>
      </c>
      <c r="J2" s="6">
        <v>-2.6318</v>
      </c>
    </row>
    <row r="3">
      <c r="A3" s="5" t="s">
        <v>56</v>
      </c>
      <c r="B3" s="5" t="s">
        <v>163</v>
      </c>
      <c r="C3" s="5" t="s">
        <v>1882</v>
      </c>
      <c r="D3" s="6">
        <v>2.0</v>
      </c>
      <c r="E3" s="6">
        <v>2121371.0</v>
      </c>
      <c r="F3" s="6">
        <v>2305850.0</v>
      </c>
      <c r="G3" s="6">
        <v>131163.0</v>
      </c>
      <c r="H3" s="6">
        <v>16.1735</v>
      </c>
      <c r="I3" s="6">
        <v>17.58</v>
      </c>
      <c r="J3" s="6">
        <v>-1.4065</v>
      </c>
    </row>
    <row r="4">
      <c r="A4" s="5" t="s">
        <v>56</v>
      </c>
      <c r="B4" s="5" t="s">
        <v>163</v>
      </c>
      <c r="C4" s="5" t="s">
        <v>1882</v>
      </c>
      <c r="D4" s="6">
        <v>3.0</v>
      </c>
      <c r="E4" s="6">
        <v>2583104.0</v>
      </c>
      <c r="F4" s="6">
        <v>2413550.0</v>
      </c>
      <c r="G4" s="6">
        <v>131163.0</v>
      </c>
      <c r="H4" s="6">
        <v>19.6938</v>
      </c>
      <c r="I4" s="6">
        <v>18.4011</v>
      </c>
      <c r="J4" s="6">
        <v>1.2927</v>
      </c>
    </row>
    <row r="5">
      <c r="A5" s="5" t="s">
        <v>56</v>
      </c>
      <c r="B5" s="5" t="s">
        <v>163</v>
      </c>
      <c r="C5" s="5" t="s">
        <v>1882</v>
      </c>
      <c r="D5" s="6">
        <v>4.0</v>
      </c>
      <c r="E5" s="6">
        <v>2246318.0</v>
      </c>
      <c r="F5" s="6">
        <v>2362100.0</v>
      </c>
      <c r="G5" s="6">
        <v>131163.0</v>
      </c>
      <c r="H5" s="6">
        <v>17.1262</v>
      </c>
      <c r="I5" s="6">
        <v>18.0089</v>
      </c>
      <c r="J5" s="6">
        <v>-0.8827</v>
      </c>
    </row>
    <row r="6">
      <c r="A6" s="5" t="s">
        <v>56</v>
      </c>
      <c r="B6" s="5" t="s">
        <v>163</v>
      </c>
      <c r="C6" s="5" t="s">
        <v>1882</v>
      </c>
      <c r="D6" s="6">
        <v>5.0</v>
      </c>
      <c r="E6" s="6">
        <v>2039263.0</v>
      </c>
      <c r="F6" s="6">
        <v>2364250.0</v>
      </c>
      <c r="G6" s="6">
        <v>131163.0</v>
      </c>
      <c r="H6" s="6">
        <v>15.5475</v>
      </c>
      <c r="I6" s="6">
        <v>18.0253</v>
      </c>
      <c r="J6" s="6">
        <v>-2.4777</v>
      </c>
    </row>
    <row r="7">
      <c r="A7" s="5" t="s">
        <v>56</v>
      </c>
      <c r="B7" s="5" t="s">
        <v>163</v>
      </c>
      <c r="C7" s="5" t="s">
        <v>1882</v>
      </c>
      <c r="D7" s="6">
        <v>6.0</v>
      </c>
      <c r="E7" s="6">
        <v>3103332.0</v>
      </c>
      <c r="F7" s="6">
        <v>2742500.0</v>
      </c>
      <c r="G7" s="6">
        <v>131163.0</v>
      </c>
      <c r="H7" s="6">
        <v>23.6601</v>
      </c>
      <c r="I7" s="6">
        <v>20.9091</v>
      </c>
      <c r="J7" s="6">
        <v>2.751</v>
      </c>
    </row>
    <row r="8">
      <c r="A8" s="5" t="s">
        <v>56</v>
      </c>
      <c r="B8" s="5" t="s">
        <v>163</v>
      </c>
      <c r="C8" s="5" t="s">
        <v>1882</v>
      </c>
      <c r="D8" s="6">
        <v>7.0</v>
      </c>
      <c r="E8" s="6">
        <v>2227090.0</v>
      </c>
      <c r="F8" s="6">
        <v>2416150.0</v>
      </c>
      <c r="G8" s="6">
        <v>131163.0</v>
      </c>
      <c r="H8" s="6">
        <v>16.9796</v>
      </c>
      <c r="I8" s="6">
        <v>18.421</v>
      </c>
      <c r="J8" s="6">
        <v>-1.4414</v>
      </c>
    </row>
    <row r="9">
      <c r="A9" s="5" t="s">
        <v>56</v>
      </c>
      <c r="B9" s="5" t="s">
        <v>163</v>
      </c>
      <c r="C9" s="5" t="s">
        <v>1882</v>
      </c>
      <c r="D9" s="6">
        <v>8.0</v>
      </c>
      <c r="E9" s="6">
        <v>1829440.0</v>
      </c>
      <c r="F9" s="6">
        <v>2178850.0</v>
      </c>
      <c r="G9" s="6">
        <v>131163.0</v>
      </c>
      <c r="H9" s="6">
        <v>13.9478</v>
      </c>
      <c r="I9" s="6">
        <v>16.6118</v>
      </c>
      <c r="J9" s="6">
        <v>-2.6639</v>
      </c>
    </row>
    <row r="10">
      <c r="A10" s="5" t="s">
        <v>56</v>
      </c>
      <c r="B10" s="5" t="s">
        <v>163</v>
      </c>
      <c r="C10" s="5" t="s">
        <v>1882</v>
      </c>
      <c r="D10" s="6">
        <v>9.0</v>
      </c>
      <c r="E10" s="6">
        <v>1838379.0</v>
      </c>
      <c r="F10" s="6">
        <v>2036850.0</v>
      </c>
      <c r="G10" s="6">
        <v>131163.0</v>
      </c>
      <c r="H10" s="6">
        <v>14.016</v>
      </c>
      <c r="I10" s="6">
        <v>15.5292</v>
      </c>
      <c r="J10" s="6">
        <v>-1.5132</v>
      </c>
    </row>
    <row r="11">
      <c r="A11" s="5" t="s">
        <v>56</v>
      </c>
      <c r="B11" s="5" t="s">
        <v>163</v>
      </c>
      <c r="C11" s="5" t="s">
        <v>1882</v>
      </c>
      <c r="D11" s="6">
        <v>10.0</v>
      </c>
      <c r="E11" s="6">
        <v>2481269.0</v>
      </c>
      <c r="F11" s="6">
        <v>2287650.0</v>
      </c>
      <c r="G11" s="6">
        <v>131163.0</v>
      </c>
      <c r="H11" s="6">
        <v>18.9174</v>
      </c>
      <c r="I11" s="6">
        <v>17.4413</v>
      </c>
      <c r="J11" s="6">
        <v>1.4762</v>
      </c>
    </row>
    <row r="12">
      <c r="A12" s="5" t="s">
        <v>56</v>
      </c>
      <c r="B12" s="5" t="s">
        <v>163</v>
      </c>
      <c r="C12" s="5" t="s">
        <v>1882</v>
      </c>
      <c r="D12" s="6">
        <v>11.0</v>
      </c>
      <c r="E12" s="6">
        <v>2023846.0</v>
      </c>
      <c r="F12" s="6">
        <v>2185800.0</v>
      </c>
      <c r="G12" s="6">
        <v>131163.0</v>
      </c>
      <c r="H12" s="6">
        <v>15.43</v>
      </c>
      <c r="I12" s="6">
        <v>16.6648</v>
      </c>
      <c r="J12" s="6">
        <v>-1.2348</v>
      </c>
    </row>
    <row r="13">
      <c r="A13" s="5" t="s">
        <v>56</v>
      </c>
      <c r="B13" s="5" t="s">
        <v>163</v>
      </c>
      <c r="C13" s="5" t="s">
        <v>1882</v>
      </c>
      <c r="D13" s="6">
        <v>12.0</v>
      </c>
      <c r="E13" s="6">
        <v>1870362.0</v>
      </c>
      <c r="F13" s="6">
        <v>2193950.0</v>
      </c>
      <c r="G13" s="6">
        <v>131163.0</v>
      </c>
      <c r="H13" s="6">
        <v>14.2598</v>
      </c>
      <c r="I13" s="6">
        <v>16.7269</v>
      </c>
      <c r="J13" s="6">
        <v>-2.4671</v>
      </c>
    </row>
    <row r="14">
      <c r="A14" s="5" t="s">
        <v>56</v>
      </c>
      <c r="B14" s="5" t="s">
        <v>163</v>
      </c>
      <c r="C14" s="5" t="s">
        <v>1882</v>
      </c>
      <c r="D14" s="6">
        <v>13.0</v>
      </c>
      <c r="E14" s="6">
        <v>2915214.0</v>
      </c>
      <c r="F14" s="6">
        <v>2563250.0</v>
      </c>
      <c r="G14" s="6">
        <v>131163.0</v>
      </c>
      <c r="H14" s="6">
        <v>22.2259</v>
      </c>
      <c r="I14" s="6">
        <v>19.5425</v>
      </c>
      <c r="J14" s="6">
        <v>2.6834</v>
      </c>
    </row>
    <row r="15">
      <c r="A15" s="5" t="s">
        <v>56</v>
      </c>
      <c r="B15" s="5" t="s">
        <v>163</v>
      </c>
      <c r="C15" s="5" t="s">
        <v>1882</v>
      </c>
      <c r="D15" s="6">
        <v>14.0</v>
      </c>
      <c r="E15" s="6">
        <v>2042369.0</v>
      </c>
      <c r="F15" s="6">
        <v>2214000.0</v>
      </c>
      <c r="G15" s="6">
        <v>131163.0</v>
      </c>
      <c r="H15" s="6">
        <v>15.5712</v>
      </c>
      <c r="I15" s="6">
        <v>16.8798</v>
      </c>
      <c r="J15" s="6">
        <v>-1.3085</v>
      </c>
    </row>
    <row r="16">
      <c r="A16" s="5" t="s">
        <v>56</v>
      </c>
      <c r="B16" s="5" t="s">
        <v>163</v>
      </c>
      <c r="C16" s="5" t="s">
        <v>1882</v>
      </c>
      <c r="D16" s="6">
        <v>15.0</v>
      </c>
      <c r="E16" s="6">
        <v>1735502.0</v>
      </c>
      <c r="F16" s="6">
        <v>2062350.0</v>
      </c>
      <c r="G16" s="6">
        <v>131163.0</v>
      </c>
      <c r="H16" s="6">
        <v>13.2316</v>
      </c>
      <c r="I16" s="6">
        <v>15.7236</v>
      </c>
      <c r="J16" s="6">
        <v>-2.4919</v>
      </c>
    </row>
    <row r="17">
      <c r="A17" s="5" t="s">
        <v>56</v>
      </c>
      <c r="B17" s="5" t="s">
        <v>163</v>
      </c>
      <c r="C17" s="5" t="s">
        <v>1882</v>
      </c>
      <c r="D17" s="6">
        <v>16.0</v>
      </c>
      <c r="E17" s="6">
        <v>1854443.0</v>
      </c>
      <c r="F17" s="6">
        <v>2023450.0</v>
      </c>
      <c r="G17" s="6">
        <v>131163.0</v>
      </c>
      <c r="H17" s="6">
        <v>14.1385</v>
      </c>
      <c r="I17" s="6">
        <v>15.427</v>
      </c>
      <c r="J17" s="6">
        <v>-1.2885</v>
      </c>
    </row>
    <row r="18">
      <c r="A18" s="5" t="s">
        <v>56</v>
      </c>
      <c r="B18" s="5" t="s">
        <v>163</v>
      </c>
      <c r="C18" s="5" t="s">
        <v>1882</v>
      </c>
      <c r="D18" s="6">
        <v>17.0</v>
      </c>
      <c r="E18" s="6">
        <v>2402179.0</v>
      </c>
      <c r="F18" s="6">
        <v>2221800.0</v>
      </c>
      <c r="G18" s="6">
        <v>131163.0</v>
      </c>
      <c r="H18" s="6">
        <v>18.3145</v>
      </c>
      <c r="I18" s="6">
        <v>16.9392</v>
      </c>
      <c r="J18" s="6">
        <v>1.3752</v>
      </c>
    </row>
    <row r="19">
      <c r="A19" s="5" t="s">
        <v>56</v>
      </c>
      <c r="B19" s="5" t="s">
        <v>163</v>
      </c>
      <c r="C19" s="5" t="s">
        <v>1882</v>
      </c>
      <c r="D19" s="6">
        <v>18.0</v>
      </c>
      <c r="E19" s="6">
        <v>2013602.0</v>
      </c>
      <c r="F19" s="6">
        <v>2157250.0</v>
      </c>
      <c r="G19" s="6">
        <v>131163.0</v>
      </c>
      <c r="H19" s="6">
        <v>15.3519</v>
      </c>
      <c r="I19" s="6">
        <v>16.4471</v>
      </c>
      <c r="J19" s="6">
        <v>-1.0952</v>
      </c>
    </row>
    <row r="20">
      <c r="A20" s="5" t="s">
        <v>56</v>
      </c>
      <c r="B20" s="5" t="s">
        <v>163</v>
      </c>
      <c r="C20" s="5" t="s">
        <v>1882</v>
      </c>
      <c r="D20" s="6">
        <v>19.0</v>
      </c>
      <c r="E20" s="6">
        <v>1823841.0</v>
      </c>
      <c r="F20" s="6">
        <v>2095900.0</v>
      </c>
      <c r="G20" s="6">
        <v>131163.0</v>
      </c>
      <c r="H20" s="6">
        <v>13.9051</v>
      </c>
      <c r="I20" s="6">
        <v>15.9794</v>
      </c>
      <c r="J20" s="6">
        <v>-2.0742</v>
      </c>
    </row>
    <row r="21">
      <c r="A21" s="5" t="s">
        <v>56</v>
      </c>
      <c r="B21" s="5" t="s">
        <v>163</v>
      </c>
      <c r="C21" s="5" t="s">
        <v>1882</v>
      </c>
      <c r="D21" s="6">
        <v>20.0</v>
      </c>
      <c r="E21" s="6">
        <v>2852958.0</v>
      </c>
      <c r="F21" s="6">
        <v>2473050.0</v>
      </c>
      <c r="G21" s="6">
        <v>131163.0</v>
      </c>
      <c r="H21" s="6">
        <v>21.7512</v>
      </c>
      <c r="I21" s="6">
        <v>18.8548</v>
      </c>
      <c r="J21" s="6">
        <v>2.8965</v>
      </c>
    </row>
    <row r="22">
      <c r="A22" s="5" t="s">
        <v>56</v>
      </c>
      <c r="B22" s="5" t="s">
        <v>163</v>
      </c>
      <c r="C22" s="5" t="s">
        <v>1882</v>
      </c>
      <c r="D22" s="6">
        <v>21.0</v>
      </c>
      <c r="E22" s="6">
        <v>3095882.0</v>
      </c>
      <c r="F22" s="6">
        <v>2607750.0</v>
      </c>
      <c r="G22" s="6">
        <v>131163.0</v>
      </c>
      <c r="H22" s="6">
        <v>23.6033</v>
      </c>
      <c r="I22" s="6">
        <v>19.8818</v>
      </c>
      <c r="J22" s="6">
        <v>3.7216</v>
      </c>
    </row>
    <row r="23">
      <c r="A23" s="5" t="s">
        <v>56</v>
      </c>
      <c r="B23" s="5" t="s">
        <v>163</v>
      </c>
      <c r="C23" s="5" t="s">
        <v>1882</v>
      </c>
      <c r="D23" s="6">
        <v>22.0</v>
      </c>
      <c r="E23" s="6">
        <v>2148979.0</v>
      </c>
      <c r="F23" s="6">
        <v>2278000.0</v>
      </c>
      <c r="G23" s="6">
        <v>131163.0</v>
      </c>
      <c r="H23" s="6">
        <v>16.384</v>
      </c>
      <c r="I23" s="6">
        <v>17.3677</v>
      </c>
      <c r="J23" s="6">
        <v>-0.9837</v>
      </c>
    </row>
    <row r="24">
      <c r="A24" s="5" t="s">
        <v>56</v>
      </c>
      <c r="B24" s="5" t="s">
        <v>163</v>
      </c>
      <c r="C24" s="5" t="s">
        <v>1882</v>
      </c>
      <c r="D24" s="6">
        <v>23.0</v>
      </c>
      <c r="E24" s="6">
        <v>1877260.0</v>
      </c>
      <c r="F24" s="6">
        <v>2060200.0</v>
      </c>
      <c r="G24" s="6">
        <v>131163.0</v>
      </c>
      <c r="H24" s="6">
        <v>14.3124</v>
      </c>
      <c r="I24" s="6">
        <v>15.7072</v>
      </c>
      <c r="J24" s="6">
        <v>-1.3948</v>
      </c>
    </row>
    <row r="25">
      <c r="A25" s="5" t="s">
        <v>56</v>
      </c>
      <c r="B25" s="5" t="s">
        <v>163</v>
      </c>
      <c r="C25" s="5" t="s">
        <v>1882</v>
      </c>
      <c r="D25" s="6">
        <v>24.0</v>
      </c>
      <c r="E25" s="6">
        <v>2498540.0</v>
      </c>
      <c r="F25" s="6">
        <v>2275250.0</v>
      </c>
      <c r="G25" s="6">
        <v>131163.0</v>
      </c>
      <c r="H25" s="6">
        <v>19.0491</v>
      </c>
      <c r="I25" s="6">
        <v>17.3467</v>
      </c>
      <c r="J25" s="6">
        <v>1.7024</v>
      </c>
    </row>
    <row r="26">
      <c r="A26" s="5" t="s">
        <v>56</v>
      </c>
      <c r="B26" s="5" t="s">
        <v>163</v>
      </c>
      <c r="C26" s="5" t="s">
        <v>1882</v>
      </c>
      <c r="D26" s="6">
        <v>25.0</v>
      </c>
      <c r="E26" s="6">
        <v>2046139.0</v>
      </c>
      <c r="F26" s="6">
        <v>2170600.0</v>
      </c>
      <c r="G26" s="6">
        <v>131163.0</v>
      </c>
      <c r="H26" s="6">
        <v>15.6</v>
      </c>
      <c r="I26" s="6">
        <v>16.5489</v>
      </c>
      <c r="J26" s="6">
        <v>-0.9489</v>
      </c>
    </row>
    <row r="27">
      <c r="A27" s="5" t="s">
        <v>56</v>
      </c>
      <c r="B27" s="5" t="s">
        <v>163</v>
      </c>
      <c r="C27" s="5" t="s">
        <v>1882</v>
      </c>
      <c r="D27" s="6">
        <v>26.0</v>
      </c>
      <c r="E27" s="6">
        <v>1840507.0</v>
      </c>
      <c r="F27" s="6">
        <v>2152600.0</v>
      </c>
      <c r="G27" s="6">
        <v>131163.0</v>
      </c>
      <c r="H27" s="6">
        <v>14.0322</v>
      </c>
      <c r="I27" s="6">
        <v>16.4116</v>
      </c>
      <c r="J27" s="6">
        <v>-2.3794</v>
      </c>
    </row>
    <row r="28">
      <c r="A28" s="5" t="s">
        <v>56</v>
      </c>
      <c r="B28" s="5" t="s">
        <v>163</v>
      </c>
      <c r="C28" s="5" t="s">
        <v>1882</v>
      </c>
      <c r="D28" s="6">
        <v>27.0</v>
      </c>
      <c r="E28" s="6">
        <v>2900535.0</v>
      </c>
      <c r="F28" s="6">
        <v>2490000.0</v>
      </c>
      <c r="G28" s="6">
        <v>131163.0</v>
      </c>
      <c r="H28" s="6">
        <v>22.114</v>
      </c>
      <c r="I28" s="6">
        <v>18.984</v>
      </c>
      <c r="J28" s="6">
        <v>3.13</v>
      </c>
    </row>
    <row r="29">
      <c r="A29" s="5" t="s">
        <v>56</v>
      </c>
      <c r="B29" s="5" t="s">
        <v>163</v>
      </c>
      <c r="C29" s="5" t="s">
        <v>1882</v>
      </c>
      <c r="D29" s="6">
        <v>28.0</v>
      </c>
      <c r="E29" s="6">
        <v>1907891.0</v>
      </c>
      <c r="F29" s="6">
        <v>2125000.0</v>
      </c>
      <c r="G29" s="6">
        <v>131163.0</v>
      </c>
      <c r="H29" s="6">
        <v>14.546</v>
      </c>
      <c r="I29" s="6">
        <v>16.2012</v>
      </c>
      <c r="J29" s="6">
        <v>-1.6553</v>
      </c>
    </row>
    <row r="30">
      <c r="A30" s="5" t="s">
        <v>56</v>
      </c>
      <c r="B30" s="5" t="s">
        <v>163</v>
      </c>
      <c r="C30" s="5" t="s">
        <v>1882</v>
      </c>
      <c r="D30" s="6">
        <v>29.0</v>
      </c>
      <c r="E30" s="6">
        <v>1607416.0</v>
      </c>
      <c r="F30" s="6">
        <v>1964400.0</v>
      </c>
      <c r="G30" s="6">
        <v>131163.0</v>
      </c>
      <c r="H30" s="6">
        <v>12.2551</v>
      </c>
      <c r="I30" s="6">
        <v>14.9768</v>
      </c>
      <c r="J30" s="6">
        <v>-2.7217</v>
      </c>
    </row>
    <row r="31">
      <c r="A31" s="5" t="s">
        <v>56</v>
      </c>
      <c r="B31" s="5" t="s">
        <v>163</v>
      </c>
      <c r="C31" s="5" t="s">
        <v>1882</v>
      </c>
      <c r="D31" s="6">
        <v>30.0</v>
      </c>
      <c r="E31" s="6">
        <v>1765765.0</v>
      </c>
      <c r="F31" s="6">
        <v>1950900.0</v>
      </c>
      <c r="G31" s="6">
        <v>131163.0</v>
      </c>
      <c r="H31" s="6">
        <v>13.4624</v>
      </c>
      <c r="I31" s="6">
        <v>14.8739</v>
      </c>
      <c r="J31" s="6">
        <v>-1.4115</v>
      </c>
    </row>
    <row r="32">
      <c r="A32" s="5" t="s">
        <v>56</v>
      </c>
      <c r="B32" s="5" t="s">
        <v>163</v>
      </c>
      <c r="C32" s="5" t="s">
        <v>1882</v>
      </c>
      <c r="D32" s="6">
        <v>31.0</v>
      </c>
      <c r="E32" s="6">
        <v>2322250.0</v>
      </c>
      <c r="F32" s="6">
        <v>2135750.0</v>
      </c>
      <c r="G32" s="6">
        <v>131163.0</v>
      </c>
      <c r="H32" s="6">
        <v>17.7051</v>
      </c>
      <c r="I32" s="6">
        <v>16.2832</v>
      </c>
      <c r="J32" s="6">
        <v>1.4219</v>
      </c>
    </row>
    <row r="33">
      <c r="A33" s="5" t="s">
        <v>56</v>
      </c>
      <c r="B33" s="5" t="s">
        <v>163</v>
      </c>
      <c r="C33" s="5" t="s">
        <v>1882</v>
      </c>
      <c r="D33" s="6">
        <v>32.0</v>
      </c>
      <c r="E33" s="6">
        <v>1982361.0</v>
      </c>
      <c r="F33" s="6">
        <v>2090550.0</v>
      </c>
      <c r="G33" s="6">
        <v>131163.0</v>
      </c>
      <c r="H33" s="6">
        <v>15.1137</v>
      </c>
      <c r="I33" s="6">
        <v>15.9386</v>
      </c>
      <c r="J33" s="6">
        <v>-0.8248</v>
      </c>
    </row>
    <row r="34">
      <c r="A34" s="5" t="s">
        <v>56</v>
      </c>
      <c r="B34" s="5" t="s">
        <v>163</v>
      </c>
      <c r="C34" s="5" t="s">
        <v>1882</v>
      </c>
      <c r="D34" s="6">
        <v>33.0</v>
      </c>
      <c r="E34" s="6">
        <v>1843308.0</v>
      </c>
      <c r="F34" s="6">
        <v>2130400.0</v>
      </c>
      <c r="G34" s="6">
        <v>131163.0</v>
      </c>
      <c r="H34" s="6">
        <v>14.0536</v>
      </c>
      <c r="I34" s="6">
        <v>16.2424</v>
      </c>
      <c r="J34" s="6">
        <v>-2.1888</v>
      </c>
    </row>
    <row r="35">
      <c r="A35" s="5" t="s">
        <v>56</v>
      </c>
      <c r="B35" s="5" t="s">
        <v>163</v>
      </c>
      <c r="C35" s="5" t="s">
        <v>72</v>
      </c>
      <c r="D35" s="6">
        <v>1.0</v>
      </c>
      <c r="E35" s="6">
        <v>22388.0</v>
      </c>
      <c r="F35" s="6">
        <v>27359.0</v>
      </c>
      <c r="G35" s="6">
        <v>92464.0</v>
      </c>
      <c r="H35" s="6">
        <v>0.2421</v>
      </c>
      <c r="I35" s="6">
        <v>0.2959</v>
      </c>
      <c r="J35" s="6">
        <v>-0.0538</v>
      </c>
    </row>
    <row r="36">
      <c r="A36" s="5" t="s">
        <v>56</v>
      </c>
      <c r="B36" s="5" t="s">
        <v>163</v>
      </c>
      <c r="C36" s="5" t="s">
        <v>72</v>
      </c>
      <c r="D36" s="6">
        <v>2.0</v>
      </c>
      <c r="E36" s="6">
        <v>26937.0</v>
      </c>
      <c r="F36" s="6">
        <v>27018.0</v>
      </c>
      <c r="G36" s="6">
        <v>92464.0</v>
      </c>
      <c r="H36" s="6">
        <v>0.2913</v>
      </c>
      <c r="I36" s="6">
        <v>0.2922</v>
      </c>
      <c r="J36" s="6">
        <v>-9.0E-4</v>
      </c>
    </row>
    <row r="37">
      <c r="A37" s="5" t="s">
        <v>56</v>
      </c>
      <c r="B37" s="5" t="s">
        <v>163</v>
      </c>
      <c r="C37" s="5" t="s">
        <v>72</v>
      </c>
      <c r="D37" s="6">
        <v>3.0</v>
      </c>
      <c r="E37" s="6">
        <v>28274.0</v>
      </c>
      <c r="F37" s="6">
        <v>27927.0</v>
      </c>
      <c r="G37" s="6">
        <v>92464.0</v>
      </c>
      <c r="H37" s="6">
        <v>0.3058</v>
      </c>
      <c r="I37" s="6">
        <v>0.302</v>
      </c>
      <c r="J37" s="6">
        <v>0.0038</v>
      </c>
    </row>
    <row r="38">
      <c r="A38" s="5" t="s">
        <v>56</v>
      </c>
      <c r="B38" s="5" t="s">
        <v>163</v>
      </c>
      <c r="C38" s="5" t="s">
        <v>72</v>
      </c>
      <c r="D38" s="6">
        <v>4.0</v>
      </c>
      <c r="E38" s="6">
        <v>25313.0</v>
      </c>
      <c r="F38" s="6">
        <v>26794.0</v>
      </c>
      <c r="G38" s="6">
        <v>92464.0</v>
      </c>
      <c r="H38" s="6">
        <v>0.2738</v>
      </c>
      <c r="I38" s="6">
        <v>0.2898</v>
      </c>
      <c r="J38" s="6">
        <v>-0.016</v>
      </c>
    </row>
    <row r="39">
      <c r="A39" s="5" t="s">
        <v>56</v>
      </c>
      <c r="B39" s="5" t="s">
        <v>163</v>
      </c>
      <c r="C39" s="5" t="s">
        <v>72</v>
      </c>
      <c r="D39" s="6">
        <v>5.0</v>
      </c>
      <c r="E39" s="6">
        <v>20989.0</v>
      </c>
      <c r="F39" s="6">
        <v>26606.0</v>
      </c>
      <c r="G39" s="6">
        <v>92464.0</v>
      </c>
      <c r="H39" s="6">
        <v>0.227</v>
      </c>
      <c r="I39" s="6">
        <v>0.2877</v>
      </c>
      <c r="J39" s="6">
        <v>-0.0607</v>
      </c>
    </row>
    <row r="40">
      <c r="A40" s="5" t="s">
        <v>56</v>
      </c>
      <c r="B40" s="5" t="s">
        <v>163</v>
      </c>
      <c r="C40" s="5" t="s">
        <v>72</v>
      </c>
      <c r="D40" s="6">
        <v>6.0</v>
      </c>
      <c r="E40" s="6">
        <v>32616.0</v>
      </c>
      <c r="F40" s="6">
        <v>29851.0</v>
      </c>
      <c r="G40" s="6">
        <v>92464.0</v>
      </c>
      <c r="H40" s="6">
        <v>0.3527</v>
      </c>
      <c r="I40" s="6">
        <v>0.3228</v>
      </c>
      <c r="J40" s="6">
        <v>0.0299</v>
      </c>
    </row>
    <row r="41">
      <c r="A41" s="5" t="s">
        <v>56</v>
      </c>
      <c r="B41" s="5" t="s">
        <v>163</v>
      </c>
      <c r="C41" s="5" t="s">
        <v>72</v>
      </c>
      <c r="D41" s="6">
        <v>7.0</v>
      </c>
      <c r="E41" s="6">
        <v>28194.0</v>
      </c>
      <c r="F41" s="6">
        <v>28148.0</v>
      </c>
      <c r="G41" s="6">
        <v>92464.0</v>
      </c>
      <c r="H41" s="6">
        <v>0.3049</v>
      </c>
      <c r="I41" s="6">
        <v>0.3044</v>
      </c>
      <c r="J41" s="6">
        <v>5.0E-4</v>
      </c>
    </row>
    <row r="42">
      <c r="A42" s="5" t="s">
        <v>56</v>
      </c>
      <c r="B42" s="5" t="s">
        <v>163</v>
      </c>
      <c r="C42" s="5" t="s">
        <v>72</v>
      </c>
      <c r="D42" s="6">
        <v>8.0</v>
      </c>
      <c r="E42" s="6">
        <v>21011.0</v>
      </c>
      <c r="F42" s="6">
        <v>25825.0</v>
      </c>
      <c r="G42" s="6">
        <v>92464.0</v>
      </c>
      <c r="H42" s="6">
        <v>0.2272</v>
      </c>
      <c r="I42" s="6">
        <v>0.2793</v>
      </c>
      <c r="J42" s="6">
        <v>-0.0521</v>
      </c>
    </row>
    <row r="43">
      <c r="A43" s="5" t="s">
        <v>56</v>
      </c>
      <c r="B43" s="5" t="s">
        <v>163</v>
      </c>
      <c r="C43" s="5" t="s">
        <v>72</v>
      </c>
      <c r="D43" s="6">
        <v>9.0</v>
      </c>
      <c r="E43" s="6">
        <v>25099.0</v>
      </c>
      <c r="F43" s="6">
        <v>25116.0</v>
      </c>
      <c r="G43" s="6">
        <v>92464.0</v>
      </c>
      <c r="H43" s="6">
        <v>0.2714</v>
      </c>
      <c r="I43" s="6">
        <v>0.2716</v>
      </c>
      <c r="J43" s="6">
        <v>-2.0E-4</v>
      </c>
    </row>
    <row r="44">
      <c r="A44" s="5" t="s">
        <v>56</v>
      </c>
      <c r="B44" s="5" t="s">
        <v>163</v>
      </c>
      <c r="C44" s="5" t="s">
        <v>72</v>
      </c>
      <c r="D44" s="6">
        <v>10.0</v>
      </c>
      <c r="E44" s="6">
        <v>27877.0</v>
      </c>
      <c r="F44" s="6">
        <v>27954.0</v>
      </c>
      <c r="G44" s="6">
        <v>92464.0</v>
      </c>
      <c r="H44" s="6">
        <v>0.3015</v>
      </c>
      <c r="I44" s="6">
        <v>0.3023</v>
      </c>
      <c r="J44" s="6">
        <v>-8.0E-4</v>
      </c>
    </row>
    <row r="45">
      <c r="A45" s="5" t="s">
        <v>56</v>
      </c>
      <c r="B45" s="5" t="s">
        <v>163</v>
      </c>
      <c r="C45" s="5" t="s">
        <v>72</v>
      </c>
      <c r="D45" s="6">
        <v>11.0</v>
      </c>
      <c r="E45" s="6">
        <v>24020.0</v>
      </c>
      <c r="F45" s="6">
        <v>25618.0</v>
      </c>
      <c r="G45" s="6">
        <v>92464.0</v>
      </c>
      <c r="H45" s="6">
        <v>0.2598</v>
      </c>
      <c r="I45" s="6">
        <v>0.2771</v>
      </c>
      <c r="J45" s="6">
        <v>-0.0173</v>
      </c>
    </row>
    <row r="46">
      <c r="A46" s="5" t="s">
        <v>56</v>
      </c>
      <c r="B46" s="5" t="s">
        <v>163</v>
      </c>
      <c r="C46" s="5" t="s">
        <v>72</v>
      </c>
      <c r="D46" s="6">
        <v>12.0</v>
      </c>
      <c r="E46" s="6">
        <v>19783.0</v>
      </c>
      <c r="F46" s="6">
        <v>25944.0</v>
      </c>
      <c r="G46" s="6">
        <v>92464.0</v>
      </c>
      <c r="H46" s="6">
        <v>0.214</v>
      </c>
      <c r="I46" s="6">
        <v>0.2806</v>
      </c>
      <c r="J46" s="6">
        <v>-0.0666</v>
      </c>
    </row>
    <row r="47">
      <c r="A47" s="5" t="s">
        <v>56</v>
      </c>
      <c r="B47" s="5" t="s">
        <v>163</v>
      </c>
      <c r="C47" s="5" t="s">
        <v>72</v>
      </c>
      <c r="D47" s="6">
        <v>13.0</v>
      </c>
      <c r="E47" s="6">
        <v>31711.0</v>
      </c>
      <c r="F47" s="6">
        <v>28555.0</v>
      </c>
      <c r="G47" s="6">
        <v>92464.0</v>
      </c>
      <c r="H47" s="6">
        <v>0.343</v>
      </c>
      <c r="I47" s="6">
        <v>0.3088</v>
      </c>
      <c r="J47" s="6">
        <v>0.0341</v>
      </c>
    </row>
    <row r="48">
      <c r="A48" s="5" t="s">
        <v>56</v>
      </c>
      <c r="B48" s="5" t="s">
        <v>163</v>
      </c>
      <c r="C48" s="5" t="s">
        <v>72</v>
      </c>
      <c r="D48" s="6">
        <v>14.0</v>
      </c>
      <c r="E48" s="6">
        <v>27091.0</v>
      </c>
      <c r="F48" s="6">
        <v>27159.0</v>
      </c>
      <c r="G48" s="6">
        <v>92464.0</v>
      </c>
      <c r="H48" s="6">
        <v>0.293</v>
      </c>
      <c r="I48" s="6">
        <v>0.2937</v>
      </c>
      <c r="J48" s="6">
        <v>-7.0E-4</v>
      </c>
    </row>
    <row r="49">
      <c r="A49" s="5" t="s">
        <v>56</v>
      </c>
      <c r="B49" s="5" t="s">
        <v>163</v>
      </c>
      <c r="C49" s="5" t="s">
        <v>72</v>
      </c>
      <c r="D49" s="6">
        <v>15.0</v>
      </c>
      <c r="E49" s="6">
        <v>20615.0</v>
      </c>
      <c r="F49" s="6">
        <v>25855.0</v>
      </c>
      <c r="G49" s="6">
        <v>92464.0</v>
      </c>
      <c r="H49" s="6">
        <v>0.223</v>
      </c>
      <c r="I49" s="6">
        <v>0.2796</v>
      </c>
      <c r="J49" s="6">
        <v>-0.0567</v>
      </c>
    </row>
    <row r="50">
      <c r="A50" s="5" t="s">
        <v>56</v>
      </c>
      <c r="B50" s="5" t="s">
        <v>163</v>
      </c>
      <c r="C50" s="5" t="s">
        <v>72</v>
      </c>
      <c r="D50" s="6">
        <v>16.0</v>
      </c>
      <c r="E50" s="6">
        <v>24534.0</v>
      </c>
      <c r="F50" s="6">
        <v>24909.0</v>
      </c>
      <c r="G50" s="6">
        <v>92464.0</v>
      </c>
      <c r="H50" s="6">
        <v>0.2653</v>
      </c>
      <c r="I50" s="6">
        <v>0.2694</v>
      </c>
      <c r="J50" s="6">
        <v>-0.0041</v>
      </c>
    </row>
    <row r="51">
      <c r="A51" s="5" t="s">
        <v>56</v>
      </c>
      <c r="B51" s="5" t="s">
        <v>163</v>
      </c>
      <c r="C51" s="5" t="s">
        <v>72</v>
      </c>
      <c r="D51" s="6">
        <v>17.0</v>
      </c>
      <c r="E51" s="6">
        <v>26321.0</v>
      </c>
      <c r="F51" s="6">
        <v>26374.0</v>
      </c>
      <c r="G51" s="6">
        <v>92464.0</v>
      </c>
      <c r="H51" s="6">
        <v>0.2847</v>
      </c>
      <c r="I51" s="6">
        <v>0.2852</v>
      </c>
      <c r="J51" s="6">
        <v>-6.0E-4</v>
      </c>
    </row>
    <row r="52">
      <c r="A52" s="5" t="s">
        <v>56</v>
      </c>
      <c r="B52" s="5" t="s">
        <v>163</v>
      </c>
      <c r="C52" s="5" t="s">
        <v>72</v>
      </c>
      <c r="D52" s="6">
        <v>18.0</v>
      </c>
      <c r="E52" s="6">
        <v>23477.0</v>
      </c>
      <c r="F52" s="6">
        <v>25269.0</v>
      </c>
      <c r="G52" s="6">
        <v>92464.0</v>
      </c>
      <c r="H52" s="6">
        <v>0.2539</v>
      </c>
      <c r="I52" s="6">
        <v>0.2733</v>
      </c>
      <c r="J52" s="6">
        <v>-0.0194</v>
      </c>
    </row>
    <row r="53">
      <c r="A53" s="5" t="s">
        <v>56</v>
      </c>
      <c r="B53" s="5" t="s">
        <v>163</v>
      </c>
      <c r="C53" s="5" t="s">
        <v>72</v>
      </c>
      <c r="D53" s="6">
        <v>19.0</v>
      </c>
      <c r="E53" s="6">
        <v>19348.0</v>
      </c>
      <c r="F53" s="6">
        <v>25278.0</v>
      </c>
      <c r="G53" s="6">
        <v>92464.0</v>
      </c>
      <c r="H53" s="6">
        <v>0.2092</v>
      </c>
      <c r="I53" s="6">
        <v>0.2734</v>
      </c>
      <c r="J53" s="6">
        <v>-0.0641</v>
      </c>
    </row>
    <row r="54">
      <c r="A54" s="5" t="s">
        <v>56</v>
      </c>
      <c r="B54" s="5" t="s">
        <v>163</v>
      </c>
      <c r="C54" s="5" t="s">
        <v>72</v>
      </c>
      <c r="D54" s="6">
        <v>20.0</v>
      </c>
      <c r="E54" s="6">
        <v>30689.0</v>
      </c>
      <c r="F54" s="6">
        <v>27760.0</v>
      </c>
      <c r="G54" s="6">
        <v>92464.0</v>
      </c>
      <c r="H54" s="6">
        <v>0.3319</v>
      </c>
      <c r="I54" s="6">
        <v>0.3002</v>
      </c>
      <c r="J54" s="6">
        <v>0.0317</v>
      </c>
    </row>
    <row r="55">
      <c r="A55" s="5" t="s">
        <v>56</v>
      </c>
      <c r="B55" s="5" t="s">
        <v>163</v>
      </c>
      <c r="C55" s="5" t="s">
        <v>72</v>
      </c>
      <c r="D55" s="6">
        <v>21.0</v>
      </c>
      <c r="E55" s="6">
        <v>32015.0</v>
      </c>
      <c r="F55" s="6">
        <v>29926.0</v>
      </c>
      <c r="G55" s="6">
        <v>92464.0</v>
      </c>
      <c r="H55" s="6">
        <v>0.3462</v>
      </c>
      <c r="I55" s="6">
        <v>0.3237</v>
      </c>
      <c r="J55" s="6">
        <v>0.0226</v>
      </c>
    </row>
    <row r="56">
      <c r="A56" s="5" t="s">
        <v>56</v>
      </c>
      <c r="B56" s="5" t="s">
        <v>163</v>
      </c>
      <c r="C56" s="5" t="s">
        <v>72</v>
      </c>
      <c r="D56" s="6">
        <v>22.0</v>
      </c>
      <c r="E56" s="6">
        <v>21789.0</v>
      </c>
      <c r="F56" s="6">
        <v>26732.0</v>
      </c>
      <c r="G56" s="6">
        <v>92464.0</v>
      </c>
      <c r="H56" s="6">
        <v>0.2356</v>
      </c>
      <c r="I56" s="6">
        <v>0.2891</v>
      </c>
      <c r="J56" s="6">
        <v>-0.0535</v>
      </c>
    </row>
    <row r="57">
      <c r="A57" s="5" t="s">
        <v>56</v>
      </c>
      <c r="B57" s="5" t="s">
        <v>163</v>
      </c>
      <c r="C57" s="5" t="s">
        <v>72</v>
      </c>
      <c r="D57" s="6">
        <v>23.0</v>
      </c>
      <c r="E57" s="6">
        <v>22458.0</v>
      </c>
      <c r="F57" s="6">
        <v>24353.0</v>
      </c>
      <c r="G57" s="6">
        <v>92464.0</v>
      </c>
      <c r="H57" s="6">
        <v>0.2429</v>
      </c>
      <c r="I57" s="6">
        <v>0.2634</v>
      </c>
      <c r="J57" s="6">
        <v>-0.0205</v>
      </c>
    </row>
    <row r="58">
      <c r="A58" s="5" t="s">
        <v>56</v>
      </c>
      <c r="B58" s="5" t="s">
        <v>163</v>
      </c>
      <c r="C58" s="5" t="s">
        <v>72</v>
      </c>
      <c r="D58" s="6">
        <v>24.0</v>
      </c>
      <c r="E58" s="6">
        <v>26732.0</v>
      </c>
      <c r="F58" s="6">
        <v>26912.0</v>
      </c>
      <c r="G58" s="6">
        <v>92464.0</v>
      </c>
      <c r="H58" s="6">
        <v>0.2891</v>
      </c>
      <c r="I58" s="6">
        <v>0.2911</v>
      </c>
      <c r="J58" s="6">
        <v>-0.0019</v>
      </c>
    </row>
    <row r="59">
      <c r="A59" s="5" t="s">
        <v>56</v>
      </c>
      <c r="B59" s="5" t="s">
        <v>163</v>
      </c>
      <c r="C59" s="5" t="s">
        <v>72</v>
      </c>
      <c r="D59" s="6">
        <v>25.0</v>
      </c>
      <c r="E59" s="6">
        <v>23360.0</v>
      </c>
      <c r="F59" s="6">
        <v>25290.0</v>
      </c>
      <c r="G59" s="6">
        <v>92464.0</v>
      </c>
      <c r="H59" s="6">
        <v>0.2526</v>
      </c>
      <c r="I59" s="6">
        <v>0.2735</v>
      </c>
      <c r="J59" s="6">
        <v>-0.0209</v>
      </c>
    </row>
    <row r="60">
      <c r="A60" s="5" t="s">
        <v>56</v>
      </c>
      <c r="B60" s="5" t="s">
        <v>163</v>
      </c>
      <c r="C60" s="5" t="s">
        <v>72</v>
      </c>
      <c r="D60" s="6">
        <v>26.0</v>
      </c>
      <c r="E60" s="6">
        <v>19133.0</v>
      </c>
      <c r="F60" s="6">
        <v>24653.0</v>
      </c>
      <c r="G60" s="6">
        <v>92464.0</v>
      </c>
      <c r="H60" s="6">
        <v>0.2069</v>
      </c>
      <c r="I60" s="6">
        <v>0.2666</v>
      </c>
      <c r="J60" s="6">
        <v>-0.0597</v>
      </c>
    </row>
    <row r="61">
      <c r="A61" s="5" t="s">
        <v>56</v>
      </c>
      <c r="B61" s="5" t="s">
        <v>163</v>
      </c>
      <c r="C61" s="5" t="s">
        <v>72</v>
      </c>
      <c r="D61" s="6">
        <v>27.0</v>
      </c>
      <c r="E61" s="6">
        <v>30402.0</v>
      </c>
      <c r="F61" s="6">
        <v>27289.0</v>
      </c>
      <c r="G61" s="6">
        <v>92464.0</v>
      </c>
      <c r="H61" s="6">
        <v>0.3288</v>
      </c>
      <c r="I61" s="6">
        <v>0.2951</v>
      </c>
      <c r="J61" s="6">
        <v>0.0337</v>
      </c>
    </row>
    <row r="62">
      <c r="A62" s="5" t="s">
        <v>56</v>
      </c>
      <c r="B62" s="5" t="s">
        <v>163</v>
      </c>
      <c r="C62" s="5" t="s">
        <v>72</v>
      </c>
      <c r="D62" s="6">
        <v>28.0</v>
      </c>
      <c r="E62" s="6">
        <v>24969.0</v>
      </c>
      <c r="F62" s="6">
        <v>25244.0</v>
      </c>
      <c r="G62" s="6">
        <v>92464.0</v>
      </c>
      <c r="H62" s="6">
        <v>0.27</v>
      </c>
      <c r="I62" s="6">
        <v>0.273</v>
      </c>
      <c r="J62" s="6">
        <v>-0.003</v>
      </c>
    </row>
    <row r="63">
      <c r="A63" s="5" t="s">
        <v>56</v>
      </c>
      <c r="B63" s="5" t="s">
        <v>163</v>
      </c>
      <c r="C63" s="5" t="s">
        <v>72</v>
      </c>
      <c r="D63" s="6">
        <v>29.0</v>
      </c>
      <c r="E63" s="6">
        <v>18795.0</v>
      </c>
      <c r="F63" s="6">
        <v>23881.0</v>
      </c>
      <c r="G63" s="6">
        <v>92464.0</v>
      </c>
      <c r="H63" s="6">
        <v>0.2033</v>
      </c>
      <c r="I63" s="6">
        <v>0.2583</v>
      </c>
      <c r="J63" s="6">
        <v>-0.055</v>
      </c>
    </row>
    <row r="64">
      <c r="A64" s="5" t="s">
        <v>56</v>
      </c>
      <c r="B64" s="5" t="s">
        <v>163</v>
      </c>
      <c r="C64" s="5" t="s">
        <v>72</v>
      </c>
      <c r="D64" s="6">
        <v>30.0</v>
      </c>
      <c r="E64" s="6">
        <v>23840.0</v>
      </c>
      <c r="F64" s="6">
        <v>24175.0</v>
      </c>
      <c r="G64" s="6">
        <v>92464.0</v>
      </c>
      <c r="H64" s="6">
        <v>0.2578</v>
      </c>
      <c r="I64" s="6">
        <v>0.2615</v>
      </c>
      <c r="J64" s="6">
        <v>-0.0036</v>
      </c>
    </row>
    <row r="65">
      <c r="A65" s="5" t="s">
        <v>56</v>
      </c>
      <c r="B65" s="5" t="s">
        <v>163</v>
      </c>
      <c r="C65" s="5" t="s">
        <v>72</v>
      </c>
      <c r="D65" s="6">
        <v>31.0</v>
      </c>
      <c r="E65" s="6">
        <v>25739.0</v>
      </c>
      <c r="F65" s="6">
        <v>26330.0</v>
      </c>
      <c r="G65" s="6">
        <v>92464.0</v>
      </c>
      <c r="H65" s="6">
        <v>0.2784</v>
      </c>
      <c r="I65" s="6">
        <v>0.2848</v>
      </c>
      <c r="J65" s="6">
        <v>-0.0064</v>
      </c>
    </row>
    <row r="66">
      <c r="A66" s="5" t="s">
        <v>56</v>
      </c>
      <c r="B66" s="5" t="s">
        <v>163</v>
      </c>
      <c r="C66" s="5" t="s">
        <v>72</v>
      </c>
      <c r="D66" s="6">
        <v>32.0</v>
      </c>
      <c r="E66" s="6">
        <v>22803.0</v>
      </c>
      <c r="F66" s="6">
        <v>25196.0</v>
      </c>
      <c r="G66" s="6">
        <v>92464.0</v>
      </c>
      <c r="H66" s="6">
        <v>0.2466</v>
      </c>
      <c r="I66" s="6">
        <v>0.2725</v>
      </c>
      <c r="J66" s="6">
        <v>-0.0259</v>
      </c>
    </row>
    <row r="67">
      <c r="A67" s="5" t="s">
        <v>56</v>
      </c>
      <c r="B67" s="5" t="s">
        <v>163</v>
      </c>
      <c r="C67" s="5" t="s">
        <v>72</v>
      </c>
      <c r="D67" s="6">
        <v>33.0</v>
      </c>
      <c r="E67" s="6">
        <v>19313.0</v>
      </c>
      <c r="F67" s="6">
        <v>25209.0</v>
      </c>
      <c r="G67" s="6">
        <v>92464.0</v>
      </c>
      <c r="H67" s="6">
        <v>0.2089</v>
      </c>
      <c r="I67" s="6">
        <v>0.2726</v>
      </c>
      <c r="J67" s="6">
        <v>-0.0638</v>
      </c>
    </row>
    <row r="68">
      <c r="A68" s="5" t="s">
        <v>56</v>
      </c>
      <c r="B68" s="5" t="s">
        <v>163</v>
      </c>
      <c r="C68" s="5" t="s">
        <v>73</v>
      </c>
      <c r="D68" s="6">
        <v>1.0</v>
      </c>
      <c r="E68" s="6">
        <v>18871.0</v>
      </c>
      <c r="F68" s="6">
        <v>23629.0</v>
      </c>
      <c r="G68" s="6">
        <v>90105.0</v>
      </c>
      <c r="H68" s="6">
        <v>0.2094</v>
      </c>
      <c r="I68" s="6">
        <v>0.2622</v>
      </c>
      <c r="J68" s="6">
        <v>-0.0528</v>
      </c>
    </row>
    <row r="69">
      <c r="A69" s="5" t="s">
        <v>56</v>
      </c>
      <c r="B69" s="5" t="s">
        <v>163</v>
      </c>
      <c r="C69" s="5" t="s">
        <v>73</v>
      </c>
      <c r="D69" s="6">
        <v>2.0</v>
      </c>
      <c r="E69" s="6">
        <v>22066.0</v>
      </c>
      <c r="F69" s="6">
        <v>22914.0</v>
      </c>
      <c r="G69" s="6">
        <v>90105.0</v>
      </c>
      <c r="H69" s="6">
        <v>0.2449</v>
      </c>
      <c r="I69" s="6">
        <v>0.2543</v>
      </c>
      <c r="J69" s="6">
        <v>-0.0094</v>
      </c>
    </row>
    <row r="70">
      <c r="A70" s="5" t="s">
        <v>56</v>
      </c>
      <c r="B70" s="5" t="s">
        <v>163</v>
      </c>
      <c r="C70" s="5" t="s">
        <v>73</v>
      </c>
      <c r="D70" s="6">
        <v>3.0</v>
      </c>
      <c r="E70" s="6">
        <v>22909.0</v>
      </c>
      <c r="F70" s="6">
        <v>23135.0</v>
      </c>
      <c r="G70" s="6">
        <v>90105.0</v>
      </c>
      <c r="H70" s="6">
        <v>0.2542</v>
      </c>
      <c r="I70" s="6">
        <v>0.2568</v>
      </c>
      <c r="J70" s="6">
        <v>-0.0025</v>
      </c>
    </row>
    <row r="71">
      <c r="A71" s="5" t="s">
        <v>56</v>
      </c>
      <c r="B71" s="5" t="s">
        <v>163</v>
      </c>
      <c r="C71" s="5" t="s">
        <v>73</v>
      </c>
      <c r="D71" s="6">
        <v>4.0</v>
      </c>
      <c r="E71" s="6">
        <v>20939.0</v>
      </c>
      <c r="F71" s="6">
        <v>22597.0</v>
      </c>
      <c r="G71" s="6">
        <v>90105.0</v>
      </c>
      <c r="H71" s="6">
        <v>0.2324</v>
      </c>
      <c r="I71" s="6">
        <v>0.2508</v>
      </c>
      <c r="J71" s="6">
        <v>-0.0184</v>
      </c>
    </row>
    <row r="72">
      <c r="A72" s="5" t="s">
        <v>56</v>
      </c>
      <c r="B72" s="5" t="s">
        <v>163</v>
      </c>
      <c r="C72" s="5" t="s">
        <v>73</v>
      </c>
      <c r="D72" s="6">
        <v>5.0</v>
      </c>
      <c r="E72" s="6">
        <v>18743.0</v>
      </c>
      <c r="F72" s="6">
        <v>22950.0</v>
      </c>
      <c r="G72" s="6">
        <v>90105.0</v>
      </c>
      <c r="H72" s="6">
        <v>0.208</v>
      </c>
      <c r="I72" s="6">
        <v>0.2547</v>
      </c>
      <c r="J72" s="6">
        <v>-0.0467</v>
      </c>
    </row>
    <row r="73">
      <c r="A73" s="5" t="s">
        <v>56</v>
      </c>
      <c r="B73" s="5" t="s">
        <v>163</v>
      </c>
      <c r="C73" s="5" t="s">
        <v>73</v>
      </c>
      <c r="D73" s="6">
        <v>6.0</v>
      </c>
      <c r="E73" s="6">
        <v>29865.0</v>
      </c>
      <c r="F73" s="6">
        <v>25796.0</v>
      </c>
      <c r="G73" s="6">
        <v>90105.0</v>
      </c>
      <c r="H73" s="6">
        <v>0.3314</v>
      </c>
      <c r="I73" s="6">
        <v>0.2863</v>
      </c>
      <c r="J73" s="6">
        <v>0.0452</v>
      </c>
    </row>
    <row r="74">
      <c r="A74" s="5" t="s">
        <v>56</v>
      </c>
      <c r="B74" s="5" t="s">
        <v>163</v>
      </c>
      <c r="C74" s="5" t="s">
        <v>73</v>
      </c>
      <c r="D74" s="6">
        <v>7.0</v>
      </c>
      <c r="E74" s="6">
        <v>22390.0</v>
      </c>
      <c r="F74" s="6">
        <v>23746.0</v>
      </c>
      <c r="G74" s="6">
        <v>90105.0</v>
      </c>
      <c r="H74" s="6">
        <v>0.2485</v>
      </c>
      <c r="I74" s="6">
        <v>0.2635</v>
      </c>
      <c r="J74" s="6">
        <v>-0.015</v>
      </c>
    </row>
    <row r="75">
      <c r="A75" s="5" t="s">
        <v>56</v>
      </c>
      <c r="B75" s="5" t="s">
        <v>163</v>
      </c>
      <c r="C75" s="5" t="s">
        <v>73</v>
      </c>
      <c r="D75" s="6">
        <v>8.0</v>
      </c>
      <c r="E75" s="6">
        <v>17976.0</v>
      </c>
      <c r="F75" s="6">
        <v>22344.0</v>
      </c>
      <c r="G75" s="6">
        <v>90105.0</v>
      </c>
      <c r="H75" s="6">
        <v>0.1995</v>
      </c>
      <c r="I75" s="6">
        <v>0.248</v>
      </c>
      <c r="J75" s="6">
        <v>-0.0485</v>
      </c>
    </row>
    <row r="76">
      <c r="A76" s="5" t="s">
        <v>56</v>
      </c>
      <c r="B76" s="5" t="s">
        <v>163</v>
      </c>
      <c r="C76" s="5" t="s">
        <v>73</v>
      </c>
      <c r="D76" s="6">
        <v>9.0</v>
      </c>
      <c r="E76" s="6">
        <v>19002.0</v>
      </c>
      <c r="F76" s="6">
        <v>20960.0</v>
      </c>
      <c r="G76" s="6">
        <v>90105.0</v>
      </c>
      <c r="H76" s="6">
        <v>0.2109</v>
      </c>
      <c r="I76" s="6">
        <v>0.2326</v>
      </c>
      <c r="J76" s="6">
        <v>-0.0217</v>
      </c>
    </row>
    <row r="77">
      <c r="A77" s="5" t="s">
        <v>56</v>
      </c>
      <c r="B77" s="5" t="s">
        <v>163</v>
      </c>
      <c r="C77" s="5" t="s">
        <v>73</v>
      </c>
      <c r="D77" s="6">
        <v>10.0</v>
      </c>
      <c r="E77" s="6">
        <v>21054.0</v>
      </c>
      <c r="F77" s="6">
        <v>22194.0</v>
      </c>
      <c r="G77" s="6">
        <v>90105.0</v>
      </c>
      <c r="H77" s="6">
        <v>0.2337</v>
      </c>
      <c r="I77" s="6">
        <v>0.2463</v>
      </c>
      <c r="J77" s="6">
        <v>-0.0127</v>
      </c>
    </row>
    <row r="78">
      <c r="A78" s="5" t="s">
        <v>56</v>
      </c>
      <c r="B78" s="5" t="s">
        <v>163</v>
      </c>
      <c r="C78" s="5" t="s">
        <v>73</v>
      </c>
      <c r="D78" s="6">
        <v>11.0</v>
      </c>
      <c r="E78" s="6">
        <v>17782.0</v>
      </c>
      <c r="F78" s="6">
        <v>20783.0</v>
      </c>
      <c r="G78" s="6">
        <v>90105.0</v>
      </c>
      <c r="H78" s="6">
        <v>0.1973</v>
      </c>
      <c r="I78" s="6">
        <v>0.2307</v>
      </c>
      <c r="J78" s="6">
        <v>-0.0333</v>
      </c>
    </row>
    <row r="79">
      <c r="A79" s="5" t="s">
        <v>56</v>
      </c>
      <c r="B79" s="5" t="s">
        <v>163</v>
      </c>
      <c r="C79" s="5" t="s">
        <v>73</v>
      </c>
      <c r="D79" s="6">
        <v>12.0</v>
      </c>
      <c r="E79" s="6">
        <v>16555.0</v>
      </c>
      <c r="F79" s="6">
        <v>20974.0</v>
      </c>
      <c r="G79" s="6">
        <v>90105.0</v>
      </c>
      <c r="H79" s="6">
        <v>0.1837</v>
      </c>
      <c r="I79" s="6">
        <v>0.2328</v>
      </c>
      <c r="J79" s="6">
        <v>-0.049</v>
      </c>
    </row>
    <row r="80">
      <c r="A80" s="5" t="s">
        <v>56</v>
      </c>
      <c r="B80" s="5" t="s">
        <v>163</v>
      </c>
      <c r="C80" s="5" t="s">
        <v>73</v>
      </c>
      <c r="D80" s="6">
        <v>13.0</v>
      </c>
      <c r="E80" s="6">
        <v>27569.0</v>
      </c>
      <c r="F80" s="6">
        <v>23448.0</v>
      </c>
      <c r="G80" s="6">
        <v>90105.0</v>
      </c>
      <c r="H80" s="6">
        <v>0.306</v>
      </c>
      <c r="I80" s="6">
        <v>0.2602</v>
      </c>
      <c r="J80" s="6">
        <v>0.0457</v>
      </c>
    </row>
    <row r="81">
      <c r="A81" s="5" t="s">
        <v>56</v>
      </c>
      <c r="B81" s="5" t="s">
        <v>163</v>
      </c>
      <c r="C81" s="5" t="s">
        <v>73</v>
      </c>
      <c r="D81" s="6">
        <v>14.0</v>
      </c>
      <c r="E81" s="6">
        <v>20396.0</v>
      </c>
      <c r="F81" s="6">
        <v>21760.0</v>
      </c>
      <c r="G81" s="6">
        <v>90105.0</v>
      </c>
      <c r="H81" s="6">
        <v>0.2264</v>
      </c>
      <c r="I81" s="6">
        <v>0.2415</v>
      </c>
      <c r="J81" s="6">
        <v>-0.0151</v>
      </c>
    </row>
    <row r="82">
      <c r="A82" s="5" t="s">
        <v>56</v>
      </c>
      <c r="B82" s="5" t="s">
        <v>163</v>
      </c>
      <c r="C82" s="5" t="s">
        <v>73</v>
      </c>
      <c r="D82" s="6">
        <v>15.0</v>
      </c>
      <c r="E82" s="6">
        <v>16926.0</v>
      </c>
      <c r="F82" s="6">
        <v>21074.0</v>
      </c>
      <c r="G82" s="6">
        <v>90105.0</v>
      </c>
      <c r="H82" s="6">
        <v>0.1878</v>
      </c>
      <c r="I82" s="6">
        <v>0.2339</v>
      </c>
      <c r="J82" s="6">
        <v>-0.046</v>
      </c>
    </row>
    <row r="83">
      <c r="A83" s="5" t="s">
        <v>56</v>
      </c>
      <c r="B83" s="5" t="s">
        <v>163</v>
      </c>
      <c r="C83" s="5" t="s">
        <v>73</v>
      </c>
      <c r="D83" s="6">
        <v>16.0</v>
      </c>
      <c r="E83" s="6">
        <v>20003.0</v>
      </c>
      <c r="F83" s="6">
        <v>20138.0</v>
      </c>
      <c r="G83" s="6">
        <v>90105.0</v>
      </c>
      <c r="H83" s="6">
        <v>0.222</v>
      </c>
      <c r="I83" s="6">
        <v>0.2235</v>
      </c>
      <c r="J83" s="6">
        <v>-0.0015</v>
      </c>
    </row>
    <row r="84">
      <c r="A84" s="5" t="s">
        <v>56</v>
      </c>
      <c r="B84" s="5" t="s">
        <v>163</v>
      </c>
      <c r="C84" s="5" t="s">
        <v>73</v>
      </c>
      <c r="D84" s="6">
        <v>17.0</v>
      </c>
      <c r="E84" s="6">
        <v>22385.0</v>
      </c>
      <c r="F84" s="6">
        <v>21556.0</v>
      </c>
      <c r="G84" s="6">
        <v>90105.0</v>
      </c>
      <c r="H84" s="6">
        <v>0.2484</v>
      </c>
      <c r="I84" s="6">
        <v>0.2392</v>
      </c>
      <c r="J84" s="6">
        <v>0.0092</v>
      </c>
    </row>
    <row r="85">
      <c r="A85" s="5" t="s">
        <v>56</v>
      </c>
      <c r="B85" s="5" t="s">
        <v>163</v>
      </c>
      <c r="C85" s="5" t="s">
        <v>73</v>
      </c>
      <c r="D85" s="6">
        <v>18.0</v>
      </c>
      <c r="E85" s="6">
        <v>18588.0</v>
      </c>
      <c r="F85" s="6">
        <v>20196.0</v>
      </c>
      <c r="G85" s="6">
        <v>90105.0</v>
      </c>
      <c r="H85" s="6">
        <v>0.2063</v>
      </c>
      <c r="I85" s="6">
        <v>0.2241</v>
      </c>
      <c r="J85" s="6">
        <v>-0.0178</v>
      </c>
    </row>
    <row r="86">
      <c r="A86" s="5" t="s">
        <v>56</v>
      </c>
      <c r="B86" s="5" t="s">
        <v>163</v>
      </c>
      <c r="C86" s="5" t="s">
        <v>73</v>
      </c>
      <c r="D86" s="6">
        <v>19.0</v>
      </c>
      <c r="E86" s="6">
        <v>16688.0</v>
      </c>
      <c r="F86" s="6">
        <v>20831.0</v>
      </c>
      <c r="G86" s="6">
        <v>90105.0</v>
      </c>
      <c r="H86" s="6">
        <v>0.1852</v>
      </c>
      <c r="I86" s="6">
        <v>0.2312</v>
      </c>
      <c r="J86" s="6">
        <v>-0.046</v>
      </c>
    </row>
    <row r="87">
      <c r="A87" s="5" t="s">
        <v>56</v>
      </c>
      <c r="B87" s="5" t="s">
        <v>163</v>
      </c>
      <c r="C87" s="5" t="s">
        <v>73</v>
      </c>
      <c r="D87" s="6">
        <v>20.0</v>
      </c>
      <c r="E87" s="6">
        <v>27700.0</v>
      </c>
      <c r="F87" s="6">
        <v>23103.0</v>
      </c>
      <c r="G87" s="6">
        <v>90105.0</v>
      </c>
      <c r="H87" s="6">
        <v>0.3074</v>
      </c>
      <c r="I87" s="6">
        <v>0.2564</v>
      </c>
      <c r="J87" s="6">
        <v>0.051</v>
      </c>
    </row>
    <row r="88">
      <c r="A88" s="5" t="s">
        <v>56</v>
      </c>
      <c r="B88" s="5" t="s">
        <v>163</v>
      </c>
      <c r="C88" s="5" t="s">
        <v>73</v>
      </c>
      <c r="D88" s="6">
        <v>21.0</v>
      </c>
      <c r="E88" s="6">
        <v>33653.0</v>
      </c>
      <c r="F88" s="6">
        <v>25507.0</v>
      </c>
      <c r="G88" s="6">
        <v>90105.0</v>
      </c>
      <c r="H88" s="6">
        <v>0.3735</v>
      </c>
      <c r="I88" s="6">
        <v>0.2831</v>
      </c>
      <c r="J88" s="6">
        <v>0.0904</v>
      </c>
    </row>
    <row r="89">
      <c r="A89" s="5" t="s">
        <v>56</v>
      </c>
      <c r="B89" s="5" t="s">
        <v>163</v>
      </c>
      <c r="C89" s="5" t="s">
        <v>73</v>
      </c>
      <c r="D89" s="6">
        <v>22.0</v>
      </c>
      <c r="E89" s="6">
        <v>20850.0</v>
      </c>
      <c r="F89" s="6">
        <v>22580.0</v>
      </c>
      <c r="G89" s="6">
        <v>90105.0</v>
      </c>
      <c r="H89" s="6">
        <v>0.2314</v>
      </c>
      <c r="I89" s="6">
        <v>0.2506</v>
      </c>
      <c r="J89" s="6">
        <v>-0.0192</v>
      </c>
    </row>
    <row r="90">
      <c r="A90" s="5" t="s">
        <v>56</v>
      </c>
      <c r="B90" s="5" t="s">
        <v>163</v>
      </c>
      <c r="C90" s="5" t="s">
        <v>73</v>
      </c>
      <c r="D90" s="6">
        <v>23.0</v>
      </c>
      <c r="E90" s="6">
        <v>17821.0</v>
      </c>
      <c r="F90" s="6">
        <v>19963.0</v>
      </c>
      <c r="G90" s="6">
        <v>90105.0</v>
      </c>
      <c r="H90" s="6">
        <v>0.1978</v>
      </c>
      <c r="I90" s="6">
        <v>0.2216</v>
      </c>
      <c r="J90" s="6">
        <v>-0.0238</v>
      </c>
    </row>
    <row r="91">
      <c r="A91" s="5" t="s">
        <v>56</v>
      </c>
      <c r="B91" s="5" t="s">
        <v>163</v>
      </c>
      <c r="C91" s="5" t="s">
        <v>73</v>
      </c>
      <c r="D91" s="6">
        <v>24.0</v>
      </c>
      <c r="E91" s="6">
        <v>20082.0</v>
      </c>
      <c r="F91" s="6">
        <v>21931.0</v>
      </c>
      <c r="G91" s="6">
        <v>90105.0</v>
      </c>
      <c r="H91" s="6">
        <v>0.2229</v>
      </c>
      <c r="I91" s="6">
        <v>0.2434</v>
      </c>
      <c r="J91" s="6">
        <v>-0.0205</v>
      </c>
    </row>
    <row r="92">
      <c r="A92" s="5" t="s">
        <v>56</v>
      </c>
      <c r="B92" s="5" t="s">
        <v>163</v>
      </c>
      <c r="C92" s="5" t="s">
        <v>73</v>
      </c>
      <c r="D92" s="6">
        <v>25.0</v>
      </c>
      <c r="E92" s="6">
        <v>17124.0</v>
      </c>
      <c r="F92" s="6">
        <v>20111.0</v>
      </c>
      <c r="G92" s="6">
        <v>90105.0</v>
      </c>
      <c r="H92" s="6">
        <v>0.19</v>
      </c>
      <c r="I92" s="6">
        <v>0.2232</v>
      </c>
      <c r="J92" s="6">
        <v>-0.0332</v>
      </c>
    </row>
    <row r="93">
      <c r="A93" s="5" t="s">
        <v>56</v>
      </c>
      <c r="B93" s="5" t="s">
        <v>163</v>
      </c>
      <c r="C93" s="5" t="s">
        <v>73</v>
      </c>
      <c r="D93" s="6">
        <v>26.0</v>
      </c>
      <c r="E93" s="6">
        <v>15827.0</v>
      </c>
      <c r="F93" s="6">
        <v>20262.0</v>
      </c>
      <c r="G93" s="6">
        <v>90105.0</v>
      </c>
      <c r="H93" s="6">
        <v>0.1757</v>
      </c>
      <c r="I93" s="6">
        <v>0.2249</v>
      </c>
      <c r="J93" s="6">
        <v>-0.0492</v>
      </c>
    </row>
    <row r="94">
      <c r="A94" s="5" t="s">
        <v>56</v>
      </c>
      <c r="B94" s="5" t="s">
        <v>163</v>
      </c>
      <c r="C94" s="5" t="s">
        <v>73</v>
      </c>
      <c r="D94" s="6">
        <v>27.0</v>
      </c>
      <c r="E94" s="6">
        <v>27275.0</v>
      </c>
      <c r="F94" s="6">
        <v>22911.0</v>
      </c>
      <c r="G94" s="6">
        <v>90105.0</v>
      </c>
      <c r="H94" s="6">
        <v>0.3027</v>
      </c>
      <c r="I94" s="6">
        <v>0.2543</v>
      </c>
      <c r="J94" s="6">
        <v>0.0484</v>
      </c>
    </row>
    <row r="95">
      <c r="A95" s="5" t="s">
        <v>56</v>
      </c>
      <c r="B95" s="5" t="s">
        <v>163</v>
      </c>
      <c r="C95" s="5" t="s">
        <v>73</v>
      </c>
      <c r="D95" s="6">
        <v>28.0</v>
      </c>
      <c r="E95" s="6">
        <v>18992.0</v>
      </c>
      <c r="F95" s="6">
        <v>20456.0</v>
      </c>
      <c r="G95" s="6">
        <v>90105.0</v>
      </c>
      <c r="H95" s="6">
        <v>0.2108</v>
      </c>
      <c r="I95" s="6">
        <v>0.227</v>
      </c>
      <c r="J95" s="6">
        <v>-0.0162</v>
      </c>
    </row>
    <row r="96">
      <c r="A96" s="5" t="s">
        <v>56</v>
      </c>
      <c r="B96" s="5" t="s">
        <v>163</v>
      </c>
      <c r="C96" s="5" t="s">
        <v>73</v>
      </c>
      <c r="D96" s="6">
        <v>29.0</v>
      </c>
      <c r="E96" s="6">
        <v>16034.0</v>
      </c>
      <c r="F96" s="6">
        <v>19927.0</v>
      </c>
      <c r="G96" s="6">
        <v>90105.0</v>
      </c>
      <c r="H96" s="6">
        <v>0.1779</v>
      </c>
      <c r="I96" s="6">
        <v>0.2212</v>
      </c>
      <c r="J96" s="6">
        <v>-0.0432</v>
      </c>
    </row>
    <row r="97">
      <c r="A97" s="5" t="s">
        <v>56</v>
      </c>
      <c r="B97" s="5" t="s">
        <v>163</v>
      </c>
      <c r="C97" s="5" t="s">
        <v>73</v>
      </c>
      <c r="D97" s="6">
        <v>30.0</v>
      </c>
      <c r="E97" s="6">
        <v>19230.0</v>
      </c>
      <c r="F97" s="6">
        <v>19494.0</v>
      </c>
      <c r="G97" s="6">
        <v>90105.0</v>
      </c>
      <c r="H97" s="6">
        <v>0.2134</v>
      </c>
      <c r="I97" s="6">
        <v>0.2163</v>
      </c>
      <c r="J97" s="6">
        <v>-0.0029</v>
      </c>
    </row>
    <row r="98">
      <c r="A98" s="5" t="s">
        <v>56</v>
      </c>
      <c r="B98" s="5" t="s">
        <v>163</v>
      </c>
      <c r="C98" s="5" t="s">
        <v>73</v>
      </c>
      <c r="D98" s="6">
        <v>31.0</v>
      </c>
      <c r="E98" s="6">
        <v>21069.0</v>
      </c>
      <c r="F98" s="6">
        <v>21221.0</v>
      </c>
      <c r="G98" s="6">
        <v>90105.0</v>
      </c>
      <c r="H98" s="6">
        <v>0.2338</v>
      </c>
      <c r="I98" s="6">
        <v>0.2355</v>
      </c>
      <c r="J98" s="6">
        <v>-0.0017</v>
      </c>
    </row>
    <row r="99">
      <c r="A99" s="5" t="s">
        <v>56</v>
      </c>
      <c r="B99" s="5" t="s">
        <v>163</v>
      </c>
      <c r="C99" s="5" t="s">
        <v>73</v>
      </c>
      <c r="D99" s="6">
        <v>32.0</v>
      </c>
      <c r="E99" s="6">
        <v>18838.0</v>
      </c>
      <c r="F99" s="6">
        <v>20559.0</v>
      </c>
      <c r="G99" s="6">
        <v>90105.0</v>
      </c>
      <c r="H99" s="6">
        <v>0.2091</v>
      </c>
      <c r="I99" s="6">
        <v>0.2282</v>
      </c>
      <c r="J99" s="6">
        <v>-0.0191</v>
      </c>
    </row>
    <row r="100">
      <c r="A100" s="5" t="s">
        <v>56</v>
      </c>
      <c r="B100" s="5" t="s">
        <v>163</v>
      </c>
      <c r="C100" s="5" t="s">
        <v>73</v>
      </c>
      <c r="D100" s="6">
        <v>33.0</v>
      </c>
      <c r="E100" s="6">
        <v>17631.0</v>
      </c>
      <c r="F100" s="6">
        <v>21254.0</v>
      </c>
      <c r="G100" s="6">
        <v>90105.0</v>
      </c>
      <c r="H100" s="6">
        <v>0.1957</v>
      </c>
      <c r="I100" s="6">
        <v>0.2359</v>
      </c>
      <c r="J100" s="6">
        <v>-0.0402</v>
      </c>
    </row>
    <row r="101">
      <c r="A101" s="5" t="s">
        <v>56</v>
      </c>
      <c r="B101" s="5" t="s">
        <v>163</v>
      </c>
      <c r="C101" s="5" t="s">
        <v>74</v>
      </c>
      <c r="D101" s="6">
        <v>1.0</v>
      </c>
      <c r="E101" s="6">
        <v>9046.0</v>
      </c>
      <c r="F101" s="6">
        <v>10964.0</v>
      </c>
      <c r="G101" s="6">
        <v>79088.0</v>
      </c>
      <c r="H101" s="6">
        <v>0.1144</v>
      </c>
      <c r="I101" s="6">
        <v>0.1386</v>
      </c>
      <c r="J101" s="6">
        <v>-0.0243</v>
      </c>
    </row>
    <row r="102">
      <c r="A102" s="5" t="s">
        <v>56</v>
      </c>
      <c r="B102" s="5" t="s">
        <v>163</v>
      </c>
      <c r="C102" s="5" t="s">
        <v>74</v>
      </c>
      <c r="D102" s="6">
        <v>2.0</v>
      </c>
      <c r="E102" s="6">
        <v>9022.0</v>
      </c>
      <c r="F102" s="6">
        <v>10266.0</v>
      </c>
      <c r="G102" s="6">
        <v>79088.0</v>
      </c>
      <c r="H102" s="6">
        <v>0.1141</v>
      </c>
      <c r="I102" s="6">
        <v>0.1298</v>
      </c>
      <c r="J102" s="6">
        <v>-0.0157</v>
      </c>
    </row>
    <row r="103">
      <c r="A103" s="5" t="s">
        <v>56</v>
      </c>
      <c r="B103" s="5" t="s">
        <v>163</v>
      </c>
      <c r="C103" s="5" t="s">
        <v>74</v>
      </c>
      <c r="D103" s="6">
        <v>3.0</v>
      </c>
      <c r="E103" s="6">
        <v>10143.0</v>
      </c>
      <c r="F103" s="6">
        <v>10002.0</v>
      </c>
      <c r="G103" s="6">
        <v>79088.0</v>
      </c>
      <c r="H103" s="6">
        <v>0.1282</v>
      </c>
      <c r="I103" s="6">
        <v>0.1265</v>
      </c>
      <c r="J103" s="6">
        <v>0.0018</v>
      </c>
    </row>
    <row r="104">
      <c r="A104" s="5" t="s">
        <v>56</v>
      </c>
      <c r="B104" s="5" t="s">
        <v>163</v>
      </c>
      <c r="C104" s="5" t="s">
        <v>74</v>
      </c>
      <c r="D104" s="6">
        <v>4.0</v>
      </c>
      <c r="E104" s="6">
        <v>9168.0</v>
      </c>
      <c r="F104" s="6">
        <v>9894.0</v>
      </c>
      <c r="G104" s="6">
        <v>79088.0</v>
      </c>
      <c r="H104" s="6">
        <v>0.1159</v>
      </c>
      <c r="I104" s="6">
        <v>0.1251</v>
      </c>
      <c r="J104" s="6">
        <v>-0.0092</v>
      </c>
    </row>
    <row r="105">
      <c r="A105" s="5" t="s">
        <v>56</v>
      </c>
      <c r="B105" s="5" t="s">
        <v>163</v>
      </c>
      <c r="C105" s="5" t="s">
        <v>74</v>
      </c>
      <c r="D105" s="6">
        <v>5.0</v>
      </c>
      <c r="E105" s="6">
        <v>8831.0</v>
      </c>
      <c r="F105" s="6">
        <v>10218.0</v>
      </c>
      <c r="G105" s="6">
        <v>79088.0</v>
      </c>
      <c r="H105" s="6">
        <v>0.1117</v>
      </c>
      <c r="I105" s="6">
        <v>0.1292</v>
      </c>
      <c r="J105" s="6">
        <v>-0.0175</v>
      </c>
    </row>
    <row r="106">
      <c r="A106" s="5" t="s">
        <v>56</v>
      </c>
      <c r="B106" s="5" t="s">
        <v>163</v>
      </c>
      <c r="C106" s="5" t="s">
        <v>74</v>
      </c>
      <c r="D106" s="6">
        <v>6.0</v>
      </c>
      <c r="E106" s="6">
        <v>23093.0</v>
      </c>
      <c r="F106" s="6">
        <v>15266.0</v>
      </c>
      <c r="G106" s="6">
        <v>79088.0</v>
      </c>
      <c r="H106" s="6">
        <v>0.292</v>
      </c>
      <c r="I106" s="6">
        <v>0.193</v>
      </c>
      <c r="J106" s="6">
        <v>0.099</v>
      </c>
    </row>
    <row r="107">
      <c r="A107" s="5" t="s">
        <v>56</v>
      </c>
      <c r="B107" s="5" t="s">
        <v>163</v>
      </c>
      <c r="C107" s="5" t="s">
        <v>74</v>
      </c>
      <c r="D107" s="6">
        <v>7.0</v>
      </c>
      <c r="E107" s="6">
        <v>12311.0</v>
      </c>
      <c r="F107" s="6">
        <v>12256.0</v>
      </c>
      <c r="G107" s="6">
        <v>79088.0</v>
      </c>
      <c r="H107" s="6">
        <v>0.1557</v>
      </c>
      <c r="I107" s="6">
        <v>0.155</v>
      </c>
      <c r="J107" s="6">
        <v>7.0E-4</v>
      </c>
    </row>
    <row r="108">
      <c r="A108" s="5" t="s">
        <v>56</v>
      </c>
      <c r="B108" s="5" t="s">
        <v>163</v>
      </c>
      <c r="C108" s="5" t="s">
        <v>74</v>
      </c>
      <c r="D108" s="6">
        <v>8.0</v>
      </c>
      <c r="E108" s="6">
        <v>8988.0</v>
      </c>
      <c r="F108" s="6">
        <v>10877.0</v>
      </c>
      <c r="G108" s="6">
        <v>79088.0</v>
      </c>
      <c r="H108" s="6">
        <v>0.1136</v>
      </c>
      <c r="I108" s="6">
        <v>0.1375</v>
      </c>
      <c r="J108" s="6">
        <v>-0.0239</v>
      </c>
    </row>
    <row r="109">
      <c r="A109" s="5" t="s">
        <v>56</v>
      </c>
      <c r="B109" s="5" t="s">
        <v>163</v>
      </c>
      <c r="C109" s="5" t="s">
        <v>74</v>
      </c>
      <c r="D109" s="6">
        <v>9.0</v>
      </c>
      <c r="E109" s="6">
        <v>7654.0</v>
      </c>
      <c r="F109" s="6">
        <v>9475.0</v>
      </c>
      <c r="G109" s="6">
        <v>79088.0</v>
      </c>
      <c r="H109" s="6">
        <v>0.0968</v>
      </c>
      <c r="I109" s="6">
        <v>0.1198</v>
      </c>
      <c r="J109" s="6">
        <v>-0.023</v>
      </c>
    </row>
    <row r="110">
      <c r="A110" s="5" t="s">
        <v>56</v>
      </c>
      <c r="B110" s="5" t="s">
        <v>163</v>
      </c>
      <c r="C110" s="5" t="s">
        <v>74</v>
      </c>
      <c r="D110" s="6">
        <v>10.0</v>
      </c>
      <c r="E110" s="6">
        <v>9104.0</v>
      </c>
      <c r="F110" s="6">
        <v>10065.0</v>
      </c>
      <c r="G110" s="6">
        <v>79088.0</v>
      </c>
      <c r="H110" s="6">
        <v>0.1151</v>
      </c>
      <c r="I110" s="6">
        <v>0.1273</v>
      </c>
      <c r="J110" s="6">
        <v>-0.0122</v>
      </c>
    </row>
    <row r="111">
      <c r="A111" s="5" t="s">
        <v>56</v>
      </c>
      <c r="B111" s="5" t="s">
        <v>163</v>
      </c>
      <c r="C111" s="5" t="s">
        <v>74</v>
      </c>
      <c r="D111" s="6">
        <v>11.0</v>
      </c>
      <c r="E111" s="6">
        <v>7885.0</v>
      </c>
      <c r="F111" s="6">
        <v>9200.0</v>
      </c>
      <c r="G111" s="6">
        <v>79088.0</v>
      </c>
      <c r="H111" s="6">
        <v>0.0997</v>
      </c>
      <c r="I111" s="6">
        <v>0.1163</v>
      </c>
      <c r="J111" s="6">
        <v>-0.0166</v>
      </c>
    </row>
    <row r="112">
      <c r="A112" s="5" t="s">
        <v>56</v>
      </c>
      <c r="B112" s="5" t="s">
        <v>163</v>
      </c>
      <c r="C112" s="5" t="s">
        <v>74</v>
      </c>
      <c r="D112" s="6">
        <v>12.0</v>
      </c>
      <c r="E112" s="6">
        <v>7620.0</v>
      </c>
      <c r="F112" s="6">
        <v>9450.0</v>
      </c>
      <c r="G112" s="6">
        <v>79088.0</v>
      </c>
      <c r="H112" s="6">
        <v>0.0963</v>
      </c>
      <c r="I112" s="6">
        <v>0.1195</v>
      </c>
      <c r="J112" s="6">
        <v>-0.0231</v>
      </c>
    </row>
    <row r="113">
      <c r="A113" s="5" t="s">
        <v>56</v>
      </c>
      <c r="B113" s="5" t="s">
        <v>163</v>
      </c>
      <c r="C113" s="5" t="s">
        <v>74</v>
      </c>
      <c r="D113" s="6">
        <v>13.0</v>
      </c>
      <c r="E113" s="6">
        <v>21540.0</v>
      </c>
      <c r="F113" s="6">
        <v>14352.0</v>
      </c>
      <c r="G113" s="6">
        <v>79088.0</v>
      </c>
      <c r="H113" s="6">
        <v>0.2724</v>
      </c>
      <c r="I113" s="6">
        <v>0.1815</v>
      </c>
      <c r="J113" s="6">
        <v>0.0909</v>
      </c>
    </row>
    <row r="114">
      <c r="A114" s="5" t="s">
        <v>56</v>
      </c>
      <c r="B114" s="5" t="s">
        <v>163</v>
      </c>
      <c r="C114" s="5" t="s">
        <v>74</v>
      </c>
      <c r="D114" s="6">
        <v>14.0</v>
      </c>
      <c r="E114" s="6">
        <v>10938.0</v>
      </c>
      <c r="F114" s="6">
        <v>11839.0</v>
      </c>
      <c r="G114" s="6">
        <v>79088.0</v>
      </c>
      <c r="H114" s="6">
        <v>0.1383</v>
      </c>
      <c r="I114" s="6">
        <v>0.1497</v>
      </c>
      <c r="J114" s="6">
        <v>-0.0114</v>
      </c>
    </row>
    <row r="115">
      <c r="A115" s="5" t="s">
        <v>56</v>
      </c>
      <c r="B115" s="5" t="s">
        <v>163</v>
      </c>
      <c r="C115" s="5" t="s">
        <v>74</v>
      </c>
      <c r="D115" s="6">
        <v>15.0</v>
      </c>
      <c r="E115" s="6">
        <v>7898.0</v>
      </c>
      <c r="F115" s="6">
        <v>10237.0</v>
      </c>
      <c r="G115" s="6">
        <v>79088.0</v>
      </c>
      <c r="H115" s="6">
        <v>0.0999</v>
      </c>
      <c r="I115" s="6">
        <v>0.1294</v>
      </c>
      <c r="J115" s="6">
        <v>-0.0296</v>
      </c>
    </row>
    <row r="116">
      <c r="A116" s="5" t="s">
        <v>56</v>
      </c>
      <c r="B116" s="5" t="s">
        <v>163</v>
      </c>
      <c r="C116" s="5" t="s">
        <v>74</v>
      </c>
      <c r="D116" s="6">
        <v>16.0</v>
      </c>
      <c r="E116" s="6">
        <v>7983.0</v>
      </c>
      <c r="F116" s="6">
        <v>9300.0</v>
      </c>
      <c r="G116" s="6">
        <v>79088.0</v>
      </c>
      <c r="H116" s="6">
        <v>0.1009</v>
      </c>
      <c r="I116" s="6">
        <v>0.1176</v>
      </c>
      <c r="J116" s="6">
        <v>-0.0167</v>
      </c>
    </row>
    <row r="117">
      <c r="A117" s="5" t="s">
        <v>56</v>
      </c>
      <c r="B117" s="5" t="s">
        <v>163</v>
      </c>
      <c r="C117" s="5" t="s">
        <v>74</v>
      </c>
      <c r="D117" s="6">
        <v>17.0</v>
      </c>
      <c r="E117" s="6">
        <v>9305.0</v>
      </c>
      <c r="F117" s="6">
        <v>9602.0</v>
      </c>
      <c r="G117" s="6">
        <v>79088.0</v>
      </c>
      <c r="H117" s="6">
        <v>0.1177</v>
      </c>
      <c r="I117" s="6">
        <v>0.1214</v>
      </c>
      <c r="J117" s="6">
        <v>-0.0038</v>
      </c>
    </row>
    <row r="118">
      <c r="A118" s="5" t="s">
        <v>56</v>
      </c>
      <c r="B118" s="5" t="s">
        <v>163</v>
      </c>
      <c r="C118" s="5" t="s">
        <v>74</v>
      </c>
      <c r="D118" s="6">
        <v>18.0</v>
      </c>
      <c r="E118" s="6">
        <v>8223.0</v>
      </c>
      <c r="F118" s="6">
        <v>9379.0</v>
      </c>
      <c r="G118" s="6">
        <v>79088.0</v>
      </c>
      <c r="H118" s="6">
        <v>0.104</v>
      </c>
      <c r="I118" s="6">
        <v>0.1186</v>
      </c>
      <c r="J118" s="6">
        <v>-0.0146</v>
      </c>
    </row>
    <row r="119">
      <c r="A119" s="5" t="s">
        <v>56</v>
      </c>
      <c r="B119" s="5" t="s">
        <v>163</v>
      </c>
      <c r="C119" s="5" t="s">
        <v>74</v>
      </c>
      <c r="D119" s="6">
        <v>19.0</v>
      </c>
      <c r="E119" s="6">
        <v>7751.0</v>
      </c>
      <c r="F119" s="6">
        <v>9278.0</v>
      </c>
      <c r="G119" s="6">
        <v>79088.0</v>
      </c>
      <c r="H119" s="6">
        <v>0.098</v>
      </c>
      <c r="I119" s="6">
        <v>0.1173</v>
      </c>
      <c r="J119" s="6">
        <v>-0.0193</v>
      </c>
    </row>
    <row r="120">
      <c r="A120" s="5" t="s">
        <v>56</v>
      </c>
      <c r="B120" s="5" t="s">
        <v>163</v>
      </c>
      <c r="C120" s="5" t="s">
        <v>74</v>
      </c>
      <c r="D120" s="6">
        <v>20.0</v>
      </c>
      <c r="E120" s="6">
        <v>21442.0</v>
      </c>
      <c r="F120" s="6">
        <v>14339.0</v>
      </c>
      <c r="G120" s="6">
        <v>79088.0</v>
      </c>
      <c r="H120" s="6">
        <v>0.2711</v>
      </c>
      <c r="I120" s="6">
        <v>0.1813</v>
      </c>
      <c r="J120" s="6">
        <v>0.0898</v>
      </c>
    </row>
    <row r="121">
      <c r="A121" s="5" t="s">
        <v>56</v>
      </c>
      <c r="B121" s="5" t="s">
        <v>163</v>
      </c>
      <c r="C121" s="5" t="s">
        <v>74</v>
      </c>
      <c r="D121" s="6">
        <v>21.0</v>
      </c>
      <c r="E121" s="6">
        <v>12200.0</v>
      </c>
      <c r="F121" s="6">
        <v>12532.0</v>
      </c>
      <c r="G121" s="6">
        <v>79088.0</v>
      </c>
      <c r="H121" s="6">
        <v>0.1543</v>
      </c>
      <c r="I121" s="6">
        <v>0.1585</v>
      </c>
      <c r="J121" s="6">
        <v>-0.0042</v>
      </c>
    </row>
    <row r="122">
      <c r="A122" s="5" t="s">
        <v>56</v>
      </c>
      <c r="B122" s="5" t="s">
        <v>163</v>
      </c>
      <c r="C122" s="5" t="s">
        <v>74</v>
      </c>
      <c r="D122" s="6">
        <v>22.0</v>
      </c>
      <c r="E122" s="6">
        <v>9178.0</v>
      </c>
      <c r="F122" s="6">
        <v>10763.0</v>
      </c>
      <c r="G122" s="6">
        <v>79088.0</v>
      </c>
      <c r="H122" s="6">
        <v>0.116</v>
      </c>
      <c r="I122" s="6">
        <v>0.1361</v>
      </c>
      <c r="J122" s="6">
        <v>-0.02</v>
      </c>
    </row>
    <row r="123">
      <c r="A123" s="5" t="s">
        <v>56</v>
      </c>
      <c r="B123" s="5" t="s">
        <v>163</v>
      </c>
      <c r="C123" s="5" t="s">
        <v>74</v>
      </c>
      <c r="D123" s="6">
        <v>23.0</v>
      </c>
      <c r="E123" s="6">
        <v>7364.0</v>
      </c>
      <c r="F123" s="6">
        <v>9462.0</v>
      </c>
      <c r="G123" s="6">
        <v>79088.0</v>
      </c>
      <c r="H123" s="6">
        <v>0.0931</v>
      </c>
      <c r="I123" s="6">
        <v>0.1196</v>
      </c>
      <c r="J123" s="6">
        <v>-0.0265</v>
      </c>
    </row>
    <row r="124">
      <c r="A124" s="5" t="s">
        <v>56</v>
      </c>
      <c r="B124" s="5" t="s">
        <v>163</v>
      </c>
      <c r="C124" s="5" t="s">
        <v>74</v>
      </c>
      <c r="D124" s="6">
        <v>24.0</v>
      </c>
      <c r="E124" s="6">
        <v>9055.0</v>
      </c>
      <c r="F124" s="6">
        <v>9719.0</v>
      </c>
      <c r="G124" s="6">
        <v>79088.0</v>
      </c>
      <c r="H124" s="6">
        <v>0.1145</v>
      </c>
      <c r="I124" s="6">
        <v>0.1229</v>
      </c>
      <c r="J124" s="6">
        <v>-0.0084</v>
      </c>
    </row>
    <row r="125">
      <c r="A125" s="5" t="s">
        <v>56</v>
      </c>
      <c r="B125" s="5" t="s">
        <v>163</v>
      </c>
      <c r="C125" s="5" t="s">
        <v>74</v>
      </c>
      <c r="D125" s="6">
        <v>25.0</v>
      </c>
      <c r="E125" s="6">
        <v>7825.0</v>
      </c>
      <c r="F125" s="6">
        <v>9147.0</v>
      </c>
      <c r="G125" s="6">
        <v>79088.0</v>
      </c>
      <c r="H125" s="6">
        <v>0.0989</v>
      </c>
      <c r="I125" s="6">
        <v>0.1157</v>
      </c>
      <c r="J125" s="6">
        <v>-0.0167</v>
      </c>
    </row>
    <row r="126">
      <c r="A126" s="5" t="s">
        <v>56</v>
      </c>
      <c r="B126" s="5" t="s">
        <v>163</v>
      </c>
      <c r="C126" s="5" t="s">
        <v>74</v>
      </c>
      <c r="D126" s="6">
        <v>26.0</v>
      </c>
      <c r="E126" s="6">
        <v>7308.0</v>
      </c>
      <c r="F126" s="6">
        <v>9167.0</v>
      </c>
      <c r="G126" s="6">
        <v>79088.0</v>
      </c>
      <c r="H126" s="6">
        <v>0.0924</v>
      </c>
      <c r="I126" s="6">
        <v>0.1159</v>
      </c>
      <c r="J126" s="6">
        <v>-0.0235</v>
      </c>
    </row>
    <row r="127">
      <c r="A127" s="5" t="s">
        <v>56</v>
      </c>
      <c r="B127" s="5" t="s">
        <v>163</v>
      </c>
      <c r="C127" s="5" t="s">
        <v>74</v>
      </c>
      <c r="D127" s="6">
        <v>27.0</v>
      </c>
      <c r="E127" s="6">
        <v>21406.0</v>
      </c>
      <c r="F127" s="6">
        <v>14293.0</v>
      </c>
      <c r="G127" s="6">
        <v>79088.0</v>
      </c>
      <c r="H127" s="6">
        <v>0.2707</v>
      </c>
      <c r="I127" s="6">
        <v>0.1807</v>
      </c>
      <c r="J127" s="6">
        <v>0.0899</v>
      </c>
    </row>
    <row r="128">
      <c r="A128" s="5" t="s">
        <v>56</v>
      </c>
      <c r="B128" s="5" t="s">
        <v>163</v>
      </c>
      <c r="C128" s="5" t="s">
        <v>74</v>
      </c>
      <c r="D128" s="6">
        <v>28.0</v>
      </c>
      <c r="E128" s="6">
        <v>10327.0</v>
      </c>
      <c r="F128" s="6">
        <v>11197.0</v>
      </c>
      <c r="G128" s="6">
        <v>79088.0</v>
      </c>
      <c r="H128" s="6">
        <v>0.1306</v>
      </c>
      <c r="I128" s="6">
        <v>0.1416</v>
      </c>
      <c r="J128" s="6">
        <v>-0.011</v>
      </c>
    </row>
    <row r="129">
      <c r="A129" s="5" t="s">
        <v>56</v>
      </c>
      <c r="B129" s="5" t="s">
        <v>163</v>
      </c>
      <c r="C129" s="5" t="s">
        <v>74</v>
      </c>
      <c r="D129" s="6">
        <v>29.0</v>
      </c>
      <c r="E129" s="6">
        <v>7442.0</v>
      </c>
      <c r="F129" s="6">
        <v>9840.0</v>
      </c>
      <c r="G129" s="6">
        <v>79088.0</v>
      </c>
      <c r="H129" s="6">
        <v>0.0941</v>
      </c>
      <c r="I129" s="6">
        <v>0.1244</v>
      </c>
      <c r="J129" s="6">
        <v>-0.0303</v>
      </c>
    </row>
    <row r="130">
      <c r="A130" s="5" t="s">
        <v>56</v>
      </c>
      <c r="B130" s="5" t="s">
        <v>163</v>
      </c>
      <c r="C130" s="5" t="s">
        <v>74</v>
      </c>
      <c r="D130" s="6">
        <v>30.0</v>
      </c>
      <c r="E130" s="6">
        <v>7670.0</v>
      </c>
      <c r="F130" s="6">
        <v>9065.0</v>
      </c>
      <c r="G130" s="6">
        <v>79088.0</v>
      </c>
      <c r="H130" s="6">
        <v>0.097</v>
      </c>
      <c r="I130" s="6">
        <v>0.1146</v>
      </c>
      <c r="J130" s="6">
        <v>-0.0176</v>
      </c>
    </row>
    <row r="131">
      <c r="A131" s="5" t="s">
        <v>56</v>
      </c>
      <c r="B131" s="5" t="s">
        <v>163</v>
      </c>
      <c r="C131" s="5" t="s">
        <v>74</v>
      </c>
      <c r="D131" s="6">
        <v>31.0</v>
      </c>
      <c r="E131" s="6">
        <v>9293.0</v>
      </c>
      <c r="F131" s="6">
        <v>9506.0</v>
      </c>
      <c r="G131" s="6">
        <v>79088.0</v>
      </c>
      <c r="H131" s="6">
        <v>0.1175</v>
      </c>
      <c r="I131" s="6">
        <v>0.1202</v>
      </c>
      <c r="J131" s="6">
        <v>-0.0027</v>
      </c>
    </row>
    <row r="132">
      <c r="A132" s="5" t="s">
        <v>56</v>
      </c>
      <c r="B132" s="5" t="s">
        <v>163</v>
      </c>
      <c r="C132" s="5" t="s">
        <v>74</v>
      </c>
      <c r="D132" s="6">
        <v>32.0</v>
      </c>
      <c r="E132" s="6">
        <v>8293.0</v>
      </c>
      <c r="F132" s="6">
        <v>9489.0</v>
      </c>
      <c r="G132" s="6">
        <v>79088.0</v>
      </c>
      <c r="H132" s="6">
        <v>0.1049</v>
      </c>
      <c r="I132" s="6">
        <v>0.12</v>
      </c>
      <c r="J132" s="6">
        <v>-0.0151</v>
      </c>
    </row>
    <row r="133">
      <c r="A133" s="5" t="s">
        <v>56</v>
      </c>
      <c r="B133" s="5" t="s">
        <v>163</v>
      </c>
      <c r="C133" s="5" t="s">
        <v>74</v>
      </c>
      <c r="D133" s="6">
        <v>33.0</v>
      </c>
      <c r="E133" s="6">
        <v>8294.0</v>
      </c>
      <c r="F133" s="6">
        <v>9715.0</v>
      </c>
      <c r="G133" s="6">
        <v>79088.0</v>
      </c>
      <c r="H133" s="6">
        <v>0.1049</v>
      </c>
      <c r="I133" s="6">
        <v>0.1228</v>
      </c>
      <c r="J133" s="6">
        <v>-0.018</v>
      </c>
    </row>
    <row r="134">
      <c r="A134" s="5" t="s">
        <v>56</v>
      </c>
      <c r="B134" s="5" t="s">
        <v>163</v>
      </c>
      <c r="C134" s="5" t="s">
        <v>69</v>
      </c>
      <c r="D134" s="6">
        <v>1.0</v>
      </c>
      <c r="E134" s="6">
        <v>27778.0</v>
      </c>
      <c r="F134" s="6">
        <v>33342.0</v>
      </c>
      <c r="G134" s="6">
        <v>111662.0</v>
      </c>
      <c r="H134" s="6">
        <v>0.2488</v>
      </c>
      <c r="I134" s="6">
        <v>0.2986</v>
      </c>
      <c r="J134" s="6">
        <v>-0.0498</v>
      </c>
    </row>
    <row r="135">
      <c r="A135" s="5" t="s">
        <v>56</v>
      </c>
      <c r="B135" s="5" t="s">
        <v>163</v>
      </c>
      <c r="C135" s="5" t="s">
        <v>69</v>
      </c>
      <c r="D135" s="6">
        <v>2.0</v>
      </c>
      <c r="E135" s="6">
        <v>26792.0</v>
      </c>
      <c r="F135" s="6">
        <v>30552.0</v>
      </c>
      <c r="G135" s="6">
        <v>111662.0</v>
      </c>
      <c r="H135" s="6">
        <v>0.2399</v>
      </c>
      <c r="I135" s="6">
        <v>0.2736</v>
      </c>
      <c r="J135" s="6">
        <v>-0.0337</v>
      </c>
    </row>
    <row r="136">
      <c r="A136" s="5" t="s">
        <v>56</v>
      </c>
      <c r="B136" s="5" t="s">
        <v>163</v>
      </c>
      <c r="C136" s="5" t="s">
        <v>69</v>
      </c>
      <c r="D136" s="6">
        <v>3.0</v>
      </c>
      <c r="E136" s="6">
        <v>42428.0</v>
      </c>
      <c r="F136" s="6">
        <v>36575.0</v>
      </c>
      <c r="G136" s="6">
        <v>111662.0</v>
      </c>
      <c r="H136" s="6">
        <v>0.38</v>
      </c>
      <c r="I136" s="6">
        <v>0.3276</v>
      </c>
      <c r="J136" s="6">
        <v>0.0524</v>
      </c>
    </row>
    <row r="137">
      <c r="A137" s="5" t="s">
        <v>56</v>
      </c>
      <c r="B137" s="5" t="s">
        <v>163</v>
      </c>
      <c r="C137" s="5" t="s">
        <v>69</v>
      </c>
      <c r="D137" s="6">
        <v>4.0</v>
      </c>
      <c r="E137" s="6">
        <v>35912.0</v>
      </c>
      <c r="F137" s="6">
        <v>35221.0</v>
      </c>
      <c r="G137" s="6">
        <v>111662.0</v>
      </c>
      <c r="H137" s="6">
        <v>0.3216</v>
      </c>
      <c r="I137" s="6">
        <v>0.3154</v>
      </c>
      <c r="J137" s="6">
        <v>0.0062</v>
      </c>
    </row>
    <row r="138">
      <c r="A138" s="5" t="s">
        <v>56</v>
      </c>
      <c r="B138" s="5" t="s">
        <v>163</v>
      </c>
      <c r="C138" s="5" t="s">
        <v>69</v>
      </c>
      <c r="D138" s="6">
        <v>5.0</v>
      </c>
      <c r="E138" s="6">
        <v>33672.0</v>
      </c>
      <c r="F138" s="6">
        <v>36168.0</v>
      </c>
      <c r="G138" s="6">
        <v>111662.0</v>
      </c>
      <c r="H138" s="6">
        <v>0.3016</v>
      </c>
      <c r="I138" s="6">
        <v>0.3239</v>
      </c>
      <c r="J138" s="6">
        <v>-0.0224</v>
      </c>
    </row>
    <row r="139">
      <c r="A139" s="5" t="s">
        <v>56</v>
      </c>
      <c r="B139" s="5" t="s">
        <v>163</v>
      </c>
      <c r="C139" s="5" t="s">
        <v>69</v>
      </c>
      <c r="D139" s="6">
        <v>6.0</v>
      </c>
      <c r="E139" s="6">
        <v>38476.0</v>
      </c>
      <c r="F139" s="6">
        <v>37036.0</v>
      </c>
      <c r="G139" s="6">
        <v>111662.0</v>
      </c>
      <c r="H139" s="6">
        <v>0.3446</v>
      </c>
      <c r="I139" s="6">
        <v>0.3317</v>
      </c>
      <c r="J139" s="6">
        <v>0.0129</v>
      </c>
    </row>
    <row r="140">
      <c r="A140" s="5" t="s">
        <v>56</v>
      </c>
      <c r="B140" s="5" t="s">
        <v>163</v>
      </c>
      <c r="C140" s="5" t="s">
        <v>69</v>
      </c>
      <c r="D140" s="6">
        <v>7.0</v>
      </c>
      <c r="E140" s="6">
        <v>28891.0</v>
      </c>
      <c r="F140" s="6">
        <v>33118.0</v>
      </c>
      <c r="G140" s="6">
        <v>111662.0</v>
      </c>
      <c r="H140" s="6">
        <v>0.2587</v>
      </c>
      <c r="I140" s="6">
        <v>0.2966</v>
      </c>
      <c r="J140" s="6">
        <v>-0.0379</v>
      </c>
    </row>
    <row r="141">
      <c r="A141" s="5" t="s">
        <v>56</v>
      </c>
      <c r="B141" s="5" t="s">
        <v>163</v>
      </c>
      <c r="C141" s="5" t="s">
        <v>69</v>
      </c>
      <c r="D141" s="6">
        <v>8.0</v>
      </c>
      <c r="E141" s="6">
        <v>25725.0</v>
      </c>
      <c r="F141" s="6">
        <v>31618.0</v>
      </c>
      <c r="G141" s="6">
        <v>111662.0</v>
      </c>
      <c r="H141" s="6">
        <v>0.2304</v>
      </c>
      <c r="I141" s="6">
        <v>0.2832</v>
      </c>
      <c r="J141" s="6">
        <v>-0.0528</v>
      </c>
    </row>
    <row r="142">
      <c r="A142" s="5" t="s">
        <v>56</v>
      </c>
      <c r="B142" s="5" t="s">
        <v>163</v>
      </c>
      <c r="C142" s="5" t="s">
        <v>69</v>
      </c>
      <c r="D142" s="6">
        <v>9.0</v>
      </c>
      <c r="E142" s="6">
        <v>23633.0</v>
      </c>
      <c r="F142" s="6">
        <v>29235.0</v>
      </c>
      <c r="G142" s="6">
        <v>111662.0</v>
      </c>
      <c r="H142" s="6">
        <v>0.2116</v>
      </c>
      <c r="I142" s="6">
        <v>0.2618</v>
      </c>
      <c r="J142" s="6">
        <v>-0.0502</v>
      </c>
    </row>
    <row r="143">
      <c r="A143" s="5" t="s">
        <v>56</v>
      </c>
      <c r="B143" s="5" t="s">
        <v>163</v>
      </c>
      <c r="C143" s="5" t="s">
        <v>69</v>
      </c>
      <c r="D143" s="6">
        <v>10.0</v>
      </c>
      <c r="E143" s="6">
        <v>44436.0</v>
      </c>
      <c r="F143" s="6">
        <v>39760.0</v>
      </c>
      <c r="G143" s="6">
        <v>111662.0</v>
      </c>
      <c r="H143" s="6">
        <v>0.398</v>
      </c>
      <c r="I143" s="6">
        <v>0.3561</v>
      </c>
      <c r="J143" s="6">
        <v>0.0419</v>
      </c>
    </row>
    <row r="144">
      <c r="A144" s="5" t="s">
        <v>56</v>
      </c>
      <c r="B144" s="5" t="s">
        <v>163</v>
      </c>
      <c r="C144" s="5" t="s">
        <v>69</v>
      </c>
      <c r="D144" s="6">
        <v>11.0</v>
      </c>
      <c r="E144" s="6">
        <v>33807.0</v>
      </c>
      <c r="F144" s="6">
        <v>34121.0</v>
      </c>
      <c r="G144" s="6">
        <v>111662.0</v>
      </c>
      <c r="H144" s="6">
        <v>0.3028</v>
      </c>
      <c r="I144" s="6">
        <v>0.3056</v>
      </c>
      <c r="J144" s="6">
        <v>-0.0028</v>
      </c>
    </row>
    <row r="145">
      <c r="A145" s="5" t="s">
        <v>56</v>
      </c>
      <c r="B145" s="5" t="s">
        <v>163</v>
      </c>
      <c r="C145" s="5" t="s">
        <v>69</v>
      </c>
      <c r="D145" s="6">
        <v>12.0</v>
      </c>
      <c r="E145" s="6">
        <v>31905.0</v>
      </c>
      <c r="F145" s="6">
        <v>34685.0</v>
      </c>
      <c r="G145" s="6">
        <v>111662.0</v>
      </c>
      <c r="H145" s="6">
        <v>0.2857</v>
      </c>
      <c r="I145" s="6">
        <v>0.3106</v>
      </c>
      <c r="J145" s="6">
        <v>-0.0249</v>
      </c>
    </row>
    <row r="146">
      <c r="A146" s="5" t="s">
        <v>56</v>
      </c>
      <c r="B146" s="5" t="s">
        <v>163</v>
      </c>
      <c r="C146" s="5" t="s">
        <v>69</v>
      </c>
      <c r="D146" s="6">
        <v>13.0</v>
      </c>
      <c r="E146" s="6">
        <v>36076.0</v>
      </c>
      <c r="F146" s="6">
        <v>34248.0</v>
      </c>
      <c r="G146" s="6">
        <v>111662.0</v>
      </c>
      <c r="H146" s="6">
        <v>0.3231</v>
      </c>
      <c r="I146" s="6">
        <v>0.3067</v>
      </c>
      <c r="J146" s="6">
        <v>0.0164</v>
      </c>
    </row>
    <row r="147">
      <c r="A147" s="5" t="s">
        <v>56</v>
      </c>
      <c r="B147" s="5" t="s">
        <v>163</v>
      </c>
      <c r="C147" s="5" t="s">
        <v>69</v>
      </c>
      <c r="D147" s="6">
        <v>14.0</v>
      </c>
      <c r="E147" s="6">
        <v>25554.0</v>
      </c>
      <c r="F147" s="6">
        <v>30762.0</v>
      </c>
      <c r="G147" s="6">
        <v>111662.0</v>
      </c>
      <c r="H147" s="6">
        <v>0.2289</v>
      </c>
      <c r="I147" s="6">
        <v>0.2755</v>
      </c>
      <c r="J147" s="6">
        <v>-0.0466</v>
      </c>
    </row>
    <row r="148">
      <c r="A148" s="5" t="s">
        <v>56</v>
      </c>
      <c r="B148" s="5" t="s">
        <v>163</v>
      </c>
      <c r="C148" s="5" t="s">
        <v>69</v>
      </c>
      <c r="D148" s="6">
        <v>15.0</v>
      </c>
      <c r="E148" s="6">
        <v>23508.0</v>
      </c>
      <c r="F148" s="6">
        <v>29161.0</v>
      </c>
      <c r="G148" s="6">
        <v>111662.0</v>
      </c>
      <c r="H148" s="6">
        <v>0.2105</v>
      </c>
      <c r="I148" s="6">
        <v>0.2612</v>
      </c>
      <c r="J148" s="6">
        <v>-0.0506</v>
      </c>
    </row>
    <row r="149">
      <c r="A149" s="5" t="s">
        <v>56</v>
      </c>
      <c r="B149" s="5" t="s">
        <v>163</v>
      </c>
      <c r="C149" s="5" t="s">
        <v>69</v>
      </c>
      <c r="D149" s="6">
        <v>16.0</v>
      </c>
      <c r="E149" s="6">
        <v>24734.0</v>
      </c>
      <c r="F149" s="6">
        <v>27780.0</v>
      </c>
      <c r="G149" s="6">
        <v>111662.0</v>
      </c>
      <c r="H149" s="6">
        <v>0.2215</v>
      </c>
      <c r="I149" s="6">
        <v>0.2488</v>
      </c>
      <c r="J149" s="6">
        <v>-0.0273</v>
      </c>
    </row>
    <row r="150">
      <c r="A150" s="5" t="s">
        <v>56</v>
      </c>
      <c r="B150" s="5" t="s">
        <v>163</v>
      </c>
      <c r="C150" s="5" t="s">
        <v>69</v>
      </c>
      <c r="D150" s="6">
        <v>17.0</v>
      </c>
      <c r="E150" s="6">
        <v>42035.0</v>
      </c>
      <c r="F150" s="6">
        <v>36521.0</v>
      </c>
      <c r="G150" s="6">
        <v>111662.0</v>
      </c>
      <c r="H150" s="6">
        <v>0.3764</v>
      </c>
      <c r="I150" s="6">
        <v>0.3271</v>
      </c>
      <c r="J150" s="6">
        <v>0.0494</v>
      </c>
    </row>
    <row r="151">
      <c r="A151" s="5" t="s">
        <v>56</v>
      </c>
      <c r="B151" s="5" t="s">
        <v>163</v>
      </c>
      <c r="C151" s="5" t="s">
        <v>69</v>
      </c>
      <c r="D151" s="6">
        <v>18.0</v>
      </c>
      <c r="E151" s="6">
        <v>32719.0</v>
      </c>
      <c r="F151" s="6">
        <v>33181.0</v>
      </c>
      <c r="G151" s="6">
        <v>111662.0</v>
      </c>
      <c r="H151" s="6">
        <v>0.293</v>
      </c>
      <c r="I151" s="6">
        <v>0.2972</v>
      </c>
      <c r="J151" s="6">
        <v>-0.0041</v>
      </c>
    </row>
    <row r="152">
      <c r="A152" s="5" t="s">
        <v>56</v>
      </c>
      <c r="B152" s="5" t="s">
        <v>163</v>
      </c>
      <c r="C152" s="5" t="s">
        <v>69</v>
      </c>
      <c r="D152" s="6">
        <v>19.0</v>
      </c>
      <c r="E152" s="6">
        <v>29979.0</v>
      </c>
      <c r="F152" s="6">
        <v>32890.0</v>
      </c>
      <c r="G152" s="6">
        <v>111662.0</v>
      </c>
      <c r="H152" s="6">
        <v>0.2685</v>
      </c>
      <c r="I152" s="6">
        <v>0.2945</v>
      </c>
      <c r="J152" s="6">
        <v>-0.0261</v>
      </c>
    </row>
    <row r="153">
      <c r="A153" s="5" t="s">
        <v>56</v>
      </c>
      <c r="B153" s="5" t="s">
        <v>163</v>
      </c>
      <c r="C153" s="5" t="s">
        <v>69</v>
      </c>
      <c r="D153" s="6">
        <v>20.0</v>
      </c>
      <c r="E153" s="6">
        <v>34426.0</v>
      </c>
      <c r="F153" s="6">
        <v>32760.0</v>
      </c>
      <c r="G153" s="6">
        <v>111662.0</v>
      </c>
      <c r="H153" s="6">
        <v>0.3083</v>
      </c>
      <c r="I153" s="6">
        <v>0.2934</v>
      </c>
      <c r="J153" s="6">
        <v>0.0149</v>
      </c>
    </row>
    <row r="154">
      <c r="A154" s="5" t="s">
        <v>56</v>
      </c>
      <c r="B154" s="5" t="s">
        <v>163</v>
      </c>
      <c r="C154" s="5" t="s">
        <v>69</v>
      </c>
      <c r="D154" s="6">
        <v>21.0</v>
      </c>
      <c r="E154" s="6">
        <v>67599.0</v>
      </c>
      <c r="F154" s="6">
        <v>41240.0</v>
      </c>
      <c r="G154" s="6">
        <v>111662.0</v>
      </c>
      <c r="H154" s="6">
        <v>0.6054</v>
      </c>
      <c r="I154" s="6">
        <v>0.3693</v>
      </c>
      <c r="J154" s="6">
        <v>0.2361</v>
      </c>
    </row>
    <row r="155">
      <c r="A155" s="5" t="s">
        <v>56</v>
      </c>
      <c r="B155" s="5" t="s">
        <v>163</v>
      </c>
      <c r="C155" s="5" t="s">
        <v>69</v>
      </c>
      <c r="D155" s="6">
        <v>22.0</v>
      </c>
      <c r="E155" s="6">
        <v>40116.0</v>
      </c>
      <c r="F155" s="6">
        <v>39597.0</v>
      </c>
      <c r="G155" s="6">
        <v>111662.0</v>
      </c>
      <c r="H155" s="6">
        <v>0.3593</v>
      </c>
      <c r="I155" s="6">
        <v>0.3546</v>
      </c>
      <c r="J155" s="6">
        <v>0.0046</v>
      </c>
    </row>
    <row r="156">
      <c r="A156" s="5" t="s">
        <v>56</v>
      </c>
      <c r="B156" s="5" t="s">
        <v>163</v>
      </c>
      <c r="C156" s="5" t="s">
        <v>69</v>
      </c>
      <c r="D156" s="6">
        <v>23.0</v>
      </c>
      <c r="E156" s="6">
        <v>29504.0</v>
      </c>
      <c r="F156" s="6">
        <v>34304.0</v>
      </c>
      <c r="G156" s="6">
        <v>111662.0</v>
      </c>
      <c r="H156" s="6">
        <v>0.2642</v>
      </c>
      <c r="I156" s="6">
        <v>0.3072</v>
      </c>
      <c r="J156" s="6">
        <v>-0.043</v>
      </c>
    </row>
    <row r="157">
      <c r="A157" s="5" t="s">
        <v>56</v>
      </c>
      <c r="B157" s="5" t="s">
        <v>163</v>
      </c>
      <c r="C157" s="5" t="s">
        <v>69</v>
      </c>
      <c r="D157" s="6">
        <v>24.0</v>
      </c>
      <c r="E157" s="6">
        <v>46168.0</v>
      </c>
      <c r="F157" s="6">
        <v>44065.0</v>
      </c>
      <c r="G157" s="6">
        <v>111662.0</v>
      </c>
      <c r="H157" s="6">
        <v>0.4135</v>
      </c>
      <c r="I157" s="6">
        <v>0.3946</v>
      </c>
      <c r="J157" s="6">
        <v>0.0188</v>
      </c>
    </row>
    <row r="158">
      <c r="A158" s="5" t="s">
        <v>56</v>
      </c>
      <c r="B158" s="5" t="s">
        <v>163</v>
      </c>
      <c r="C158" s="5" t="s">
        <v>69</v>
      </c>
      <c r="D158" s="6">
        <v>25.0</v>
      </c>
      <c r="E158" s="6">
        <v>36743.0</v>
      </c>
      <c r="F158" s="6">
        <v>38591.0</v>
      </c>
      <c r="G158" s="6">
        <v>111662.0</v>
      </c>
      <c r="H158" s="6">
        <v>0.3291</v>
      </c>
      <c r="I158" s="6">
        <v>0.3456</v>
      </c>
      <c r="J158" s="6">
        <v>-0.0165</v>
      </c>
    </row>
    <row r="159">
      <c r="A159" s="5" t="s">
        <v>56</v>
      </c>
      <c r="B159" s="5" t="s">
        <v>163</v>
      </c>
      <c r="C159" s="5" t="s">
        <v>69</v>
      </c>
      <c r="D159" s="6">
        <v>26.0</v>
      </c>
      <c r="E159" s="6">
        <v>33516.0</v>
      </c>
      <c r="F159" s="6">
        <v>37207.0</v>
      </c>
      <c r="G159" s="6">
        <v>111662.0</v>
      </c>
      <c r="H159" s="6">
        <v>0.3002</v>
      </c>
      <c r="I159" s="6">
        <v>0.3332</v>
      </c>
      <c r="J159" s="6">
        <v>-0.0331</v>
      </c>
    </row>
    <row r="160">
      <c r="A160" s="5" t="s">
        <v>56</v>
      </c>
      <c r="B160" s="5" t="s">
        <v>163</v>
      </c>
      <c r="C160" s="5" t="s">
        <v>69</v>
      </c>
      <c r="D160" s="6">
        <v>27.0</v>
      </c>
      <c r="E160" s="6">
        <v>38850.0</v>
      </c>
      <c r="F160" s="6">
        <v>36650.0</v>
      </c>
      <c r="G160" s="6">
        <v>111662.0</v>
      </c>
      <c r="H160" s="6">
        <v>0.3479</v>
      </c>
      <c r="I160" s="6">
        <v>0.3282</v>
      </c>
      <c r="J160" s="6">
        <v>0.0197</v>
      </c>
    </row>
    <row r="161">
      <c r="A161" s="5" t="s">
        <v>56</v>
      </c>
      <c r="B161" s="5" t="s">
        <v>163</v>
      </c>
      <c r="C161" s="5" t="s">
        <v>69</v>
      </c>
      <c r="D161" s="6">
        <v>28.0</v>
      </c>
      <c r="E161" s="6">
        <v>26752.0</v>
      </c>
      <c r="F161" s="6">
        <v>30857.0</v>
      </c>
      <c r="G161" s="6">
        <v>111662.0</v>
      </c>
      <c r="H161" s="6">
        <v>0.2396</v>
      </c>
      <c r="I161" s="6">
        <v>0.2763</v>
      </c>
      <c r="J161" s="6">
        <v>-0.0368</v>
      </c>
    </row>
    <row r="162">
      <c r="A162" s="5" t="s">
        <v>56</v>
      </c>
      <c r="B162" s="5" t="s">
        <v>163</v>
      </c>
      <c r="C162" s="5" t="s">
        <v>69</v>
      </c>
      <c r="D162" s="6">
        <v>29.0</v>
      </c>
      <c r="E162" s="6">
        <v>24505.0</v>
      </c>
      <c r="F162" s="6">
        <v>30006.0</v>
      </c>
      <c r="G162" s="6">
        <v>111662.0</v>
      </c>
      <c r="H162" s="6">
        <v>0.2195</v>
      </c>
      <c r="I162" s="6">
        <v>0.2687</v>
      </c>
      <c r="J162" s="6">
        <v>-0.0493</v>
      </c>
    </row>
    <row r="163">
      <c r="A163" s="5" t="s">
        <v>56</v>
      </c>
      <c r="B163" s="5" t="s">
        <v>163</v>
      </c>
      <c r="C163" s="5" t="s">
        <v>69</v>
      </c>
      <c r="D163" s="6">
        <v>30.0</v>
      </c>
      <c r="E163" s="6">
        <v>23443.0</v>
      </c>
      <c r="F163" s="6">
        <v>27600.0</v>
      </c>
      <c r="G163" s="6">
        <v>111662.0</v>
      </c>
      <c r="H163" s="6">
        <v>0.2099</v>
      </c>
      <c r="I163" s="6">
        <v>0.2472</v>
      </c>
      <c r="J163" s="6">
        <v>-0.0372</v>
      </c>
    </row>
    <row r="164">
      <c r="A164" s="5" t="s">
        <v>56</v>
      </c>
      <c r="B164" s="5" t="s">
        <v>163</v>
      </c>
      <c r="C164" s="5" t="s">
        <v>69</v>
      </c>
      <c r="D164" s="6">
        <v>31.0</v>
      </c>
      <c r="E164" s="6">
        <v>42382.0</v>
      </c>
      <c r="F164" s="6">
        <v>35025.0</v>
      </c>
      <c r="G164" s="6">
        <v>111662.0</v>
      </c>
      <c r="H164" s="6">
        <v>0.3796</v>
      </c>
      <c r="I164" s="6">
        <v>0.3137</v>
      </c>
      <c r="J164" s="6">
        <v>0.0659</v>
      </c>
    </row>
    <row r="165">
      <c r="A165" s="5" t="s">
        <v>56</v>
      </c>
      <c r="B165" s="5" t="s">
        <v>163</v>
      </c>
      <c r="C165" s="5" t="s">
        <v>69</v>
      </c>
      <c r="D165" s="6">
        <v>32.0</v>
      </c>
      <c r="E165" s="6">
        <v>34284.0</v>
      </c>
      <c r="F165" s="6">
        <v>33698.0</v>
      </c>
      <c r="G165" s="6">
        <v>111662.0</v>
      </c>
      <c r="H165" s="6">
        <v>0.307</v>
      </c>
      <c r="I165" s="6">
        <v>0.3018</v>
      </c>
      <c r="J165" s="6">
        <v>0.0052</v>
      </c>
    </row>
    <row r="166">
      <c r="A166" s="5" t="s">
        <v>56</v>
      </c>
      <c r="B166" s="5" t="s">
        <v>163</v>
      </c>
      <c r="C166" s="5" t="s">
        <v>69</v>
      </c>
      <c r="D166" s="6">
        <v>33.0</v>
      </c>
      <c r="E166" s="6">
        <v>32737.0</v>
      </c>
      <c r="F166" s="6">
        <v>34186.0</v>
      </c>
      <c r="G166" s="6">
        <v>111662.0</v>
      </c>
      <c r="H166" s="6">
        <v>0.2932</v>
      </c>
      <c r="I166" s="6">
        <v>0.3062</v>
      </c>
      <c r="J166" s="6">
        <v>-0.013</v>
      </c>
    </row>
    <row r="167">
      <c r="A167" s="5" t="s">
        <v>56</v>
      </c>
      <c r="B167" s="5" t="s">
        <v>163</v>
      </c>
      <c r="C167" s="5" t="s">
        <v>70</v>
      </c>
      <c r="D167" s="6">
        <v>1.0</v>
      </c>
      <c r="E167" s="6">
        <v>26159.0</v>
      </c>
      <c r="F167" s="6">
        <v>32905.0</v>
      </c>
      <c r="G167" s="6">
        <v>115784.0</v>
      </c>
      <c r="H167" s="6">
        <v>0.2259</v>
      </c>
      <c r="I167" s="6">
        <v>0.2842</v>
      </c>
      <c r="J167" s="6">
        <v>-0.0583</v>
      </c>
    </row>
    <row r="168">
      <c r="A168" s="5" t="s">
        <v>56</v>
      </c>
      <c r="B168" s="5" t="s">
        <v>163</v>
      </c>
      <c r="C168" s="5" t="s">
        <v>70</v>
      </c>
      <c r="D168" s="6">
        <v>2.0</v>
      </c>
      <c r="E168" s="6">
        <v>24536.0</v>
      </c>
      <c r="F168" s="6">
        <v>29733.0</v>
      </c>
      <c r="G168" s="6">
        <v>115784.0</v>
      </c>
      <c r="H168" s="6">
        <v>0.2119</v>
      </c>
      <c r="I168" s="6">
        <v>0.2568</v>
      </c>
      <c r="J168" s="6">
        <v>-0.0449</v>
      </c>
    </row>
    <row r="169">
      <c r="A169" s="5" t="s">
        <v>56</v>
      </c>
      <c r="B169" s="5" t="s">
        <v>163</v>
      </c>
      <c r="C169" s="5" t="s">
        <v>70</v>
      </c>
      <c r="D169" s="6">
        <v>3.0</v>
      </c>
      <c r="E169" s="6">
        <v>37349.0</v>
      </c>
      <c r="F169" s="6">
        <v>34349.0</v>
      </c>
      <c r="G169" s="6">
        <v>115784.0</v>
      </c>
      <c r="H169" s="6">
        <v>0.3226</v>
      </c>
      <c r="I169" s="6">
        <v>0.2967</v>
      </c>
      <c r="J169" s="6">
        <v>0.0259</v>
      </c>
    </row>
    <row r="170">
      <c r="A170" s="5" t="s">
        <v>56</v>
      </c>
      <c r="B170" s="5" t="s">
        <v>163</v>
      </c>
      <c r="C170" s="5" t="s">
        <v>70</v>
      </c>
      <c r="D170" s="6">
        <v>4.0</v>
      </c>
      <c r="E170" s="6">
        <v>29278.0</v>
      </c>
      <c r="F170" s="6">
        <v>31966.0</v>
      </c>
      <c r="G170" s="6">
        <v>115784.0</v>
      </c>
      <c r="H170" s="6">
        <v>0.2529</v>
      </c>
      <c r="I170" s="6">
        <v>0.2761</v>
      </c>
      <c r="J170" s="6">
        <v>-0.0232</v>
      </c>
    </row>
    <row r="171">
      <c r="A171" s="5" t="s">
        <v>56</v>
      </c>
      <c r="B171" s="5" t="s">
        <v>163</v>
      </c>
      <c r="C171" s="5" t="s">
        <v>70</v>
      </c>
      <c r="D171" s="6">
        <v>5.0</v>
      </c>
      <c r="E171" s="6">
        <v>27918.0</v>
      </c>
      <c r="F171" s="6">
        <v>32879.0</v>
      </c>
      <c r="G171" s="6">
        <v>115784.0</v>
      </c>
      <c r="H171" s="6">
        <v>0.2411</v>
      </c>
      <c r="I171" s="6">
        <v>0.284</v>
      </c>
      <c r="J171" s="6">
        <v>-0.0428</v>
      </c>
    </row>
    <row r="172">
      <c r="A172" s="5" t="s">
        <v>56</v>
      </c>
      <c r="B172" s="5" t="s">
        <v>163</v>
      </c>
      <c r="C172" s="5" t="s">
        <v>70</v>
      </c>
      <c r="D172" s="6">
        <v>6.0</v>
      </c>
      <c r="E172" s="6">
        <v>37518.0</v>
      </c>
      <c r="F172" s="6">
        <v>35970.0</v>
      </c>
      <c r="G172" s="6">
        <v>115784.0</v>
      </c>
      <c r="H172" s="6">
        <v>0.324</v>
      </c>
      <c r="I172" s="6">
        <v>0.3107</v>
      </c>
      <c r="J172" s="6">
        <v>0.0134</v>
      </c>
    </row>
    <row r="173">
      <c r="A173" s="5" t="s">
        <v>56</v>
      </c>
      <c r="B173" s="5" t="s">
        <v>163</v>
      </c>
      <c r="C173" s="5" t="s">
        <v>70</v>
      </c>
      <c r="D173" s="6">
        <v>7.0</v>
      </c>
      <c r="E173" s="6">
        <v>30169.0</v>
      </c>
      <c r="F173" s="6">
        <v>33028.0</v>
      </c>
      <c r="G173" s="6">
        <v>115784.0</v>
      </c>
      <c r="H173" s="6">
        <v>0.2606</v>
      </c>
      <c r="I173" s="6">
        <v>0.2853</v>
      </c>
      <c r="J173" s="6">
        <v>-0.0247</v>
      </c>
    </row>
    <row r="174">
      <c r="A174" s="5" t="s">
        <v>56</v>
      </c>
      <c r="B174" s="5" t="s">
        <v>163</v>
      </c>
      <c r="C174" s="5" t="s">
        <v>70</v>
      </c>
      <c r="D174" s="6">
        <v>8.0</v>
      </c>
      <c r="E174" s="6">
        <v>25504.0</v>
      </c>
      <c r="F174" s="6">
        <v>31604.0</v>
      </c>
      <c r="G174" s="6">
        <v>115784.0</v>
      </c>
      <c r="H174" s="6">
        <v>0.2203</v>
      </c>
      <c r="I174" s="6">
        <v>0.273</v>
      </c>
      <c r="J174" s="6">
        <v>-0.0527</v>
      </c>
    </row>
    <row r="175">
      <c r="A175" s="5" t="s">
        <v>56</v>
      </c>
      <c r="B175" s="5" t="s">
        <v>163</v>
      </c>
      <c r="C175" s="5" t="s">
        <v>70</v>
      </c>
      <c r="D175" s="6">
        <v>9.0</v>
      </c>
      <c r="E175" s="6">
        <v>22875.0</v>
      </c>
      <c r="F175" s="6">
        <v>28624.0</v>
      </c>
      <c r="G175" s="6">
        <v>115784.0</v>
      </c>
      <c r="H175" s="6">
        <v>0.1976</v>
      </c>
      <c r="I175" s="6">
        <v>0.2472</v>
      </c>
      <c r="J175" s="6">
        <v>-0.0497</v>
      </c>
    </row>
    <row r="176">
      <c r="A176" s="5" t="s">
        <v>56</v>
      </c>
      <c r="B176" s="5" t="s">
        <v>163</v>
      </c>
      <c r="C176" s="5" t="s">
        <v>70</v>
      </c>
      <c r="D176" s="6">
        <v>10.0</v>
      </c>
      <c r="E176" s="6">
        <v>52390.0</v>
      </c>
      <c r="F176" s="6">
        <v>39283.0</v>
      </c>
      <c r="G176" s="6">
        <v>115784.0</v>
      </c>
      <c r="H176" s="6">
        <v>0.4525</v>
      </c>
      <c r="I176" s="6">
        <v>0.3393</v>
      </c>
      <c r="J176" s="6">
        <v>0.1132</v>
      </c>
    </row>
    <row r="177">
      <c r="A177" s="5" t="s">
        <v>56</v>
      </c>
      <c r="B177" s="5" t="s">
        <v>163</v>
      </c>
      <c r="C177" s="5" t="s">
        <v>70</v>
      </c>
      <c r="D177" s="6">
        <v>11.0</v>
      </c>
      <c r="E177" s="6">
        <v>30647.0</v>
      </c>
      <c r="F177" s="6">
        <v>31938.0</v>
      </c>
      <c r="G177" s="6">
        <v>115784.0</v>
      </c>
      <c r="H177" s="6">
        <v>0.2647</v>
      </c>
      <c r="I177" s="6">
        <v>0.2758</v>
      </c>
      <c r="J177" s="6">
        <v>-0.0112</v>
      </c>
    </row>
    <row r="178">
      <c r="A178" s="5" t="s">
        <v>56</v>
      </c>
      <c r="B178" s="5" t="s">
        <v>163</v>
      </c>
      <c r="C178" s="5" t="s">
        <v>70</v>
      </c>
      <c r="D178" s="6">
        <v>12.0</v>
      </c>
      <c r="E178" s="6">
        <v>27691.0</v>
      </c>
      <c r="F178" s="6">
        <v>32187.0</v>
      </c>
      <c r="G178" s="6">
        <v>115784.0</v>
      </c>
      <c r="H178" s="6">
        <v>0.2392</v>
      </c>
      <c r="I178" s="6">
        <v>0.278</v>
      </c>
      <c r="J178" s="6">
        <v>-0.0388</v>
      </c>
    </row>
    <row r="179">
      <c r="A179" s="5" t="s">
        <v>56</v>
      </c>
      <c r="B179" s="5" t="s">
        <v>163</v>
      </c>
      <c r="C179" s="5" t="s">
        <v>70</v>
      </c>
      <c r="D179" s="6">
        <v>13.0</v>
      </c>
      <c r="E179" s="6">
        <v>36190.0</v>
      </c>
      <c r="F179" s="6">
        <v>33838.0</v>
      </c>
      <c r="G179" s="6">
        <v>115784.0</v>
      </c>
      <c r="H179" s="6">
        <v>0.3126</v>
      </c>
      <c r="I179" s="6">
        <v>0.2923</v>
      </c>
      <c r="J179" s="6">
        <v>0.0203</v>
      </c>
    </row>
    <row r="180">
      <c r="A180" s="5" t="s">
        <v>56</v>
      </c>
      <c r="B180" s="5" t="s">
        <v>163</v>
      </c>
      <c r="C180" s="5" t="s">
        <v>70</v>
      </c>
      <c r="D180" s="6">
        <v>14.0</v>
      </c>
      <c r="E180" s="6">
        <v>28214.0</v>
      </c>
      <c r="F180" s="6">
        <v>31208.0</v>
      </c>
      <c r="G180" s="6">
        <v>115784.0</v>
      </c>
      <c r="H180" s="6">
        <v>0.2437</v>
      </c>
      <c r="I180" s="6">
        <v>0.2695</v>
      </c>
      <c r="J180" s="6">
        <v>-0.0259</v>
      </c>
    </row>
    <row r="181">
      <c r="A181" s="5" t="s">
        <v>56</v>
      </c>
      <c r="B181" s="5" t="s">
        <v>163</v>
      </c>
      <c r="C181" s="5" t="s">
        <v>70</v>
      </c>
      <c r="D181" s="6">
        <v>15.0</v>
      </c>
      <c r="E181" s="6">
        <v>24820.0</v>
      </c>
      <c r="F181" s="6">
        <v>29885.0</v>
      </c>
      <c r="G181" s="6">
        <v>115784.0</v>
      </c>
      <c r="H181" s="6">
        <v>0.2144</v>
      </c>
      <c r="I181" s="6">
        <v>0.2581</v>
      </c>
      <c r="J181" s="6">
        <v>-0.0437</v>
      </c>
    </row>
    <row r="182">
      <c r="A182" s="5" t="s">
        <v>56</v>
      </c>
      <c r="B182" s="5" t="s">
        <v>163</v>
      </c>
      <c r="C182" s="5" t="s">
        <v>70</v>
      </c>
      <c r="D182" s="6">
        <v>16.0</v>
      </c>
      <c r="E182" s="6">
        <v>25066.0</v>
      </c>
      <c r="F182" s="6">
        <v>27960.0</v>
      </c>
      <c r="G182" s="6">
        <v>115784.0</v>
      </c>
      <c r="H182" s="6">
        <v>0.2165</v>
      </c>
      <c r="I182" s="6">
        <v>0.2415</v>
      </c>
      <c r="J182" s="6">
        <v>-0.025</v>
      </c>
    </row>
    <row r="183">
      <c r="A183" s="5" t="s">
        <v>56</v>
      </c>
      <c r="B183" s="5" t="s">
        <v>163</v>
      </c>
      <c r="C183" s="5" t="s">
        <v>70</v>
      </c>
      <c r="D183" s="6">
        <v>17.0</v>
      </c>
      <c r="E183" s="6">
        <v>45423.0</v>
      </c>
      <c r="F183" s="6">
        <v>36020.0</v>
      </c>
      <c r="G183" s="6">
        <v>115784.0</v>
      </c>
      <c r="H183" s="6">
        <v>0.3923</v>
      </c>
      <c r="I183" s="6">
        <v>0.3111</v>
      </c>
      <c r="J183" s="6">
        <v>0.0812</v>
      </c>
    </row>
    <row r="184">
      <c r="A184" s="5" t="s">
        <v>56</v>
      </c>
      <c r="B184" s="5" t="s">
        <v>163</v>
      </c>
      <c r="C184" s="5" t="s">
        <v>70</v>
      </c>
      <c r="D184" s="6">
        <v>18.0</v>
      </c>
      <c r="E184" s="6">
        <v>29880.0</v>
      </c>
      <c r="F184" s="6">
        <v>31621.0</v>
      </c>
      <c r="G184" s="6">
        <v>115784.0</v>
      </c>
      <c r="H184" s="6">
        <v>0.2581</v>
      </c>
      <c r="I184" s="6">
        <v>0.2731</v>
      </c>
      <c r="J184" s="6">
        <v>-0.015</v>
      </c>
    </row>
    <row r="185">
      <c r="A185" s="5" t="s">
        <v>56</v>
      </c>
      <c r="B185" s="5" t="s">
        <v>163</v>
      </c>
      <c r="C185" s="5" t="s">
        <v>70</v>
      </c>
      <c r="D185" s="6">
        <v>19.0</v>
      </c>
      <c r="E185" s="6">
        <v>26345.0</v>
      </c>
      <c r="F185" s="6">
        <v>30763.0</v>
      </c>
      <c r="G185" s="6">
        <v>115784.0</v>
      </c>
      <c r="H185" s="6">
        <v>0.2275</v>
      </c>
      <c r="I185" s="6">
        <v>0.2657</v>
      </c>
      <c r="J185" s="6">
        <v>-0.0382</v>
      </c>
    </row>
    <row r="186">
      <c r="A186" s="5" t="s">
        <v>56</v>
      </c>
      <c r="B186" s="5" t="s">
        <v>163</v>
      </c>
      <c r="C186" s="5" t="s">
        <v>70</v>
      </c>
      <c r="D186" s="6">
        <v>20.0</v>
      </c>
      <c r="E186" s="6">
        <v>35167.0</v>
      </c>
      <c r="F186" s="6">
        <v>32796.0</v>
      </c>
      <c r="G186" s="6">
        <v>115784.0</v>
      </c>
      <c r="H186" s="6">
        <v>0.3037</v>
      </c>
      <c r="I186" s="6">
        <v>0.2833</v>
      </c>
      <c r="J186" s="6">
        <v>0.0205</v>
      </c>
    </row>
    <row r="187">
      <c r="A187" s="5" t="s">
        <v>56</v>
      </c>
      <c r="B187" s="5" t="s">
        <v>163</v>
      </c>
      <c r="C187" s="5" t="s">
        <v>70</v>
      </c>
      <c r="D187" s="6">
        <v>21.0</v>
      </c>
      <c r="E187" s="6">
        <v>85985.0</v>
      </c>
      <c r="F187" s="6">
        <v>45029.0</v>
      </c>
      <c r="G187" s="6">
        <v>115784.0</v>
      </c>
      <c r="H187" s="6">
        <v>0.7426</v>
      </c>
      <c r="I187" s="6">
        <v>0.3889</v>
      </c>
      <c r="J187" s="6">
        <v>0.3537</v>
      </c>
    </row>
    <row r="188">
      <c r="A188" s="5" t="s">
        <v>56</v>
      </c>
      <c r="B188" s="5" t="s">
        <v>163</v>
      </c>
      <c r="C188" s="5" t="s">
        <v>70</v>
      </c>
      <c r="D188" s="6">
        <v>22.0</v>
      </c>
      <c r="E188" s="6">
        <v>50099.0</v>
      </c>
      <c r="F188" s="6">
        <v>42704.0</v>
      </c>
      <c r="G188" s="6">
        <v>115784.0</v>
      </c>
      <c r="H188" s="6">
        <v>0.4327</v>
      </c>
      <c r="I188" s="6">
        <v>0.3688</v>
      </c>
      <c r="J188" s="6">
        <v>0.0639</v>
      </c>
    </row>
    <row r="189">
      <c r="A189" s="5" t="s">
        <v>56</v>
      </c>
      <c r="B189" s="5" t="s">
        <v>163</v>
      </c>
      <c r="C189" s="5" t="s">
        <v>70</v>
      </c>
      <c r="D189" s="6">
        <v>23.0</v>
      </c>
      <c r="E189" s="6">
        <v>34377.0</v>
      </c>
      <c r="F189" s="6">
        <v>36260.0</v>
      </c>
      <c r="G189" s="6">
        <v>115784.0</v>
      </c>
      <c r="H189" s="6">
        <v>0.2969</v>
      </c>
      <c r="I189" s="6">
        <v>0.3132</v>
      </c>
      <c r="J189" s="6">
        <v>-0.0163</v>
      </c>
    </row>
    <row r="190">
      <c r="A190" s="5" t="s">
        <v>56</v>
      </c>
      <c r="B190" s="5" t="s">
        <v>163</v>
      </c>
      <c r="C190" s="5" t="s">
        <v>70</v>
      </c>
      <c r="D190" s="6">
        <v>24.0</v>
      </c>
      <c r="E190" s="6">
        <v>59563.0</v>
      </c>
      <c r="F190" s="6">
        <v>44994.0</v>
      </c>
      <c r="G190" s="6">
        <v>115784.0</v>
      </c>
      <c r="H190" s="6">
        <v>0.5144</v>
      </c>
      <c r="I190" s="6">
        <v>0.3886</v>
      </c>
      <c r="J190" s="6">
        <v>0.1258</v>
      </c>
    </row>
    <row r="191">
      <c r="A191" s="5" t="s">
        <v>56</v>
      </c>
      <c r="B191" s="5" t="s">
        <v>163</v>
      </c>
      <c r="C191" s="5" t="s">
        <v>70</v>
      </c>
      <c r="D191" s="6">
        <v>25.0</v>
      </c>
      <c r="E191" s="6">
        <v>36656.0</v>
      </c>
      <c r="F191" s="6">
        <v>37655.0</v>
      </c>
      <c r="G191" s="6">
        <v>115784.0</v>
      </c>
      <c r="H191" s="6">
        <v>0.3166</v>
      </c>
      <c r="I191" s="6">
        <v>0.3252</v>
      </c>
      <c r="J191" s="6">
        <v>-0.0086</v>
      </c>
    </row>
    <row r="192">
      <c r="A192" s="5" t="s">
        <v>56</v>
      </c>
      <c r="B192" s="5" t="s">
        <v>163</v>
      </c>
      <c r="C192" s="5" t="s">
        <v>70</v>
      </c>
      <c r="D192" s="6">
        <v>26.0</v>
      </c>
      <c r="E192" s="6">
        <v>31266.0</v>
      </c>
      <c r="F192" s="6">
        <v>35499.0</v>
      </c>
      <c r="G192" s="6">
        <v>115784.0</v>
      </c>
      <c r="H192" s="6">
        <v>0.27</v>
      </c>
      <c r="I192" s="6">
        <v>0.3066</v>
      </c>
      <c r="J192" s="6">
        <v>-0.0366</v>
      </c>
    </row>
    <row r="193">
      <c r="A193" s="5" t="s">
        <v>56</v>
      </c>
      <c r="B193" s="5" t="s">
        <v>163</v>
      </c>
      <c r="C193" s="5" t="s">
        <v>70</v>
      </c>
      <c r="D193" s="6">
        <v>27.0</v>
      </c>
      <c r="E193" s="6">
        <v>34100.0</v>
      </c>
      <c r="F193" s="6">
        <v>33755.0</v>
      </c>
      <c r="G193" s="6">
        <v>115784.0</v>
      </c>
      <c r="H193" s="6">
        <v>0.2945</v>
      </c>
      <c r="I193" s="6">
        <v>0.2915</v>
      </c>
      <c r="J193" s="6">
        <v>0.003</v>
      </c>
    </row>
    <row r="194">
      <c r="A194" s="5" t="s">
        <v>56</v>
      </c>
      <c r="B194" s="5" t="s">
        <v>163</v>
      </c>
      <c r="C194" s="5" t="s">
        <v>70</v>
      </c>
      <c r="D194" s="6">
        <v>28.0</v>
      </c>
      <c r="E194" s="6">
        <v>24930.0</v>
      </c>
      <c r="F194" s="6">
        <v>28931.0</v>
      </c>
      <c r="G194" s="6">
        <v>115784.0</v>
      </c>
      <c r="H194" s="6">
        <v>0.2153</v>
      </c>
      <c r="I194" s="6">
        <v>0.2499</v>
      </c>
      <c r="J194" s="6">
        <v>-0.0346</v>
      </c>
    </row>
    <row r="195">
      <c r="A195" s="5" t="s">
        <v>56</v>
      </c>
      <c r="B195" s="5" t="s">
        <v>163</v>
      </c>
      <c r="C195" s="5" t="s">
        <v>70</v>
      </c>
      <c r="D195" s="6">
        <v>29.0</v>
      </c>
      <c r="E195" s="6">
        <v>22538.0</v>
      </c>
      <c r="F195" s="6">
        <v>27870.0</v>
      </c>
      <c r="G195" s="6">
        <v>115784.0</v>
      </c>
      <c r="H195" s="6">
        <v>0.1947</v>
      </c>
      <c r="I195" s="6">
        <v>0.2407</v>
      </c>
      <c r="J195" s="6">
        <v>-0.0461</v>
      </c>
    </row>
    <row r="196">
      <c r="A196" s="5" t="s">
        <v>56</v>
      </c>
      <c r="B196" s="5" t="s">
        <v>163</v>
      </c>
      <c r="C196" s="5" t="s">
        <v>70</v>
      </c>
      <c r="D196" s="6">
        <v>30.0</v>
      </c>
      <c r="E196" s="6">
        <v>21563.0</v>
      </c>
      <c r="F196" s="6">
        <v>25776.0</v>
      </c>
      <c r="G196" s="6">
        <v>115784.0</v>
      </c>
      <c r="H196" s="6">
        <v>0.1862</v>
      </c>
      <c r="I196" s="6">
        <v>0.2226</v>
      </c>
      <c r="J196" s="6">
        <v>-0.0364</v>
      </c>
    </row>
    <row r="197">
      <c r="A197" s="5" t="s">
        <v>56</v>
      </c>
      <c r="B197" s="5" t="s">
        <v>163</v>
      </c>
      <c r="C197" s="5" t="s">
        <v>70</v>
      </c>
      <c r="D197" s="6">
        <v>31.0</v>
      </c>
      <c r="E197" s="6">
        <v>37790.0</v>
      </c>
      <c r="F197" s="6">
        <v>31976.0</v>
      </c>
      <c r="G197" s="6">
        <v>115784.0</v>
      </c>
      <c r="H197" s="6">
        <v>0.3264</v>
      </c>
      <c r="I197" s="6">
        <v>0.2762</v>
      </c>
      <c r="J197" s="6">
        <v>0.0502</v>
      </c>
    </row>
    <row r="198">
      <c r="A198" s="5" t="s">
        <v>56</v>
      </c>
      <c r="B198" s="5" t="s">
        <v>163</v>
      </c>
      <c r="C198" s="5" t="s">
        <v>70</v>
      </c>
      <c r="D198" s="6">
        <v>32.0</v>
      </c>
      <c r="E198" s="6">
        <v>27917.0</v>
      </c>
      <c r="F198" s="6">
        <v>29491.0</v>
      </c>
      <c r="G198" s="6">
        <v>115784.0</v>
      </c>
      <c r="H198" s="6">
        <v>0.2411</v>
      </c>
      <c r="I198" s="6">
        <v>0.2547</v>
      </c>
      <c r="J198" s="6">
        <v>-0.0136</v>
      </c>
    </row>
    <row r="199">
      <c r="A199" s="5" t="s">
        <v>56</v>
      </c>
      <c r="B199" s="5" t="s">
        <v>163</v>
      </c>
      <c r="C199" s="5" t="s">
        <v>70</v>
      </c>
      <c r="D199" s="6">
        <v>33.0</v>
      </c>
      <c r="E199" s="6">
        <v>26816.0</v>
      </c>
      <c r="F199" s="6">
        <v>30100.0</v>
      </c>
      <c r="G199" s="6">
        <v>115784.0</v>
      </c>
      <c r="H199" s="6">
        <v>0.2316</v>
      </c>
      <c r="I199" s="6">
        <v>0.26</v>
      </c>
      <c r="J199" s="6">
        <v>-0.0284</v>
      </c>
    </row>
    <row r="200">
      <c r="A200" s="5" t="s">
        <v>56</v>
      </c>
      <c r="B200" s="5" t="s">
        <v>163</v>
      </c>
      <c r="C200" s="5" t="s">
        <v>71</v>
      </c>
      <c r="D200" s="6">
        <v>1.0</v>
      </c>
      <c r="E200" s="6">
        <v>11895.0</v>
      </c>
      <c r="F200" s="6">
        <v>14519.0</v>
      </c>
      <c r="G200" s="6">
        <v>98716.0</v>
      </c>
      <c r="H200" s="6">
        <v>0.1205</v>
      </c>
      <c r="I200" s="6">
        <v>0.1471</v>
      </c>
      <c r="J200" s="6">
        <v>-0.0266</v>
      </c>
    </row>
    <row r="201">
      <c r="A201" s="5" t="s">
        <v>56</v>
      </c>
      <c r="B201" s="5" t="s">
        <v>163</v>
      </c>
      <c r="C201" s="5" t="s">
        <v>71</v>
      </c>
      <c r="D201" s="6">
        <v>2.0</v>
      </c>
      <c r="E201" s="6">
        <v>11532.0</v>
      </c>
      <c r="F201" s="6">
        <v>13326.0</v>
      </c>
      <c r="G201" s="6">
        <v>98716.0</v>
      </c>
      <c r="H201" s="6">
        <v>0.1168</v>
      </c>
      <c r="I201" s="6">
        <v>0.135</v>
      </c>
      <c r="J201" s="6">
        <v>-0.0182</v>
      </c>
    </row>
    <row r="202">
      <c r="A202" s="5" t="s">
        <v>56</v>
      </c>
      <c r="B202" s="5" t="s">
        <v>163</v>
      </c>
      <c r="C202" s="5" t="s">
        <v>71</v>
      </c>
      <c r="D202" s="6">
        <v>3.0</v>
      </c>
      <c r="E202" s="6">
        <v>23989.0</v>
      </c>
      <c r="F202" s="6">
        <v>18717.0</v>
      </c>
      <c r="G202" s="6">
        <v>98716.0</v>
      </c>
      <c r="H202" s="6">
        <v>0.243</v>
      </c>
      <c r="I202" s="6">
        <v>0.1896</v>
      </c>
      <c r="J202" s="6">
        <v>0.0534</v>
      </c>
    </row>
    <row r="203">
      <c r="A203" s="5" t="s">
        <v>56</v>
      </c>
      <c r="B203" s="5" t="s">
        <v>163</v>
      </c>
      <c r="C203" s="5" t="s">
        <v>71</v>
      </c>
      <c r="D203" s="6">
        <v>4.0</v>
      </c>
      <c r="E203" s="6">
        <v>16202.0</v>
      </c>
      <c r="F203" s="6">
        <v>16575.0</v>
      </c>
      <c r="G203" s="6">
        <v>98716.0</v>
      </c>
      <c r="H203" s="6">
        <v>0.1641</v>
      </c>
      <c r="I203" s="6">
        <v>0.1679</v>
      </c>
      <c r="J203" s="6">
        <v>-0.0038</v>
      </c>
    </row>
    <row r="204">
      <c r="A204" s="5" t="s">
        <v>56</v>
      </c>
      <c r="B204" s="5" t="s">
        <v>163</v>
      </c>
      <c r="C204" s="5" t="s">
        <v>71</v>
      </c>
      <c r="D204" s="6">
        <v>5.0</v>
      </c>
      <c r="E204" s="6">
        <v>14557.0</v>
      </c>
      <c r="F204" s="6">
        <v>16512.0</v>
      </c>
      <c r="G204" s="6">
        <v>98716.0</v>
      </c>
      <c r="H204" s="6">
        <v>0.1475</v>
      </c>
      <c r="I204" s="6">
        <v>0.1673</v>
      </c>
      <c r="J204" s="6">
        <v>-0.0198</v>
      </c>
    </row>
    <row r="205">
      <c r="A205" s="5" t="s">
        <v>56</v>
      </c>
      <c r="B205" s="5" t="s">
        <v>163</v>
      </c>
      <c r="C205" s="5" t="s">
        <v>71</v>
      </c>
      <c r="D205" s="6">
        <v>6.0</v>
      </c>
      <c r="E205" s="6">
        <v>22254.0</v>
      </c>
      <c r="F205" s="6">
        <v>18587.0</v>
      </c>
      <c r="G205" s="6">
        <v>98716.0</v>
      </c>
      <c r="H205" s="6">
        <v>0.2254</v>
      </c>
      <c r="I205" s="6">
        <v>0.1883</v>
      </c>
      <c r="J205" s="6">
        <v>0.0371</v>
      </c>
    </row>
    <row r="206">
      <c r="A206" s="5" t="s">
        <v>56</v>
      </c>
      <c r="B206" s="5" t="s">
        <v>163</v>
      </c>
      <c r="C206" s="5" t="s">
        <v>71</v>
      </c>
      <c r="D206" s="6">
        <v>7.0</v>
      </c>
      <c r="E206" s="6">
        <v>13651.0</v>
      </c>
      <c r="F206" s="6">
        <v>15497.0</v>
      </c>
      <c r="G206" s="6">
        <v>98716.0</v>
      </c>
      <c r="H206" s="6">
        <v>0.1383</v>
      </c>
      <c r="I206" s="6">
        <v>0.157</v>
      </c>
      <c r="J206" s="6">
        <v>-0.0187</v>
      </c>
    </row>
    <row r="207">
      <c r="A207" s="5" t="s">
        <v>56</v>
      </c>
      <c r="B207" s="5" t="s">
        <v>163</v>
      </c>
      <c r="C207" s="5" t="s">
        <v>71</v>
      </c>
      <c r="D207" s="6">
        <v>8.0</v>
      </c>
      <c r="E207" s="6">
        <v>11395.0</v>
      </c>
      <c r="F207" s="6">
        <v>14072.0</v>
      </c>
      <c r="G207" s="6">
        <v>98716.0</v>
      </c>
      <c r="H207" s="6">
        <v>0.1154</v>
      </c>
      <c r="I207" s="6">
        <v>0.1426</v>
      </c>
      <c r="J207" s="6">
        <v>-0.0271</v>
      </c>
    </row>
    <row r="208">
      <c r="A208" s="5" t="s">
        <v>56</v>
      </c>
      <c r="B208" s="5" t="s">
        <v>163</v>
      </c>
      <c r="C208" s="5" t="s">
        <v>71</v>
      </c>
      <c r="D208" s="6">
        <v>9.0</v>
      </c>
      <c r="E208" s="6">
        <v>10168.0</v>
      </c>
      <c r="F208" s="6">
        <v>12963.0</v>
      </c>
      <c r="G208" s="6">
        <v>98716.0</v>
      </c>
      <c r="H208" s="6">
        <v>0.103</v>
      </c>
      <c r="I208" s="6">
        <v>0.1313</v>
      </c>
      <c r="J208" s="6">
        <v>-0.0283</v>
      </c>
    </row>
    <row r="209">
      <c r="A209" s="5" t="s">
        <v>56</v>
      </c>
      <c r="B209" s="5" t="s">
        <v>163</v>
      </c>
      <c r="C209" s="5" t="s">
        <v>71</v>
      </c>
      <c r="D209" s="6">
        <v>10.0</v>
      </c>
      <c r="E209" s="6">
        <v>26818.0</v>
      </c>
      <c r="F209" s="6">
        <v>19911.0</v>
      </c>
      <c r="G209" s="6">
        <v>98716.0</v>
      </c>
      <c r="H209" s="6">
        <v>0.2717</v>
      </c>
      <c r="I209" s="6">
        <v>0.2017</v>
      </c>
      <c r="J209" s="6">
        <v>0.07</v>
      </c>
    </row>
    <row r="210">
      <c r="A210" s="5" t="s">
        <v>56</v>
      </c>
      <c r="B210" s="5" t="s">
        <v>163</v>
      </c>
      <c r="C210" s="5" t="s">
        <v>71</v>
      </c>
      <c r="D210" s="6">
        <v>11.0</v>
      </c>
      <c r="E210" s="6">
        <v>16469.0</v>
      </c>
      <c r="F210" s="6">
        <v>16516.0</v>
      </c>
      <c r="G210" s="6">
        <v>98716.0</v>
      </c>
      <c r="H210" s="6">
        <v>0.1668</v>
      </c>
      <c r="I210" s="6">
        <v>0.1673</v>
      </c>
      <c r="J210" s="6">
        <v>-5.0E-4</v>
      </c>
    </row>
    <row r="211">
      <c r="A211" s="5" t="s">
        <v>56</v>
      </c>
      <c r="B211" s="5" t="s">
        <v>163</v>
      </c>
      <c r="C211" s="5" t="s">
        <v>71</v>
      </c>
      <c r="D211" s="6">
        <v>12.0</v>
      </c>
      <c r="E211" s="6">
        <v>14668.0</v>
      </c>
      <c r="F211" s="6">
        <v>16274.0</v>
      </c>
      <c r="G211" s="6">
        <v>98716.0</v>
      </c>
      <c r="H211" s="6">
        <v>0.1486</v>
      </c>
      <c r="I211" s="6">
        <v>0.1649</v>
      </c>
      <c r="J211" s="6">
        <v>-0.0163</v>
      </c>
    </row>
    <row r="212">
      <c r="A212" s="5" t="s">
        <v>56</v>
      </c>
      <c r="B212" s="5" t="s">
        <v>163</v>
      </c>
      <c r="C212" s="5" t="s">
        <v>71</v>
      </c>
      <c r="D212" s="6">
        <v>13.0</v>
      </c>
      <c r="E212" s="6">
        <v>21816.0</v>
      </c>
      <c r="F212" s="6">
        <v>18055.0</v>
      </c>
      <c r="G212" s="6">
        <v>98716.0</v>
      </c>
      <c r="H212" s="6">
        <v>0.221</v>
      </c>
      <c r="I212" s="6">
        <v>0.1829</v>
      </c>
      <c r="J212" s="6">
        <v>0.0381</v>
      </c>
    </row>
    <row r="213">
      <c r="A213" s="5" t="s">
        <v>56</v>
      </c>
      <c r="B213" s="5" t="s">
        <v>163</v>
      </c>
      <c r="C213" s="5" t="s">
        <v>71</v>
      </c>
      <c r="D213" s="6">
        <v>14.0</v>
      </c>
      <c r="E213" s="6">
        <v>13421.0</v>
      </c>
      <c r="F213" s="6">
        <v>15041.0</v>
      </c>
      <c r="G213" s="6">
        <v>98716.0</v>
      </c>
      <c r="H213" s="6">
        <v>0.136</v>
      </c>
      <c r="I213" s="6">
        <v>0.1524</v>
      </c>
      <c r="J213" s="6">
        <v>-0.0164</v>
      </c>
    </row>
    <row r="214">
      <c r="A214" s="5" t="s">
        <v>56</v>
      </c>
      <c r="B214" s="5" t="s">
        <v>163</v>
      </c>
      <c r="C214" s="5" t="s">
        <v>71</v>
      </c>
      <c r="D214" s="6">
        <v>15.0</v>
      </c>
      <c r="E214" s="6">
        <v>11340.0</v>
      </c>
      <c r="F214" s="6">
        <v>13792.0</v>
      </c>
      <c r="G214" s="6">
        <v>98716.0</v>
      </c>
      <c r="H214" s="6">
        <v>0.1149</v>
      </c>
      <c r="I214" s="6">
        <v>0.1397</v>
      </c>
      <c r="J214" s="6">
        <v>-0.0248</v>
      </c>
    </row>
    <row r="215">
      <c r="A215" s="5" t="s">
        <v>56</v>
      </c>
      <c r="B215" s="5" t="s">
        <v>163</v>
      </c>
      <c r="C215" s="5" t="s">
        <v>71</v>
      </c>
      <c r="D215" s="6">
        <v>16.0</v>
      </c>
      <c r="E215" s="6">
        <v>11411.0</v>
      </c>
      <c r="F215" s="6">
        <v>13087.0</v>
      </c>
      <c r="G215" s="6">
        <v>98716.0</v>
      </c>
      <c r="H215" s="6">
        <v>0.1156</v>
      </c>
      <c r="I215" s="6">
        <v>0.1326</v>
      </c>
      <c r="J215" s="6">
        <v>-0.017</v>
      </c>
    </row>
    <row r="216">
      <c r="A216" s="5" t="s">
        <v>56</v>
      </c>
      <c r="B216" s="5" t="s">
        <v>163</v>
      </c>
      <c r="C216" s="5" t="s">
        <v>71</v>
      </c>
      <c r="D216" s="6">
        <v>17.0</v>
      </c>
      <c r="E216" s="6">
        <v>25036.0</v>
      </c>
      <c r="F216" s="6">
        <v>19145.0</v>
      </c>
      <c r="G216" s="6">
        <v>98716.0</v>
      </c>
      <c r="H216" s="6">
        <v>0.2536</v>
      </c>
      <c r="I216" s="6">
        <v>0.1939</v>
      </c>
      <c r="J216" s="6">
        <v>0.0597</v>
      </c>
    </row>
    <row r="217">
      <c r="A217" s="5" t="s">
        <v>56</v>
      </c>
      <c r="B217" s="5" t="s">
        <v>163</v>
      </c>
      <c r="C217" s="5" t="s">
        <v>71</v>
      </c>
      <c r="D217" s="6">
        <v>18.0</v>
      </c>
      <c r="E217" s="6">
        <v>16618.0</v>
      </c>
      <c r="F217" s="6">
        <v>16811.0</v>
      </c>
      <c r="G217" s="6">
        <v>98716.0</v>
      </c>
      <c r="H217" s="6">
        <v>0.1683</v>
      </c>
      <c r="I217" s="6">
        <v>0.1703</v>
      </c>
      <c r="J217" s="6">
        <v>-0.002</v>
      </c>
    </row>
    <row r="218">
      <c r="A218" s="5" t="s">
        <v>56</v>
      </c>
      <c r="B218" s="5" t="s">
        <v>163</v>
      </c>
      <c r="C218" s="5" t="s">
        <v>71</v>
      </c>
      <c r="D218" s="6">
        <v>19.0</v>
      </c>
      <c r="E218" s="6">
        <v>14182.0</v>
      </c>
      <c r="F218" s="6">
        <v>15977.0</v>
      </c>
      <c r="G218" s="6">
        <v>98716.0</v>
      </c>
      <c r="H218" s="6">
        <v>0.1437</v>
      </c>
      <c r="I218" s="6">
        <v>0.1618</v>
      </c>
      <c r="J218" s="6">
        <v>-0.0182</v>
      </c>
    </row>
    <row r="219">
      <c r="A219" s="5" t="s">
        <v>56</v>
      </c>
      <c r="B219" s="5" t="s">
        <v>163</v>
      </c>
      <c r="C219" s="5" t="s">
        <v>71</v>
      </c>
      <c r="D219" s="6">
        <v>20.0</v>
      </c>
      <c r="E219" s="6">
        <v>21498.0</v>
      </c>
      <c r="F219" s="6">
        <v>17916.0</v>
      </c>
      <c r="G219" s="6">
        <v>98716.0</v>
      </c>
      <c r="H219" s="6">
        <v>0.2178</v>
      </c>
      <c r="I219" s="6">
        <v>0.1815</v>
      </c>
      <c r="J219" s="6">
        <v>0.0363</v>
      </c>
    </row>
    <row r="220">
      <c r="A220" s="5" t="s">
        <v>56</v>
      </c>
      <c r="B220" s="5" t="s">
        <v>163</v>
      </c>
      <c r="C220" s="5" t="s">
        <v>71</v>
      </c>
      <c r="D220" s="6">
        <v>21.0</v>
      </c>
      <c r="E220" s="6">
        <v>22719.0</v>
      </c>
      <c r="F220" s="6">
        <v>16113.0</v>
      </c>
      <c r="G220" s="6">
        <v>98716.0</v>
      </c>
      <c r="H220" s="6">
        <v>0.2301</v>
      </c>
      <c r="I220" s="6">
        <v>0.1632</v>
      </c>
      <c r="J220" s="6">
        <v>0.0669</v>
      </c>
    </row>
    <row r="221">
      <c r="A221" s="5" t="s">
        <v>56</v>
      </c>
      <c r="B221" s="5" t="s">
        <v>163</v>
      </c>
      <c r="C221" s="5" t="s">
        <v>71</v>
      </c>
      <c r="D221" s="6">
        <v>22.0</v>
      </c>
      <c r="E221" s="6">
        <v>13125.0</v>
      </c>
      <c r="F221" s="6">
        <v>13962.0</v>
      </c>
      <c r="G221" s="6">
        <v>98716.0</v>
      </c>
      <c r="H221" s="6">
        <v>0.133</v>
      </c>
      <c r="I221" s="6">
        <v>0.1414</v>
      </c>
      <c r="J221" s="6">
        <v>-0.0085</v>
      </c>
    </row>
    <row r="222">
      <c r="A222" s="5" t="s">
        <v>56</v>
      </c>
      <c r="B222" s="5" t="s">
        <v>163</v>
      </c>
      <c r="C222" s="5" t="s">
        <v>71</v>
      </c>
      <c r="D222" s="6">
        <v>23.0</v>
      </c>
      <c r="E222" s="6">
        <v>9643.0</v>
      </c>
      <c r="F222" s="6">
        <v>12115.0</v>
      </c>
      <c r="G222" s="6">
        <v>98716.0</v>
      </c>
      <c r="H222" s="6">
        <v>0.0977</v>
      </c>
      <c r="I222" s="6">
        <v>0.1227</v>
      </c>
      <c r="J222" s="6">
        <v>-0.025</v>
      </c>
    </row>
    <row r="223">
      <c r="A223" s="5" t="s">
        <v>56</v>
      </c>
      <c r="B223" s="5" t="s">
        <v>163</v>
      </c>
      <c r="C223" s="5" t="s">
        <v>71</v>
      </c>
      <c r="D223" s="6">
        <v>24.0</v>
      </c>
      <c r="E223" s="6">
        <v>23352.0</v>
      </c>
      <c r="F223" s="6">
        <v>17933.0</v>
      </c>
      <c r="G223" s="6">
        <v>98716.0</v>
      </c>
      <c r="H223" s="6">
        <v>0.2366</v>
      </c>
      <c r="I223" s="6">
        <v>0.1817</v>
      </c>
      <c r="J223" s="6">
        <v>0.0549</v>
      </c>
    </row>
    <row r="224">
      <c r="A224" s="5" t="s">
        <v>56</v>
      </c>
      <c r="B224" s="5" t="s">
        <v>163</v>
      </c>
      <c r="C224" s="5" t="s">
        <v>71</v>
      </c>
      <c r="D224" s="6">
        <v>25.0</v>
      </c>
      <c r="E224" s="6">
        <v>14851.0</v>
      </c>
      <c r="F224" s="6">
        <v>15197.0</v>
      </c>
      <c r="G224" s="6">
        <v>98716.0</v>
      </c>
      <c r="H224" s="6">
        <v>0.1504</v>
      </c>
      <c r="I224" s="6">
        <v>0.1539</v>
      </c>
      <c r="J224" s="6">
        <v>-0.0035</v>
      </c>
    </row>
    <row r="225">
      <c r="A225" s="5" t="s">
        <v>56</v>
      </c>
      <c r="B225" s="5" t="s">
        <v>163</v>
      </c>
      <c r="C225" s="5" t="s">
        <v>71</v>
      </c>
      <c r="D225" s="6">
        <v>26.0</v>
      </c>
      <c r="E225" s="6">
        <v>12717.0</v>
      </c>
      <c r="F225" s="6">
        <v>14633.0</v>
      </c>
      <c r="G225" s="6">
        <v>98716.0</v>
      </c>
      <c r="H225" s="6">
        <v>0.1288</v>
      </c>
      <c r="I225" s="6">
        <v>0.1482</v>
      </c>
      <c r="J225" s="6">
        <v>-0.0194</v>
      </c>
    </row>
    <row r="226">
      <c r="A226" s="5" t="s">
        <v>56</v>
      </c>
      <c r="B226" s="5" t="s">
        <v>163</v>
      </c>
      <c r="C226" s="5" t="s">
        <v>71</v>
      </c>
      <c r="D226" s="6">
        <v>27.0</v>
      </c>
      <c r="E226" s="6">
        <v>20569.0</v>
      </c>
      <c r="F226" s="6">
        <v>16683.0</v>
      </c>
      <c r="G226" s="6">
        <v>98716.0</v>
      </c>
      <c r="H226" s="6">
        <v>0.2084</v>
      </c>
      <c r="I226" s="6">
        <v>0.169</v>
      </c>
      <c r="J226" s="6">
        <v>0.0394</v>
      </c>
    </row>
    <row r="227">
      <c r="A227" s="5" t="s">
        <v>56</v>
      </c>
      <c r="B227" s="5" t="s">
        <v>163</v>
      </c>
      <c r="C227" s="5" t="s">
        <v>71</v>
      </c>
      <c r="D227" s="6">
        <v>28.0</v>
      </c>
      <c r="E227" s="6">
        <v>11474.0</v>
      </c>
      <c r="F227" s="6">
        <v>13285.0</v>
      </c>
      <c r="G227" s="6">
        <v>98716.0</v>
      </c>
      <c r="H227" s="6">
        <v>0.1162</v>
      </c>
      <c r="I227" s="6">
        <v>0.1346</v>
      </c>
      <c r="J227" s="6">
        <v>-0.0183</v>
      </c>
    </row>
    <row r="228">
      <c r="A228" s="5" t="s">
        <v>56</v>
      </c>
      <c r="B228" s="5" t="s">
        <v>163</v>
      </c>
      <c r="C228" s="5" t="s">
        <v>71</v>
      </c>
      <c r="D228" s="6">
        <v>29.0</v>
      </c>
      <c r="E228" s="6">
        <v>9460.0</v>
      </c>
      <c r="F228" s="6">
        <v>12496.0</v>
      </c>
      <c r="G228" s="6">
        <v>98716.0</v>
      </c>
      <c r="H228" s="6">
        <v>0.0958</v>
      </c>
      <c r="I228" s="6">
        <v>0.1266</v>
      </c>
      <c r="J228" s="6">
        <v>-0.0308</v>
      </c>
    </row>
    <row r="229">
      <c r="A229" s="5" t="s">
        <v>56</v>
      </c>
      <c r="B229" s="5" t="s">
        <v>163</v>
      </c>
      <c r="C229" s="5" t="s">
        <v>71</v>
      </c>
      <c r="D229" s="6">
        <v>30.0</v>
      </c>
      <c r="E229" s="6">
        <v>9589.0</v>
      </c>
      <c r="F229" s="6">
        <v>11612.0</v>
      </c>
      <c r="G229" s="6">
        <v>98716.0</v>
      </c>
      <c r="H229" s="6">
        <v>0.0971</v>
      </c>
      <c r="I229" s="6">
        <v>0.1176</v>
      </c>
      <c r="J229" s="6">
        <v>-0.0205</v>
      </c>
    </row>
    <row r="230">
      <c r="A230" s="5" t="s">
        <v>56</v>
      </c>
      <c r="B230" s="5" t="s">
        <v>163</v>
      </c>
      <c r="C230" s="5" t="s">
        <v>71</v>
      </c>
      <c r="D230" s="6">
        <v>31.0</v>
      </c>
      <c r="E230" s="6">
        <v>24380.0</v>
      </c>
      <c r="F230" s="6">
        <v>17734.0</v>
      </c>
      <c r="G230" s="6">
        <v>98716.0</v>
      </c>
      <c r="H230" s="6">
        <v>0.247</v>
      </c>
      <c r="I230" s="6">
        <v>0.1796</v>
      </c>
      <c r="J230" s="6">
        <v>0.0673</v>
      </c>
    </row>
    <row r="231">
      <c r="A231" s="5" t="s">
        <v>56</v>
      </c>
      <c r="B231" s="5" t="s">
        <v>163</v>
      </c>
      <c r="C231" s="5" t="s">
        <v>71</v>
      </c>
      <c r="D231" s="6">
        <v>32.0</v>
      </c>
      <c r="E231" s="6">
        <v>15856.0</v>
      </c>
      <c r="F231" s="6">
        <v>15639.0</v>
      </c>
      <c r="G231" s="6">
        <v>98716.0</v>
      </c>
      <c r="H231" s="6">
        <v>0.1606</v>
      </c>
      <c r="I231" s="6">
        <v>0.1584</v>
      </c>
      <c r="J231" s="6">
        <v>0.0022</v>
      </c>
    </row>
    <row r="232">
      <c r="A232" s="5" t="s">
        <v>56</v>
      </c>
      <c r="B232" s="5" t="s">
        <v>163</v>
      </c>
      <c r="C232" s="5" t="s">
        <v>71</v>
      </c>
      <c r="D232" s="6">
        <v>33.0</v>
      </c>
      <c r="E232" s="6">
        <v>14335.0</v>
      </c>
      <c r="F232" s="6">
        <v>15296.0</v>
      </c>
      <c r="G232" s="6">
        <v>98716.0</v>
      </c>
      <c r="H232" s="6">
        <v>0.1452</v>
      </c>
      <c r="I232" s="6">
        <v>0.1549</v>
      </c>
      <c r="J232" s="6">
        <v>-0.0097</v>
      </c>
    </row>
    <row r="233">
      <c r="A233" s="5" t="s">
        <v>56</v>
      </c>
      <c r="B233" s="5" t="s">
        <v>163</v>
      </c>
      <c r="C233" s="5" t="s">
        <v>1883</v>
      </c>
      <c r="D233" s="6">
        <v>1.0</v>
      </c>
      <c r="E233" s="6">
        <v>20415.0</v>
      </c>
      <c r="F233" s="6">
        <v>5841.0</v>
      </c>
      <c r="G233" s="6">
        <v>25225.0</v>
      </c>
      <c r="H233" s="6">
        <v>0.8093</v>
      </c>
      <c r="I233" s="6">
        <v>0.2316</v>
      </c>
      <c r="J233" s="6">
        <v>0.5778</v>
      </c>
    </row>
    <row r="234">
      <c r="A234" s="5" t="s">
        <v>56</v>
      </c>
      <c r="B234" s="5" t="s">
        <v>163</v>
      </c>
      <c r="C234" s="5" t="s">
        <v>1883</v>
      </c>
      <c r="D234" s="6">
        <v>2.0</v>
      </c>
      <c r="E234" s="6">
        <v>23355.0</v>
      </c>
      <c r="F234" s="6">
        <v>7162.0</v>
      </c>
      <c r="G234" s="6">
        <v>25225.0</v>
      </c>
      <c r="H234" s="6">
        <v>0.9259</v>
      </c>
      <c r="I234" s="6">
        <v>0.2839</v>
      </c>
      <c r="J234" s="6">
        <v>0.6419</v>
      </c>
    </row>
    <row r="235">
      <c r="A235" s="5" t="s">
        <v>56</v>
      </c>
      <c r="B235" s="5" t="s">
        <v>163</v>
      </c>
      <c r="C235" s="5" t="s">
        <v>1883</v>
      </c>
      <c r="D235" s="6">
        <v>3.0</v>
      </c>
      <c r="E235" s="6">
        <v>27870.0</v>
      </c>
      <c r="F235" s="6">
        <v>8730.0</v>
      </c>
      <c r="G235" s="6">
        <v>25225.0</v>
      </c>
      <c r="H235" s="6">
        <v>1.1049</v>
      </c>
      <c r="I235" s="6">
        <v>0.3461</v>
      </c>
      <c r="J235" s="6">
        <v>0.7588</v>
      </c>
    </row>
    <row r="236">
      <c r="A236" s="5" t="s">
        <v>56</v>
      </c>
      <c r="B236" s="5" t="s">
        <v>163</v>
      </c>
      <c r="C236" s="5" t="s">
        <v>1883</v>
      </c>
      <c r="D236" s="6">
        <v>4.0</v>
      </c>
      <c r="E236" s="6">
        <v>33255.0</v>
      </c>
      <c r="F236" s="6">
        <v>10860.0</v>
      </c>
      <c r="G236" s="6">
        <v>25225.0</v>
      </c>
      <c r="H236" s="6">
        <v>1.3183</v>
      </c>
      <c r="I236" s="6">
        <v>0.4305</v>
      </c>
      <c r="J236" s="6">
        <v>0.8878</v>
      </c>
    </row>
    <row r="237">
      <c r="A237" s="5" t="s">
        <v>56</v>
      </c>
      <c r="B237" s="5" t="s">
        <v>163</v>
      </c>
      <c r="C237" s="5" t="s">
        <v>1883</v>
      </c>
      <c r="D237" s="6">
        <v>5.0</v>
      </c>
      <c r="E237" s="6">
        <v>30075.0</v>
      </c>
      <c r="F237" s="6">
        <v>9788.0</v>
      </c>
      <c r="G237" s="6">
        <v>25225.0</v>
      </c>
      <c r="H237" s="6">
        <v>1.1923</v>
      </c>
      <c r="I237" s="6">
        <v>0.388</v>
      </c>
      <c r="J237" s="6">
        <v>0.8042</v>
      </c>
    </row>
    <row r="238">
      <c r="A238" s="5" t="s">
        <v>56</v>
      </c>
      <c r="B238" s="5" t="s">
        <v>163</v>
      </c>
      <c r="C238" s="5" t="s">
        <v>1883</v>
      </c>
      <c r="D238" s="6">
        <v>6.0</v>
      </c>
      <c r="E238" s="6">
        <v>24875.0</v>
      </c>
      <c r="F238" s="6">
        <v>7933.0</v>
      </c>
      <c r="G238" s="6">
        <v>25225.0</v>
      </c>
      <c r="H238" s="6">
        <v>0.9861</v>
      </c>
      <c r="I238" s="6">
        <v>0.3145</v>
      </c>
      <c r="J238" s="6">
        <v>0.6716</v>
      </c>
    </row>
    <row r="239">
      <c r="A239" s="5" t="s">
        <v>56</v>
      </c>
      <c r="B239" s="5" t="s">
        <v>163</v>
      </c>
      <c r="C239" s="5" t="s">
        <v>1883</v>
      </c>
      <c r="D239" s="6">
        <v>7.0</v>
      </c>
      <c r="E239" s="6">
        <v>26485.0</v>
      </c>
      <c r="F239" s="6">
        <v>8589.0</v>
      </c>
      <c r="G239" s="6">
        <v>25225.0</v>
      </c>
      <c r="H239" s="6">
        <v>1.05</v>
      </c>
      <c r="I239" s="6">
        <v>0.3405</v>
      </c>
      <c r="J239" s="6">
        <v>0.7095</v>
      </c>
    </row>
    <row r="240">
      <c r="A240" s="5" t="s">
        <v>56</v>
      </c>
      <c r="B240" s="5" t="s">
        <v>163</v>
      </c>
      <c r="C240" s="5" t="s">
        <v>1883</v>
      </c>
      <c r="D240" s="6">
        <v>8.0</v>
      </c>
      <c r="E240" s="6">
        <v>23695.0</v>
      </c>
      <c r="F240" s="6">
        <v>8195.0</v>
      </c>
      <c r="G240" s="6">
        <v>25225.0</v>
      </c>
      <c r="H240" s="6">
        <v>0.9393</v>
      </c>
      <c r="I240" s="6">
        <v>0.3249</v>
      </c>
      <c r="J240" s="6">
        <v>0.6145</v>
      </c>
    </row>
    <row r="241">
      <c r="A241" s="5" t="s">
        <v>56</v>
      </c>
      <c r="B241" s="5" t="s">
        <v>163</v>
      </c>
      <c r="C241" s="5" t="s">
        <v>1883</v>
      </c>
      <c r="D241" s="6">
        <v>9.0</v>
      </c>
      <c r="E241" s="6">
        <v>23150.0</v>
      </c>
      <c r="F241" s="6">
        <v>7260.0</v>
      </c>
      <c r="G241" s="6">
        <v>25225.0</v>
      </c>
      <c r="H241" s="6">
        <v>0.9177</v>
      </c>
      <c r="I241" s="6">
        <v>0.2878</v>
      </c>
      <c r="J241" s="6">
        <v>0.6299</v>
      </c>
    </row>
    <row r="242">
      <c r="A242" s="5" t="s">
        <v>56</v>
      </c>
      <c r="B242" s="5" t="s">
        <v>163</v>
      </c>
      <c r="C242" s="5" t="s">
        <v>1883</v>
      </c>
      <c r="D242" s="6">
        <v>10.0</v>
      </c>
      <c r="E242" s="6">
        <v>26205.0</v>
      </c>
      <c r="F242" s="6">
        <v>7301.0</v>
      </c>
      <c r="G242" s="6">
        <v>25225.0</v>
      </c>
      <c r="H242" s="6">
        <v>1.0389</v>
      </c>
      <c r="I242" s="6">
        <v>0.2894</v>
      </c>
      <c r="J242" s="6">
        <v>0.7494</v>
      </c>
    </row>
    <row r="243">
      <c r="A243" s="5" t="s">
        <v>56</v>
      </c>
      <c r="B243" s="5" t="s">
        <v>163</v>
      </c>
      <c r="C243" s="5" t="s">
        <v>1883</v>
      </c>
      <c r="D243" s="6">
        <v>11.0</v>
      </c>
      <c r="E243" s="6">
        <v>25615.0</v>
      </c>
      <c r="F243" s="6">
        <v>7640.0</v>
      </c>
      <c r="G243" s="6">
        <v>25225.0</v>
      </c>
      <c r="H243" s="6">
        <v>1.0155</v>
      </c>
      <c r="I243" s="6">
        <v>0.3029</v>
      </c>
      <c r="J243" s="6">
        <v>0.7126</v>
      </c>
    </row>
    <row r="244">
      <c r="A244" s="5" t="s">
        <v>56</v>
      </c>
      <c r="B244" s="5" t="s">
        <v>163</v>
      </c>
      <c r="C244" s="5" t="s">
        <v>1883</v>
      </c>
      <c r="D244" s="6">
        <v>12.0</v>
      </c>
      <c r="E244" s="6">
        <v>23170.0</v>
      </c>
      <c r="F244" s="6">
        <v>6819.0</v>
      </c>
      <c r="G244" s="6">
        <v>25225.0</v>
      </c>
      <c r="H244" s="6">
        <v>0.9185</v>
      </c>
      <c r="I244" s="6">
        <v>0.2703</v>
      </c>
      <c r="J244" s="6">
        <v>0.6482</v>
      </c>
    </row>
    <row r="245">
      <c r="A245" s="5" t="s">
        <v>56</v>
      </c>
      <c r="B245" s="5" t="s">
        <v>163</v>
      </c>
      <c r="C245" s="5" t="s">
        <v>1883</v>
      </c>
      <c r="D245" s="6">
        <v>13.0</v>
      </c>
      <c r="E245" s="6">
        <v>20525.0</v>
      </c>
      <c r="F245" s="6">
        <v>6110.0</v>
      </c>
      <c r="G245" s="6">
        <v>25225.0</v>
      </c>
      <c r="H245" s="6">
        <v>0.8137</v>
      </c>
      <c r="I245" s="6">
        <v>0.2422</v>
      </c>
      <c r="J245" s="6">
        <v>0.5715</v>
      </c>
    </row>
    <row r="246">
      <c r="A246" s="5" t="s">
        <v>56</v>
      </c>
      <c r="B246" s="5" t="s">
        <v>163</v>
      </c>
      <c r="C246" s="5" t="s">
        <v>1883</v>
      </c>
      <c r="D246" s="6">
        <v>14.0</v>
      </c>
      <c r="E246" s="6">
        <v>20485.0</v>
      </c>
      <c r="F246" s="6">
        <v>6369.0</v>
      </c>
      <c r="G246" s="6">
        <v>25225.0</v>
      </c>
      <c r="H246" s="6">
        <v>0.8121</v>
      </c>
      <c r="I246" s="6">
        <v>0.2525</v>
      </c>
      <c r="J246" s="6">
        <v>0.5596</v>
      </c>
    </row>
    <row r="247">
      <c r="A247" s="5" t="s">
        <v>56</v>
      </c>
      <c r="B247" s="5" t="s">
        <v>163</v>
      </c>
      <c r="C247" s="5" t="s">
        <v>1883</v>
      </c>
      <c r="D247" s="6">
        <v>15.0</v>
      </c>
      <c r="E247" s="6">
        <v>21175.0</v>
      </c>
      <c r="F247" s="6">
        <v>6969.0</v>
      </c>
      <c r="G247" s="6">
        <v>25225.0</v>
      </c>
      <c r="H247" s="6">
        <v>0.8394</v>
      </c>
      <c r="I247" s="6">
        <v>0.2763</v>
      </c>
      <c r="J247" s="6">
        <v>0.5632</v>
      </c>
    </row>
    <row r="248">
      <c r="A248" s="5" t="s">
        <v>56</v>
      </c>
      <c r="B248" s="5" t="s">
        <v>163</v>
      </c>
      <c r="C248" s="5" t="s">
        <v>1883</v>
      </c>
      <c r="D248" s="6">
        <v>16.0</v>
      </c>
      <c r="E248" s="6">
        <v>23780.0</v>
      </c>
      <c r="F248" s="6">
        <v>8190.0</v>
      </c>
      <c r="G248" s="6">
        <v>25225.0</v>
      </c>
      <c r="H248" s="6">
        <v>0.9427</v>
      </c>
      <c r="I248" s="6">
        <v>0.3247</v>
      </c>
      <c r="J248" s="6">
        <v>0.618</v>
      </c>
    </row>
    <row r="249">
      <c r="A249" s="5" t="s">
        <v>56</v>
      </c>
      <c r="B249" s="5" t="s">
        <v>163</v>
      </c>
      <c r="C249" s="5" t="s">
        <v>1883</v>
      </c>
      <c r="D249" s="6">
        <v>17.0</v>
      </c>
      <c r="E249" s="6">
        <v>27690.0</v>
      </c>
      <c r="F249" s="6">
        <v>8918.0</v>
      </c>
      <c r="G249" s="6">
        <v>25225.0</v>
      </c>
      <c r="H249" s="6">
        <v>1.0977</v>
      </c>
      <c r="I249" s="6">
        <v>0.3535</v>
      </c>
      <c r="J249" s="6">
        <v>0.7442</v>
      </c>
    </row>
    <row r="250">
      <c r="A250" s="5" t="s">
        <v>56</v>
      </c>
      <c r="B250" s="5" t="s">
        <v>163</v>
      </c>
      <c r="C250" s="5" t="s">
        <v>1883</v>
      </c>
      <c r="D250" s="6">
        <v>18.0</v>
      </c>
      <c r="E250" s="6">
        <v>30200.0</v>
      </c>
      <c r="F250" s="6">
        <v>9287.0</v>
      </c>
      <c r="G250" s="6">
        <v>25225.0</v>
      </c>
      <c r="H250" s="6">
        <v>1.1972</v>
      </c>
      <c r="I250" s="6">
        <v>0.3682</v>
      </c>
      <c r="J250" s="6">
        <v>0.8291</v>
      </c>
    </row>
    <row r="251">
      <c r="A251" s="5" t="s">
        <v>56</v>
      </c>
      <c r="B251" s="5" t="s">
        <v>163</v>
      </c>
      <c r="C251" s="5" t="s">
        <v>1883</v>
      </c>
      <c r="D251" s="6">
        <v>19.0</v>
      </c>
      <c r="E251" s="6">
        <v>27150.0</v>
      </c>
      <c r="F251" s="6">
        <v>8583.0</v>
      </c>
      <c r="G251" s="6">
        <v>25225.0</v>
      </c>
      <c r="H251" s="6">
        <v>1.0763</v>
      </c>
      <c r="I251" s="6">
        <v>0.3403</v>
      </c>
      <c r="J251" s="6">
        <v>0.7361</v>
      </c>
    </row>
    <row r="252">
      <c r="A252" s="5" t="s">
        <v>56</v>
      </c>
      <c r="B252" s="5" t="s">
        <v>163</v>
      </c>
      <c r="C252" s="5" t="s">
        <v>1883</v>
      </c>
      <c r="D252" s="6">
        <v>20.0</v>
      </c>
      <c r="E252" s="6">
        <v>23135.0</v>
      </c>
      <c r="F252" s="6">
        <v>7264.0</v>
      </c>
      <c r="G252" s="6">
        <v>25225.0</v>
      </c>
      <c r="H252" s="6">
        <v>0.9171</v>
      </c>
      <c r="I252" s="6">
        <v>0.288</v>
      </c>
      <c r="J252" s="6">
        <v>0.6292</v>
      </c>
    </row>
    <row r="253">
      <c r="A253" s="5" t="s">
        <v>56</v>
      </c>
      <c r="B253" s="5" t="s">
        <v>163</v>
      </c>
      <c r="C253" s="5" t="s">
        <v>1883</v>
      </c>
      <c r="D253" s="6">
        <v>21.0</v>
      </c>
      <c r="E253" s="6">
        <v>24740.0</v>
      </c>
      <c r="F253" s="6">
        <v>8782.0</v>
      </c>
      <c r="G253" s="6">
        <v>25225.0</v>
      </c>
      <c r="H253" s="6">
        <v>0.9808</v>
      </c>
      <c r="I253" s="6">
        <v>0.3481</v>
      </c>
      <c r="J253" s="6">
        <v>0.6326</v>
      </c>
    </row>
    <row r="254">
      <c r="A254" s="5" t="s">
        <v>56</v>
      </c>
      <c r="B254" s="5" t="s">
        <v>163</v>
      </c>
      <c r="C254" s="5" t="s">
        <v>1883</v>
      </c>
      <c r="D254" s="6">
        <v>22.0</v>
      </c>
      <c r="E254" s="6">
        <v>25085.0</v>
      </c>
      <c r="F254" s="6">
        <v>8901.0</v>
      </c>
      <c r="G254" s="6">
        <v>25225.0</v>
      </c>
      <c r="H254" s="6">
        <v>0.9944</v>
      </c>
      <c r="I254" s="6">
        <v>0.3529</v>
      </c>
      <c r="J254" s="6">
        <v>0.6416</v>
      </c>
    </row>
    <row r="255">
      <c r="A255" s="5" t="s">
        <v>56</v>
      </c>
      <c r="B255" s="5" t="s">
        <v>163</v>
      </c>
      <c r="C255" s="5" t="s">
        <v>1883</v>
      </c>
      <c r="D255" s="6">
        <v>23.0</v>
      </c>
      <c r="E255" s="6">
        <v>21185.0</v>
      </c>
      <c r="F255" s="6">
        <v>7219.0</v>
      </c>
      <c r="G255" s="6">
        <v>25225.0</v>
      </c>
      <c r="H255" s="6">
        <v>0.8398</v>
      </c>
      <c r="I255" s="6">
        <v>0.2862</v>
      </c>
      <c r="J255" s="6">
        <v>0.5537</v>
      </c>
    </row>
    <row r="256">
      <c r="A256" s="5" t="s">
        <v>56</v>
      </c>
      <c r="B256" s="5" t="s">
        <v>163</v>
      </c>
      <c r="C256" s="5" t="s">
        <v>1883</v>
      </c>
      <c r="D256" s="6">
        <v>24.0</v>
      </c>
      <c r="E256" s="6">
        <v>23835.0</v>
      </c>
      <c r="F256" s="6">
        <v>7157.0</v>
      </c>
      <c r="G256" s="6">
        <v>25225.0</v>
      </c>
      <c r="H256" s="6">
        <v>0.9449</v>
      </c>
      <c r="I256" s="6">
        <v>0.2837</v>
      </c>
      <c r="J256" s="6">
        <v>0.6612</v>
      </c>
    </row>
    <row r="257">
      <c r="A257" s="5" t="s">
        <v>56</v>
      </c>
      <c r="B257" s="5" t="s">
        <v>163</v>
      </c>
      <c r="C257" s="5" t="s">
        <v>1883</v>
      </c>
      <c r="D257" s="6">
        <v>25.0</v>
      </c>
      <c r="E257" s="6">
        <v>24410.0</v>
      </c>
      <c r="F257" s="6">
        <v>7296.0</v>
      </c>
      <c r="G257" s="6">
        <v>25225.0</v>
      </c>
      <c r="H257" s="6">
        <v>0.9677</v>
      </c>
      <c r="I257" s="6">
        <v>0.2892</v>
      </c>
      <c r="J257" s="6">
        <v>0.6785</v>
      </c>
    </row>
    <row r="258">
      <c r="A258" s="5" t="s">
        <v>56</v>
      </c>
      <c r="B258" s="5" t="s">
        <v>163</v>
      </c>
      <c r="C258" s="5" t="s">
        <v>1883</v>
      </c>
      <c r="D258" s="6">
        <v>26.0</v>
      </c>
      <c r="E258" s="6">
        <v>23810.0</v>
      </c>
      <c r="F258" s="6">
        <v>7061.0</v>
      </c>
      <c r="G258" s="6">
        <v>25225.0</v>
      </c>
      <c r="H258" s="6">
        <v>0.9439</v>
      </c>
      <c r="I258" s="6">
        <v>0.2799</v>
      </c>
      <c r="J258" s="6">
        <v>0.664</v>
      </c>
    </row>
    <row r="259">
      <c r="A259" s="5" t="s">
        <v>56</v>
      </c>
      <c r="B259" s="5" t="s">
        <v>163</v>
      </c>
      <c r="C259" s="5" t="s">
        <v>1883</v>
      </c>
      <c r="D259" s="6">
        <v>27.0</v>
      </c>
      <c r="E259" s="6">
        <v>19720.0</v>
      </c>
      <c r="F259" s="6">
        <v>5626.0</v>
      </c>
      <c r="G259" s="6">
        <v>25225.0</v>
      </c>
      <c r="H259" s="6">
        <v>0.7818</v>
      </c>
      <c r="I259" s="6">
        <v>0.223</v>
      </c>
      <c r="J259" s="6">
        <v>0.5587</v>
      </c>
    </row>
    <row r="260">
      <c r="A260" s="5" t="s">
        <v>56</v>
      </c>
      <c r="B260" s="5" t="s">
        <v>163</v>
      </c>
      <c r="C260" s="5" t="s">
        <v>1883</v>
      </c>
      <c r="D260" s="6">
        <v>28.0</v>
      </c>
      <c r="E260" s="6">
        <v>16850.0</v>
      </c>
      <c r="F260" s="6">
        <v>4604.0</v>
      </c>
      <c r="G260" s="6">
        <v>25225.0</v>
      </c>
      <c r="H260" s="6">
        <v>0.668</v>
      </c>
      <c r="I260" s="6">
        <v>0.1825</v>
      </c>
      <c r="J260" s="6">
        <v>0.4855</v>
      </c>
    </row>
    <row r="261">
      <c r="A261" s="5" t="s">
        <v>56</v>
      </c>
      <c r="B261" s="5" t="s">
        <v>163</v>
      </c>
      <c r="C261" s="5" t="s">
        <v>1883</v>
      </c>
      <c r="D261" s="6">
        <v>29.0</v>
      </c>
      <c r="E261" s="6">
        <v>17055.0</v>
      </c>
      <c r="F261" s="6">
        <v>5089.0</v>
      </c>
      <c r="G261" s="6">
        <v>25225.0</v>
      </c>
      <c r="H261" s="6">
        <v>0.6761</v>
      </c>
      <c r="I261" s="6">
        <v>0.2017</v>
      </c>
      <c r="J261" s="6">
        <v>0.4744</v>
      </c>
    </row>
    <row r="262">
      <c r="A262" s="5" t="s">
        <v>56</v>
      </c>
      <c r="B262" s="5" t="s">
        <v>163</v>
      </c>
      <c r="C262" s="5" t="s">
        <v>1883</v>
      </c>
      <c r="D262" s="6">
        <v>30.0</v>
      </c>
      <c r="E262" s="6">
        <v>21420.0</v>
      </c>
      <c r="F262" s="6">
        <v>6698.0</v>
      </c>
      <c r="G262" s="6">
        <v>25225.0</v>
      </c>
      <c r="H262" s="6">
        <v>0.8492</v>
      </c>
      <c r="I262" s="6">
        <v>0.2655</v>
      </c>
      <c r="J262" s="6">
        <v>0.5836</v>
      </c>
    </row>
    <row r="263">
      <c r="A263" s="5" t="s">
        <v>56</v>
      </c>
      <c r="B263" s="5" t="s">
        <v>163</v>
      </c>
      <c r="C263" s="5" t="s">
        <v>1883</v>
      </c>
      <c r="D263" s="6">
        <v>31.0</v>
      </c>
      <c r="E263" s="6">
        <v>23325.0</v>
      </c>
      <c r="F263" s="6">
        <v>7557.0</v>
      </c>
      <c r="G263" s="6">
        <v>25225.0</v>
      </c>
      <c r="H263" s="6">
        <v>0.9247</v>
      </c>
      <c r="I263" s="6">
        <v>0.2996</v>
      </c>
      <c r="J263" s="6">
        <v>0.6251</v>
      </c>
    </row>
    <row r="264">
      <c r="A264" s="5" t="s">
        <v>56</v>
      </c>
      <c r="B264" s="5" t="s">
        <v>163</v>
      </c>
      <c r="C264" s="5" t="s">
        <v>1883</v>
      </c>
      <c r="D264" s="6">
        <v>32.0</v>
      </c>
      <c r="E264" s="6">
        <v>30455.0</v>
      </c>
      <c r="F264" s="6">
        <v>9847.0</v>
      </c>
      <c r="G264" s="6">
        <v>25225.0</v>
      </c>
      <c r="H264" s="6">
        <v>1.2073</v>
      </c>
      <c r="I264" s="6">
        <v>0.3904</v>
      </c>
      <c r="J264" s="6">
        <v>0.817</v>
      </c>
    </row>
    <row r="265">
      <c r="A265" s="5" t="s">
        <v>56</v>
      </c>
      <c r="B265" s="5" t="s">
        <v>163</v>
      </c>
      <c r="C265" s="5" t="s">
        <v>1883</v>
      </c>
      <c r="D265" s="6">
        <v>33.0</v>
      </c>
      <c r="E265" s="6">
        <v>28200.0</v>
      </c>
      <c r="F265" s="6">
        <v>9187.0</v>
      </c>
      <c r="G265" s="6">
        <v>25225.0</v>
      </c>
      <c r="H265" s="6">
        <v>1.1179</v>
      </c>
      <c r="I265" s="6">
        <v>0.3642</v>
      </c>
      <c r="J265" s="6">
        <v>0.7537</v>
      </c>
    </row>
    <row r="266">
      <c r="A266" s="5" t="s">
        <v>56</v>
      </c>
      <c r="B266" s="5" t="s">
        <v>163</v>
      </c>
      <c r="C266" s="5" t="s">
        <v>1884</v>
      </c>
      <c r="D266" s="6">
        <v>1.0</v>
      </c>
      <c r="E266" s="6">
        <v>74675.0</v>
      </c>
      <c r="F266" s="6">
        <v>18861.0</v>
      </c>
      <c r="G266" s="6">
        <v>87897.0</v>
      </c>
      <c r="H266" s="6">
        <v>0.8496</v>
      </c>
      <c r="I266" s="6">
        <v>0.2146</v>
      </c>
      <c r="J266" s="6">
        <v>0.635</v>
      </c>
    </row>
    <row r="267">
      <c r="A267" s="5" t="s">
        <v>56</v>
      </c>
      <c r="B267" s="5" t="s">
        <v>163</v>
      </c>
      <c r="C267" s="5" t="s">
        <v>1884</v>
      </c>
      <c r="D267" s="6">
        <v>2.0</v>
      </c>
      <c r="E267" s="6">
        <v>82310.0</v>
      </c>
      <c r="F267" s="6">
        <v>22766.0</v>
      </c>
      <c r="G267" s="6">
        <v>87897.0</v>
      </c>
      <c r="H267" s="6">
        <v>0.9364</v>
      </c>
      <c r="I267" s="6">
        <v>0.259</v>
      </c>
      <c r="J267" s="6">
        <v>0.6774</v>
      </c>
    </row>
    <row r="268">
      <c r="A268" s="5" t="s">
        <v>56</v>
      </c>
      <c r="B268" s="5" t="s">
        <v>163</v>
      </c>
      <c r="C268" s="5" t="s">
        <v>1884</v>
      </c>
      <c r="D268" s="6">
        <v>3.0</v>
      </c>
      <c r="E268" s="6">
        <v>77785.0</v>
      </c>
      <c r="F268" s="6">
        <v>19824.0</v>
      </c>
      <c r="G268" s="6">
        <v>87897.0</v>
      </c>
      <c r="H268" s="6">
        <v>0.885</v>
      </c>
      <c r="I268" s="6">
        <v>0.2255</v>
      </c>
      <c r="J268" s="6">
        <v>0.6594</v>
      </c>
    </row>
    <row r="269">
      <c r="A269" s="5" t="s">
        <v>56</v>
      </c>
      <c r="B269" s="5" t="s">
        <v>163</v>
      </c>
      <c r="C269" s="5" t="s">
        <v>1884</v>
      </c>
      <c r="D269" s="6">
        <v>4.0</v>
      </c>
      <c r="E269" s="6">
        <v>90245.0</v>
      </c>
      <c r="F269" s="6">
        <v>23328.0</v>
      </c>
      <c r="G269" s="6">
        <v>87897.0</v>
      </c>
      <c r="H269" s="6">
        <v>1.0267</v>
      </c>
      <c r="I269" s="6">
        <v>0.2654</v>
      </c>
      <c r="J269" s="6">
        <v>0.7613</v>
      </c>
    </row>
    <row r="270">
      <c r="A270" s="5" t="s">
        <v>56</v>
      </c>
      <c r="B270" s="5" t="s">
        <v>163</v>
      </c>
      <c r="C270" s="5" t="s">
        <v>1884</v>
      </c>
      <c r="D270" s="6">
        <v>5.0</v>
      </c>
      <c r="E270" s="6">
        <v>82235.0</v>
      </c>
      <c r="F270" s="6">
        <v>20995.0</v>
      </c>
      <c r="G270" s="6">
        <v>87897.0</v>
      </c>
      <c r="H270" s="6">
        <v>0.9356</v>
      </c>
      <c r="I270" s="6">
        <v>0.2389</v>
      </c>
      <c r="J270" s="6">
        <v>0.6967</v>
      </c>
    </row>
    <row r="271">
      <c r="A271" s="5" t="s">
        <v>56</v>
      </c>
      <c r="B271" s="5" t="s">
        <v>163</v>
      </c>
      <c r="C271" s="5" t="s">
        <v>1884</v>
      </c>
      <c r="D271" s="6">
        <v>6.0</v>
      </c>
      <c r="E271" s="6">
        <v>82570.0</v>
      </c>
      <c r="F271" s="6">
        <v>23598.0</v>
      </c>
      <c r="G271" s="6">
        <v>87897.0</v>
      </c>
      <c r="H271" s="6">
        <v>0.9394</v>
      </c>
      <c r="I271" s="6">
        <v>0.2685</v>
      </c>
      <c r="J271" s="6">
        <v>0.6709</v>
      </c>
    </row>
    <row r="272">
      <c r="A272" s="5" t="s">
        <v>56</v>
      </c>
      <c r="B272" s="5" t="s">
        <v>163</v>
      </c>
      <c r="C272" s="5" t="s">
        <v>1884</v>
      </c>
      <c r="D272" s="6">
        <v>7.0</v>
      </c>
      <c r="E272" s="6">
        <v>89140.0</v>
      </c>
      <c r="F272" s="6">
        <v>26081.0</v>
      </c>
      <c r="G272" s="6">
        <v>87897.0</v>
      </c>
      <c r="H272" s="6">
        <v>1.0141</v>
      </c>
      <c r="I272" s="6">
        <v>0.2967</v>
      </c>
      <c r="J272" s="6">
        <v>0.7174</v>
      </c>
    </row>
    <row r="273">
      <c r="A273" s="5" t="s">
        <v>56</v>
      </c>
      <c r="B273" s="5" t="s">
        <v>163</v>
      </c>
      <c r="C273" s="5" t="s">
        <v>1884</v>
      </c>
      <c r="D273" s="6">
        <v>8.0</v>
      </c>
      <c r="E273" s="6">
        <v>89125.0</v>
      </c>
      <c r="F273" s="6">
        <v>26274.0</v>
      </c>
      <c r="G273" s="6">
        <v>87897.0</v>
      </c>
      <c r="H273" s="6">
        <v>1.014</v>
      </c>
      <c r="I273" s="6">
        <v>0.2989</v>
      </c>
      <c r="J273" s="6">
        <v>0.7151</v>
      </c>
    </row>
    <row r="274">
      <c r="A274" s="5" t="s">
        <v>56</v>
      </c>
      <c r="B274" s="5" t="s">
        <v>163</v>
      </c>
      <c r="C274" s="5" t="s">
        <v>1884</v>
      </c>
      <c r="D274" s="6">
        <v>9.0</v>
      </c>
      <c r="E274" s="6">
        <v>89950.0</v>
      </c>
      <c r="F274" s="6">
        <v>24963.0</v>
      </c>
      <c r="G274" s="6">
        <v>87897.0</v>
      </c>
      <c r="H274" s="6">
        <v>1.0234</v>
      </c>
      <c r="I274" s="6">
        <v>0.284</v>
      </c>
      <c r="J274" s="6">
        <v>0.7394</v>
      </c>
    </row>
    <row r="275">
      <c r="A275" s="5" t="s">
        <v>56</v>
      </c>
      <c r="B275" s="5" t="s">
        <v>163</v>
      </c>
      <c r="C275" s="5" t="s">
        <v>1884</v>
      </c>
      <c r="D275" s="6">
        <v>10.0</v>
      </c>
      <c r="E275" s="6">
        <v>136470.0</v>
      </c>
      <c r="F275" s="6">
        <v>37026.0</v>
      </c>
      <c r="G275" s="6">
        <v>87897.0</v>
      </c>
      <c r="H275" s="6">
        <v>1.5526</v>
      </c>
      <c r="I275" s="6">
        <v>0.4212</v>
      </c>
      <c r="J275" s="6">
        <v>1.1314</v>
      </c>
    </row>
    <row r="276">
      <c r="A276" s="5" t="s">
        <v>56</v>
      </c>
      <c r="B276" s="5" t="s">
        <v>163</v>
      </c>
      <c r="C276" s="5" t="s">
        <v>1884</v>
      </c>
      <c r="D276" s="6">
        <v>11.0</v>
      </c>
      <c r="E276" s="6">
        <v>80510.0</v>
      </c>
      <c r="F276" s="6">
        <v>18652.0</v>
      </c>
      <c r="G276" s="6">
        <v>87897.0</v>
      </c>
      <c r="H276" s="6">
        <v>0.916</v>
      </c>
      <c r="I276" s="6">
        <v>0.2122</v>
      </c>
      <c r="J276" s="6">
        <v>0.7038</v>
      </c>
    </row>
    <row r="277">
      <c r="A277" s="5" t="s">
        <v>56</v>
      </c>
      <c r="B277" s="5" t="s">
        <v>163</v>
      </c>
      <c r="C277" s="5" t="s">
        <v>1884</v>
      </c>
      <c r="D277" s="6">
        <v>12.0</v>
      </c>
      <c r="E277" s="6">
        <v>71185.0</v>
      </c>
      <c r="F277" s="6">
        <v>15988.0</v>
      </c>
      <c r="G277" s="6">
        <v>87897.0</v>
      </c>
      <c r="H277" s="6">
        <v>0.8099</v>
      </c>
      <c r="I277" s="6">
        <v>0.1819</v>
      </c>
      <c r="J277" s="6">
        <v>0.628</v>
      </c>
    </row>
    <row r="278">
      <c r="A278" s="5" t="s">
        <v>56</v>
      </c>
      <c r="B278" s="5" t="s">
        <v>163</v>
      </c>
      <c r="C278" s="5" t="s">
        <v>1884</v>
      </c>
      <c r="D278" s="6">
        <v>13.0</v>
      </c>
      <c r="E278" s="6">
        <v>68450.0</v>
      </c>
      <c r="F278" s="6">
        <v>18607.0</v>
      </c>
      <c r="G278" s="6">
        <v>87897.0</v>
      </c>
      <c r="H278" s="6">
        <v>0.7788</v>
      </c>
      <c r="I278" s="6">
        <v>0.2117</v>
      </c>
      <c r="J278" s="6">
        <v>0.5671</v>
      </c>
    </row>
    <row r="279">
      <c r="A279" s="5" t="s">
        <v>56</v>
      </c>
      <c r="B279" s="5" t="s">
        <v>163</v>
      </c>
      <c r="C279" s="5" t="s">
        <v>1884</v>
      </c>
      <c r="D279" s="6">
        <v>14.0</v>
      </c>
      <c r="E279" s="6">
        <v>73725.0</v>
      </c>
      <c r="F279" s="6">
        <v>20756.0</v>
      </c>
      <c r="G279" s="6">
        <v>87897.0</v>
      </c>
      <c r="H279" s="6">
        <v>0.8388</v>
      </c>
      <c r="I279" s="6">
        <v>0.2361</v>
      </c>
      <c r="J279" s="6">
        <v>0.6026</v>
      </c>
    </row>
    <row r="280">
      <c r="A280" s="5" t="s">
        <v>56</v>
      </c>
      <c r="B280" s="5" t="s">
        <v>163</v>
      </c>
      <c r="C280" s="5" t="s">
        <v>1884</v>
      </c>
      <c r="D280" s="6">
        <v>15.0</v>
      </c>
      <c r="E280" s="6">
        <v>81095.0</v>
      </c>
      <c r="F280" s="6">
        <v>21995.0</v>
      </c>
      <c r="G280" s="6">
        <v>87897.0</v>
      </c>
      <c r="H280" s="6">
        <v>0.9226</v>
      </c>
      <c r="I280" s="6">
        <v>0.2502</v>
      </c>
      <c r="J280" s="6">
        <v>0.6724</v>
      </c>
    </row>
    <row r="281">
      <c r="A281" s="5" t="s">
        <v>56</v>
      </c>
      <c r="B281" s="5" t="s">
        <v>163</v>
      </c>
      <c r="C281" s="5" t="s">
        <v>1884</v>
      </c>
      <c r="D281" s="6">
        <v>16.0</v>
      </c>
      <c r="E281" s="6">
        <v>98395.0</v>
      </c>
      <c r="F281" s="6">
        <v>28620.0</v>
      </c>
      <c r="G281" s="6">
        <v>87897.0</v>
      </c>
      <c r="H281" s="6">
        <v>1.1194</v>
      </c>
      <c r="I281" s="6">
        <v>0.3256</v>
      </c>
      <c r="J281" s="6">
        <v>0.7938</v>
      </c>
    </row>
    <row r="282">
      <c r="A282" s="5" t="s">
        <v>56</v>
      </c>
      <c r="B282" s="5" t="s">
        <v>163</v>
      </c>
      <c r="C282" s="5" t="s">
        <v>1884</v>
      </c>
      <c r="D282" s="6">
        <v>17.0</v>
      </c>
      <c r="E282" s="6">
        <v>109720.0</v>
      </c>
      <c r="F282" s="6">
        <v>33099.0</v>
      </c>
      <c r="G282" s="6">
        <v>87897.0</v>
      </c>
      <c r="H282" s="6">
        <v>1.2483</v>
      </c>
      <c r="I282" s="6">
        <v>0.3766</v>
      </c>
      <c r="J282" s="6">
        <v>0.8717</v>
      </c>
    </row>
    <row r="283">
      <c r="A283" s="5" t="s">
        <v>56</v>
      </c>
      <c r="B283" s="5" t="s">
        <v>163</v>
      </c>
      <c r="C283" s="5" t="s">
        <v>1884</v>
      </c>
      <c r="D283" s="6">
        <v>18.0</v>
      </c>
      <c r="E283" s="6">
        <v>83055.0</v>
      </c>
      <c r="F283" s="6">
        <v>21424.0</v>
      </c>
      <c r="G283" s="6">
        <v>87897.0</v>
      </c>
      <c r="H283" s="6">
        <v>0.9449</v>
      </c>
      <c r="I283" s="6">
        <v>0.2437</v>
      </c>
      <c r="J283" s="6">
        <v>0.7012</v>
      </c>
    </row>
    <row r="284">
      <c r="A284" s="5" t="s">
        <v>56</v>
      </c>
      <c r="B284" s="5" t="s">
        <v>163</v>
      </c>
      <c r="C284" s="5" t="s">
        <v>1884</v>
      </c>
      <c r="D284" s="6">
        <v>19.0</v>
      </c>
      <c r="E284" s="6">
        <v>79190.0</v>
      </c>
      <c r="F284" s="6">
        <v>19521.0</v>
      </c>
      <c r="G284" s="6">
        <v>87897.0</v>
      </c>
      <c r="H284" s="6">
        <v>0.9009</v>
      </c>
      <c r="I284" s="6">
        <v>0.2221</v>
      </c>
      <c r="J284" s="6">
        <v>0.6789</v>
      </c>
    </row>
    <row r="285">
      <c r="A285" s="5" t="s">
        <v>56</v>
      </c>
      <c r="B285" s="5" t="s">
        <v>163</v>
      </c>
      <c r="C285" s="5" t="s">
        <v>1884</v>
      </c>
      <c r="D285" s="6">
        <v>20.0</v>
      </c>
      <c r="E285" s="6">
        <v>75615.0</v>
      </c>
      <c r="F285" s="6">
        <v>21404.0</v>
      </c>
      <c r="G285" s="6">
        <v>87897.0</v>
      </c>
      <c r="H285" s="6">
        <v>0.8603</v>
      </c>
      <c r="I285" s="6">
        <v>0.2435</v>
      </c>
      <c r="J285" s="6">
        <v>0.6168</v>
      </c>
    </row>
    <row r="286">
      <c r="A286" s="5" t="s">
        <v>56</v>
      </c>
      <c r="B286" s="5" t="s">
        <v>163</v>
      </c>
      <c r="C286" s="5" t="s">
        <v>1884</v>
      </c>
      <c r="D286" s="6">
        <v>21.0</v>
      </c>
      <c r="E286" s="6">
        <v>397375.0</v>
      </c>
      <c r="F286" s="6">
        <v>112480.0</v>
      </c>
      <c r="G286" s="6">
        <v>87897.0</v>
      </c>
      <c r="H286" s="6">
        <v>4.5209</v>
      </c>
      <c r="I286" s="6">
        <v>1.2797</v>
      </c>
      <c r="J286" s="6">
        <v>3.2412</v>
      </c>
    </row>
    <row r="287">
      <c r="A287" s="5" t="s">
        <v>56</v>
      </c>
      <c r="B287" s="5" t="s">
        <v>163</v>
      </c>
      <c r="C287" s="5" t="s">
        <v>1884</v>
      </c>
      <c r="D287" s="6">
        <v>22.0</v>
      </c>
      <c r="E287" s="6">
        <v>289735.0</v>
      </c>
      <c r="F287" s="6">
        <v>89261.0</v>
      </c>
      <c r="G287" s="6">
        <v>87897.0</v>
      </c>
      <c r="H287" s="6">
        <v>3.2963</v>
      </c>
      <c r="I287" s="6">
        <v>1.0155</v>
      </c>
      <c r="J287" s="6">
        <v>2.2808</v>
      </c>
    </row>
    <row r="288">
      <c r="A288" s="5" t="s">
        <v>56</v>
      </c>
      <c r="B288" s="5" t="s">
        <v>163</v>
      </c>
      <c r="C288" s="5" t="s">
        <v>1884</v>
      </c>
      <c r="D288" s="6">
        <v>23.0</v>
      </c>
      <c r="E288" s="6">
        <v>206175.0</v>
      </c>
      <c r="F288" s="6">
        <v>61715.0</v>
      </c>
      <c r="G288" s="6">
        <v>87897.0</v>
      </c>
      <c r="H288" s="6">
        <v>2.3456</v>
      </c>
      <c r="I288" s="6">
        <v>0.7021</v>
      </c>
      <c r="J288" s="6">
        <v>1.6435</v>
      </c>
    </row>
    <row r="289">
      <c r="A289" s="5" t="s">
        <v>56</v>
      </c>
      <c r="B289" s="5" t="s">
        <v>163</v>
      </c>
      <c r="C289" s="5" t="s">
        <v>1884</v>
      </c>
      <c r="D289" s="6">
        <v>24.0</v>
      </c>
      <c r="E289" s="6">
        <v>243380.0</v>
      </c>
      <c r="F289" s="6">
        <v>72053.0</v>
      </c>
      <c r="G289" s="6">
        <v>87897.0</v>
      </c>
      <c r="H289" s="6">
        <v>2.7689</v>
      </c>
      <c r="I289" s="6">
        <v>0.8197</v>
      </c>
      <c r="J289" s="6">
        <v>1.9492</v>
      </c>
    </row>
    <row r="290">
      <c r="A290" s="5" t="s">
        <v>56</v>
      </c>
      <c r="B290" s="5" t="s">
        <v>163</v>
      </c>
      <c r="C290" s="5" t="s">
        <v>1884</v>
      </c>
      <c r="D290" s="6">
        <v>25.0</v>
      </c>
      <c r="E290" s="6">
        <v>154355.0</v>
      </c>
      <c r="F290" s="6">
        <v>42855.0</v>
      </c>
      <c r="G290" s="6">
        <v>87897.0</v>
      </c>
      <c r="H290" s="6">
        <v>1.7561</v>
      </c>
      <c r="I290" s="6">
        <v>0.4876</v>
      </c>
      <c r="J290" s="6">
        <v>1.2685</v>
      </c>
    </row>
    <row r="291">
      <c r="A291" s="5" t="s">
        <v>56</v>
      </c>
      <c r="B291" s="5" t="s">
        <v>163</v>
      </c>
      <c r="C291" s="5" t="s">
        <v>1884</v>
      </c>
      <c r="D291" s="6">
        <v>26.0</v>
      </c>
      <c r="E291" s="6">
        <v>126730.0</v>
      </c>
      <c r="F291" s="6">
        <v>34015.0</v>
      </c>
      <c r="G291" s="6">
        <v>87897.0</v>
      </c>
      <c r="H291" s="6">
        <v>1.4418</v>
      </c>
      <c r="I291" s="6">
        <v>0.387</v>
      </c>
      <c r="J291" s="6">
        <v>1.0548</v>
      </c>
    </row>
    <row r="292">
      <c r="A292" s="5" t="s">
        <v>56</v>
      </c>
      <c r="B292" s="5" t="s">
        <v>163</v>
      </c>
      <c r="C292" s="5" t="s">
        <v>1884</v>
      </c>
      <c r="D292" s="6">
        <v>27.0</v>
      </c>
      <c r="E292" s="6">
        <v>94005.0</v>
      </c>
      <c r="F292" s="6">
        <v>24549.0</v>
      </c>
      <c r="G292" s="6">
        <v>87897.0</v>
      </c>
      <c r="H292" s="6">
        <v>1.0695</v>
      </c>
      <c r="I292" s="6">
        <v>0.2793</v>
      </c>
      <c r="J292" s="6">
        <v>0.7902</v>
      </c>
    </row>
    <row r="293">
      <c r="A293" s="5" t="s">
        <v>56</v>
      </c>
      <c r="B293" s="5" t="s">
        <v>163</v>
      </c>
      <c r="C293" s="5" t="s">
        <v>1884</v>
      </c>
      <c r="D293" s="6">
        <v>28.0</v>
      </c>
      <c r="E293" s="6">
        <v>80165.0</v>
      </c>
      <c r="F293" s="6">
        <v>20407.0</v>
      </c>
      <c r="G293" s="6">
        <v>87897.0</v>
      </c>
      <c r="H293" s="6">
        <v>0.912</v>
      </c>
      <c r="I293" s="6">
        <v>0.2322</v>
      </c>
      <c r="J293" s="6">
        <v>0.6799</v>
      </c>
    </row>
    <row r="294">
      <c r="A294" s="5" t="s">
        <v>56</v>
      </c>
      <c r="B294" s="5" t="s">
        <v>163</v>
      </c>
      <c r="C294" s="5" t="s">
        <v>1884</v>
      </c>
      <c r="D294" s="6">
        <v>29.0</v>
      </c>
      <c r="E294" s="6">
        <v>76395.0</v>
      </c>
      <c r="F294" s="6">
        <v>19121.0</v>
      </c>
      <c r="G294" s="6">
        <v>87897.0</v>
      </c>
      <c r="H294" s="6">
        <v>0.8691</v>
      </c>
      <c r="I294" s="6">
        <v>0.2175</v>
      </c>
      <c r="J294" s="6">
        <v>0.6516</v>
      </c>
    </row>
    <row r="295">
      <c r="A295" s="5" t="s">
        <v>56</v>
      </c>
      <c r="B295" s="5" t="s">
        <v>163</v>
      </c>
      <c r="C295" s="5" t="s">
        <v>1884</v>
      </c>
      <c r="D295" s="6">
        <v>30.0</v>
      </c>
      <c r="E295" s="6">
        <v>82450.0</v>
      </c>
      <c r="F295" s="6">
        <v>21508.0</v>
      </c>
      <c r="G295" s="6">
        <v>87897.0</v>
      </c>
      <c r="H295" s="6">
        <v>0.938</v>
      </c>
      <c r="I295" s="6">
        <v>0.2447</v>
      </c>
      <c r="J295" s="6">
        <v>0.6933</v>
      </c>
    </row>
    <row r="296">
      <c r="A296" s="5" t="s">
        <v>56</v>
      </c>
      <c r="B296" s="5" t="s">
        <v>163</v>
      </c>
      <c r="C296" s="5" t="s">
        <v>1884</v>
      </c>
      <c r="D296" s="6">
        <v>31.0</v>
      </c>
      <c r="E296" s="6">
        <v>80985.0</v>
      </c>
      <c r="F296" s="6">
        <v>20604.0</v>
      </c>
      <c r="G296" s="6">
        <v>87897.0</v>
      </c>
      <c r="H296" s="6">
        <v>0.9214</v>
      </c>
      <c r="I296" s="6">
        <v>0.2344</v>
      </c>
      <c r="J296" s="6">
        <v>0.687</v>
      </c>
    </row>
    <row r="297">
      <c r="A297" s="5" t="s">
        <v>56</v>
      </c>
      <c r="B297" s="5" t="s">
        <v>163</v>
      </c>
      <c r="C297" s="5" t="s">
        <v>1884</v>
      </c>
      <c r="D297" s="6">
        <v>32.0</v>
      </c>
      <c r="E297" s="6">
        <v>84660.0</v>
      </c>
      <c r="F297" s="6">
        <v>21525.0</v>
      </c>
      <c r="G297" s="6">
        <v>87897.0</v>
      </c>
      <c r="H297" s="6">
        <v>0.9632</v>
      </c>
      <c r="I297" s="6">
        <v>0.2449</v>
      </c>
      <c r="J297" s="6">
        <v>0.7183</v>
      </c>
    </row>
    <row r="298">
      <c r="A298" s="5" t="s">
        <v>56</v>
      </c>
      <c r="B298" s="5" t="s">
        <v>163</v>
      </c>
      <c r="C298" s="5" t="s">
        <v>1884</v>
      </c>
      <c r="D298" s="6">
        <v>33.0</v>
      </c>
      <c r="E298" s="6">
        <v>83010.0</v>
      </c>
      <c r="F298" s="6">
        <v>21419.0</v>
      </c>
      <c r="G298" s="6">
        <v>87897.0</v>
      </c>
      <c r="H298" s="6">
        <v>0.9444</v>
      </c>
      <c r="I298" s="6">
        <v>0.2437</v>
      </c>
      <c r="J298" s="6">
        <v>0.7007</v>
      </c>
    </row>
    <row r="299">
      <c r="A299" s="5" t="s">
        <v>56</v>
      </c>
      <c r="B299" s="5" t="s">
        <v>163</v>
      </c>
      <c r="C299" s="5" t="s">
        <v>1885</v>
      </c>
      <c r="D299" s="6">
        <v>1.0</v>
      </c>
      <c r="E299" s="6">
        <v>93150.0</v>
      </c>
      <c r="F299" s="6">
        <v>25689.0</v>
      </c>
      <c r="G299" s="6">
        <v>97587.0</v>
      </c>
      <c r="H299" s="6">
        <v>0.9545</v>
      </c>
      <c r="I299" s="6">
        <v>0.2632</v>
      </c>
      <c r="J299" s="6">
        <v>0.6913</v>
      </c>
    </row>
    <row r="300">
      <c r="A300" s="5" t="s">
        <v>56</v>
      </c>
      <c r="B300" s="5" t="s">
        <v>163</v>
      </c>
      <c r="C300" s="5" t="s">
        <v>1885</v>
      </c>
      <c r="D300" s="6">
        <v>2.0</v>
      </c>
      <c r="E300" s="6">
        <v>96005.0</v>
      </c>
      <c r="F300" s="6">
        <v>26435.0</v>
      </c>
      <c r="G300" s="6">
        <v>97587.0</v>
      </c>
      <c r="H300" s="6">
        <v>0.9838</v>
      </c>
      <c r="I300" s="6">
        <v>0.2709</v>
      </c>
      <c r="J300" s="6">
        <v>0.7129</v>
      </c>
    </row>
    <row r="301">
      <c r="A301" s="5" t="s">
        <v>56</v>
      </c>
      <c r="B301" s="5" t="s">
        <v>163</v>
      </c>
      <c r="C301" s="5" t="s">
        <v>1885</v>
      </c>
      <c r="D301" s="6">
        <v>3.0</v>
      </c>
      <c r="E301" s="6">
        <v>91285.0</v>
      </c>
      <c r="F301" s="6">
        <v>24771.0</v>
      </c>
      <c r="G301" s="6">
        <v>97587.0</v>
      </c>
      <c r="H301" s="6">
        <v>0.9354</v>
      </c>
      <c r="I301" s="6">
        <v>0.2538</v>
      </c>
      <c r="J301" s="6">
        <v>0.6816</v>
      </c>
    </row>
    <row r="302">
      <c r="A302" s="5" t="s">
        <v>56</v>
      </c>
      <c r="B302" s="5" t="s">
        <v>163</v>
      </c>
      <c r="C302" s="5" t="s">
        <v>1885</v>
      </c>
      <c r="D302" s="6">
        <v>4.0</v>
      </c>
      <c r="E302" s="6">
        <v>100825.0</v>
      </c>
      <c r="F302" s="6">
        <v>27050.0</v>
      </c>
      <c r="G302" s="6">
        <v>97587.0</v>
      </c>
      <c r="H302" s="6">
        <v>1.0332</v>
      </c>
      <c r="I302" s="6">
        <v>0.2772</v>
      </c>
      <c r="J302" s="6">
        <v>0.756</v>
      </c>
    </row>
    <row r="303">
      <c r="A303" s="5" t="s">
        <v>56</v>
      </c>
      <c r="B303" s="5" t="s">
        <v>163</v>
      </c>
      <c r="C303" s="5" t="s">
        <v>1885</v>
      </c>
      <c r="D303" s="6">
        <v>5.0</v>
      </c>
      <c r="E303" s="6">
        <v>94610.0</v>
      </c>
      <c r="F303" s="6">
        <v>24751.0</v>
      </c>
      <c r="G303" s="6">
        <v>97587.0</v>
      </c>
      <c r="H303" s="6">
        <v>0.9695</v>
      </c>
      <c r="I303" s="6">
        <v>0.2536</v>
      </c>
      <c r="J303" s="6">
        <v>0.7159</v>
      </c>
    </row>
    <row r="304">
      <c r="A304" s="5" t="s">
        <v>56</v>
      </c>
      <c r="B304" s="5" t="s">
        <v>163</v>
      </c>
      <c r="C304" s="5" t="s">
        <v>1885</v>
      </c>
      <c r="D304" s="6">
        <v>6.0</v>
      </c>
      <c r="E304" s="6">
        <v>115095.0</v>
      </c>
      <c r="F304" s="6">
        <v>34798.0</v>
      </c>
      <c r="G304" s="6">
        <v>97587.0</v>
      </c>
      <c r="H304" s="6">
        <v>1.1794</v>
      </c>
      <c r="I304" s="6">
        <v>0.3566</v>
      </c>
      <c r="J304" s="6">
        <v>0.8228</v>
      </c>
    </row>
    <row r="305">
      <c r="A305" s="5" t="s">
        <v>56</v>
      </c>
      <c r="B305" s="5" t="s">
        <v>163</v>
      </c>
      <c r="C305" s="5" t="s">
        <v>1885</v>
      </c>
      <c r="D305" s="6">
        <v>7.0</v>
      </c>
      <c r="E305" s="6">
        <v>125410.0</v>
      </c>
      <c r="F305" s="6">
        <v>38532.0</v>
      </c>
      <c r="G305" s="6">
        <v>97587.0</v>
      </c>
      <c r="H305" s="6">
        <v>1.2851</v>
      </c>
      <c r="I305" s="6">
        <v>0.3948</v>
      </c>
      <c r="J305" s="6">
        <v>0.8903</v>
      </c>
    </row>
    <row r="306">
      <c r="A306" s="5" t="s">
        <v>56</v>
      </c>
      <c r="B306" s="5" t="s">
        <v>163</v>
      </c>
      <c r="C306" s="5" t="s">
        <v>1885</v>
      </c>
      <c r="D306" s="6">
        <v>8.0</v>
      </c>
      <c r="E306" s="6">
        <v>117385.0</v>
      </c>
      <c r="F306" s="6">
        <v>34657.0</v>
      </c>
      <c r="G306" s="6">
        <v>97587.0</v>
      </c>
      <c r="H306" s="6">
        <v>1.2029</v>
      </c>
      <c r="I306" s="6">
        <v>0.3551</v>
      </c>
      <c r="J306" s="6">
        <v>0.8477</v>
      </c>
    </row>
    <row r="307">
      <c r="A307" s="5" t="s">
        <v>56</v>
      </c>
      <c r="B307" s="5" t="s">
        <v>163</v>
      </c>
      <c r="C307" s="5" t="s">
        <v>1885</v>
      </c>
      <c r="D307" s="6">
        <v>9.0</v>
      </c>
      <c r="E307" s="6">
        <v>109480.0</v>
      </c>
      <c r="F307" s="6">
        <v>31438.0</v>
      </c>
      <c r="G307" s="6">
        <v>97587.0</v>
      </c>
      <c r="H307" s="6">
        <v>1.1219</v>
      </c>
      <c r="I307" s="6">
        <v>0.3222</v>
      </c>
      <c r="J307" s="6">
        <v>0.7997</v>
      </c>
    </row>
    <row r="308">
      <c r="A308" s="5" t="s">
        <v>56</v>
      </c>
      <c r="B308" s="5" t="s">
        <v>163</v>
      </c>
      <c r="C308" s="5" t="s">
        <v>1885</v>
      </c>
      <c r="D308" s="6">
        <v>10.0</v>
      </c>
      <c r="E308" s="6">
        <v>193270.0</v>
      </c>
      <c r="F308" s="6">
        <v>54533.0</v>
      </c>
      <c r="G308" s="6">
        <v>97587.0</v>
      </c>
      <c r="H308" s="6">
        <v>1.9805</v>
      </c>
      <c r="I308" s="6">
        <v>0.5588</v>
      </c>
      <c r="J308" s="6">
        <v>1.4217</v>
      </c>
    </row>
    <row r="309">
      <c r="A309" s="5" t="s">
        <v>56</v>
      </c>
      <c r="B309" s="5" t="s">
        <v>163</v>
      </c>
      <c r="C309" s="5" t="s">
        <v>1885</v>
      </c>
      <c r="D309" s="6">
        <v>11.0</v>
      </c>
      <c r="E309" s="6">
        <v>104760.0</v>
      </c>
      <c r="F309" s="6">
        <v>27599.0</v>
      </c>
      <c r="G309" s="6">
        <v>97587.0</v>
      </c>
      <c r="H309" s="6">
        <v>1.0735</v>
      </c>
      <c r="I309" s="6">
        <v>0.2828</v>
      </c>
      <c r="J309" s="6">
        <v>0.7907</v>
      </c>
    </row>
    <row r="310">
      <c r="A310" s="5" t="s">
        <v>56</v>
      </c>
      <c r="B310" s="5" t="s">
        <v>163</v>
      </c>
      <c r="C310" s="5" t="s">
        <v>1885</v>
      </c>
      <c r="D310" s="6">
        <v>12.0</v>
      </c>
      <c r="E310" s="6">
        <v>93645.0</v>
      </c>
      <c r="F310" s="6">
        <v>24172.0</v>
      </c>
      <c r="G310" s="6">
        <v>97587.0</v>
      </c>
      <c r="H310" s="6">
        <v>0.9596</v>
      </c>
      <c r="I310" s="6">
        <v>0.2477</v>
      </c>
      <c r="J310" s="6">
        <v>0.7119</v>
      </c>
    </row>
    <row r="311">
      <c r="A311" s="5" t="s">
        <v>56</v>
      </c>
      <c r="B311" s="5" t="s">
        <v>163</v>
      </c>
      <c r="C311" s="5" t="s">
        <v>1885</v>
      </c>
      <c r="D311" s="6">
        <v>13.0</v>
      </c>
      <c r="E311" s="6">
        <v>108745.0</v>
      </c>
      <c r="F311" s="6">
        <v>31667.0</v>
      </c>
      <c r="G311" s="6">
        <v>97587.0</v>
      </c>
      <c r="H311" s="6">
        <v>1.1143</v>
      </c>
      <c r="I311" s="6">
        <v>0.3245</v>
      </c>
      <c r="J311" s="6">
        <v>0.7898</v>
      </c>
    </row>
    <row r="312">
      <c r="A312" s="5" t="s">
        <v>56</v>
      </c>
      <c r="B312" s="5" t="s">
        <v>163</v>
      </c>
      <c r="C312" s="5" t="s">
        <v>1885</v>
      </c>
      <c r="D312" s="6">
        <v>14.0</v>
      </c>
      <c r="E312" s="6">
        <v>111050.0</v>
      </c>
      <c r="F312" s="6">
        <v>32718.0</v>
      </c>
      <c r="G312" s="6">
        <v>97587.0</v>
      </c>
      <c r="H312" s="6">
        <v>1.138</v>
      </c>
      <c r="I312" s="6">
        <v>0.3353</v>
      </c>
      <c r="J312" s="6">
        <v>0.8027</v>
      </c>
    </row>
    <row r="313">
      <c r="A313" s="5" t="s">
        <v>56</v>
      </c>
      <c r="B313" s="5" t="s">
        <v>163</v>
      </c>
      <c r="C313" s="5" t="s">
        <v>1885</v>
      </c>
      <c r="D313" s="6">
        <v>15.0</v>
      </c>
      <c r="E313" s="6">
        <v>108625.0</v>
      </c>
      <c r="F313" s="6">
        <v>31682.0</v>
      </c>
      <c r="G313" s="6">
        <v>97587.0</v>
      </c>
      <c r="H313" s="6">
        <v>1.1131</v>
      </c>
      <c r="I313" s="6">
        <v>0.3247</v>
      </c>
      <c r="J313" s="6">
        <v>0.7885</v>
      </c>
    </row>
    <row r="314">
      <c r="A314" s="5" t="s">
        <v>56</v>
      </c>
      <c r="B314" s="5" t="s">
        <v>163</v>
      </c>
      <c r="C314" s="5" t="s">
        <v>1885</v>
      </c>
      <c r="D314" s="6">
        <v>16.0</v>
      </c>
      <c r="E314" s="6">
        <v>125410.0</v>
      </c>
      <c r="F314" s="6">
        <v>36682.0</v>
      </c>
      <c r="G314" s="6">
        <v>97587.0</v>
      </c>
      <c r="H314" s="6">
        <v>1.2851</v>
      </c>
      <c r="I314" s="6">
        <v>0.3759</v>
      </c>
      <c r="J314" s="6">
        <v>0.9092</v>
      </c>
    </row>
    <row r="315">
      <c r="A315" s="5" t="s">
        <v>56</v>
      </c>
      <c r="B315" s="5" t="s">
        <v>163</v>
      </c>
      <c r="C315" s="5" t="s">
        <v>1885</v>
      </c>
      <c r="D315" s="6">
        <v>17.0</v>
      </c>
      <c r="E315" s="6">
        <v>152360.0</v>
      </c>
      <c r="F315" s="6">
        <v>46766.0</v>
      </c>
      <c r="G315" s="6">
        <v>97587.0</v>
      </c>
      <c r="H315" s="6">
        <v>1.5613</v>
      </c>
      <c r="I315" s="6">
        <v>0.4792</v>
      </c>
      <c r="J315" s="6">
        <v>1.082</v>
      </c>
    </row>
    <row r="316">
      <c r="A316" s="5" t="s">
        <v>56</v>
      </c>
      <c r="B316" s="5" t="s">
        <v>163</v>
      </c>
      <c r="C316" s="5" t="s">
        <v>1885</v>
      </c>
      <c r="D316" s="6">
        <v>18.0</v>
      </c>
      <c r="E316" s="6">
        <v>109385.0</v>
      </c>
      <c r="F316" s="6">
        <v>29606.0</v>
      </c>
      <c r="G316" s="6">
        <v>97587.0</v>
      </c>
      <c r="H316" s="6">
        <v>1.1209</v>
      </c>
      <c r="I316" s="6">
        <v>0.3034</v>
      </c>
      <c r="J316" s="6">
        <v>0.8175</v>
      </c>
    </row>
    <row r="317">
      <c r="A317" s="5" t="s">
        <v>56</v>
      </c>
      <c r="B317" s="5" t="s">
        <v>163</v>
      </c>
      <c r="C317" s="5" t="s">
        <v>1885</v>
      </c>
      <c r="D317" s="6">
        <v>19.0</v>
      </c>
      <c r="E317" s="6">
        <v>96405.0</v>
      </c>
      <c r="F317" s="6">
        <v>25720.0</v>
      </c>
      <c r="G317" s="6">
        <v>97587.0</v>
      </c>
      <c r="H317" s="6">
        <v>0.9879</v>
      </c>
      <c r="I317" s="6">
        <v>0.2636</v>
      </c>
      <c r="J317" s="6">
        <v>0.7243</v>
      </c>
    </row>
    <row r="318">
      <c r="A318" s="5" t="s">
        <v>56</v>
      </c>
      <c r="B318" s="5" t="s">
        <v>163</v>
      </c>
      <c r="C318" s="5" t="s">
        <v>1885</v>
      </c>
      <c r="D318" s="6">
        <v>20.0</v>
      </c>
      <c r="E318" s="6">
        <v>107985.0</v>
      </c>
      <c r="F318" s="6">
        <v>33450.0</v>
      </c>
      <c r="G318" s="6">
        <v>97587.0</v>
      </c>
      <c r="H318" s="6">
        <v>1.1066</v>
      </c>
      <c r="I318" s="6">
        <v>0.3428</v>
      </c>
      <c r="J318" s="6">
        <v>0.7638</v>
      </c>
    </row>
    <row r="319">
      <c r="A319" s="5" t="s">
        <v>56</v>
      </c>
      <c r="B319" s="5" t="s">
        <v>163</v>
      </c>
      <c r="C319" s="5" t="s">
        <v>1885</v>
      </c>
      <c r="D319" s="6">
        <v>21.0</v>
      </c>
      <c r="E319" s="6">
        <v>609390.0</v>
      </c>
      <c r="F319" s="6">
        <v>155915.0</v>
      </c>
      <c r="G319" s="6">
        <v>97587.0</v>
      </c>
      <c r="H319" s="6">
        <v>6.2446</v>
      </c>
      <c r="I319" s="6">
        <v>1.5977</v>
      </c>
      <c r="J319" s="6">
        <v>4.6469</v>
      </c>
    </row>
    <row r="320">
      <c r="A320" s="5" t="s">
        <v>56</v>
      </c>
      <c r="B320" s="5" t="s">
        <v>163</v>
      </c>
      <c r="C320" s="5" t="s">
        <v>1885</v>
      </c>
      <c r="D320" s="6">
        <v>22.0</v>
      </c>
      <c r="E320" s="6">
        <v>328245.0</v>
      </c>
      <c r="F320" s="6">
        <v>96097.0</v>
      </c>
      <c r="G320" s="6">
        <v>97587.0</v>
      </c>
      <c r="H320" s="6">
        <v>3.3636</v>
      </c>
      <c r="I320" s="6">
        <v>0.9847</v>
      </c>
      <c r="J320" s="6">
        <v>2.3789</v>
      </c>
    </row>
    <row r="321">
      <c r="A321" s="5" t="s">
        <v>56</v>
      </c>
      <c r="B321" s="5" t="s">
        <v>163</v>
      </c>
      <c r="C321" s="5" t="s">
        <v>1885</v>
      </c>
      <c r="D321" s="6">
        <v>23.0</v>
      </c>
      <c r="E321" s="6">
        <v>212315.0</v>
      </c>
      <c r="F321" s="6">
        <v>62371.0</v>
      </c>
      <c r="G321" s="6">
        <v>97587.0</v>
      </c>
      <c r="H321" s="6">
        <v>2.1756</v>
      </c>
      <c r="I321" s="6">
        <v>0.6391</v>
      </c>
      <c r="J321" s="6">
        <v>1.5365</v>
      </c>
    </row>
    <row r="322">
      <c r="A322" s="5" t="s">
        <v>56</v>
      </c>
      <c r="B322" s="5" t="s">
        <v>163</v>
      </c>
      <c r="C322" s="5" t="s">
        <v>1885</v>
      </c>
      <c r="D322" s="6">
        <v>24.0</v>
      </c>
      <c r="E322" s="6">
        <v>278300.0</v>
      </c>
      <c r="F322" s="6">
        <v>82475.0</v>
      </c>
      <c r="G322" s="6">
        <v>97587.0</v>
      </c>
      <c r="H322" s="6">
        <v>2.8518</v>
      </c>
      <c r="I322" s="6">
        <v>0.8451</v>
      </c>
      <c r="J322" s="6">
        <v>2.0067</v>
      </c>
    </row>
    <row r="323">
      <c r="A323" s="5" t="s">
        <v>56</v>
      </c>
      <c r="B323" s="5" t="s">
        <v>163</v>
      </c>
      <c r="C323" s="5" t="s">
        <v>1885</v>
      </c>
      <c r="D323" s="6">
        <v>25.0</v>
      </c>
      <c r="E323" s="6">
        <v>170585.0</v>
      </c>
      <c r="F323" s="6">
        <v>49521.0</v>
      </c>
      <c r="G323" s="6">
        <v>97587.0</v>
      </c>
      <c r="H323" s="6">
        <v>1.748</v>
      </c>
      <c r="I323" s="6">
        <v>0.5075</v>
      </c>
      <c r="J323" s="6">
        <v>1.2406</v>
      </c>
    </row>
    <row r="324">
      <c r="A324" s="5" t="s">
        <v>56</v>
      </c>
      <c r="B324" s="5" t="s">
        <v>163</v>
      </c>
      <c r="C324" s="5" t="s">
        <v>1885</v>
      </c>
      <c r="D324" s="6">
        <v>26.0</v>
      </c>
      <c r="E324" s="6">
        <v>140240.0</v>
      </c>
      <c r="F324" s="6">
        <v>40172.0</v>
      </c>
      <c r="G324" s="6">
        <v>97587.0</v>
      </c>
      <c r="H324" s="6">
        <v>1.4371</v>
      </c>
      <c r="I324" s="6">
        <v>0.4117</v>
      </c>
      <c r="J324" s="6">
        <v>1.0254</v>
      </c>
    </row>
    <row r="325">
      <c r="A325" s="5" t="s">
        <v>56</v>
      </c>
      <c r="B325" s="5" t="s">
        <v>163</v>
      </c>
      <c r="C325" s="5" t="s">
        <v>1885</v>
      </c>
      <c r="D325" s="6">
        <v>27.0</v>
      </c>
      <c r="E325" s="6">
        <v>110295.0</v>
      </c>
      <c r="F325" s="6">
        <v>31434.0</v>
      </c>
      <c r="G325" s="6">
        <v>97587.0</v>
      </c>
      <c r="H325" s="6">
        <v>1.1302</v>
      </c>
      <c r="I325" s="6">
        <v>0.3221</v>
      </c>
      <c r="J325" s="6">
        <v>0.8081</v>
      </c>
    </row>
    <row r="326">
      <c r="A326" s="5" t="s">
        <v>56</v>
      </c>
      <c r="B326" s="5" t="s">
        <v>163</v>
      </c>
      <c r="C326" s="5" t="s">
        <v>1885</v>
      </c>
      <c r="D326" s="6">
        <v>28.0</v>
      </c>
      <c r="E326" s="6">
        <v>94295.0</v>
      </c>
      <c r="F326" s="6">
        <v>26306.0</v>
      </c>
      <c r="G326" s="6">
        <v>97587.0</v>
      </c>
      <c r="H326" s="6">
        <v>0.9663</v>
      </c>
      <c r="I326" s="6">
        <v>0.2696</v>
      </c>
      <c r="J326" s="6">
        <v>0.6967</v>
      </c>
    </row>
    <row r="327">
      <c r="A327" s="5" t="s">
        <v>56</v>
      </c>
      <c r="B327" s="5" t="s">
        <v>163</v>
      </c>
      <c r="C327" s="5" t="s">
        <v>1885</v>
      </c>
      <c r="D327" s="6">
        <v>29.0</v>
      </c>
      <c r="E327" s="6">
        <v>91835.0</v>
      </c>
      <c r="F327" s="6">
        <v>25044.0</v>
      </c>
      <c r="G327" s="6">
        <v>97587.0</v>
      </c>
      <c r="H327" s="6">
        <v>0.9411</v>
      </c>
      <c r="I327" s="6">
        <v>0.2566</v>
      </c>
      <c r="J327" s="6">
        <v>0.6844</v>
      </c>
    </row>
    <row r="328">
      <c r="A328" s="5" t="s">
        <v>56</v>
      </c>
      <c r="B328" s="5" t="s">
        <v>163</v>
      </c>
      <c r="C328" s="5" t="s">
        <v>1885</v>
      </c>
      <c r="D328" s="6">
        <v>30.0</v>
      </c>
      <c r="E328" s="6">
        <v>89990.0</v>
      </c>
      <c r="F328" s="6">
        <v>24763.0</v>
      </c>
      <c r="G328" s="6">
        <v>97587.0</v>
      </c>
      <c r="H328" s="6">
        <v>0.9222</v>
      </c>
      <c r="I328" s="6">
        <v>0.2538</v>
      </c>
      <c r="J328" s="6">
        <v>0.6684</v>
      </c>
    </row>
    <row r="329">
      <c r="A329" s="5" t="s">
        <v>56</v>
      </c>
      <c r="B329" s="5" t="s">
        <v>163</v>
      </c>
      <c r="C329" s="5" t="s">
        <v>1885</v>
      </c>
      <c r="D329" s="6">
        <v>31.0</v>
      </c>
      <c r="E329" s="6">
        <v>93415.0</v>
      </c>
      <c r="F329" s="6">
        <v>25483.0</v>
      </c>
      <c r="G329" s="6">
        <v>97587.0</v>
      </c>
      <c r="H329" s="6">
        <v>0.9572</v>
      </c>
      <c r="I329" s="6">
        <v>0.2611</v>
      </c>
      <c r="J329" s="6">
        <v>0.6961</v>
      </c>
    </row>
    <row r="330">
      <c r="A330" s="5" t="s">
        <v>56</v>
      </c>
      <c r="B330" s="5" t="s">
        <v>163</v>
      </c>
      <c r="C330" s="5" t="s">
        <v>1885</v>
      </c>
      <c r="D330" s="6">
        <v>32.0</v>
      </c>
      <c r="E330" s="6">
        <v>94590.0</v>
      </c>
      <c r="F330" s="6">
        <v>26279.0</v>
      </c>
      <c r="G330" s="6">
        <v>97587.0</v>
      </c>
      <c r="H330" s="6">
        <v>0.9693</v>
      </c>
      <c r="I330" s="6">
        <v>0.2693</v>
      </c>
      <c r="J330" s="6">
        <v>0.7</v>
      </c>
    </row>
    <row r="331">
      <c r="A331" s="5" t="s">
        <v>56</v>
      </c>
      <c r="B331" s="5" t="s">
        <v>163</v>
      </c>
      <c r="C331" s="5" t="s">
        <v>1885</v>
      </c>
      <c r="D331" s="6">
        <v>33.0</v>
      </c>
      <c r="E331" s="6">
        <v>92510.0</v>
      </c>
      <c r="F331" s="6">
        <v>25918.0</v>
      </c>
      <c r="G331" s="6">
        <v>97587.0</v>
      </c>
      <c r="H331" s="6">
        <v>0.948</v>
      </c>
      <c r="I331" s="6">
        <v>0.2656</v>
      </c>
      <c r="J331" s="6">
        <v>0.6824</v>
      </c>
    </row>
    <row r="332">
      <c r="A332" s="5" t="s">
        <v>56</v>
      </c>
      <c r="B332" s="5" t="s">
        <v>163</v>
      </c>
      <c r="C332" s="5" t="s">
        <v>75</v>
      </c>
      <c r="D332" s="6">
        <v>1.0</v>
      </c>
      <c r="E332" s="6">
        <v>3805875.0</v>
      </c>
      <c r="F332" s="6">
        <v>16.0</v>
      </c>
      <c r="G332" s="6">
        <v>125299.0</v>
      </c>
      <c r="H332" s="6">
        <v>30.3743</v>
      </c>
      <c r="I332" s="6">
        <v>1.0E-4</v>
      </c>
      <c r="J332" s="6">
        <v>30.3742</v>
      </c>
    </row>
    <row r="333">
      <c r="A333" s="5" t="s">
        <v>56</v>
      </c>
      <c r="B333" s="5" t="s">
        <v>163</v>
      </c>
      <c r="C333" s="5" t="s">
        <v>75</v>
      </c>
      <c r="D333" s="6">
        <v>2.0</v>
      </c>
      <c r="E333" s="6">
        <v>1942891.0</v>
      </c>
      <c r="F333" s="6">
        <v>4.0</v>
      </c>
      <c r="G333" s="6">
        <v>125299.0</v>
      </c>
      <c r="H333" s="6">
        <v>15.506</v>
      </c>
      <c r="I333" s="6">
        <v>0.0</v>
      </c>
      <c r="J333" s="6">
        <v>15.506</v>
      </c>
    </row>
    <row r="334">
      <c r="A334" s="5" t="s">
        <v>56</v>
      </c>
      <c r="B334" s="5" t="s">
        <v>163</v>
      </c>
      <c r="C334" s="5" t="s">
        <v>75</v>
      </c>
      <c r="D334" s="6">
        <v>3.0</v>
      </c>
      <c r="E334" s="6">
        <v>3187234.0</v>
      </c>
      <c r="F334" s="6">
        <v>20.0</v>
      </c>
      <c r="G334" s="6">
        <v>125299.0</v>
      </c>
      <c r="H334" s="6">
        <v>25.437</v>
      </c>
      <c r="I334" s="6">
        <v>2.0E-4</v>
      </c>
      <c r="J334" s="6">
        <v>25.4369</v>
      </c>
    </row>
    <row r="335">
      <c r="A335" s="5" t="s">
        <v>56</v>
      </c>
      <c r="B335" s="5" t="s">
        <v>163</v>
      </c>
      <c r="C335" s="5" t="s">
        <v>75</v>
      </c>
      <c r="D335" s="6">
        <v>4.0</v>
      </c>
      <c r="E335" s="6">
        <v>2210094.0</v>
      </c>
      <c r="F335" s="6">
        <v>4.0</v>
      </c>
      <c r="G335" s="6">
        <v>125299.0</v>
      </c>
      <c r="H335" s="6">
        <v>17.6386</v>
      </c>
      <c r="I335" s="6">
        <v>0.0</v>
      </c>
      <c r="J335" s="6">
        <v>17.6385</v>
      </c>
    </row>
    <row r="336">
      <c r="A336" s="5" t="s">
        <v>56</v>
      </c>
      <c r="B336" s="5" t="s">
        <v>163</v>
      </c>
      <c r="C336" s="5" t="s">
        <v>75</v>
      </c>
      <c r="D336" s="6">
        <v>5.0</v>
      </c>
      <c r="E336" s="6">
        <v>3394615.0</v>
      </c>
      <c r="F336" s="6">
        <v>22.0</v>
      </c>
      <c r="G336" s="6">
        <v>125299.0</v>
      </c>
      <c r="H336" s="6">
        <v>27.0921</v>
      </c>
      <c r="I336" s="6">
        <v>2.0E-4</v>
      </c>
      <c r="J336" s="6">
        <v>27.0919</v>
      </c>
    </row>
    <row r="337">
      <c r="A337" s="5" t="s">
        <v>56</v>
      </c>
      <c r="B337" s="5" t="s">
        <v>163</v>
      </c>
      <c r="C337" s="5" t="s">
        <v>75</v>
      </c>
      <c r="D337" s="6">
        <v>6.0</v>
      </c>
      <c r="E337" s="6">
        <v>3607626.0</v>
      </c>
      <c r="F337" s="6">
        <v>12.0</v>
      </c>
      <c r="G337" s="6">
        <v>125299.0</v>
      </c>
      <c r="H337" s="6">
        <v>28.7921</v>
      </c>
      <c r="I337" s="6">
        <v>1.0E-4</v>
      </c>
      <c r="J337" s="6">
        <v>28.792</v>
      </c>
    </row>
    <row r="338">
      <c r="A338" s="5" t="s">
        <v>56</v>
      </c>
      <c r="B338" s="5" t="s">
        <v>163</v>
      </c>
      <c r="C338" s="5" t="s">
        <v>75</v>
      </c>
      <c r="D338" s="6">
        <v>7.0</v>
      </c>
      <c r="E338" s="6">
        <v>1927118.0</v>
      </c>
      <c r="F338" s="6">
        <v>8.0</v>
      </c>
      <c r="G338" s="6">
        <v>125299.0</v>
      </c>
      <c r="H338" s="6">
        <v>15.3802</v>
      </c>
      <c r="I338" s="6">
        <v>1.0E-4</v>
      </c>
      <c r="J338" s="6">
        <v>15.3801</v>
      </c>
    </row>
    <row r="339">
      <c r="A339" s="5" t="s">
        <v>56</v>
      </c>
      <c r="B339" s="5" t="s">
        <v>163</v>
      </c>
      <c r="C339" s="5" t="s">
        <v>75</v>
      </c>
      <c r="D339" s="6">
        <v>8.0</v>
      </c>
      <c r="E339" s="6">
        <v>3769269.0</v>
      </c>
      <c r="F339" s="6">
        <v>11.0</v>
      </c>
      <c r="G339" s="6">
        <v>125299.0</v>
      </c>
      <c r="H339" s="6">
        <v>30.0822</v>
      </c>
      <c r="I339" s="6">
        <v>1.0E-4</v>
      </c>
      <c r="J339" s="6">
        <v>30.0821</v>
      </c>
    </row>
    <row r="340">
      <c r="A340" s="5" t="s">
        <v>56</v>
      </c>
      <c r="B340" s="5" t="s">
        <v>163</v>
      </c>
      <c r="C340" s="5" t="s">
        <v>75</v>
      </c>
      <c r="D340" s="6">
        <v>9.0</v>
      </c>
      <c r="E340" s="6">
        <v>1936594.0</v>
      </c>
      <c r="F340" s="6">
        <v>1.0</v>
      </c>
      <c r="G340" s="6">
        <v>125299.0</v>
      </c>
      <c r="H340" s="6">
        <v>15.4558</v>
      </c>
      <c r="I340" s="6">
        <v>0.0</v>
      </c>
      <c r="J340" s="6">
        <v>15.4558</v>
      </c>
    </row>
    <row r="341">
      <c r="A341" s="5" t="s">
        <v>56</v>
      </c>
      <c r="B341" s="5" t="s">
        <v>163</v>
      </c>
      <c r="C341" s="5" t="s">
        <v>75</v>
      </c>
      <c r="D341" s="6">
        <v>10.0</v>
      </c>
      <c r="E341" s="6">
        <v>3354820.0</v>
      </c>
      <c r="F341" s="6">
        <v>22.0</v>
      </c>
      <c r="G341" s="6">
        <v>125299.0</v>
      </c>
      <c r="H341" s="6">
        <v>26.7745</v>
      </c>
      <c r="I341" s="6">
        <v>2.0E-4</v>
      </c>
      <c r="J341" s="6">
        <v>26.7743</v>
      </c>
    </row>
    <row r="342">
      <c r="A342" s="5" t="s">
        <v>56</v>
      </c>
      <c r="B342" s="5" t="s">
        <v>163</v>
      </c>
      <c r="C342" s="5" t="s">
        <v>75</v>
      </c>
      <c r="D342" s="6">
        <v>11.0</v>
      </c>
      <c r="E342" s="6">
        <v>2181083.0</v>
      </c>
      <c r="F342" s="6">
        <v>20.0</v>
      </c>
      <c r="G342" s="6">
        <v>125299.0</v>
      </c>
      <c r="H342" s="6">
        <v>17.407</v>
      </c>
      <c r="I342" s="6">
        <v>2.0E-4</v>
      </c>
      <c r="J342" s="6">
        <v>17.4069</v>
      </c>
    </row>
    <row r="343">
      <c r="A343" s="5" t="s">
        <v>56</v>
      </c>
      <c r="B343" s="5" t="s">
        <v>163</v>
      </c>
      <c r="C343" s="5" t="s">
        <v>75</v>
      </c>
      <c r="D343" s="6">
        <v>12.0</v>
      </c>
      <c r="E343" s="6">
        <v>3358559.0</v>
      </c>
      <c r="F343" s="6">
        <v>3.0</v>
      </c>
      <c r="G343" s="6">
        <v>125299.0</v>
      </c>
      <c r="H343" s="6">
        <v>26.8044</v>
      </c>
      <c r="I343" s="6">
        <v>0.0</v>
      </c>
      <c r="J343" s="6">
        <v>26.8043</v>
      </c>
    </row>
    <row r="344">
      <c r="A344" s="5" t="s">
        <v>56</v>
      </c>
      <c r="B344" s="5" t="s">
        <v>163</v>
      </c>
      <c r="C344" s="5" t="s">
        <v>75</v>
      </c>
      <c r="D344" s="6">
        <v>13.0</v>
      </c>
      <c r="E344" s="6">
        <v>3546732.0</v>
      </c>
      <c r="F344" s="6">
        <v>3.0</v>
      </c>
      <c r="G344" s="6">
        <v>125299.0</v>
      </c>
      <c r="H344" s="6">
        <v>28.3061</v>
      </c>
      <c r="I344" s="6">
        <v>0.0</v>
      </c>
      <c r="J344" s="6">
        <v>28.3061</v>
      </c>
    </row>
    <row r="345">
      <c r="A345" s="5" t="s">
        <v>56</v>
      </c>
      <c r="B345" s="5" t="s">
        <v>163</v>
      </c>
      <c r="C345" s="5" t="s">
        <v>75</v>
      </c>
      <c r="D345" s="6">
        <v>14.0</v>
      </c>
      <c r="E345" s="6">
        <v>1878963.0</v>
      </c>
      <c r="F345" s="6">
        <v>6.0</v>
      </c>
      <c r="G345" s="6">
        <v>125299.0</v>
      </c>
      <c r="H345" s="6">
        <v>14.9958</v>
      </c>
      <c r="I345" s="6">
        <v>0.0</v>
      </c>
      <c r="J345" s="6">
        <v>14.9958</v>
      </c>
    </row>
    <row r="346">
      <c r="A346" s="5" t="s">
        <v>56</v>
      </c>
      <c r="B346" s="5" t="s">
        <v>163</v>
      </c>
      <c r="C346" s="5" t="s">
        <v>75</v>
      </c>
      <c r="D346" s="6">
        <v>15.0</v>
      </c>
      <c r="E346" s="6">
        <v>3664213.0</v>
      </c>
      <c r="F346" s="6">
        <v>9.0</v>
      </c>
      <c r="G346" s="6">
        <v>125299.0</v>
      </c>
      <c r="H346" s="6">
        <v>29.2438</v>
      </c>
      <c r="I346" s="6">
        <v>1.0E-4</v>
      </c>
      <c r="J346" s="6">
        <v>29.2437</v>
      </c>
    </row>
    <row r="347">
      <c r="A347" s="5" t="s">
        <v>56</v>
      </c>
      <c r="B347" s="5" t="s">
        <v>163</v>
      </c>
      <c r="C347" s="5" t="s">
        <v>75</v>
      </c>
      <c r="D347" s="6">
        <v>16.0</v>
      </c>
      <c r="E347" s="6">
        <v>1824793.0</v>
      </c>
      <c r="F347" s="6">
        <v>27.0</v>
      </c>
      <c r="G347" s="6">
        <v>125299.0</v>
      </c>
      <c r="H347" s="6">
        <v>14.5635</v>
      </c>
      <c r="I347" s="6">
        <v>2.0E-4</v>
      </c>
      <c r="J347" s="6">
        <v>14.5633</v>
      </c>
    </row>
    <row r="348">
      <c r="A348" s="5" t="s">
        <v>56</v>
      </c>
      <c r="B348" s="5" t="s">
        <v>163</v>
      </c>
      <c r="C348" s="5" t="s">
        <v>75</v>
      </c>
      <c r="D348" s="6">
        <v>17.0</v>
      </c>
      <c r="E348" s="6">
        <v>3031558.0</v>
      </c>
      <c r="F348" s="6">
        <v>12.0</v>
      </c>
      <c r="G348" s="6">
        <v>125299.0</v>
      </c>
      <c r="H348" s="6">
        <v>24.1946</v>
      </c>
      <c r="I348" s="6">
        <v>1.0E-4</v>
      </c>
      <c r="J348" s="6">
        <v>24.1945</v>
      </c>
    </row>
    <row r="349">
      <c r="A349" s="5" t="s">
        <v>56</v>
      </c>
      <c r="B349" s="5" t="s">
        <v>163</v>
      </c>
      <c r="C349" s="5" t="s">
        <v>75</v>
      </c>
      <c r="D349" s="6">
        <v>18.0</v>
      </c>
      <c r="E349" s="6">
        <v>2074216.0</v>
      </c>
      <c r="F349" s="6">
        <v>18.0</v>
      </c>
      <c r="G349" s="6">
        <v>125299.0</v>
      </c>
      <c r="H349" s="6">
        <v>16.5541</v>
      </c>
      <c r="I349" s="6">
        <v>1.0E-4</v>
      </c>
      <c r="J349" s="6">
        <v>16.554</v>
      </c>
    </row>
    <row r="350">
      <c r="A350" s="5" t="s">
        <v>56</v>
      </c>
      <c r="B350" s="5" t="s">
        <v>163</v>
      </c>
      <c r="C350" s="5" t="s">
        <v>75</v>
      </c>
      <c r="D350" s="6">
        <v>19.0</v>
      </c>
      <c r="E350" s="6">
        <v>3097109.0</v>
      </c>
      <c r="F350" s="6">
        <v>7.0</v>
      </c>
      <c r="G350" s="6">
        <v>125299.0</v>
      </c>
      <c r="H350" s="6">
        <v>24.7177</v>
      </c>
      <c r="I350" s="6">
        <v>1.0E-4</v>
      </c>
      <c r="J350" s="6">
        <v>24.7177</v>
      </c>
    </row>
    <row r="351">
      <c r="A351" s="5" t="s">
        <v>56</v>
      </c>
      <c r="B351" s="5" t="s">
        <v>163</v>
      </c>
      <c r="C351" s="5" t="s">
        <v>75</v>
      </c>
      <c r="D351" s="6">
        <v>20.0</v>
      </c>
      <c r="E351" s="6">
        <v>3316711.0</v>
      </c>
      <c r="F351" s="6">
        <v>16.0</v>
      </c>
      <c r="G351" s="6">
        <v>125299.0</v>
      </c>
      <c r="H351" s="6">
        <v>26.4704</v>
      </c>
      <c r="I351" s="6">
        <v>1.0E-4</v>
      </c>
      <c r="J351" s="6">
        <v>26.4702</v>
      </c>
    </row>
    <row r="352">
      <c r="A352" s="5" t="s">
        <v>56</v>
      </c>
      <c r="B352" s="5" t="s">
        <v>163</v>
      </c>
      <c r="C352" s="5" t="s">
        <v>75</v>
      </c>
      <c r="D352" s="6">
        <v>21.0</v>
      </c>
      <c r="E352" s="6">
        <v>4600329.0</v>
      </c>
      <c r="F352" s="6">
        <v>6.0</v>
      </c>
      <c r="G352" s="6">
        <v>125299.0</v>
      </c>
      <c r="H352" s="6">
        <v>36.7148</v>
      </c>
      <c r="I352" s="6">
        <v>0.0</v>
      </c>
      <c r="J352" s="6">
        <v>36.7148</v>
      </c>
    </row>
    <row r="353">
      <c r="A353" s="5" t="s">
        <v>56</v>
      </c>
      <c r="B353" s="5" t="s">
        <v>163</v>
      </c>
      <c r="C353" s="5" t="s">
        <v>75</v>
      </c>
      <c r="D353" s="6">
        <v>22.0</v>
      </c>
      <c r="E353" s="6">
        <v>4097194.0</v>
      </c>
      <c r="F353" s="6">
        <v>10.0</v>
      </c>
      <c r="G353" s="6">
        <v>125299.0</v>
      </c>
      <c r="H353" s="6">
        <v>32.6993</v>
      </c>
      <c r="I353" s="6">
        <v>1.0E-4</v>
      </c>
      <c r="J353" s="6">
        <v>32.6993</v>
      </c>
    </row>
    <row r="354">
      <c r="A354" s="5" t="s">
        <v>56</v>
      </c>
      <c r="B354" s="5" t="s">
        <v>163</v>
      </c>
      <c r="C354" s="5" t="s">
        <v>75</v>
      </c>
      <c r="D354" s="6">
        <v>23.0</v>
      </c>
      <c r="E354" s="6">
        <v>2431724.0</v>
      </c>
      <c r="F354" s="6">
        <v>16.0</v>
      </c>
      <c r="G354" s="6">
        <v>125299.0</v>
      </c>
      <c r="H354" s="6">
        <v>19.4074</v>
      </c>
      <c r="I354" s="6">
        <v>1.0E-4</v>
      </c>
      <c r="J354" s="6">
        <v>19.4072</v>
      </c>
    </row>
    <row r="355">
      <c r="A355" s="5" t="s">
        <v>56</v>
      </c>
      <c r="B355" s="5" t="s">
        <v>163</v>
      </c>
      <c r="C355" s="5" t="s">
        <v>75</v>
      </c>
      <c r="D355" s="6">
        <v>24.0</v>
      </c>
      <c r="E355" s="6">
        <v>3681734.0</v>
      </c>
      <c r="F355" s="6">
        <v>37.0</v>
      </c>
      <c r="G355" s="6">
        <v>125299.0</v>
      </c>
      <c r="H355" s="6">
        <v>29.3836</v>
      </c>
      <c r="I355" s="6">
        <v>3.0E-4</v>
      </c>
      <c r="J355" s="6">
        <v>29.3833</v>
      </c>
    </row>
    <row r="356">
      <c r="A356" s="5" t="s">
        <v>56</v>
      </c>
      <c r="B356" s="5" t="s">
        <v>163</v>
      </c>
      <c r="C356" s="5" t="s">
        <v>75</v>
      </c>
      <c r="D356" s="6">
        <v>25.0</v>
      </c>
      <c r="E356" s="6">
        <v>2473905.0</v>
      </c>
      <c r="F356" s="6">
        <v>9.0</v>
      </c>
      <c r="G356" s="6">
        <v>125299.0</v>
      </c>
      <c r="H356" s="6">
        <v>19.744</v>
      </c>
      <c r="I356" s="6">
        <v>1.0E-4</v>
      </c>
      <c r="J356" s="6">
        <v>19.7439</v>
      </c>
    </row>
    <row r="357">
      <c r="A357" s="5" t="s">
        <v>56</v>
      </c>
      <c r="B357" s="5" t="s">
        <v>163</v>
      </c>
      <c r="C357" s="5" t="s">
        <v>75</v>
      </c>
      <c r="D357" s="6">
        <v>26.0</v>
      </c>
      <c r="E357" s="6">
        <v>3446479.0</v>
      </c>
      <c r="F357" s="6">
        <v>2.0</v>
      </c>
      <c r="G357" s="6">
        <v>125299.0</v>
      </c>
      <c r="H357" s="6">
        <v>27.506</v>
      </c>
      <c r="I357" s="6">
        <v>0.0</v>
      </c>
      <c r="J357" s="6">
        <v>27.506</v>
      </c>
    </row>
    <row r="358">
      <c r="A358" s="5" t="s">
        <v>56</v>
      </c>
      <c r="B358" s="5" t="s">
        <v>163</v>
      </c>
      <c r="C358" s="5" t="s">
        <v>75</v>
      </c>
      <c r="D358" s="6">
        <v>27.0</v>
      </c>
      <c r="E358" s="6">
        <v>3615734.0</v>
      </c>
      <c r="F358" s="6">
        <v>6.0</v>
      </c>
      <c r="G358" s="6">
        <v>125299.0</v>
      </c>
      <c r="H358" s="6">
        <v>28.8568</v>
      </c>
      <c r="I358" s="6">
        <v>0.0</v>
      </c>
      <c r="J358" s="6">
        <v>28.8568</v>
      </c>
    </row>
    <row r="359">
      <c r="A359" s="5" t="s">
        <v>56</v>
      </c>
      <c r="B359" s="5" t="s">
        <v>163</v>
      </c>
      <c r="C359" s="5" t="s">
        <v>75</v>
      </c>
      <c r="D359" s="6">
        <v>28.0</v>
      </c>
      <c r="E359" s="6">
        <v>1886643.0</v>
      </c>
      <c r="F359" s="6">
        <v>11.0</v>
      </c>
      <c r="G359" s="6">
        <v>125299.0</v>
      </c>
      <c r="H359" s="6">
        <v>15.0571</v>
      </c>
      <c r="I359" s="6">
        <v>1.0E-4</v>
      </c>
      <c r="J359" s="6">
        <v>15.057</v>
      </c>
    </row>
    <row r="360">
      <c r="A360" s="5" t="s">
        <v>56</v>
      </c>
      <c r="B360" s="5" t="s">
        <v>163</v>
      </c>
      <c r="C360" s="5" t="s">
        <v>75</v>
      </c>
      <c r="D360" s="6">
        <v>29.0</v>
      </c>
      <c r="E360" s="6">
        <v>3601669.0</v>
      </c>
      <c r="F360" s="6">
        <v>4.0</v>
      </c>
      <c r="G360" s="6">
        <v>125299.0</v>
      </c>
      <c r="H360" s="6">
        <v>28.7446</v>
      </c>
      <c r="I360" s="6">
        <v>0.0</v>
      </c>
      <c r="J360" s="6">
        <v>28.7446</v>
      </c>
    </row>
    <row r="361">
      <c r="A361" s="5" t="s">
        <v>56</v>
      </c>
      <c r="B361" s="5" t="s">
        <v>163</v>
      </c>
      <c r="C361" s="5" t="s">
        <v>75</v>
      </c>
      <c r="D361" s="6">
        <v>30.0</v>
      </c>
      <c r="E361" s="6">
        <v>1771305.0</v>
      </c>
      <c r="F361" s="6">
        <v>8.0</v>
      </c>
      <c r="G361" s="6">
        <v>125299.0</v>
      </c>
      <c r="H361" s="6">
        <v>14.1366</v>
      </c>
      <c r="I361" s="6">
        <v>1.0E-4</v>
      </c>
      <c r="J361" s="6">
        <v>14.1366</v>
      </c>
    </row>
    <row r="362">
      <c r="A362" s="5" t="s">
        <v>56</v>
      </c>
      <c r="B362" s="5" t="s">
        <v>163</v>
      </c>
      <c r="C362" s="5" t="s">
        <v>75</v>
      </c>
      <c r="D362" s="6">
        <v>31.0</v>
      </c>
      <c r="E362" s="6">
        <v>2972806.0</v>
      </c>
      <c r="F362" s="6">
        <v>6.0</v>
      </c>
      <c r="G362" s="6">
        <v>125299.0</v>
      </c>
      <c r="H362" s="6">
        <v>23.7257</v>
      </c>
      <c r="I362" s="6">
        <v>0.0</v>
      </c>
      <c r="J362" s="6">
        <v>23.7256</v>
      </c>
    </row>
    <row r="363">
      <c r="A363" s="5" t="s">
        <v>56</v>
      </c>
      <c r="B363" s="5" t="s">
        <v>163</v>
      </c>
      <c r="C363" s="5" t="s">
        <v>75</v>
      </c>
      <c r="D363" s="6">
        <v>32.0</v>
      </c>
      <c r="E363" s="6">
        <v>2020975.0</v>
      </c>
      <c r="F363" s="6">
        <v>10.0</v>
      </c>
      <c r="G363" s="6">
        <v>125299.0</v>
      </c>
      <c r="H363" s="6">
        <v>16.1292</v>
      </c>
      <c r="I363" s="6">
        <v>1.0E-4</v>
      </c>
      <c r="J363" s="6">
        <v>16.1291</v>
      </c>
    </row>
    <row r="364">
      <c r="A364" s="5" t="s">
        <v>56</v>
      </c>
      <c r="B364" s="5" t="s">
        <v>163</v>
      </c>
      <c r="C364" s="5" t="s">
        <v>75</v>
      </c>
      <c r="D364" s="6">
        <v>33.0</v>
      </c>
      <c r="E364" s="6">
        <v>3149350.0</v>
      </c>
      <c r="F364" s="6">
        <v>30.0</v>
      </c>
      <c r="G364" s="6">
        <v>125299.0</v>
      </c>
      <c r="H364" s="6">
        <v>25.1347</v>
      </c>
      <c r="I364" s="6">
        <v>2.0E-4</v>
      </c>
      <c r="J364" s="6">
        <v>25.1344</v>
      </c>
    </row>
    <row r="365">
      <c r="A365" s="5" t="s">
        <v>56</v>
      </c>
      <c r="B365" s="5" t="s">
        <v>163</v>
      </c>
      <c r="C365" s="5" t="s">
        <v>68</v>
      </c>
      <c r="D365" s="6">
        <v>1.0</v>
      </c>
      <c r="E365" s="6">
        <v>284668.0</v>
      </c>
      <c r="F365" s="6">
        <v>0.0</v>
      </c>
      <c r="G365" s="6">
        <v>92928.0</v>
      </c>
      <c r="H365" s="6">
        <v>3.0633</v>
      </c>
      <c r="I365" s="6">
        <v>0.0</v>
      </c>
      <c r="J365" s="6">
        <v>3.0633</v>
      </c>
    </row>
    <row r="366">
      <c r="A366" s="5" t="s">
        <v>56</v>
      </c>
      <c r="B366" s="5" t="s">
        <v>163</v>
      </c>
      <c r="C366" s="5" t="s">
        <v>68</v>
      </c>
      <c r="D366" s="6">
        <v>2.0</v>
      </c>
      <c r="E366" s="6">
        <v>527826.0</v>
      </c>
      <c r="F366" s="6">
        <v>0.0</v>
      </c>
      <c r="G366" s="6">
        <v>92928.0</v>
      </c>
      <c r="H366" s="6">
        <v>5.6799</v>
      </c>
      <c r="I366" s="6">
        <v>0.0</v>
      </c>
      <c r="J366" s="6">
        <v>5.6799</v>
      </c>
    </row>
    <row r="367">
      <c r="A367" s="5" t="s">
        <v>56</v>
      </c>
      <c r="B367" s="5" t="s">
        <v>163</v>
      </c>
      <c r="C367" s="5" t="s">
        <v>68</v>
      </c>
      <c r="D367" s="6">
        <v>3.0</v>
      </c>
      <c r="E367" s="6">
        <v>788802.0</v>
      </c>
      <c r="F367" s="6">
        <v>0.0</v>
      </c>
      <c r="G367" s="6">
        <v>92928.0</v>
      </c>
      <c r="H367" s="6">
        <v>8.4883</v>
      </c>
      <c r="I367" s="6">
        <v>0.0</v>
      </c>
      <c r="J367" s="6">
        <v>8.4883</v>
      </c>
    </row>
    <row r="368">
      <c r="A368" s="5" t="s">
        <v>56</v>
      </c>
      <c r="B368" s="5" t="s">
        <v>163</v>
      </c>
      <c r="C368" s="5" t="s">
        <v>68</v>
      </c>
      <c r="D368" s="6">
        <v>4.0</v>
      </c>
      <c r="E368" s="6">
        <v>501968.0</v>
      </c>
      <c r="F368" s="6">
        <v>0.0</v>
      </c>
      <c r="G368" s="6">
        <v>92928.0</v>
      </c>
      <c r="H368" s="6">
        <v>5.4017</v>
      </c>
      <c r="I368" s="6">
        <v>0.0</v>
      </c>
      <c r="J368" s="6">
        <v>5.4017</v>
      </c>
    </row>
    <row r="369">
      <c r="A369" s="5" t="s">
        <v>56</v>
      </c>
      <c r="B369" s="5" t="s">
        <v>163</v>
      </c>
      <c r="C369" s="5" t="s">
        <v>68</v>
      </c>
      <c r="D369" s="6">
        <v>5.0</v>
      </c>
      <c r="E369" s="6">
        <v>376124.0</v>
      </c>
      <c r="F369" s="6">
        <v>0.0</v>
      </c>
      <c r="G369" s="6">
        <v>92928.0</v>
      </c>
      <c r="H369" s="6">
        <v>4.0475</v>
      </c>
      <c r="I369" s="6">
        <v>0.0</v>
      </c>
      <c r="J369" s="6">
        <v>4.0475</v>
      </c>
    </row>
    <row r="370">
      <c r="A370" s="5" t="s">
        <v>56</v>
      </c>
      <c r="B370" s="5" t="s">
        <v>163</v>
      </c>
      <c r="C370" s="5" t="s">
        <v>68</v>
      </c>
      <c r="D370" s="6">
        <v>6.0</v>
      </c>
      <c r="E370" s="6">
        <v>235639.0</v>
      </c>
      <c r="F370" s="6">
        <v>0.0</v>
      </c>
      <c r="G370" s="6">
        <v>92928.0</v>
      </c>
      <c r="H370" s="6">
        <v>2.5357</v>
      </c>
      <c r="I370" s="6">
        <v>0.0</v>
      </c>
      <c r="J370" s="6">
        <v>2.5357</v>
      </c>
    </row>
    <row r="371">
      <c r="A371" s="5" t="s">
        <v>56</v>
      </c>
      <c r="B371" s="5" t="s">
        <v>163</v>
      </c>
      <c r="C371" s="5" t="s">
        <v>68</v>
      </c>
      <c r="D371" s="6">
        <v>7.0</v>
      </c>
      <c r="E371" s="6">
        <v>301473.0</v>
      </c>
      <c r="F371" s="6">
        <v>0.0</v>
      </c>
      <c r="G371" s="6">
        <v>92928.0</v>
      </c>
      <c r="H371" s="6">
        <v>3.2442</v>
      </c>
      <c r="I371" s="6">
        <v>0.0</v>
      </c>
      <c r="J371" s="6">
        <v>3.2442</v>
      </c>
    </row>
    <row r="372">
      <c r="A372" s="5" t="s">
        <v>56</v>
      </c>
      <c r="B372" s="5" t="s">
        <v>163</v>
      </c>
      <c r="C372" s="5" t="s">
        <v>68</v>
      </c>
      <c r="D372" s="6">
        <v>8.0</v>
      </c>
      <c r="E372" s="6">
        <v>253740.0</v>
      </c>
      <c r="F372" s="6">
        <v>0.0</v>
      </c>
      <c r="G372" s="6">
        <v>92928.0</v>
      </c>
      <c r="H372" s="6">
        <v>2.7305</v>
      </c>
      <c r="I372" s="6">
        <v>0.0</v>
      </c>
      <c r="J372" s="6">
        <v>2.7305</v>
      </c>
    </row>
    <row r="373">
      <c r="A373" s="5" t="s">
        <v>56</v>
      </c>
      <c r="B373" s="5" t="s">
        <v>163</v>
      </c>
      <c r="C373" s="5" t="s">
        <v>68</v>
      </c>
      <c r="D373" s="6">
        <v>9.0</v>
      </c>
      <c r="E373" s="6">
        <v>253173.0</v>
      </c>
      <c r="F373" s="6">
        <v>0.0</v>
      </c>
      <c r="G373" s="6">
        <v>92928.0</v>
      </c>
      <c r="H373" s="6">
        <v>2.7244</v>
      </c>
      <c r="I373" s="6">
        <v>0.0</v>
      </c>
      <c r="J373" s="6">
        <v>2.7244</v>
      </c>
    </row>
    <row r="374">
      <c r="A374" s="5" t="s">
        <v>56</v>
      </c>
      <c r="B374" s="5" t="s">
        <v>163</v>
      </c>
      <c r="C374" s="5" t="s">
        <v>68</v>
      </c>
      <c r="D374" s="6">
        <v>10.0</v>
      </c>
      <c r="E374" s="6">
        <v>856592.0</v>
      </c>
      <c r="F374" s="6">
        <v>0.0</v>
      </c>
      <c r="G374" s="6">
        <v>92928.0</v>
      </c>
      <c r="H374" s="6">
        <v>9.2178</v>
      </c>
      <c r="I374" s="6">
        <v>0.0</v>
      </c>
      <c r="J374" s="6">
        <v>9.2178</v>
      </c>
    </row>
    <row r="375">
      <c r="A375" s="5" t="s">
        <v>56</v>
      </c>
      <c r="B375" s="5" t="s">
        <v>163</v>
      </c>
      <c r="C375" s="5" t="s">
        <v>68</v>
      </c>
      <c r="D375" s="6">
        <v>11.0</v>
      </c>
      <c r="E375" s="6">
        <v>497161.0</v>
      </c>
      <c r="F375" s="6">
        <v>0.0</v>
      </c>
      <c r="G375" s="6">
        <v>92928.0</v>
      </c>
      <c r="H375" s="6">
        <v>5.35</v>
      </c>
      <c r="I375" s="6">
        <v>0.0</v>
      </c>
      <c r="J375" s="6">
        <v>5.35</v>
      </c>
    </row>
    <row r="376">
      <c r="A376" s="5" t="s">
        <v>56</v>
      </c>
      <c r="B376" s="5" t="s">
        <v>163</v>
      </c>
      <c r="C376" s="5" t="s">
        <v>68</v>
      </c>
      <c r="D376" s="6">
        <v>12.0</v>
      </c>
      <c r="E376" s="6">
        <v>355797.0</v>
      </c>
      <c r="F376" s="6">
        <v>0.0</v>
      </c>
      <c r="G376" s="6">
        <v>92928.0</v>
      </c>
      <c r="H376" s="6">
        <v>3.8287</v>
      </c>
      <c r="I376" s="6">
        <v>0.0</v>
      </c>
      <c r="J376" s="6">
        <v>3.8287</v>
      </c>
    </row>
    <row r="377">
      <c r="A377" s="5" t="s">
        <v>56</v>
      </c>
      <c r="B377" s="5" t="s">
        <v>163</v>
      </c>
      <c r="C377" s="5" t="s">
        <v>68</v>
      </c>
      <c r="D377" s="6">
        <v>13.0</v>
      </c>
      <c r="E377" s="6">
        <v>215945.0</v>
      </c>
      <c r="F377" s="6">
        <v>0.0</v>
      </c>
      <c r="G377" s="6">
        <v>92928.0</v>
      </c>
      <c r="H377" s="6">
        <v>2.3238</v>
      </c>
      <c r="I377" s="6">
        <v>0.0</v>
      </c>
      <c r="J377" s="6">
        <v>2.3238</v>
      </c>
    </row>
    <row r="378">
      <c r="A378" s="5" t="s">
        <v>56</v>
      </c>
      <c r="B378" s="5" t="s">
        <v>163</v>
      </c>
      <c r="C378" s="5" t="s">
        <v>68</v>
      </c>
      <c r="D378" s="6">
        <v>14.0</v>
      </c>
      <c r="E378" s="6">
        <v>270273.0</v>
      </c>
      <c r="F378" s="6">
        <v>0.0</v>
      </c>
      <c r="G378" s="6">
        <v>92928.0</v>
      </c>
      <c r="H378" s="6">
        <v>2.9084</v>
      </c>
      <c r="I378" s="6">
        <v>0.0</v>
      </c>
      <c r="J378" s="6">
        <v>2.9084</v>
      </c>
    </row>
    <row r="379">
      <c r="A379" s="5" t="s">
        <v>56</v>
      </c>
      <c r="B379" s="5" t="s">
        <v>163</v>
      </c>
      <c r="C379" s="5" t="s">
        <v>68</v>
      </c>
      <c r="D379" s="6">
        <v>15.0</v>
      </c>
      <c r="E379" s="6">
        <v>218952.0</v>
      </c>
      <c r="F379" s="6">
        <v>0.0</v>
      </c>
      <c r="G379" s="6">
        <v>92928.0</v>
      </c>
      <c r="H379" s="6">
        <v>2.3561</v>
      </c>
      <c r="I379" s="6">
        <v>0.0</v>
      </c>
      <c r="J379" s="6">
        <v>2.3561</v>
      </c>
    </row>
    <row r="380">
      <c r="A380" s="5" t="s">
        <v>56</v>
      </c>
      <c r="B380" s="5" t="s">
        <v>163</v>
      </c>
      <c r="C380" s="5" t="s">
        <v>68</v>
      </c>
      <c r="D380" s="6">
        <v>16.0</v>
      </c>
      <c r="E380" s="6">
        <v>370136.0</v>
      </c>
      <c r="F380" s="6">
        <v>0.0</v>
      </c>
      <c r="G380" s="6">
        <v>92928.0</v>
      </c>
      <c r="H380" s="6">
        <v>3.983</v>
      </c>
      <c r="I380" s="6">
        <v>0.0</v>
      </c>
      <c r="J380" s="6">
        <v>3.983</v>
      </c>
    </row>
    <row r="381">
      <c r="A381" s="5" t="s">
        <v>56</v>
      </c>
      <c r="B381" s="5" t="s">
        <v>163</v>
      </c>
      <c r="C381" s="5" t="s">
        <v>68</v>
      </c>
      <c r="D381" s="6">
        <v>17.0</v>
      </c>
      <c r="E381" s="6">
        <v>707801.0</v>
      </c>
      <c r="F381" s="6">
        <v>0.0</v>
      </c>
      <c r="G381" s="6">
        <v>92928.0</v>
      </c>
      <c r="H381" s="6">
        <v>7.6167</v>
      </c>
      <c r="I381" s="6">
        <v>0.0</v>
      </c>
      <c r="J381" s="6">
        <v>7.6167</v>
      </c>
    </row>
    <row r="382">
      <c r="A382" s="5" t="s">
        <v>56</v>
      </c>
      <c r="B382" s="5" t="s">
        <v>163</v>
      </c>
      <c r="C382" s="5" t="s">
        <v>68</v>
      </c>
      <c r="D382" s="6">
        <v>18.0</v>
      </c>
      <c r="E382" s="6">
        <v>439703.0</v>
      </c>
      <c r="F382" s="6">
        <v>0.0</v>
      </c>
      <c r="G382" s="6">
        <v>92928.0</v>
      </c>
      <c r="H382" s="6">
        <v>4.7317</v>
      </c>
      <c r="I382" s="6">
        <v>0.0</v>
      </c>
      <c r="J382" s="6">
        <v>4.7317</v>
      </c>
    </row>
    <row r="383">
      <c r="A383" s="5" t="s">
        <v>56</v>
      </c>
      <c r="B383" s="5" t="s">
        <v>163</v>
      </c>
      <c r="C383" s="5" t="s">
        <v>68</v>
      </c>
      <c r="D383" s="6">
        <v>19.0</v>
      </c>
      <c r="E383" s="6">
        <v>304090.0</v>
      </c>
      <c r="F383" s="6">
        <v>0.0</v>
      </c>
      <c r="G383" s="6">
        <v>92928.0</v>
      </c>
      <c r="H383" s="6">
        <v>3.2723</v>
      </c>
      <c r="I383" s="6">
        <v>0.0</v>
      </c>
      <c r="J383" s="6">
        <v>3.2723</v>
      </c>
    </row>
    <row r="384">
      <c r="A384" s="5" t="s">
        <v>56</v>
      </c>
      <c r="B384" s="5" t="s">
        <v>163</v>
      </c>
      <c r="C384" s="5" t="s">
        <v>68</v>
      </c>
      <c r="D384" s="6">
        <v>20.0</v>
      </c>
      <c r="E384" s="6">
        <v>184916.0</v>
      </c>
      <c r="F384" s="6">
        <v>0.0</v>
      </c>
      <c r="G384" s="6">
        <v>92928.0</v>
      </c>
      <c r="H384" s="6">
        <v>1.9899</v>
      </c>
      <c r="I384" s="6">
        <v>0.0</v>
      </c>
      <c r="J384" s="6">
        <v>1.9899</v>
      </c>
    </row>
    <row r="385">
      <c r="A385" s="5" t="s">
        <v>56</v>
      </c>
      <c r="B385" s="5" t="s">
        <v>163</v>
      </c>
      <c r="C385" s="5" t="s">
        <v>68</v>
      </c>
      <c r="D385" s="6">
        <v>21.0</v>
      </c>
      <c r="E385" s="6">
        <v>261931.0</v>
      </c>
      <c r="F385" s="6">
        <v>0.0</v>
      </c>
      <c r="G385" s="6">
        <v>92928.0</v>
      </c>
      <c r="H385" s="6">
        <v>2.8186</v>
      </c>
      <c r="I385" s="6">
        <v>0.0</v>
      </c>
      <c r="J385" s="6">
        <v>2.8186</v>
      </c>
    </row>
    <row r="386">
      <c r="A386" s="5" t="s">
        <v>56</v>
      </c>
      <c r="B386" s="5" t="s">
        <v>163</v>
      </c>
      <c r="C386" s="5" t="s">
        <v>68</v>
      </c>
      <c r="D386" s="6">
        <v>22.0</v>
      </c>
      <c r="E386" s="6">
        <v>239203.0</v>
      </c>
      <c r="F386" s="6">
        <v>0.0</v>
      </c>
      <c r="G386" s="6">
        <v>92928.0</v>
      </c>
      <c r="H386" s="6">
        <v>2.5741</v>
      </c>
      <c r="I386" s="6">
        <v>0.0</v>
      </c>
      <c r="J386" s="6">
        <v>2.5741</v>
      </c>
    </row>
    <row r="387">
      <c r="A387" s="5" t="s">
        <v>56</v>
      </c>
      <c r="B387" s="5" t="s">
        <v>163</v>
      </c>
      <c r="C387" s="5" t="s">
        <v>68</v>
      </c>
      <c r="D387" s="6">
        <v>23.0</v>
      </c>
      <c r="E387" s="6">
        <v>222357.0</v>
      </c>
      <c r="F387" s="6">
        <v>0.0</v>
      </c>
      <c r="G387" s="6">
        <v>92928.0</v>
      </c>
      <c r="H387" s="6">
        <v>2.3928</v>
      </c>
      <c r="I387" s="6">
        <v>0.0</v>
      </c>
      <c r="J387" s="6">
        <v>2.3928</v>
      </c>
    </row>
    <row r="388">
      <c r="A388" s="5" t="s">
        <v>56</v>
      </c>
      <c r="B388" s="5" t="s">
        <v>163</v>
      </c>
      <c r="C388" s="5" t="s">
        <v>68</v>
      </c>
      <c r="D388" s="6">
        <v>24.0</v>
      </c>
      <c r="E388" s="6">
        <v>730440.0</v>
      </c>
      <c r="F388" s="6">
        <v>0.0</v>
      </c>
      <c r="G388" s="6">
        <v>92928.0</v>
      </c>
      <c r="H388" s="6">
        <v>7.8603</v>
      </c>
      <c r="I388" s="6">
        <v>0.0</v>
      </c>
      <c r="J388" s="6">
        <v>7.8603</v>
      </c>
    </row>
    <row r="389">
      <c r="A389" s="5" t="s">
        <v>56</v>
      </c>
      <c r="B389" s="5" t="s">
        <v>163</v>
      </c>
      <c r="C389" s="5" t="s">
        <v>68</v>
      </c>
      <c r="D389" s="6">
        <v>25.0</v>
      </c>
      <c r="E389" s="6">
        <v>434074.0</v>
      </c>
      <c r="F389" s="6">
        <v>0.0</v>
      </c>
      <c r="G389" s="6">
        <v>92928.0</v>
      </c>
      <c r="H389" s="6">
        <v>4.6711</v>
      </c>
      <c r="I389" s="6">
        <v>0.0</v>
      </c>
      <c r="J389" s="6">
        <v>4.6711</v>
      </c>
    </row>
    <row r="390">
      <c r="A390" s="5" t="s">
        <v>56</v>
      </c>
      <c r="B390" s="5" t="s">
        <v>163</v>
      </c>
      <c r="C390" s="5" t="s">
        <v>68</v>
      </c>
      <c r="D390" s="6">
        <v>26.0</v>
      </c>
      <c r="E390" s="6">
        <v>307337.0</v>
      </c>
      <c r="F390" s="6">
        <v>0.0</v>
      </c>
      <c r="G390" s="6">
        <v>92928.0</v>
      </c>
      <c r="H390" s="6">
        <v>3.3073</v>
      </c>
      <c r="I390" s="6">
        <v>0.0</v>
      </c>
      <c r="J390" s="6">
        <v>3.3073</v>
      </c>
    </row>
    <row r="391">
      <c r="A391" s="5" t="s">
        <v>56</v>
      </c>
      <c r="B391" s="5" t="s">
        <v>163</v>
      </c>
      <c r="C391" s="5" t="s">
        <v>68</v>
      </c>
      <c r="D391" s="6">
        <v>27.0</v>
      </c>
      <c r="E391" s="6">
        <v>178531.0</v>
      </c>
      <c r="F391" s="6">
        <v>0.0</v>
      </c>
      <c r="G391" s="6">
        <v>92928.0</v>
      </c>
      <c r="H391" s="6">
        <v>1.9212</v>
      </c>
      <c r="I391" s="6">
        <v>0.0</v>
      </c>
      <c r="J391" s="6">
        <v>1.9212</v>
      </c>
    </row>
    <row r="392">
      <c r="A392" s="5" t="s">
        <v>56</v>
      </c>
      <c r="B392" s="5" t="s">
        <v>163</v>
      </c>
      <c r="C392" s="5" t="s">
        <v>68</v>
      </c>
      <c r="D392" s="6">
        <v>28.0</v>
      </c>
      <c r="E392" s="6">
        <v>222581.0</v>
      </c>
      <c r="F392" s="6">
        <v>0.0</v>
      </c>
      <c r="G392" s="6">
        <v>92928.0</v>
      </c>
      <c r="H392" s="6">
        <v>2.3952</v>
      </c>
      <c r="I392" s="6">
        <v>0.0</v>
      </c>
      <c r="J392" s="6">
        <v>2.3952</v>
      </c>
    </row>
    <row r="393">
      <c r="A393" s="5" t="s">
        <v>56</v>
      </c>
      <c r="B393" s="5" t="s">
        <v>163</v>
      </c>
      <c r="C393" s="5" t="s">
        <v>68</v>
      </c>
      <c r="D393" s="6">
        <v>29.0</v>
      </c>
      <c r="E393" s="6">
        <v>198315.0</v>
      </c>
      <c r="F393" s="6">
        <v>0.0</v>
      </c>
      <c r="G393" s="6">
        <v>92928.0</v>
      </c>
      <c r="H393" s="6">
        <v>2.1341</v>
      </c>
      <c r="I393" s="6">
        <v>0.0</v>
      </c>
      <c r="J393" s="6">
        <v>2.1341</v>
      </c>
    </row>
    <row r="394">
      <c r="A394" s="5" t="s">
        <v>56</v>
      </c>
      <c r="B394" s="5" t="s">
        <v>163</v>
      </c>
      <c r="C394" s="5" t="s">
        <v>68</v>
      </c>
      <c r="D394" s="6">
        <v>30.0</v>
      </c>
      <c r="E394" s="6">
        <v>364062.0</v>
      </c>
      <c r="F394" s="6">
        <v>0.0</v>
      </c>
      <c r="G394" s="6">
        <v>92928.0</v>
      </c>
      <c r="H394" s="6">
        <v>3.9177</v>
      </c>
      <c r="I394" s="6">
        <v>0.0</v>
      </c>
      <c r="J394" s="6">
        <v>3.9177</v>
      </c>
    </row>
    <row r="395">
      <c r="A395" s="5" t="s">
        <v>56</v>
      </c>
      <c r="B395" s="5" t="s">
        <v>163</v>
      </c>
      <c r="C395" s="5" t="s">
        <v>68</v>
      </c>
      <c r="D395" s="6">
        <v>31.0</v>
      </c>
      <c r="E395" s="6">
        <v>770975.0</v>
      </c>
      <c r="F395" s="6">
        <v>0.0</v>
      </c>
      <c r="G395" s="6">
        <v>92928.0</v>
      </c>
      <c r="H395" s="6">
        <v>8.2965</v>
      </c>
      <c r="I395" s="6">
        <v>0.0</v>
      </c>
      <c r="J395" s="6">
        <v>8.2965</v>
      </c>
    </row>
    <row r="396">
      <c r="A396" s="5" t="s">
        <v>56</v>
      </c>
      <c r="B396" s="5" t="s">
        <v>163</v>
      </c>
      <c r="C396" s="5" t="s">
        <v>68</v>
      </c>
      <c r="D396" s="6">
        <v>32.0</v>
      </c>
      <c r="E396" s="6">
        <v>456464.0</v>
      </c>
      <c r="F396" s="6">
        <v>0.0</v>
      </c>
      <c r="G396" s="6">
        <v>92928.0</v>
      </c>
      <c r="H396" s="6">
        <v>4.912</v>
      </c>
      <c r="I396" s="6">
        <v>0.0</v>
      </c>
      <c r="J396" s="6">
        <v>4.912</v>
      </c>
    </row>
    <row r="397">
      <c r="A397" s="5" t="s">
        <v>56</v>
      </c>
      <c r="B397" s="5" t="s">
        <v>163</v>
      </c>
      <c r="C397" s="5" t="s">
        <v>68</v>
      </c>
      <c r="D397" s="6">
        <v>33.0</v>
      </c>
      <c r="E397" s="6">
        <v>324737.0</v>
      </c>
      <c r="F397" s="6">
        <v>0.0</v>
      </c>
      <c r="G397" s="6">
        <v>92928.0</v>
      </c>
      <c r="H397" s="6">
        <v>3.4945</v>
      </c>
      <c r="I397" s="6">
        <v>0.0</v>
      </c>
      <c r="J397" s="6">
        <v>3.4945</v>
      </c>
    </row>
    <row r="398">
      <c r="A398" s="5" t="s">
        <v>56</v>
      </c>
      <c r="B398" s="5" t="s">
        <v>163</v>
      </c>
      <c r="C398" s="5" t="s">
        <v>2035</v>
      </c>
      <c r="D398" s="6">
        <v>1.0</v>
      </c>
      <c r="E398" s="6">
        <v>45.0</v>
      </c>
      <c r="F398" s="6">
        <v>0.0</v>
      </c>
      <c r="G398" s="6">
        <v>3697.0</v>
      </c>
      <c r="H398" s="6">
        <v>0.0122</v>
      </c>
      <c r="I398" s="6">
        <v>0.0</v>
      </c>
      <c r="J398" s="6">
        <v>0.0122</v>
      </c>
    </row>
    <row r="399">
      <c r="A399" s="5" t="s">
        <v>56</v>
      </c>
      <c r="B399" s="5" t="s">
        <v>163</v>
      </c>
      <c r="C399" s="5" t="s">
        <v>2035</v>
      </c>
      <c r="D399" s="6">
        <v>2.0</v>
      </c>
      <c r="E399" s="6">
        <v>3360.0</v>
      </c>
      <c r="F399" s="6">
        <v>0.0</v>
      </c>
      <c r="G399" s="6">
        <v>3697.0</v>
      </c>
      <c r="H399" s="6">
        <v>0.9088</v>
      </c>
      <c r="I399" s="6">
        <v>0.0</v>
      </c>
      <c r="J399" s="6">
        <v>0.9088</v>
      </c>
    </row>
    <row r="400">
      <c r="A400" s="5" t="s">
        <v>56</v>
      </c>
      <c r="B400" s="5" t="s">
        <v>163</v>
      </c>
      <c r="C400" s="5" t="s">
        <v>2035</v>
      </c>
      <c r="D400" s="6">
        <v>3.0</v>
      </c>
      <c r="E400" s="6">
        <v>3570.0</v>
      </c>
      <c r="F400" s="6">
        <v>0.0</v>
      </c>
      <c r="G400" s="6">
        <v>3697.0</v>
      </c>
      <c r="H400" s="6">
        <v>0.9656</v>
      </c>
      <c r="I400" s="6">
        <v>0.0</v>
      </c>
      <c r="J400" s="6">
        <v>0.9656</v>
      </c>
    </row>
    <row r="401">
      <c r="A401" s="5" t="s">
        <v>56</v>
      </c>
      <c r="B401" s="5" t="s">
        <v>163</v>
      </c>
      <c r="C401" s="5" t="s">
        <v>2035</v>
      </c>
      <c r="D401" s="6">
        <v>4.0</v>
      </c>
      <c r="E401" s="6">
        <v>3215.0</v>
      </c>
      <c r="F401" s="6">
        <v>0.0</v>
      </c>
      <c r="G401" s="6">
        <v>3697.0</v>
      </c>
      <c r="H401" s="6">
        <v>0.8696</v>
      </c>
      <c r="I401" s="6">
        <v>0.0</v>
      </c>
      <c r="J401" s="6">
        <v>0.8696</v>
      </c>
    </row>
    <row r="402">
      <c r="A402" s="5" t="s">
        <v>56</v>
      </c>
      <c r="B402" s="5" t="s">
        <v>163</v>
      </c>
      <c r="C402" s="5" t="s">
        <v>2035</v>
      </c>
      <c r="D402" s="6">
        <v>5.0</v>
      </c>
      <c r="E402" s="6">
        <v>2980.0</v>
      </c>
      <c r="F402" s="6">
        <v>0.0</v>
      </c>
      <c r="G402" s="6">
        <v>3697.0</v>
      </c>
      <c r="H402" s="6">
        <v>0.8061</v>
      </c>
      <c r="I402" s="6">
        <v>0.0</v>
      </c>
      <c r="J402" s="6">
        <v>0.8061</v>
      </c>
    </row>
    <row r="403">
      <c r="A403" s="5" t="s">
        <v>56</v>
      </c>
      <c r="B403" s="5" t="s">
        <v>163</v>
      </c>
      <c r="C403" s="5" t="s">
        <v>2035</v>
      </c>
      <c r="D403" s="6">
        <v>6.0</v>
      </c>
      <c r="E403" s="6">
        <v>2200.0</v>
      </c>
      <c r="F403" s="6">
        <v>0.0</v>
      </c>
      <c r="G403" s="6">
        <v>3697.0</v>
      </c>
      <c r="H403" s="6">
        <v>0.5951</v>
      </c>
      <c r="I403" s="6">
        <v>0.0</v>
      </c>
      <c r="J403" s="6">
        <v>0.5951</v>
      </c>
    </row>
    <row r="404">
      <c r="A404" s="5" t="s">
        <v>56</v>
      </c>
      <c r="B404" s="5" t="s">
        <v>163</v>
      </c>
      <c r="C404" s="5" t="s">
        <v>2035</v>
      </c>
      <c r="D404" s="6">
        <v>7.0</v>
      </c>
      <c r="E404" s="6">
        <v>2175.0</v>
      </c>
      <c r="F404" s="6">
        <v>0.0</v>
      </c>
      <c r="G404" s="6">
        <v>3697.0</v>
      </c>
      <c r="H404" s="6">
        <v>0.5883</v>
      </c>
      <c r="I404" s="6">
        <v>0.0</v>
      </c>
      <c r="J404" s="6">
        <v>0.5883</v>
      </c>
    </row>
    <row r="405">
      <c r="A405" s="5" t="s">
        <v>56</v>
      </c>
      <c r="B405" s="5" t="s">
        <v>163</v>
      </c>
      <c r="C405" s="5" t="s">
        <v>2035</v>
      </c>
      <c r="D405" s="6">
        <v>8.0</v>
      </c>
      <c r="E405" s="6">
        <v>1770.0</v>
      </c>
      <c r="F405" s="6">
        <v>0.0</v>
      </c>
      <c r="G405" s="6">
        <v>3697.0</v>
      </c>
      <c r="H405" s="6">
        <v>0.4788</v>
      </c>
      <c r="I405" s="6">
        <v>0.0</v>
      </c>
      <c r="J405" s="6">
        <v>0.4788</v>
      </c>
    </row>
    <row r="406">
      <c r="A406" s="5" t="s">
        <v>56</v>
      </c>
      <c r="B406" s="5" t="s">
        <v>163</v>
      </c>
      <c r="C406" s="5" t="s">
        <v>2035</v>
      </c>
      <c r="D406" s="6">
        <v>9.0</v>
      </c>
      <c r="E406" s="6">
        <v>165.0</v>
      </c>
      <c r="F406" s="6">
        <v>0.0</v>
      </c>
      <c r="G406" s="6">
        <v>3697.0</v>
      </c>
      <c r="H406" s="6">
        <v>0.0446</v>
      </c>
      <c r="I406" s="6">
        <v>0.0</v>
      </c>
      <c r="J406" s="6">
        <v>0.0446</v>
      </c>
    </row>
    <row r="407">
      <c r="A407" s="5" t="s">
        <v>56</v>
      </c>
      <c r="B407" s="5" t="s">
        <v>163</v>
      </c>
      <c r="C407" s="5" t="s">
        <v>2035</v>
      </c>
      <c r="D407" s="6">
        <v>10.0</v>
      </c>
      <c r="E407" s="6">
        <v>90.0</v>
      </c>
      <c r="F407" s="6">
        <v>0.0</v>
      </c>
      <c r="G407" s="6">
        <v>3697.0</v>
      </c>
      <c r="H407" s="6">
        <v>0.0243</v>
      </c>
      <c r="I407" s="6">
        <v>0.0</v>
      </c>
      <c r="J407" s="6">
        <v>0.0243</v>
      </c>
    </row>
    <row r="408">
      <c r="A408" s="5" t="s">
        <v>56</v>
      </c>
      <c r="B408" s="5" t="s">
        <v>163</v>
      </c>
      <c r="C408" s="5" t="s">
        <v>2035</v>
      </c>
      <c r="D408" s="6">
        <v>11.0</v>
      </c>
      <c r="E408" s="6">
        <v>105.0</v>
      </c>
      <c r="F408" s="6">
        <v>0.0</v>
      </c>
      <c r="G408" s="6">
        <v>3697.0</v>
      </c>
      <c r="H408" s="6">
        <v>0.0284</v>
      </c>
      <c r="I408" s="6">
        <v>0.0</v>
      </c>
      <c r="J408" s="6">
        <v>0.0284</v>
      </c>
    </row>
    <row r="409">
      <c r="A409" s="5" t="s">
        <v>56</v>
      </c>
      <c r="B409" s="5" t="s">
        <v>163</v>
      </c>
      <c r="C409" s="5" t="s">
        <v>2035</v>
      </c>
      <c r="D409" s="6">
        <v>12.0</v>
      </c>
      <c r="E409" s="6">
        <v>45.0</v>
      </c>
      <c r="F409" s="6">
        <v>0.0</v>
      </c>
      <c r="G409" s="6">
        <v>3697.0</v>
      </c>
      <c r="H409" s="6">
        <v>0.0122</v>
      </c>
      <c r="I409" s="6">
        <v>0.0</v>
      </c>
      <c r="J409" s="6">
        <v>0.0122</v>
      </c>
    </row>
    <row r="410">
      <c r="A410" s="5" t="s">
        <v>56</v>
      </c>
      <c r="B410" s="5" t="s">
        <v>163</v>
      </c>
      <c r="C410" s="5" t="s">
        <v>2035</v>
      </c>
      <c r="D410" s="6">
        <v>13.0</v>
      </c>
      <c r="E410" s="6">
        <v>30.0</v>
      </c>
      <c r="F410" s="6">
        <v>0.0</v>
      </c>
      <c r="G410" s="6">
        <v>3697.0</v>
      </c>
      <c r="H410" s="6">
        <v>0.0081</v>
      </c>
      <c r="I410" s="6">
        <v>0.0</v>
      </c>
      <c r="J410" s="6">
        <v>0.0081</v>
      </c>
    </row>
    <row r="411">
      <c r="A411" s="5" t="s">
        <v>56</v>
      </c>
      <c r="B411" s="5" t="s">
        <v>163</v>
      </c>
      <c r="C411" s="5" t="s">
        <v>2035</v>
      </c>
      <c r="D411" s="6">
        <v>14.0</v>
      </c>
      <c r="E411" s="6">
        <v>100.0</v>
      </c>
      <c r="F411" s="6">
        <v>0.0</v>
      </c>
      <c r="G411" s="6">
        <v>3697.0</v>
      </c>
      <c r="H411" s="6">
        <v>0.027</v>
      </c>
      <c r="I411" s="6">
        <v>0.0</v>
      </c>
      <c r="J411" s="6">
        <v>0.027</v>
      </c>
    </row>
    <row r="412">
      <c r="A412" s="5" t="s">
        <v>56</v>
      </c>
      <c r="B412" s="5" t="s">
        <v>163</v>
      </c>
      <c r="C412" s="5" t="s">
        <v>2035</v>
      </c>
      <c r="D412" s="6">
        <v>15.0</v>
      </c>
      <c r="E412" s="6">
        <v>105.0</v>
      </c>
      <c r="F412" s="6">
        <v>0.0</v>
      </c>
      <c r="G412" s="6">
        <v>3697.0</v>
      </c>
      <c r="H412" s="6">
        <v>0.0284</v>
      </c>
      <c r="I412" s="6">
        <v>0.0</v>
      </c>
      <c r="J412" s="6">
        <v>0.0284</v>
      </c>
    </row>
    <row r="413">
      <c r="A413" s="5" t="s">
        <v>56</v>
      </c>
      <c r="B413" s="5" t="s">
        <v>163</v>
      </c>
      <c r="C413" s="5" t="s">
        <v>2035</v>
      </c>
      <c r="D413" s="6">
        <v>16.0</v>
      </c>
      <c r="E413" s="6">
        <v>2515.0</v>
      </c>
      <c r="F413" s="6">
        <v>0.0</v>
      </c>
      <c r="G413" s="6">
        <v>3697.0</v>
      </c>
      <c r="H413" s="6">
        <v>0.6803</v>
      </c>
      <c r="I413" s="6">
        <v>0.0</v>
      </c>
      <c r="J413" s="6">
        <v>0.6803</v>
      </c>
    </row>
    <row r="414">
      <c r="A414" s="5" t="s">
        <v>56</v>
      </c>
      <c r="B414" s="5" t="s">
        <v>163</v>
      </c>
      <c r="C414" s="5" t="s">
        <v>2035</v>
      </c>
      <c r="D414" s="6">
        <v>17.0</v>
      </c>
      <c r="E414" s="6">
        <v>2410.0</v>
      </c>
      <c r="F414" s="6">
        <v>0.0</v>
      </c>
      <c r="G414" s="6">
        <v>3697.0</v>
      </c>
      <c r="H414" s="6">
        <v>0.6519</v>
      </c>
      <c r="I414" s="6">
        <v>0.0</v>
      </c>
      <c r="J414" s="6">
        <v>0.6519</v>
      </c>
    </row>
    <row r="415">
      <c r="A415" s="5" t="s">
        <v>56</v>
      </c>
      <c r="B415" s="5" t="s">
        <v>163</v>
      </c>
      <c r="C415" s="5" t="s">
        <v>2035</v>
      </c>
      <c r="D415" s="6">
        <v>18.0</v>
      </c>
      <c r="E415" s="6">
        <v>2370.0</v>
      </c>
      <c r="F415" s="6">
        <v>0.0</v>
      </c>
      <c r="G415" s="6">
        <v>3697.0</v>
      </c>
      <c r="H415" s="6">
        <v>0.6411</v>
      </c>
      <c r="I415" s="6">
        <v>0.0</v>
      </c>
      <c r="J415" s="6">
        <v>0.6411</v>
      </c>
    </row>
    <row r="416">
      <c r="A416" s="5" t="s">
        <v>56</v>
      </c>
      <c r="B416" s="5" t="s">
        <v>163</v>
      </c>
      <c r="C416" s="5" t="s">
        <v>2035</v>
      </c>
      <c r="D416" s="6">
        <v>19.0</v>
      </c>
      <c r="E416" s="6">
        <v>1985.0</v>
      </c>
      <c r="F416" s="6">
        <v>0.0</v>
      </c>
      <c r="G416" s="6">
        <v>3697.0</v>
      </c>
      <c r="H416" s="6">
        <v>0.5369</v>
      </c>
      <c r="I416" s="6">
        <v>0.0</v>
      </c>
      <c r="J416" s="6">
        <v>0.5369</v>
      </c>
    </row>
    <row r="417">
      <c r="A417" s="5" t="s">
        <v>56</v>
      </c>
      <c r="B417" s="5" t="s">
        <v>163</v>
      </c>
      <c r="C417" s="5" t="s">
        <v>2035</v>
      </c>
      <c r="D417" s="6">
        <v>20.0</v>
      </c>
      <c r="E417" s="6">
        <v>1790.0</v>
      </c>
      <c r="F417" s="6">
        <v>0.0</v>
      </c>
      <c r="G417" s="6">
        <v>3697.0</v>
      </c>
      <c r="H417" s="6">
        <v>0.4842</v>
      </c>
      <c r="I417" s="6">
        <v>0.0</v>
      </c>
      <c r="J417" s="6">
        <v>0.4842</v>
      </c>
    </row>
    <row r="418">
      <c r="A418" s="5" t="s">
        <v>56</v>
      </c>
      <c r="B418" s="5" t="s">
        <v>163</v>
      </c>
      <c r="C418" s="5" t="s">
        <v>2035</v>
      </c>
      <c r="D418" s="6">
        <v>21.0</v>
      </c>
      <c r="E418" s="6">
        <v>2225.0</v>
      </c>
      <c r="F418" s="6">
        <v>0.0</v>
      </c>
      <c r="G418" s="6">
        <v>3697.0</v>
      </c>
      <c r="H418" s="6">
        <v>0.6018</v>
      </c>
      <c r="I418" s="6">
        <v>0.0</v>
      </c>
      <c r="J418" s="6">
        <v>0.6018</v>
      </c>
    </row>
    <row r="419">
      <c r="A419" s="5" t="s">
        <v>56</v>
      </c>
      <c r="B419" s="5" t="s">
        <v>163</v>
      </c>
      <c r="C419" s="5" t="s">
        <v>2035</v>
      </c>
      <c r="D419" s="6">
        <v>22.0</v>
      </c>
      <c r="E419" s="6">
        <v>1885.0</v>
      </c>
      <c r="F419" s="6">
        <v>0.0</v>
      </c>
      <c r="G419" s="6">
        <v>3697.0</v>
      </c>
      <c r="H419" s="6">
        <v>0.5099</v>
      </c>
      <c r="I419" s="6">
        <v>0.0</v>
      </c>
      <c r="J419" s="6">
        <v>0.5099</v>
      </c>
    </row>
    <row r="420">
      <c r="A420" s="5" t="s">
        <v>56</v>
      </c>
      <c r="B420" s="5" t="s">
        <v>163</v>
      </c>
      <c r="C420" s="5" t="s">
        <v>2035</v>
      </c>
      <c r="D420" s="6">
        <v>23.0</v>
      </c>
      <c r="E420" s="6">
        <v>120.0</v>
      </c>
      <c r="F420" s="6">
        <v>0.0</v>
      </c>
      <c r="G420" s="6">
        <v>3697.0</v>
      </c>
      <c r="H420" s="6">
        <v>0.0325</v>
      </c>
      <c r="I420" s="6">
        <v>0.0</v>
      </c>
      <c r="J420" s="6">
        <v>0.0325</v>
      </c>
    </row>
    <row r="421">
      <c r="A421" s="5" t="s">
        <v>56</v>
      </c>
      <c r="B421" s="5" t="s">
        <v>163</v>
      </c>
      <c r="C421" s="5" t="s">
        <v>2035</v>
      </c>
      <c r="D421" s="6">
        <v>24.0</v>
      </c>
      <c r="E421" s="6">
        <v>180.0</v>
      </c>
      <c r="F421" s="6">
        <v>0.0</v>
      </c>
      <c r="G421" s="6">
        <v>3697.0</v>
      </c>
      <c r="H421" s="6">
        <v>0.0487</v>
      </c>
      <c r="I421" s="6">
        <v>0.0</v>
      </c>
      <c r="J421" s="6">
        <v>0.0487</v>
      </c>
    </row>
    <row r="422">
      <c r="A422" s="5" t="s">
        <v>56</v>
      </c>
      <c r="B422" s="5" t="s">
        <v>163</v>
      </c>
      <c r="C422" s="5" t="s">
        <v>2035</v>
      </c>
      <c r="D422" s="6">
        <v>25.0</v>
      </c>
      <c r="E422" s="6">
        <v>60.0</v>
      </c>
      <c r="F422" s="6">
        <v>0.0</v>
      </c>
      <c r="G422" s="6">
        <v>3697.0</v>
      </c>
      <c r="H422" s="6">
        <v>0.0162</v>
      </c>
      <c r="I422" s="6">
        <v>0.0</v>
      </c>
      <c r="J422" s="6">
        <v>0.0162</v>
      </c>
    </row>
    <row r="423">
      <c r="A423" s="5" t="s">
        <v>56</v>
      </c>
      <c r="B423" s="5" t="s">
        <v>163</v>
      </c>
      <c r="C423" s="5" t="s">
        <v>2035</v>
      </c>
      <c r="D423" s="6">
        <v>26.0</v>
      </c>
      <c r="E423" s="6">
        <v>160.0</v>
      </c>
      <c r="F423" s="6">
        <v>0.0</v>
      </c>
      <c r="G423" s="6">
        <v>3697.0</v>
      </c>
      <c r="H423" s="6">
        <v>0.0433</v>
      </c>
      <c r="I423" s="6">
        <v>0.0</v>
      </c>
      <c r="J423" s="6">
        <v>0.0433</v>
      </c>
    </row>
    <row r="424">
      <c r="A424" s="5" t="s">
        <v>56</v>
      </c>
      <c r="B424" s="5" t="s">
        <v>163</v>
      </c>
      <c r="C424" s="5" t="s">
        <v>2035</v>
      </c>
      <c r="D424" s="6">
        <v>27.0</v>
      </c>
      <c r="E424" s="6">
        <v>150.0</v>
      </c>
      <c r="F424" s="6">
        <v>0.0</v>
      </c>
      <c r="G424" s="6">
        <v>3697.0</v>
      </c>
      <c r="H424" s="6">
        <v>0.0406</v>
      </c>
      <c r="I424" s="6">
        <v>0.0</v>
      </c>
      <c r="J424" s="6">
        <v>0.0406</v>
      </c>
    </row>
    <row r="425">
      <c r="A425" s="5" t="s">
        <v>56</v>
      </c>
      <c r="B425" s="5" t="s">
        <v>163</v>
      </c>
      <c r="C425" s="5" t="s">
        <v>2035</v>
      </c>
      <c r="D425" s="6">
        <v>28.0</v>
      </c>
      <c r="E425" s="6">
        <v>80.0</v>
      </c>
      <c r="F425" s="6">
        <v>0.0</v>
      </c>
      <c r="G425" s="6">
        <v>3697.0</v>
      </c>
      <c r="H425" s="6">
        <v>0.0216</v>
      </c>
      <c r="I425" s="6">
        <v>0.0</v>
      </c>
      <c r="J425" s="6">
        <v>0.0216</v>
      </c>
    </row>
    <row r="426">
      <c r="A426" s="5" t="s">
        <v>56</v>
      </c>
      <c r="B426" s="5" t="s">
        <v>163</v>
      </c>
      <c r="C426" s="5" t="s">
        <v>2035</v>
      </c>
      <c r="D426" s="6">
        <v>29.0</v>
      </c>
      <c r="E426" s="6">
        <v>45.0</v>
      </c>
      <c r="F426" s="6">
        <v>0.0</v>
      </c>
      <c r="G426" s="6">
        <v>3697.0</v>
      </c>
      <c r="H426" s="6">
        <v>0.0122</v>
      </c>
      <c r="I426" s="6">
        <v>0.0</v>
      </c>
      <c r="J426" s="6">
        <v>0.0122</v>
      </c>
    </row>
    <row r="427">
      <c r="A427" s="5" t="s">
        <v>56</v>
      </c>
      <c r="B427" s="5" t="s">
        <v>163</v>
      </c>
      <c r="C427" s="5" t="s">
        <v>2035</v>
      </c>
      <c r="D427" s="6">
        <v>30.0</v>
      </c>
      <c r="E427" s="6">
        <v>2925.0</v>
      </c>
      <c r="F427" s="6">
        <v>0.0</v>
      </c>
      <c r="G427" s="6">
        <v>3697.0</v>
      </c>
      <c r="H427" s="6">
        <v>0.7912</v>
      </c>
      <c r="I427" s="6">
        <v>0.0</v>
      </c>
      <c r="J427" s="6">
        <v>0.7912</v>
      </c>
    </row>
    <row r="428">
      <c r="A428" s="5" t="s">
        <v>56</v>
      </c>
      <c r="B428" s="5" t="s">
        <v>163</v>
      </c>
      <c r="C428" s="5" t="s">
        <v>2035</v>
      </c>
      <c r="D428" s="6">
        <v>31.0</v>
      </c>
      <c r="E428" s="6">
        <v>3105.0</v>
      </c>
      <c r="F428" s="6">
        <v>0.0</v>
      </c>
      <c r="G428" s="6">
        <v>3697.0</v>
      </c>
      <c r="H428" s="6">
        <v>0.8399</v>
      </c>
      <c r="I428" s="6">
        <v>0.0</v>
      </c>
      <c r="J428" s="6">
        <v>0.8399</v>
      </c>
    </row>
    <row r="429">
      <c r="A429" s="5" t="s">
        <v>56</v>
      </c>
      <c r="B429" s="5" t="s">
        <v>163</v>
      </c>
      <c r="C429" s="5" t="s">
        <v>2035</v>
      </c>
      <c r="D429" s="6">
        <v>32.0</v>
      </c>
      <c r="E429" s="6">
        <v>2315.0</v>
      </c>
      <c r="F429" s="6">
        <v>0.0</v>
      </c>
      <c r="G429" s="6">
        <v>3697.0</v>
      </c>
      <c r="H429" s="6">
        <v>0.6262</v>
      </c>
      <c r="I429" s="6">
        <v>0.0</v>
      </c>
      <c r="J429" s="6">
        <v>0.6262</v>
      </c>
    </row>
    <row r="430">
      <c r="A430" s="5" t="s">
        <v>56</v>
      </c>
      <c r="B430" s="5" t="s">
        <v>163</v>
      </c>
      <c r="C430" s="5" t="s">
        <v>2035</v>
      </c>
      <c r="D430" s="6">
        <v>33.0</v>
      </c>
      <c r="E430" s="6">
        <v>2590.0</v>
      </c>
      <c r="F430" s="6">
        <v>0.0</v>
      </c>
      <c r="G430" s="6">
        <v>3697.0</v>
      </c>
      <c r="H430" s="6">
        <v>0.7006</v>
      </c>
      <c r="I430" s="6">
        <v>0.0</v>
      </c>
      <c r="J430" s="6">
        <v>0.7006</v>
      </c>
    </row>
    <row r="431">
      <c r="A431" s="5" t="s">
        <v>56</v>
      </c>
      <c r="B431" s="5" t="s">
        <v>1867</v>
      </c>
      <c r="C431" s="5" t="s">
        <v>1882</v>
      </c>
      <c r="D431" s="6">
        <v>1.0</v>
      </c>
      <c r="E431" s="6">
        <v>2400491.0</v>
      </c>
      <c r="F431" s="6">
        <v>2770950.0</v>
      </c>
      <c r="G431" s="6">
        <v>81339.0</v>
      </c>
      <c r="H431" s="6">
        <v>29.5122</v>
      </c>
      <c r="I431" s="6">
        <v>34.0667</v>
      </c>
      <c r="J431" s="6">
        <v>-4.5545</v>
      </c>
    </row>
    <row r="432">
      <c r="A432" s="5" t="s">
        <v>56</v>
      </c>
      <c r="B432" s="5" t="s">
        <v>1867</v>
      </c>
      <c r="C432" s="5" t="s">
        <v>1882</v>
      </c>
      <c r="D432" s="6">
        <v>2.0</v>
      </c>
      <c r="E432" s="6">
        <v>2521319.0</v>
      </c>
      <c r="F432" s="6">
        <v>2683050.0</v>
      </c>
      <c r="G432" s="6">
        <v>81339.0</v>
      </c>
      <c r="H432" s="6">
        <v>30.9977</v>
      </c>
      <c r="I432" s="6">
        <v>32.986</v>
      </c>
      <c r="J432" s="6">
        <v>-1.9884</v>
      </c>
    </row>
    <row r="433">
      <c r="A433" s="5" t="s">
        <v>56</v>
      </c>
      <c r="B433" s="5" t="s">
        <v>1867</v>
      </c>
      <c r="C433" s="5" t="s">
        <v>1882</v>
      </c>
      <c r="D433" s="6">
        <v>3.0</v>
      </c>
      <c r="E433" s="6">
        <v>3422896.0</v>
      </c>
      <c r="F433" s="6">
        <v>3102950.0</v>
      </c>
      <c r="G433" s="6">
        <v>81339.0</v>
      </c>
      <c r="H433" s="6">
        <v>42.0819</v>
      </c>
      <c r="I433" s="6">
        <v>38.1484</v>
      </c>
      <c r="J433" s="6">
        <v>3.9335</v>
      </c>
    </row>
    <row r="434">
      <c r="A434" s="5" t="s">
        <v>56</v>
      </c>
      <c r="B434" s="5" t="s">
        <v>1867</v>
      </c>
      <c r="C434" s="5" t="s">
        <v>1882</v>
      </c>
      <c r="D434" s="6">
        <v>4.0</v>
      </c>
      <c r="E434" s="6">
        <v>2683704.0</v>
      </c>
      <c r="F434" s="6">
        <v>2883600.0</v>
      </c>
      <c r="G434" s="6">
        <v>81339.0</v>
      </c>
      <c r="H434" s="6">
        <v>32.9941</v>
      </c>
      <c r="I434" s="6">
        <v>35.4516</v>
      </c>
      <c r="J434" s="6">
        <v>-2.4576</v>
      </c>
    </row>
    <row r="435">
      <c r="A435" s="5" t="s">
        <v>56</v>
      </c>
      <c r="B435" s="5" t="s">
        <v>1867</v>
      </c>
      <c r="C435" s="5" t="s">
        <v>1882</v>
      </c>
      <c r="D435" s="6">
        <v>5.0</v>
      </c>
      <c r="E435" s="6">
        <v>2407701.0</v>
      </c>
      <c r="F435" s="6">
        <v>2760950.0</v>
      </c>
      <c r="G435" s="6">
        <v>81339.0</v>
      </c>
      <c r="H435" s="6">
        <v>29.6008</v>
      </c>
      <c r="I435" s="6">
        <v>33.9437</v>
      </c>
      <c r="J435" s="6">
        <v>-4.3429</v>
      </c>
    </row>
    <row r="436">
      <c r="A436" s="5" t="s">
        <v>56</v>
      </c>
      <c r="B436" s="5" t="s">
        <v>1867</v>
      </c>
      <c r="C436" s="5" t="s">
        <v>1882</v>
      </c>
      <c r="D436" s="6">
        <v>6.0</v>
      </c>
      <c r="E436" s="6">
        <v>3517745.0</v>
      </c>
      <c r="F436" s="6">
        <v>3301100.0</v>
      </c>
      <c r="G436" s="6">
        <v>81339.0</v>
      </c>
      <c r="H436" s="6">
        <v>43.2479</v>
      </c>
      <c r="I436" s="6">
        <v>40.5845</v>
      </c>
      <c r="J436" s="6">
        <v>2.6635</v>
      </c>
    </row>
    <row r="437">
      <c r="A437" s="5" t="s">
        <v>56</v>
      </c>
      <c r="B437" s="5" t="s">
        <v>1867</v>
      </c>
      <c r="C437" s="5" t="s">
        <v>1882</v>
      </c>
      <c r="D437" s="6">
        <v>7.0</v>
      </c>
      <c r="E437" s="6">
        <v>2560562.0</v>
      </c>
      <c r="F437" s="6">
        <v>2843500.0</v>
      </c>
      <c r="G437" s="6">
        <v>81339.0</v>
      </c>
      <c r="H437" s="6">
        <v>31.4801</v>
      </c>
      <c r="I437" s="6">
        <v>34.9586</v>
      </c>
      <c r="J437" s="6">
        <v>-3.4785</v>
      </c>
    </row>
    <row r="438">
      <c r="A438" s="5" t="s">
        <v>56</v>
      </c>
      <c r="B438" s="5" t="s">
        <v>1867</v>
      </c>
      <c r="C438" s="5" t="s">
        <v>1882</v>
      </c>
      <c r="D438" s="6">
        <v>8.0</v>
      </c>
      <c r="E438" s="6">
        <v>2156088.0</v>
      </c>
      <c r="F438" s="6">
        <v>2498350.0</v>
      </c>
      <c r="G438" s="6">
        <v>81339.0</v>
      </c>
      <c r="H438" s="6">
        <v>26.5074</v>
      </c>
      <c r="I438" s="6">
        <v>30.7153</v>
      </c>
      <c r="J438" s="6">
        <v>-4.2078</v>
      </c>
    </row>
    <row r="439">
      <c r="A439" s="5" t="s">
        <v>56</v>
      </c>
      <c r="B439" s="5" t="s">
        <v>1867</v>
      </c>
      <c r="C439" s="5" t="s">
        <v>1882</v>
      </c>
      <c r="D439" s="6">
        <v>9.0</v>
      </c>
      <c r="E439" s="6">
        <v>2170713.0</v>
      </c>
      <c r="F439" s="6">
        <v>2396900.0</v>
      </c>
      <c r="G439" s="6">
        <v>81339.0</v>
      </c>
      <c r="H439" s="6">
        <v>26.6872</v>
      </c>
      <c r="I439" s="6">
        <v>29.468</v>
      </c>
      <c r="J439" s="6">
        <v>-2.7808</v>
      </c>
    </row>
    <row r="440">
      <c r="A440" s="5" t="s">
        <v>56</v>
      </c>
      <c r="B440" s="5" t="s">
        <v>1867</v>
      </c>
      <c r="C440" s="5" t="s">
        <v>1882</v>
      </c>
      <c r="D440" s="6">
        <v>10.0</v>
      </c>
      <c r="E440" s="6">
        <v>3202802.0</v>
      </c>
      <c r="F440" s="6">
        <v>2879800.0</v>
      </c>
      <c r="G440" s="6">
        <v>81339.0</v>
      </c>
      <c r="H440" s="6">
        <v>39.376</v>
      </c>
      <c r="I440" s="6">
        <v>35.4049</v>
      </c>
      <c r="J440" s="6">
        <v>3.9711</v>
      </c>
    </row>
    <row r="441">
      <c r="A441" s="5" t="s">
        <v>56</v>
      </c>
      <c r="B441" s="5" t="s">
        <v>1867</v>
      </c>
      <c r="C441" s="5" t="s">
        <v>1882</v>
      </c>
      <c r="D441" s="6">
        <v>11.0</v>
      </c>
      <c r="E441" s="6">
        <v>2483583.0</v>
      </c>
      <c r="F441" s="6">
        <v>2633200.0</v>
      </c>
      <c r="G441" s="6">
        <v>81339.0</v>
      </c>
      <c r="H441" s="6">
        <v>30.5337</v>
      </c>
      <c r="I441" s="6">
        <v>32.3732</v>
      </c>
      <c r="J441" s="6">
        <v>-1.8394</v>
      </c>
    </row>
    <row r="442">
      <c r="A442" s="5" t="s">
        <v>56</v>
      </c>
      <c r="B442" s="5" t="s">
        <v>1867</v>
      </c>
      <c r="C442" s="5" t="s">
        <v>1882</v>
      </c>
      <c r="D442" s="6">
        <v>12.0</v>
      </c>
      <c r="E442" s="6">
        <v>2255967.0</v>
      </c>
      <c r="F442" s="6">
        <v>2558300.0</v>
      </c>
      <c r="G442" s="6">
        <v>81339.0</v>
      </c>
      <c r="H442" s="6">
        <v>27.7354</v>
      </c>
      <c r="I442" s="6">
        <v>31.4523</v>
      </c>
      <c r="J442" s="6">
        <v>-3.717</v>
      </c>
    </row>
    <row r="443">
      <c r="A443" s="5" t="s">
        <v>56</v>
      </c>
      <c r="B443" s="5" t="s">
        <v>1867</v>
      </c>
      <c r="C443" s="5" t="s">
        <v>1882</v>
      </c>
      <c r="D443" s="6">
        <v>13.0</v>
      </c>
      <c r="E443" s="6">
        <v>3379935.0</v>
      </c>
      <c r="F443" s="6">
        <v>3120600.0</v>
      </c>
      <c r="G443" s="6">
        <v>81339.0</v>
      </c>
      <c r="H443" s="6">
        <v>41.5537</v>
      </c>
      <c r="I443" s="6">
        <v>38.3654</v>
      </c>
      <c r="J443" s="6">
        <v>3.1883</v>
      </c>
    </row>
    <row r="444">
      <c r="A444" s="5" t="s">
        <v>56</v>
      </c>
      <c r="B444" s="5" t="s">
        <v>1867</v>
      </c>
      <c r="C444" s="5" t="s">
        <v>1882</v>
      </c>
      <c r="D444" s="6">
        <v>14.0</v>
      </c>
      <c r="E444" s="6">
        <v>2340697.0</v>
      </c>
      <c r="F444" s="6">
        <v>2617050.0</v>
      </c>
      <c r="G444" s="6">
        <v>81339.0</v>
      </c>
      <c r="H444" s="6">
        <v>28.7771</v>
      </c>
      <c r="I444" s="6">
        <v>32.1746</v>
      </c>
      <c r="J444" s="6">
        <v>-3.3975</v>
      </c>
    </row>
    <row r="445">
      <c r="A445" s="5" t="s">
        <v>56</v>
      </c>
      <c r="B445" s="5" t="s">
        <v>1867</v>
      </c>
      <c r="C445" s="5" t="s">
        <v>1882</v>
      </c>
      <c r="D445" s="6">
        <v>15.0</v>
      </c>
      <c r="E445" s="6">
        <v>2058790.0</v>
      </c>
      <c r="F445" s="6">
        <v>2341950.0</v>
      </c>
      <c r="G445" s="6">
        <v>81339.0</v>
      </c>
      <c r="H445" s="6">
        <v>25.3112</v>
      </c>
      <c r="I445" s="6">
        <v>28.7925</v>
      </c>
      <c r="J445" s="6">
        <v>-3.4812</v>
      </c>
    </row>
    <row r="446">
      <c r="A446" s="5" t="s">
        <v>56</v>
      </c>
      <c r="B446" s="5" t="s">
        <v>1867</v>
      </c>
      <c r="C446" s="5" t="s">
        <v>1882</v>
      </c>
      <c r="D446" s="6">
        <v>16.0</v>
      </c>
      <c r="E446" s="6">
        <v>2168261.0</v>
      </c>
      <c r="F446" s="6">
        <v>2369300.0</v>
      </c>
      <c r="G446" s="6">
        <v>81339.0</v>
      </c>
      <c r="H446" s="6">
        <v>26.6571</v>
      </c>
      <c r="I446" s="6">
        <v>29.1287</v>
      </c>
      <c r="J446" s="6">
        <v>-2.4716</v>
      </c>
    </row>
    <row r="447">
      <c r="A447" s="5" t="s">
        <v>56</v>
      </c>
      <c r="B447" s="5" t="s">
        <v>1867</v>
      </c>
      <c r="C447" s="5" t="s">
        <v>1882</v>
      </c>
      <c r="D447" s="6">
        <v>17.0</v>
      </c>
      <c r="E447" s="6">
        <v>3133954.0</v>
      </c>
      <c r="F447" s="6">
        <v>2856200.0</v>
      </c>
      <c r="G447" s="6">
        <v>81339.0</v>
      </c>
      <c r="H447" s="6">
        <v>38.5295</v>
      </c>
      <c r="I447" s="6">
        <v>35.1148</v>
      </c>
      <c r="J447" s="6">
        <v>3.4148</v>
      </c>
    </row>
    <row r="448">
      <c r="A448" s="5" t="s">
        <v>56</v>
      </c>
      <c r="B448" s="5" t="s">
        <v>1867</v>
      </c>
      <c r="C448" s="5" t="s">
        <v>1882</v>
      </c>
      <c r="D448" s="6">
        <v>18.0</v>
      </c>
      <c r="E448" s="6">
        <v>2427130.0</v>
      </c>
      <c r="F448" s="6">
        <v>2608100.0</v>
      </c>
      <c r="G448" s="6">
        <v>81339.0</v>
      </c>
      <c r="H448" s="6">
        <v>29.8397</v>
      </c>
      <c r="I448" s="6">
        <v>32.0646</v>
      </c>
      <c r="J448" s="6">
        <v>-2.2249</v>
      </c>
    </row>
    <row r="449">
      <c r="A449" s="5" t="s">
        <v>56</v>
      </c>
      <c r="B449" s="5" t="s">
        <v>1867</v>
      </c>
      <c r="C449" s="5" t="s">
        <v>1882</v>
      </c>
      <c r="D449" s="6">
        <v>19.0</v>
      </c>
      <c r="E449" s="6">
        <v>2154654.0</v>
      </c>
      <c r="F449" s="6">
        <v>2472350.0</v>
      </c>
      <c r="G449" s="6">
        <v>81339.0</v>
      </c>
      <c r="H449" s="6">
        <v>26.4898</v>
      </c>
      <c r="I449" s="6">
        <v>30.3956</v>
      </c>
      <c r="J449" s="6">
        <v>-3.9058</v>
      </c>
    </row>
    <row r="450">
      <c r="A450" s="5" t="s">
        <v>56</v>
      </c>
      <c r="B450" s="5" t="s">
        <v>1867</v>
      </c>
      <c r="C450" s="5" t="s">
        <v>1882</v>
      </c>
      <c r="D450" s="6">
        <v>20.0</v>
      </c>
      <c r="E450" s="6">
        <v>3320885.0</v>
      </c>
      <c r="F450" s="6">
        <v>3054450.0</v>
      </c>
      <c r="G450" s="6">
        <v>81339.0</v>
      </c>
      <c r="H450" s="6">
        <v>40.8277</v>
      </c>
      <c r="I450" s="6">
        <v>37.5521</v>
      </c>
      <c r="J450" s="6">
        <v>3.2756</v>
      </c>
    </row>
    <row r="451">
      <c r="A451" s="5" t="s">
        <v>56</v>
      </c>
      <c r="B451" s="5" t="s">
        <v>1867</v>
      </c>
      <c r="C451" s="5" t="s">
        <v>1882</v>
      </c>
      <c r="D451" s="6">
        <v>21.0</v>
      </c>
      <c r="E451" s="6">
        <v>3020444.0</v>
      </c>
      <c r="F451" s="6">
        <v>2974550.0</v>
      </c>
      <c r="G451" s="6">
        <v>81339.0</v>
      </c>
      <c r="H451" s="6">
        <v>37.134</v>
      </c>
      <c r="I451" s="6">
        <v>36.5698</v>
      </c>
      <c r="J451" s="6">
        <v>0.5642</v>
      </c>
    </row>
    <row r="452">
      <c r="A452" s="5" t="s">
        <v>56</v>
      </c>
      <c r="B452" s="5" t="s">
        <v>1867</v>
      </c>
      <c r="C452" s="5" t="s">
        <v>1882</v>
      </c>
      <c r="D452" s="6">
        <v>22.0</v>
      </c>
      <c r="E452" s="6">
        <v>2285763.0</v>
      </c>
      <c r="F452" s="6">
        <v>2559100.0</v>
      </c>
      <c r="G452" s="6">
        <v>81339.0</v>
      </c>
      <c r="H452" s="6">
        <v>28.1017</v>
      </c>
      <c r="I452" s="6">
        <v>31.4622</v>
      </c>
      <c r="J452" s="6">
        <v>-3.3605</v>
      </c>
    </row>
    <row r="453">
      <c r="A453" s="5" t="s">
        <v>56</v>
      </c>
      <c r="B453" s="5" t="s">
        <v>1867</v>
      </c>
      <c r="C453" s="5" t="s">
        <v>1882</v>
      </c>
      <c r="D453" s="6">
        <v>23.0</v>
      </c>
      <c r="E453" s="6">
        <v>2062111.0</v>
      </c>
      <c r="F453" s="6">
        <v>2292100.0</v>
      </c>
      <c r="G453" s="6">
        <v>81339.0</v>
      </c>
      <c r="H453" s="6">
        <v>25.3521</v>
      </c>
      <c r="I453" s="6">
        <v>28.1796</v>
      </c>
      <c r="J453" s="6">
        <v>-2.8275</v>
      </c>
    </row>
    <row r="454">
      <c r="A454" s="5" t="s">
        <v>56</v>
      </c>
      <c r="B454" s="5" t="s">
        <v>1867</v>
      </c>
      <c r="C454" s="5" t="s">
        <v>1882</v>
      </c>
      <c r="D454" s="6">
        <v>24.0</v>
      </c>
      <c r="E454" s="6">
        <v>3121078.0</v>
      </c>
      <c r="F454" s="6">
        <v>2789250.0</v>
      </c>
      <c r="G454" s="6">
        <v>81339.0</v>
      </c>
      <c r="H454" s="6">
        <v>38.3712</v>
      </c>
      <c r="I454" s="6">
        <v>34.2917</v>
      </c>
      <c r="J454" s="6">
        <v>4.0796</v>
      </c>
    </row>
    <row r="455">
      <c r="A455" s="5" t="s">
        <v>56</v>
      </c>
      <c r="B455" s="5" t="s">
        <v>1867</v>
      </c>
      <c r="C455" s="5" t="s">
        <v>1882</v>
      </c>
      <c r="D455" s="6">
        <v>25.0</v>
      </c>
      <c r="E455" s="6">
        <v>2429741.0</v>
      </c>
      <c r="F455" s="6">
        <v>2579000.0</v>
      </c>
      <c r="G455" s="6">
        <v>81339.0</v>
      </c>
      <c r="H455" s="6">
        <v>29.8718</v>
      </c>
      <c r="I455" s="6">
        <v>31.7068</v>
      </c>
      <c r="J455" s="6">
        <v>-1.835</v>
      </c>
    </row>
    <row r="456">
      <c r="A456" s="5" t="s">
        <v>56</v>
      </c>
      <c r="B456" s="5" t="s">
        <v>1867</v>
      </c>
      <c r="C456" s="5" t="s">
        <v>1882</v>
      </c>
      <c r="D456" s="6">
        <v>26.0</v>
      </c>
      <c r="E456" s="6">
        <v>2099327.0</v>
      </c>
      <c r="F456" s="6">
        <v>2433900.0</v>
      </c>
      <c r="G456" s="6">
        <v>81339.0</v>
      </c>
      <c r="H456" s="6">
        <v>25.8096</v>
      </c>
      <c r="I456" s="6">
        <v>29.9229</v>
      </c>
      <c r="J456" s="6">
        <v>-4.1133</v>
      </c>
    </row>
    <row r="457">
      <c r="A457" s="5" t="s">
        <v>56</v>
      </c>
      <c r="B457" s="5" t="s">
        <v>1867</v>
      </c>
      <c r="C457" s="5" t="s">
        <v>1882</v>
      </c>
      <c r="D457" s="6">
        <v>27.0</v>
      </c>
      <c r="E457" s="6">
        <v>3287343.0</v>
      </c>
      <c r="F457" s="6">
        <v>3032100.0</v>
      </c>
      <c r="G457" s="6">
        <v>81339.0</v>
      </c>
      <c r="H457" s="6">
        <v>40.4153</v>
      </c>
      <c r="I457" s="6">
        <v>37.2773</v>
      </c>
      <c r="J457" s="6">
        <v>3.138</v>
      </c>
    </row>
    <row r="458">
      <c r="A458" s="5" t="s">
        <v>56</v>
      </c>
      <c r="B458" s="5" t="s">
        <v>1867</v>
      </c>
      <c r="C458" s="5" t="s">
        <v>1882</v>
      </c>
      <c r="D458" s="6">
        <v>28.0</v>
      </c>
      <c r="E458" s="6">
        <v>2252260.0</v>
      </c>
      <c r="F458" s="6">
        <v>2462100.0</v>
      </c>
      <c r="G458" s="6">
        <v>81339.0</v>
      </c>
      <c r="H458" s="6">
        <v>27.6898</v>
      </c>
      <c r="I458" s="6">
        <v>30.2696</v>
      </c>
      <c r="J458" s="6">
        <v>-2.5798</v>
      </c>
    </row>
    <row r="459">
      <c r="A459" s="5" t="s">
        <v>56</v>
      </c>
      <c r="B459" s="5" t="s">
        <v>1867</v>
      </c>
      <c r="C459" s="5" t="s">
        <v>1882</v>
      </c>
      <c r="D459" s="6">
        <v>29.0</v>
      </c>
      <c r="E459" s="6">
        <v>2048728.0</v>
      </c>
      <c r="F459" s="6">
        <v>2316800.0</v>
      </c>
      <c r="G459" s="6">
        <v>81339.0</v>
      </c>
      <c r="H459" s="6">
        <v>25.1875</v>
      </c>
      <c r="I459" s="6">
        <v>28.4833</v>
      </c>
      <c r="J459" s="6">
        <v>-3.2957</v>
      </c>
    </row>
    <row r="460">
      <c r="A460" s="5" t="s">
        <v>56</v>
      </c>
      <c r="B460" s="5" t="s">
        <v>1867</v>
      </c>
      <c r="C460" s="5" t="s">
        <v>1882</v>
      </c>
      <c r="D460" s="6">
        <v>30.0</v>
      </c>
      <c r="E460" s="6">
        <v>2107557.0</v>
      </c>
      <c r="F460" s="6">
        <v>2293250.0</v>
      </c>
      <c r="G460" s="6">
        <v>81339.0</v>
      </c>
      <c r="H460" s="6">
        <v>25.9108</v>
      </c>
      <c r="I460" s="6">
        <v>28.1937</v>
      </c>
      <c r="J460" s="6">
        <v>-2.283</v>
      </c>
    </row>
    <row r="461">
      <c r="A461" s="5" t="s">
        <v>56</v>
      </c>
      <c r="B461" s="5" t="s">
        <v>1867</v>
      </c>
      <c r="C461" s="5" t="s">
        <v>1882</v>
      </c>
      <c r="D461" s="6">
        <v>31.0</v>
      </c>
      <c r="E461" s="6">
        <v>3148002.0</v>
      </c>
      <c r="F461" s="6">
        <v>2781750.0</v>
      </c>
      <c r="G461" s="6">
        <v>81339.0</v>
      </c>
      <c r="H461" s="6">
        <v>38.7022</v>
      </c>
      <c r="I461" s="6">
        <v>34.1995</v>
      </c>
      <c r="J461" s="6">
        <v>4.5028</v>
      </c>
    </row>
    <row r="462">
      <c r="A462" s="5" t="s">
        <v>56</v>
      </c>
      <c r="B462" s="5" t="s">
        <v>1867</v>
      </c>
      <c r="C462" s="5" t="s">
        <v>1882</v>
      </c>
      <c r="D462" s="6">
        <v>32.0</v>
      </c>
      <c r="E462" s="6">
        <v>2452160.0</v>
      </c>
      <c r="F462" s="6">
        <v>2606550.0</v>
      </c>
      <c r="G462" s="6">
        <v>81339.0</v>
      </c>
      <c r="H462" s="6">
        <v>30.1474</v>
      </c>
      <c r="I462" s="6">
        <v>32.0455</v>
      </c>
      <c r="J462" s="6">
        <v>-1.8981</v>
      </c>
    </row>
    <row r="463">
      <c r="A463" s="5" t="s">
        <v>56</v>
      </c>
      <c r="B463" s="5" t="s">
        <v>1867</v>
      </c>
      <c r="C463" s="5" t="s">
        <v>1882</v>
      </c>
      <c r="D463" s="6">
        <v>33.0</v>
      </c>
      <c r="E463" s="6">
        <v>2226189.0</v>
      </c>
      <c r="F463" s="6">
        <v>2495700.0</v>
      </c>
      <c r="G463" s="6">
        <v>81339.0</v>
      </c>
      <c r="H463" s="6">
        <v>27.3693</v>
      </c>
      <c r="I463" s="6">
        <v>30.6827</v>
      </c>
      <c r="J463" s="6">
        <v>-3.3134</v>
      </c>
    </row>
    <row r="464">
      <c r="A464" s="5" t="s">
        <v>56</v>
      </c>
      <c r="B464" s="5" t="s">
        <v>1867</v>
      </c>
      <c r="C464" s="5" t="s">
        <v>72</v>
      </c>
      <c r="D464" s="6">
        <v>1.0</v>
      </c>
      <c r="E464" s="6">
        <v>19898.0</v>
      </c>
      <c r="F464" s="6">
        <v>27134.0</v>
      </c>
      <c r="G464" s="6">
        <v>65289.0</v>
      </c>
      <c r="H464" s="6">
        <v>0.3048</v>
      </c>
      <c r="I464" s="6">
        <v>0.4156</v>
      </c>
      <c r="J464" s="6">
        <v>-0.1108</v>
      </c>
    </row>
    <row r="465">
      <c r="A465" s="5" t="s">
        <v>56</v>
      </c>
      <c r="B465" s="5" t="s">
        <v>1867</v>
      </c>
      <c r="C465" s="5" t="s">
        <v>72</v>
      </c>
      <c r="D465" s="6">
        <v>2.0</v>
      </c>
      <c r="E465" s="6">
        <v>23124.0</v>
      </c>
      <c r="F465" s="6">
        <v>26331.0</v>
      </c>
      <c r="G465" s="6">
        <v>65289.0</v>
      </c>
      <c r="H465" s="6">
        <v>0.3542</v>
      </c>
      <c r="I465" s="6">
        <v>0.4033</v>
      </c>
      <c r="J465" s="6">
        <v>-0.0491</v>
      </c>
    </row>
    <row r="466">
      <c r="A466" s="5" t="s">
        <v>56</v>
      </c>
      <c r="B466" s="5" t="s">
        <v>1867</v>
      </c>
      <c r="C466" s="5" t="s">
        <v>72</v>
      </c>
      <c r="D466" s="6">
        <v>3.0</v>
      </c>
      <c r="E466" s="6">
        <v>30490.0</v>
      </c>
      <c r="F466" s="6">
        <v>30393.0</v>
      </c>
      <c r="G466" s="6">
        <v>65289.0</v>
      </c>
      <c r="H466" s="6">
        <v>0.467</v>
      </c>
      <c r="I466" s="6">
        <v>0.4655</v>
      </c>
      <c r="J466" s="6">
        <v>0.0015</v>
      </c>
    </row>
    <row r="467">
      <c r="A467" s="5" t="s">
        <v>56</v>
      </c>
      <c r="B467" s="5" t="s">
        <v>1867</v>
      </c>
      <c r="C467" s="5" t="s">
        <v>72</v>
      </c>
      <c r="D467" s="6">
        <v>4.0</v>
      </c>
      <c r="E467" s="6">
        <v>23564.0</v>
      </c>
      <c r="F467" s="6">
        <v>27506.0</v>
      </c>
      <c r="G467" s="6">
        <v>65289.0</v>
      </c>
      <c r="H467" s="6">
        <v>0.3609</v>
      </c>
      <c r="I467" s="6">
        <v>0.4213</v>
      </c>
      <c r="J467" s="6">
        <v>-0.0604</v>
      </c>
    </row>
    <row r="468">
      <c r="A468" s="5" t="s">
        <v>56</v>
      </c>
      <c r="B468" s="5" t="s">
        <v>1867</v>
      </c>
      <c r="C468" s="5" t="s">
        <v>72</v>
      </c>
      <c r="D468" s="6">
        <v>5.0</v>
      </c>
      <c r="E468" s="6">
        <v>18984.0</v>
      </c>
      <c r="F468" s="6">
        <v>26854.0</v>
      </c>
      <c r="G468" s="6">
        <v>65289.0</v>
      </c>
      <c r="H468" s="6">
        <v>0.2908</v>
      </c>
      <c r="I468" s="6">
        <v>0.4113</v>
      </c>
      <c r="J468" s="6">
        <v>-0.1205</v>
      </c>
    </row>
    <row r="469">
      <c r="A469" s="5" t="s">
        <v>56</v>
      </c>
      <c r="B469" s="5" t="s">
        <v>1867</v>
      </c>
      <c r="C469" s="5" t="s">
        <v>72</v>
      </c>
      <c r="D469" s="6">
        <v>6.0</v>
      </c>
      <c r="E469" s="6">
        <v>30981.0</v>
      </c>
      <c r="F469" s="6">
        <v>29986.0</v>
      </c>
      <c r="G469" s="6">
        <v>65289.0</v>
      </c>
      <c r="H469" s="6">
        <v>0.4745</v>
      </c>
      <c r="I469" s="6">
        <v>0.4593</v>
      </c>
      <c r="J469" s="6">
        <v>0.0152</v>
      </c>
    </row>
    <row r="470">
      <c r="A470" s="5" t="s">
        <v>56</v>
      </c>
      <c r="B470" s="5" t="s">
        <v>1867</v>
      </c>
      <c r="C470" s="5" t="s">
        <v>72</v>
      </c>
      <c r="D470" s="6">
        <v>7.0</v>
      </c>
      <c r="E470" s="6">
        <v>25056.0</v>
      </c>
      <c r="F470" s="6">
        <v>28397.0</v>
      </c>
      <c r="G470" s="6">
        <v>65289.0</v>
      </c>
      <c r="H470" s="6">
        <v>0.3838</v>
      </c>
      <c r="I470" s="6">
        <v>0.4349</v>
      </c>
      <c r="J470" s="6">
        <v>-0.0512</v>
      </c>
    </row>
    <row r="471">
      <c r="A471" s="5" t="s">
        <v>56</v>
      </c>
      <c r="B471" s="5" t="s">
        <v>1867</v>
      </c>
      <c r="C471" s="5" t="s">
        <v>72</v>
      </c>
      <c r="D471" s="6">
        <v>8.0</v>
      </c>
      <c r="E471" s="6">
        <v>18536.0</v>
      </c>
      <c r="F471" s="6">
        <v>25444.0</v>
      </c>
      <c r="G471" s="6">
        <v>65289.0</v>
      </c>
      <c r="H471" s="6">
        <v>0.2839</v>
      </c>
      <c r="I471" s="6">
        <v>0.3897</v>
      </c>
      <c r="J471" s="6">
        <v>-0.1058</v>
      </c>
    </row>
    <row r="472">
      <c r="A472" s="5" t="s">
        <v>56</v>
      </c>
      <c r="B472" s="5" t="s">
        <v>1867</v>
      </c>
      <c r="C472" s="5" t="s">
        <v>72</v>
      </c>
      <c r="D472" s="6">
        <v>9.0</v>
      </c>
      <c r="E472" s="6">
        <v>21639.0</v>
      </c>
      <c r="F472" s="6">
        <v>24445.0</v>
      </c>
      <c r="G472" s="6">
        <v>65289.0</v>
      </c>
      <c r="H472" s="6">
        <v>0.3314</v>
      </c>
      <c r="I472" s="6">
        <v>0.3744</v>
      </c>
      <c r="J472" s="6">
        <v>-0.043</v>
      </c>
    </row>
    <row r="473">
      <c r="A473" s="5" t="s">
        <v>56</v>
      </c>
      <c r="B473" s="5" t="s">
        <v>1867</v>
      </c>
      <c r="C473" s="5" t="s">
        <v>72</v>
      </c>
      <c r="D473" s="6">
        <v>10.0</v>
      </c>
      <c r="E473" s="6">
        <v>29591.0</v>
      </c>
      <c r="F473" s="6">
        <v>29662.0</v>
      </c>
      <c r="G473" s="6">
        <v>65289.0</v>
      </c>
      <c r="H473" s="6">
        <v>0.4532</v>
      </c>
      <c r="I473" s="6">
        <v>0.4543</v>
      </c>
      <c r="J473" s="6">
        <v>-0.0011</v>
      </c>
    </row>
    <row r="474">
      <c r="A474" s="5" t="s">
        <v>56</v>
      </c>
      <c r="B474" s="5" t="s">
        <v>1867</v>
      </c>
      <c r="C474" s="5" t="s">
        <v>72</v>
      </c>
      <c r="D474" s="6">
        <v>11.0</v>
      </c>
      <c r="E474" s="6">
        <v>22116.0</v>
      </c>
      <c r="F474" s="6">
        <v>26358.0</v>
      </c>
      <c r="G474" s="6">
        <v>65289.0</v>
      </c>
      <c r="H474" s="6">
        <v>0.3387</v>
      </c>
      <c r="I474" s="6">
        <v>0.4037</v>
      </c>
      <c r="J474" s="6">
        <v>-0.065</v>
      </c>
    </row>
    <row r="475">
      <c r="A475" s="5" t="s">
        <v>56</v>
      </c>
      <c r="B475" s="5" t="s">
        <v>1867</v>
      </c>
      <c r="C475" s="5" t="s">
        <v>72</v>
      </c>
      <c r="D475" s="6">
        <v>12.0</v>
      </c>
      <c r="E475" s="6">
        <v>18229.0</v>
      </c>
      <c r="F475" s="6">
        <v>25690.0</v>
      </c>
      <c r="G475" s="6">
        <v>65289.0</v>
      </c>
      <c r="H475" s="6">
        <v>0.2792</v>
      </c>
      <c r="I475" s="6">
        <v>0.3935</v>
      </c>
      <c r="J475" s="6">
        <v>-0.1143</v>
      </c>
    </row>
    <row r="476">
      <c r="A476" s="5" t="s">
        <v>56</v>
      </c>
      <c r="B476" s="5" t="s">
        <v>1867</v>
      </c>
      <c r="C476" s="5" t="s">
        <v>72</v>
      </c>
      <c r="D476" s="6">
        <v>13.0</v>
      </c>
      <c r="E476" s="6">
        <v>30076.0</v>
      </c>
      <c r="F476" s="6">
        <v>29434.0</v>
      </c>
      <c r="G476" s="6">
        <v>65289.0</v>
      </c>
      <c r="H476" s="6">
        <v>0.4607</v>
      </c>
      <c r="I476" s="6">
        <v>0.4508</v>
      </c>
      <c r="J476" s="6">
        <v>0.0098</v>
      </c>
    </row>
    <row r="477">
      <c r="A477" s="5" t="s">
        <v>56</v>
      </c>
      <c r="B477" s="5" t="s">
        <v>1867</v>
      </c>
      <c r="C477" s="5" t="s">
        <v>72</v>
      </c>
      <c r="D477" s="6">
        <v>14.0</v>
      </c>
      <c r="E477" s="6">
        <v>24260.0</v>
      </c>
      <c r="F477" s="6">
        <v>26718.0</v>
      </c>
      <c r="G477" s="6">
        <v>65289.0</v>
      </c>
      <c r="H477" s="6">
        <v>0.3716</v>
      </c>
      <c r="I477" s="6">
        <v>0.4092</v>
      </c>
      <c r="J477" s="6">
        <v>-0.0376</v>
      </c>
    </row>
    <row r="478">
      <c r="A478" s="5" t="s">
        <v>56</v>
      </c>
      <c r="B478" s="5" t="s">
        <v>1867</v>
      </c>
      <c r="C478" s="5" t="s">
        <v>72</v>
      </c>
      <c r="D478" s="6">
        <v>15.0</v>
      </c>
      <c r="E478" s="6">
        <v>18132.0</v>
      </c>
      <c r="F478" s="6">
        <v>24786.0</v>
      </c>
      <c r="G478" s="6">
        <v>65289.0</v>
      </c>
      <c r="H478" s="6">
        <v>0.2777</v>
      </c>
      <c r="I478" s="6">
        <v>0.3796</v>
      </c>
      <c r="J478" s="6">
        <v>-0.1019</v>
      </c>
    </row>
    <row r="479">
      <c r="A479" s="5" t="s">
        <v>56</v>
      </c>
      <c r="B479" s="5" t="s">
        <v>1867</v>
      </c>
      <c r="C479" s="5" t="s">
        <v>72</v>
      </c>
      <c r="D479" s="6">
        <v>16.0</v>
      </c>
      <c r="E479" s="6">
        <v>21104.0</v>
      </c>
      <c r="F479" s="6">
        <v>23813.0</v>
      </c>
      <c r="G479" s="6">
        <v>65289.0</v>
      </c>
      <c r="H479" s="6">
        <v>0.3232</v>
      </c>
      <c r="I479" s="6">
        <v>0.3647</v>
      </c>
      <c r="J479" s="6">
        <v>-0.0415</v>
      </c>
    </row>
    <row r="480">
      <c r="A480" s="5" t="s">
        <v>56</v>
      </c>
      <c r="B480" s="5" t="s">
        <v>1867</v>
      </c>
      <c r="C480" s="5" t="s">
        <v>72</v>
      </c>
      <c r="D480" s="6">
        <v>17.0</v>
      </c>
      <c r="E480" s="6">
        <v>28787.0</v>
      </c>
      <c r="F480" s="6">
        <v>28887.0</v>
      </c>
      <c r="G480" s="6">
        <v>65289.0</v>
      </c>
      <c r="H480" s="6">
        <v>0.4409</v>
      </c>
      <c r="I480" s="6">
        <v>0.4424</v>
      </c>
      <c r="J480" s="6">
        <v>-0.0015</v>
      </c>
    </row>
    <row r="481">
      <c r="A481" s="5" t="s">
        <v>56</v>
      </c>
      <c r="B481" s="5" t="s">
        <v>1867</v>
      </c>
      <c r="C481" s="5" t="s">
        <v>72</v>
      </c>
      <c r="D481" s="6">
        <v>18.0</v>
      </c>
      <c r="E481" s="6">
        <v>21694.0</v>
      </c>
      <c r="F481" s="6">
        <v>25557.0</v>
      </c>
      <c r="G481" s="6">
        <v>65289.0</v>
      </c>
      <c r="H481" s="6">
        <v>0.3323</v>
      </c>
      <c r="I481" s="6">
        <v>0.3914</v>
      </c>
      <c r="J481" s="6">
        <v>-0.0592</v>
      </c>
    </row>
    <row r="482">
      <c r="A482" s="5" t="s">
        <v>56</v>
      </c>
      <c r="B482" s="5" t="s">
        <v>1867</v>
      </c>
      <c r="C482" s="5" t="s">
        <v>72</v>
      </c>
      <c r="D482" s="6">
        <v>19.0</v>
      </c>
      <c r="E482" s="6">
        <v>17694.0</v>
      </c>
      <c r="F482" s="6">
        <v>24859.0</v>
      </c>
      <c r="G482" s="6">
        <v>65289.0</v>
      </c>
      <c r="H482" s="6">
        <v>0.271</v>
      </c>
      <c r="I482" s="6">
        <v>0.3808</v>
      </c>
      <c r="J482" s="6">
        <v>-0.1097</v>
      </c>
    </row>
    <row r="483">
      <c r="A483" s="5" t="s">
        <v>56</v>
      </c>
      <c r="B483" s="5" t="s">
        <v>1867</v>
      </c>
      <c r="C483" s="5" t="s">
        <v>72</v>
      </c>
      <c r="D483" s="6">
        <v>20.0</v>
      </c>
      <c r="E483" s="6">
        <v>29364.0</v>
      </c>
      <c r="F483" s="6">
        <v>28190.0</v>
      </c>
      <c r="G483" s="6">
        <v>65289.0</v>
      </c>
      <c r="H483" s="6">
        <v>0.4498</v>
      </c>
      <c r="I483" s="6">
        <v>0.4318</v>
      </c>
      <c r="J483" s="6">
        <v>0.018</v>
      </c>
    </row>
    <row r="484">
      <c r="A484" s="5" t="s">
        <v>56</v>
      </c>
      <c r="B484" s="5" t="s">
        <v>1867</v>
      </c>
      <c r="C484" s="5" t="s">
        <v>72</v>
      </c>
      <c r="D484" s="6">
        <v>21.0</v>
      </c>
      <c r="E484" s="6">
        <v>28332.0</v>
      </c>
      <c r="F484" s="6">
        <v>30201.0</v>
      </c>
      <c r="G484" s="6">
        <v>65289.0</v>
      </c>
      <c r="H484" s="6">
        <v>0.4339</v>
      </c>
      <c r="I484" s="6">
        <v>0.4626</v>
      </c>
      <c r="J484" s="6">
        <v>-0.0286</v>
      </c>
    </row>
    <row r="485">
      <c r="A485" s="5" t="s">
        <v>56</v>
      </c>
      <c r="B485" s="5" t="s">
        <v>1867</v>
      </c>
      <c r="C485" s="5" t="s">
        <v>72</v>
      </c>
      <c r="D485" s="6">
        <v>22.0</v>
      </c>
      <c r="E485" s="6">
        <v>19136.0</v>
      </c>
      <c r="F485" s="6">
        <v>25700.0</v>
      </c>
      <c r="G485" s="6">
        <v>65289.0</v>
      </c>
      <c r="H485" s="6">
        <v>0.2931</v>
      </c>
      <c r="I485" s="6">
        <v>0.3936</v>
      </c>
      <c r="J485" s="6">
        <v>-0.1005</v>
      </c>
    </row>
    <row r="486">
      <c r="A486" s="5" t="s">
        <v>56</v>
      </c>
      <c r="B486" s="5" t="s">
        <v>1867</v>
      </c>
      <c r="C486" s="5" t="s">
        <v>72</v>
      </c>
      <c r="D486" s="6">
        <v>23.0</v>
      </c>
      <c r="E486" s="6">
        <v>18807.0</v>
      </c>
      <c r="F486" s="6">
        <v>22833.0</v>
      </c>
      <c r="G486" s="6">
        <v>65289.0</v>
      </c>
      <c r="H486" s="6">
        <v>0.2881</v>
      </c>
      <c r="I486" s="6">
        <v>0.3497</v>
      </c>
      <c r="J486" s="6">
        <v>-0.0617</v>
      </c>
    </row>
    <row r="487">
      <c r="A487" s="5" t="s">
        <v>56</v>
      </c>
      <c r="B487" s="5" t="s">
        <v>1867</v>
      </c>
      <c r="C487" s="5" t="s">
        <v>72</v>
      </c>
      <c r="D487" s="6">
        <v>24.0</v>
      </c>
      <c r="E487" s="6">
        <v>27802.0</v>
      </c>
      <c r="F487" s="6">
        <v>27438.0</v>
      </c>
      <c r="G487" s="6">
        <v>65289.0</v>
      </c>
      <c r="H487" s="6">
        <v>0.4258</v>
      </c>
      <c r="I487" s="6">
        <v>0.4203</v>
      </c>
      <c r="J487" s="6">
        <v>0.0056</v>
      </c>
    </row>
    <row r="488">
      <c r="A488" s="5" t="s">
        <v>56</v>
      </c>
      <c r="B488" s="5" t="s">
        <v>1867</v>
      </c>
      <c r="C488" s="5" t="s">
        <v>72</v>
      </c>
      <c r="D488" s="6">
        <v>25.0</v>
      </c>
      <c r="E488" s="6">
        <v>21292.0</v>
      </c>
      <c r="F488" s="6">
        <v>24899.0</v>
      </c>
      <c r="G488" s="6">
        <v>65289.0</v>
      </c>
      <c r="H488" s="6">
        <v>0.3261</v>
      </c>
      <c r="I488" s="6">
        <v>0.3814</v>
      </c>
      <c r="J488" s="6">
        <v>-0.0552</v>
      </c>
    </row>
    <row r="489">
      <c r="A489" s="5" t="s">
        <v>56</v>
      </c>
      <c r="B489" s="5" t="s">
        <v>1867</v>
      </c>
      <c r="C489" s="5" t="s">
        <v>72</v>
      </c>
      <c r="D489" s="6">
        <v>26.0</v>
      </c>
      <c r="E489" s="6">
        <v>16742.0</v>
      </c>
      <c r="F489" s="6">
        <v>23810.0</v>
      </c>
      <c r="G489" s="6">
        <v>65289.0</v>
      </c>
      <c r="H489" s="6">
        <v>0.2564</v>
      </c>
      <c r="I489" s="6">
        <v>0.3647</v>
      </c>
      <c r="J489" s="6">
        <v>-0.1083</v>
      </c>
    </row>
    <row r="490">
      <c r="A490" s="5" t="s">
        <v>56</v>
      </c>
      <c r="B490" s="5" t="s">
        <v>1867</v>
      </c>
      <c r="C490" s="5" t="s">
        <v>72</v>
      </c>
      <c r="D490" s="6">
        <v>27.0</v>
      </c>
      <c r="E490" s="6">
        <v>29043.0</v>
      </c>
      <c r="F490" s="6">
        <v>27803.0</v>
      </c>
      <c r="G490" s="6">
        <v>65289.0</v>
      </c>
      <c r="H490" s="6">
        <v>0.4448</v>
      </c>
      <c r="I490" s="6">
        <v>0.4258</v>
      </c>
      <c r="J490" s="6">
        <v>0.019</v>
      </c>
    </row>
    <row r="491">
      <c r="A491" s="5" t="s">
        <v>56</v>
      </c>
      <c r="B491" s="5" t="s">
        <v>1867</v>
      </c>
      <c r="C491" s="5" t="s">
        <v>72</v>
      </c>
      <c r="D491" s="6">
        <v>28.0</v>
      </c>
      <c r="E491" s="6">
        <v>22202.0</v>
      </c>
      <c r="F491" s="6">
        <v>24875.0</v>
      </c>
      <c r="G491" s="6">
        <v>65289.0</v>
      </c>
      <c r="H491" s="6">
        <v>0.3401</v>
      </c>
      <c r="I491" s="6">
        <v>0.381</v>
      </c>
      <c r="J491" s="6">
        <v>-0.0409</v>
      </c>
    </row>
    <row r="492">
      <c r="A492" s="5" t="s">
        <v>56</v>
      </c>
      <c r="B492" s="5" t="s">
        <v>1867</v>
      </c>
      <c r="C492" s="5" t="s">
        <v>72</v>
      </c>
      <c r="D492" s="6">
        <v>29.0</v>
      </c>
      <c r="E492" s="6">
        <v>16812.0</v>
      </c>
      <c r="F492" s="6">
        <v>22826.0</v>
      </c>
      <c r="G492" s="6">
        <v>65289.0</v>
      </c>
      <c r="H492" s="6">
        <v>0.2575</v>
      </c>
      <c r="I492" s="6">
        <v>0.3496</v>
      </c>
      <c r="J492" s="6">
        <v>-0.0921</v>
      </c>
    </row>
    <row r="493">
      <c r="A493" s="5" t="s">
        <v>56</v>
      </c>
      <c r="B493" s="5" t="s">
        <v>1867</v>
      </c>
      <c r="C493" s="5" t="s">
        <v>72</v>
      </c>
      <c r="D493" s="6">
        <v>30.0</v>
      </c>
      <c r="E493" s="6">
        <v>19911.0</v>
      </c>
      <c r="F493" s="6">
        <v>22974.0</v>
      </c>
      <c r="G493" s="6">
        <v>65289.0</v>
      </c>
      <c r="H493" s="6">
        <v>0.305</v>
      </c>
      <c r="I493" s="6">
        <v>0.3519</v>
      </c>
      <c r="J493" s="6">
        <v>-0.0469</v>
      </c>
    </row>
    <row r="494">
      <c r="A494" s="5" t="s">
        <v>56</v>
      </c>
      <c r="B494" s="5" t="s">
        <v>1867</v>
      </c>
      <c r="C494" s="5" t="s">
        <v>72</v>
      </c>
      <c r="D494" s="6">
        <v>31.0</v>
      </c>
      <c r="E494" s="6">
        <v>28065.0</v>
      </c>
      <c r="F494" s="6">
        <v>27682.0</v>
      </c>
      <c r="G494" s="6">
        <v>65289.0</v>
      </c>
      <c r="H494" s="6">
        <v>0.4299</v>
      </c>
      <c r="I494" s="6">
        <v>0.424</v>
      </c>
      <c r="J494" s="6">
        <v>0.0059</v>
      </c>
    </row>
    <row r="495">
      <c r="A495" s="5" t="s">
        <v>56</v>
      </c>
      <c r="B495" s="5" t="s">
        <v>1867</v>
      </c>
      <c r="C495" s="5" t="s">
        <v>72</v>
      </c>
      <c r="D495" s="6">
        <v>32.0</v>
      </c>
      <c r="E495" s="6">
        <v>20989.0</v>
      </c>
      <c r="F495" s="6">
        <v>25056.0</v>
      </c>
      <c r="G495" s="6">
        <v>65289.0</v>
      </c>
      <c r="H495" s="6">
        <v>0.3215</v>
      </c>
      <c r="I495" s="6">
        <v>0.3838</v>
      </c>
      <c r="J495" s="6">
        <v>-0.0623</v>
      </c>
    </row>
    <row r="496">
      <c r="A496" s="5" t="s">
        <v>56</v>
      </c>
      <c r="B496" s="5" t="s">
        <v>1867</v>
      </c>
      <c r="C496" s="5" t="s">
        <v>72</v>
      </c>
      <c r="D496" s="6">
        <v>33.0</v>
      </c>
      <c r="E496" s="6">
        <v>17150.0</v>
      </c>
      <c r="F496" s="6">
        <v>24477.0</v>
      </c>
      <c r="G496" s="6">
        <v>65289.0</v>
      </c>
      <c r="H496" s="6">
        <v>0.2627</v>
      </c>
      <c r="I496" s="6">
        <v>0.3749</v>
      </c>
      <c r="J496" s="6">
        <v>-0.1122</v>
      </c>
    </row>
    <row r="497">
      <c r="A497" s="5" t="s">
        <v>56</v>
      </c>
      <c r="B497" s="5" t="s">
        <v>1867</v>
      </c>
      <c r="C497" s="5" t="s">
        <v>73</v>
      </c>
      <c r="D497" s="6">
        <v>1.0</v>
      </c>
      <c r="E497" s="6">
        <v>17436.0</v>
      </c>
      <c r="F497" s="6">
        <v>23952.0</v>
      </c>
      <c r="G497" s="6">
        <v>63803.0</v>
      </c>
      <c r="H497" s="6">
        <v>0.2733</v>
      </c>
      <c r="I497" s="6">
        <v>0.3754</v>
      </c>
      <c r="J497" s="6">
        <v>-0.1021</v>
      </c>
    </row>
    <row r="498">
      <c r="A498" s="5" t="s">
        <v>56</v>
      </c>
      <c r="B498" s="5" t="s">
        <v>1867</v>
      </c>
      <c r="C498" s="5" t="s">
        <v>73</v>
      </c>
      <c r="D498" s="6">
        <v>2.0</v>
      </c>
      <c r="E498" s="6">
        <v>19312.0</v>
      </c>
      <c r="F498" s="6">
        <v>22447.0</v>
      </c>
      <c r="G498" s="6">
        <v>63803.0</v>
      </c>
      <c r="H498" s="6">
        <v>0.3027</v>
      </c>
      <c r="I498" s="6">
        <v>0.3518</v>
      </c>
      <c r="J498" s="6">
        <v>-0.0491</v>
      </c>
    </row>
    <row r="499">
      <c r="A499" s="5" t="s">
        <v>56</v>
      </c>
      <c r="B499" s="5" t="s">
        <v>1867</v>
      </c>
      <c r="C499" s="5" t="s">
        <v>73</v>
      </c>
      <c r="D499" s="6">
        <v>3.0</v>
      </c>
      <c r="E499" s="6">
        <v>23286.0</v>
      </c>
      <c r="F499" s="6">
        <v>24878.0</v>
      </c>
      <c r="G499" s="6">
        <v>63803.0</v>
      </c>
      <c r="H499" s="6">
        <v>0.365</v>
      </c>
      <c r="I499" s="6">
        <v>0.3899</v>
      </c>
      <c r="J499" s="6">
        <v>-0.025</v>
      </c>
    </row>
    <row r="500">
      <c r="A500" s="5" t="s">
        <v>56</v>
      </c>
      <c r="B500" s="5" t="s">
        <v>1867</v>
      </c>
      <c r="C500" s="5" t="s">
        <v>73</v>
      </c>
      <c r="D500" s="6">
        <v>4.0</v>
      </c>
      <c r="E500" s="6">
        <v>19136.0</v>
      </c>
      <c r="F500" s="6">
        <v>22996.0</v>
      </c>
      <c r="G500" s="6">
        <v>63803.0</v>
      </c>
      <c r="H500" s="6">
        <v>0.2999</v>
      </c>
      <c r="I500" s="6">
        <v>0.3604</v>
      </c>
      <c r="J500" s="6">
        <v>-0.0605</v>
      </c>
    </row>
    <row r="501">
      <c r="A501" s="5" t="s">
        <v>56</v>
      </c>
      <c r="B501" s="5" t="s">
        <v>1867</v>
      </c>
      <c r="C501" s="5" t="s">
        <v>73</v>
      </c>
      <c r="D501" s="6">
        <v>5.0</v>
      </c>
      <c r="E501" s="6">
        <v>16904.0</v>
      </c>
      <c r="F501" s="6">
        <v>23306.0</v>
      </c>
      <c r="G501" s="6">
        <v>63803.0</v>
      </c>
      <c r="H501" s="6">
        <v>0.2649</v>
      </c>
      <c r="I501" s="6">
        <v>0.3653</v>
      </c>
      <c r="J501" s="6">
        <v>-0.1003</v>
      </c>
    </row>
    <row r="502">
      <c r="A502" s="5" t="s">
        <v>56</v>
      </c>
      <c r="B502" s="5" t="s">
        <v>1867</v>
      </c>
      <c r="C502" s="5" t="s">
        <v>73</v>
      </c>
      <c r="D502" s="6">
        <v>6.0</v>
      </c>
      <c r="E502" s="6">
        <v>29913.0</v>
      </c>
      <c r="F502" s="6">
        <v>26558.0</v>
      </c>
      <c r="G502" s="6">
        <v>63803.0</v>
      </c>
      <c r="H502" s="6">
        <v>0.4688</v>
      </c>
      <c r="I502" s="6">
        <v>0.4163</v>
      </c>
      <c r="J502" s="6">
        <v>0.0526</v>
      </c>
    </row>
    <row r="503">
      <c r="A503" s="5" t="s">
        <v>56</v>
      </c>
      <c r="B503" s="5" t="s">
        <v>1867</v>
      </c>
      <c r="C503" s="5" t="s">
        <v>73</v>
      </c>
      <c r="D503" s="6">
        <v>7.0</v>
      </c>
      <c r="E503" s="6">
        <v>21035.0</v>
      </c>
      <c r="F503" s="6">
        <v>24065.0</v>
      </c>
      <c r="G503" s="6">
        <v>63803.0</v>
      </c>
      <c r="H503" s="6">
        <v>0.3297</v>
      </c>
      <c r="I503" s="6">
        <v>0.3772</v>
      </c>
      <c r="J503" s="6">
        <v>-0.0475</v>
      </c>
    </row>
    <row r="504">
      <c r="A504" s="5" t="s">
        <v>56</v>
      </c>
      <c r="B504" s="5" t="s">
        <v>1867</v>
      </c>
      <c r="C504" s="5" t="s">
        <v>73</v>
      </c>
      <c r="D504" s="6">
        <v>8.0</v>
      </c>
      <c r="E504" s="6">
        <v>16282.0</v>
      </c>
      <c r="F504" s="6">
        <v>22543.0</v>
      </c>
      <c r="G504" s="6">
        <v>63803.0</v>
      </c>
      <c r="H504" s="6">
        <v>0.2552</v>
      </c>
      <c r="I504" s="6">
        <v>0.3533</v>
      </c>
      <c r="J504" s="6">
        <v>-0.0981</v>
      </c>
    </row>
    <row r="505">
      <c r="A505" s="5" t="s">
        <v>56</v>
      </c>
      <c r="B505" s="5" t="s">
        <v>1867</v>
      </c>
      <c r="C505" s="5" t="s">
        <v>73</v>
      </c>
      <c r="D505" s="6">
        <v>9.0</v>
      </c>
      <c r="E505" s="6">
        <v>17087.0</v>
      </c>
      <c r="F505" s="6">
        <v>20566.0</v>
      </c>
      <c r="G505" s="6">
        <v>63803.0</v>
      </c>
      <c r="H505" s="6">
        <v>0.2678</v>
      </c>
      <c r="I505" s="6">
        <v>0.3223</v>
      </c>
      <c r="J505" s="6">
        <v>-0.0545</v>
      </c>
    </row>
    <row r="506">
      <c r="A506" s="5" t="s">
        <v>56</v>
      </c>
      <c r="B506" s="5" t="s">
        <v>1867</v>
      </c>
      <c r="C506" s="5" t="s">
        <v>73</v>
      </c>
      <c r="D506" s="6">
        <v>10.0</v>
      </c>
      <c r="E506" s="6">
        <v>21299.0</v>
      </c>
      <c r="F506" s="6">
        <v>23517.0</v>
      </c>
      <c r="G506" s="6">
        <v>63803.0</v>
      </c>
      <c r="H506" s="6">
        <v>0.3338</v>
      </c>
      <c r="I506" s="6">
        <v>0.3686</v>
      </c>
      <c r="J506" s="6">
        <v>-0.0348</v>
      </c>
    </row>
    <row r="507">
      <c r="A507" s="5" t="s">
        <v>56</v>
      </c>
      <c r="B507" s="5" t="s">
        <v>1867</v>
      </c>
      <c r="C507" s="5" t="s">
        <v>73</v>
      </c>
      <c r="D507" s="6">
        <v>11.0</v>
      </c>
      <c r="E507" s="6">
        <v>17003.0</v>
      </c>
      <c r="F507" s="6">
        <v>21156.0</v>
      </c>
      <c r="G507" s="6">
        <v>63803.0</v>
      </c>
      <c r="H507" s="6">
        <v>0.2665</v>
      </c>
      <c r="I507" s="6">
        <v>0.3316</v>
      </c>
      <c r="J507" s="6">
        <v>-0.0651</v>
      </c>
    </row>
    <row r="508">
      <c r="A508" s="5" t="s">
        <v>56</v>
      </c>
      <c r="B508" s="5" t="s">
        <v>1867</v>
      </c>
      <c r="C508" s="5" t="s">
        <v>73</v>
      </c>
      <c r="D508" s="6">
        <v>12.0</v>
      </c>
      <c r="E508" s="6">
        <v>15275.0</v>
      </c>
      <c r="F508" s="6">
        <v>20979.0</v>
      </c>
      <c r="G508" s="6">
        <v>63803.0</v>
      </c>
      <c r="H508" s="6">
        <v>0.2394</v>
      </c>
      <c r="I508" s="6">
        <v>0.3288</v>
      </c>
      <c r="J508" s="6">
        <v>-0.0894</v>
      </c>
    </row>
    <row r="509">
      <c r="A509" s="5" t="s">
        <v>56</v>
      </c>
      <c r="B509" s="5" t="s">
        <v>1867</v>
      </c>
      <c r="C509" s="5" t="s">
        <v>73</v>
      </c>
      <c r="D509" s="6">
        <v>13.0</v>
      </c>
      <c r="E509" s="6">
        <v>28089.0</v>
      </c>
      <c r="F509" s="6">
        <v>25236.0</v>
      </c>
      <c r="G509" s="6">
        <v>63803.0</v>
      </c>
      <c r="H509" s="6">
        <v>0.4402</v>
      </c>
      <c r="I509" s="6">
        <v>0.3955</v>
      </c>
      <c r="J509" s="6">
        <v>0.0447</v>
      </c>
    </row>
    <row r="510">
      <c r="A510" s="5" t="s">
        <v>56</v>
      </c>
      <c r="B510" s="5" t="s">
        <v>1867</v>
      </c>
      <c r="C510" s="5" t="s">
        <v>73</v>
      </c>
      <c r="D510" s="6">
        <v>14.0</v>
      </c>
      <c r="E510" s="6">
        <v>19144.0</v>
      </c>
      <c r="F510" s="6">
        <v>22151.0</v>
      </c>
      <c r="G510" s="6">
        <v>63803.0</v>
      </c>
      <c r="H510" s="6">
        <v>0.3</v>
      </c>
      <c r="I510" s="6">
        <v>0.3472</v>
      </c>
      <c r="J510" s="6">
        <v>-0.0471</v>
      </c>
    </row>
    <row r="511">
      <c r="A511" s="5" t="s">
        <v>56</v>
      </c>
      <c r="B511" s="5" t="s">
        <v>1867</v>
      </c>
      <c r="C511" s="5" t="s">
        <v>73</v>
      </c>
      <c r="D511" s="6">
        <v>15.0</v>
      </c>
      <c r="E511" s="6">
        <v>15332.0</v>
      </c>
      <c r="F511" s="6">
        <v>21063.0</v>
      </c>
      <c r="G511" s="6">
        <v>63803.0</v>
      </c>
      <c r="H511" s="6">
        <v>0.2403</v>
      </c>
      <c r="I511" s="6">
        <v>0.3301</v>
      </c>
      <c r="J511" s="6">
        <v>-0.0898</v>
      </c>
    </row>
    <row r="512">
      <c r="A512" s="5" t="s">
        <v>56</v>
      </c>
      <c r="B512" s="5" t="s">
        <v>1867</v>
      </c>
      <c r="C512" s="5" t="s">
        <v>73</v>
      </c>
      <c r="D512" s="6">
        <v>16.0</v>
      </c>
      <c r="E512" s="6">
        <v>17569.0</v>
      </c>
      <c r="F512" s="6">
        <v>19966.0</v>
      </c>
      <c r="G512" s="6">
        <v>63803.0</v>
      </c>
      <c r="H512" s="6">
        <v>0.2754</v>
      </c>
      <c r="I512" s="6">
        <v>0.3129</v>
      </c>
      <c r="J512" s="6">
        <v>-0.0376</v>
      </c>
    </row>
    <row r="513">
      <c r="A513" s="5" t="s">
        <v>56</v>
      </c>
      <c r="B513" s="5" t="s">
        <v>1867</v>
      </c>
      <c r="C513" s="5" t="s">
        <v>73</v>
      </c>
      <c r="D513" s="6">
        <v>17.0</v>
      </c>
      <c r="E513" s="6">
        <v>21988.0</v>
      </c>
      <c r="F513" s="6">
        <v>22835.0</v>
      </c>
      <c r="G513" s="6">
        <v>63803.0</v>
      </c>
      <c r="H513" s="6">
        <v>0.3446</v>
      </c>
      <c r="I513" s="6">
        <v>0.3579</v>
      </c>
      <c r="J513" s="6">
        <v>-0.0133</v>
      </c>
    </row>
    <row r="514">
      <c r="A514" s="5" t="s">
        <v>56</v>
      </c>
      <c r="B514" s="5" t="s">
        <v>1867</v>
      </c>
      <c r="C514" s="5" t="s">
        <v>73</v>
      </c>
      <c r="D514" s="6">
        <v>18.0</v>
      </c>
      <c r="E514" s="6">
        <v>17374.0</v>
      </c>
      <c r="F514" s="6">
        <v>21177.0</v>
      </c>
      <c r="G514" s="6">
        <v>63803.0</v>
      </c>
      <c r="H514" s="6">
        <v>0.2723</v>
      </c>
      <c r="I514" s="6">
        <v>0.3319</v>
      </c>
      <c r="J514" s="6">
        <v>-0.0596</v>
      </c>
    </row>
    <row r="515">
      <c r="A515" s="5" t="s">
        <v>56</v>
      </c>
      <c r="B515" s="5" t="s">
        <v>1867</v>
      </c>
      <c r="C515" s="5" t="s">
        <v>73</v>
      </c>
      <c r="D515" s="6">
        <v>19.0</v>
      </c>
      <c r="E515" s="6">
        <v>14915.0</v>
      </c>
      <c r="F515" s="6">
        <v>20379.0</v>
      </c>
      <c r="G515" s="6">
        <v>63803.0</v>
      </c>
      <c r="H515" s="6">
        <v>0.2338</v>
      </c>
      <c r="I515" s="6">
        <v>0.3194</v>
      </c>
      <c r="J515" s="6">
        <v>-0.0856</v>
      </c>
    </row>
    <row r="516">
      <c r="A516" s="5" t="s">
        <v>56</v>
      </c>
      <c r="B516" s="5" t="s">
        <v>1867</v>
      </c>
      <c r="C516" s="5" t="s">
        <v>73</v>
      </c>
      <c r="D516" s="6">
        <v>20.0</v>
      </c>
      <c r="E516" s="6">
        <v>27605.0</v>
      </c>
      <c r="F516" s="6">
        <v>24249.0</v>
      </c>
      <c r="G516" s="6">
        <v>63803.0</v>
      </c>
      <c r="H516" s="6">
        <v>0.4327</v>
      </c>
      <c r="I516" s="6">
        <v>0.3801</v>
      </c>
      <c r="J516" s="6">
        <v>0.0526</v>
      </c>
    </row>
    <row r="517">
      <c r="A517" s="5" t="s">
        <v>56</v>
      </c>
      <c r="B517" s="5" t="s">
        <v>1867</v>
      </c>
      <c r="C517" s="5" t="s">
        <v>73</v>
      </c>
      <c r="D517" s="6">
        <v>21.0</v>
      </c>
      <c r="E517" s="6">
        <v>27258.0</v>
      </c>
      <c r="F517" s="6">
        <v>25785.0</v>
      </c>
      <c r="G517" s="6">
        <v>63803.0</v>
      </c>
      <c r="H517" s="6">
        <v>0.4272</v>
      </c>
      <c r="I517" s="6">
        <v>0.4041</v>
      </c>
      <c r="J517" s="6">
        <v>0.0231</v>
      </c>
    </row>
    <row r="518">
      <c r="A518" s="5" t="s">
        <v>56</v>
      </c>
      <c r="B518" s="5" t="s">
        <v>1867</v>
      </c>
      <c r="C518" s="5" t="s">
        <v>73</v>
      </c>
      <c r="D518" s="6">
        <v>22.0</v>
      </c>
      <c r="E518" s="6">
        <v>18244.0</v>
      </c>
      <c r="F518" s="6">
        <v>22431.0</v>
      </c>
      <c r="G518" s="6">
        <v>63803.0</v>
      </c>
      <c r="H518" s="6">
        <v>0.2859</v>
      </c>
      <c r="I518" s="6">
        <v>0.3516</v>
      </c>
      <c r="J518" s="6">
        <v>-0.0656</v>
      </c>
    </row>
    <row r="519">
      <c r="A519" s="5" t="s">
        <v>56</v>
      </c>
      <c r="B519" s="5" t="s">
        <v>1867</v>
      </c>
      <c r="C519" s="5" t="s">
        <v>73</v>
      </c>
      <c r="D519" s="6">
        <v>23.0</v>
      </c>
      <c r="E519" s="6">
        <v>15618.0</v>
      </c>
      <c r="F519" s="6">
        <v>19464.0</v>
      </c>
      <c r="G519" s="6">
        <v>63803.0</v>
      </c>
      <c r="H519" s="6">
        <v>0.2448</v>
      </c>
      <c r="I519" s="6">
        <v>0.3051</v>
      </c>
      <c r="J519" s="6">
        <v>-0.0603</v>
      </c>
    </row>
    <row r="520">
      <c r="A520" s="5" t="s">
        <v>56</v>
      </c>
      <c r="B520" s="5" t="s">
        <v>1867</v>
      </c>
      <c r="C520" s="5" t="s">
        <v>73</v>
      </c>
      <c r="D520" s="6">
        <v>24.0</v>
      </c>
      <c r="E520" s="6">
        <v>20419.0</v>
      </c>
      <c r="F520" s="6">
        <v>22191.0</v>
      </c>
      <c r="G520" s="6">
        <v>63803.0</v>
      </c>
      <c r="H520" s="6">
        <v>0.32</v>
      </c>
      <c r="I520" s="6">
        <v>0.3478</v>
      </c>
      <c r="J520" s="6">
        <v>-0.0278</v>
      </c>
    </row>
    <row r="521">
      <c r="A521" s="5" t="s">
        <v>56</v>
      </c>
      <c r="B521" s="5" t="s">
        <v>1867</v>
      </c>
      <c r="C521" s="5" t="s">
        <v>73</v>
      </c>
      <c r="D521" s="6">
        <v>25.0</v>
      </c>
      <c r="E521" s="6">
        <v>16309.0</v>
      </c>
      <c r="F521" s="6">
        <v>20173.0</v>
      </c>
      <c r="G521" s="6">
        <v>63803.0</v>
      </c>
      <c r="H521" s="6">
        <v>0.2556</v>
      </c>
      <c r="I521" s="6">
        <v>0.3162</v>
      </c>
      <c r="J521" s="6">
        <v>-0.0606</v>
      </c>
    </row>
    <row r="522">
      <c r="A522" s="5" t="s">
        <v>56</v>
      </c>
      <c r="B522" s="5" t="s">
        <v>1867</v>
      </c>
      <c r="C522" s="5" t="s">
        <v>73</v>
      </c>
      <c r="D522" s="6">
        <v>26.0</v>
      </c>
      <c r="E522" s="6">
        <v>14488.0</v>
      </c>
      <c r="F522" s="6">
        <v>20072.0</v>
      </c>
      <c r="G522" s="6">
        <v>63803.0</v>
      </c>
      <c r="H522" s="6">
        <v>0.2271</v>
      </c>
      <c r="I522" s="6">
        <v>0.3146</v>
      </c>
      <c r="J522" s="6">
        <v>-0.0875</v>
      </c>
    </row>
    <row r="523">
      <c r="A523" s="5" t="s">
        <v>56</v>
      </c>
      <c r="B523" s="5" t="s">
        <v>1867</v>
      </c>
      <c r="C523" s="5" t="s">
        <v>73</v>
      </c>
      <c r="D523" s="6">
        <v>27.0</v>
      </c>
      <c r="E523" s="6">
        <v>27451.0</v>
      </c>
      <c r="F523" s="6">
        <v>23903.0</v>
      </c>
      <c r="G523" s="6">
        <v>63803.0</v>
      </c>
      <c r="H523" s="6">
        <v>0.4302</v>
      </c>
      <c r="I523" s="6">
        <v>0.3746</v>
      </c>
      <c r="J523" s="6">
        <v>0.0556</v>
      </c>
    </row>
    <row r="524">
      <c r="A524" s="5" t="s">
        <v>56</v>
      </c>
      <c r="B524" s="5" t="s">
        <v>1867</v>
      </c>
      <c r="C524" s="5" t="s">
        <v>73</v>
      </c>
      <c r="D524" s="6">
        <v>28.0</v>
      </c>
      <c r="E524" s="6">
        <v>17744.0</v>
      </c>
      <c r="F524" s="6">
        <v>21019.0</v>
      </c>
      <c r="G524" s="6">
        <v>63803.0</v>
      </c>
      <c r="H524" s="6">
        <v>0.2781</v>
      </c>
      <c r="I524" s="6">
        <v>0.3294</v>
      </c>
      <c r="J524" s="6">
        <v>-0.0513</v>
      </c>
    </row>
    <row r="525">
      <c r="A525" s="5" t="s">
        <v>56</v>
      </c>
      <c r="B525" s="5" t="s">
        <v>1867</v>
      </c>
      <c r="C525" s="5" t="s">
        <v>73</v>
      </c>
      <c r="D525" s="6">
        <v>29.0</v>
      </c>
      <c r="E525" s="6">
        <v>14687.0</v>
      </c>
      <c r="F525" s="6">
        <v>19791.0</v>
      </c>
      <c r="G525" s="6">
        <v>63803.0</v>
      </c>
      <c r="H525" s="6">
        <v>0.2302</v>
      </c>
      <c r="I525" s="6">
        <v>0.3102</v>
      </c>
      <c r="J525" s="6">
        <v>-0.08</v>
      </c>
    </row>
    <row r="526">
      <c r="A526" s="5" t="s">
        <v>56</v>
      </c>
      <c r="B526" s="5" t="s">
        <v>1867</v>
      </c>
      <c r="C526" s="5" t="s">
        <v>73</v>
      </c>
      <c r="D526" s="6">
        <v>30.0</v>
      </c>
      <c r="E526" s="6">
        <v>16584.0</v>
      </c>
      <c r="F526" s="6">
        <v>19093.0</v>
      </c>
      <c r="G526" s="6">
        <v>63803.0</v>
      </c>
      <c r="H526" s="6">
        <v>0.2599</v>
      </c>
      <c r="I526" s="6">
        <v>0.2992</v>
      </c>
      <c r="J526" s="6">
        <v>-0.0393</v>
      </c>
    </row>
    <row r="527">
      <c r="A527" s="5" t="s">
        <v>56</v>
      </c>
      <c r="B527" s="5" t="s">
        <v>1867</v>
      </c>
      <c r="C527" s="5" t="s">
        <v>73</v>
      </c>
      <c r="D527" s="6">
        <v>31.0</v>
      </c>
      <c r="E527" s="6">
        <v>21236.0</v>
      </c>
      <c r="F527" s="6">
        <v>22444.0</v>
      </c>
      <c r="G527" s="6">
        <v>63803.0</v>
      </c>
      <c r="H527" s="6">
        <v>0.3328</v>
      </c>
      <c r="I527" s="6">
        <v>0.3518</v>
      </c>
      <c r="J527" s="6">
        <v>-0.0189</v>
      </c>
    </row>
    <row r="528">
      <c r="A528" s="5" t="s">
        <v>56</v>
      </c>
      <c r="B528" s="5" t="s">
        <v>1867</v>
      </c>
      <c r="C528" s="5" t="s">
        <v>73</v>
      </c>
      <c r="D528" s="6">
        <v>32.0</v>
      </c>
      <c r="E528" s="6">
        <v>17414.0</v>
      </c>
      <c r="F528" s="6">
        <v>20774.0</v>
      </c>
      <c r="G528" s="6">
        <v>63803.0</v>
      </c>
      <c r="H528" s="6">
        <v>0.2729</v>
      </c>
      <c r="I528" s="6">
        <v>0.3256</v>
      </c>
      <c r="J528" s="6">
        <v>-0.0527</v>
      </c>
    </row>
    <row r="529">
      <c r="A529" s="5" t="s">
        <v>56</v>
      </c>
      <c r="B529" s="5" t="s">
        <v>1867</v>
      </c>
      <c r="C529" s="5" t="s">
        <v>73</v>
      </c>
      <c r="D529" s="6">
        <v>33.0</v>
      </c>
      <c r="E529" s="6">
        <v>15317.0</v>
      </c>
      <c r="F529" s="6">
        <v>20727.0</v>
      </c>
      <c r="G529" s="6">
        <v>63803.0</v>
      </c>
      <c r="H529" s="6">
        <v>0.2401</v>
      </c>
      <c r="I529" s="6">
        <v>0.3249</v>
      </c>
      <c r="J529" s="6">
        <v>-0.0848</v>
      </c>
    </row>
    <row r="530">
      <c r="A530" s="5" t="s">
        <v>56</v>
      </c>
      <c r="B530" s="5" t="s">
        <v>1867</v>
      </c>
      <c r="C530" s="5" t="s">
        <v>74</v>
      </c>
      <c r="D530" s="6">
        <v>1.0</v>
      </c>
      <c r="E530" s="6">
        <v>8622.0</v>
      </c>
      <c r="F530" s="6">
        <v>12755.0</v>
      </c>
      <c r="G530" s="6">
        <v>58987.0</v>
      </c>
      <c r="H530" s="6">
        <v>0.1462</v>
      </c>
      <c r="I530" s="6">
        <v>0.2162</v>
      </c>
      <c r="J530" s="6">
        <v>-0.0701</v>
      </c>
    </row>
    <row r="531">
      <c r="A531" s="5" t="s">
        <v>56</v>
      </c>
      <c r="B531" s="5" t="s">
        <v>1867</v>
      </c>
      <c r="C531" s="5" t="s">
        <v>74</v>
      </c>
      <c r="D531" s="6">
        <v>2.0</v>
      </c>
      <c r="E531" s="6">
        <v>8772.0</v>
      </c>
      <c r="F531" s="6">
        <v>11605.0</v>
      </c>
      <c r="G531" s="6">
        <v>58987.0</v>
      </c>
      <c r="H531" s="6">
        <v>0.1487</v>
      </c>
      <c r="I531" s="6">
        <v>0.1967</v>
      </c>
      <c r="J531" s="6">
        <v>-0.048</v>
      </c>
    </row>
    <row r="532">
      <c r="A532" s="5" t="s">
        <v>56</v>
      </c>
      <c r="B532" s="5" t="s">
        <v>1867</v>
      </c>
      <c r="C532" s="5" t="s">
        <v>74</v>
      </c>
      <c r="D532" s="6">
        <v>3.0</v>
      </c>
      <c r="E532" s="6">
        <v>11300.0</v>
      </c>
      <c r="F532" s="6">
        <v>12362.0</v>
      </c>
      <c r="G532" s="6">
        <v>58987.0</v>
      </c>
      <c r="H532" s="6">
        <v>0.1916</v>
      </c>
      <c r="I532" s="6">
        <v>0.2096</v>
      </c>
      <c r="J532" s="6">
        <v>-0.018</v>
      </c>
    </row>
    <row r="533">
      <c r="A533" s="5" t="s">
        <v>56</v>
      </c>
      <c r="B533" s="5" t="s">
        <v>1867</v>
      </c>
      <c r="C533" s="5" t="s">
        <v>74</v>
      </c>
      <c r="D533" s="6">
        <v>4.0</v>
      </c>
      <c r="E533" s="6">
        <v>9098.0</v>
      </c>
      <c r="F533" s="6">
        <v>11613.0</v>
      </c>
      <c r="G533" s="6">
        <v>58987.0</v>
      </c>
      <c r="H533" s="6">
        <v>0.1542</v>
      </c>
      <c r="I533" s="6">
        <v>0.1969</v>
      </c>
      <c r="J533" s="6">
        <v>-0.0426</v>
      </c>
    </row>
    <row r="534">
      <c r="A534" s="5" t="s">
        <v>56</v>
      </c>
      <c r="B534" s="5" t="s">
        <v>1867</v>
      </c>
      <c r="C534" s="5" t="s">
        <v>74</v>
      </c>
      <c r="D534" s="6">
        <v>5.0</v>
      </c>
      <c r="E534" s="6">
        <v>8171.0</v>
      </c>
      <c r="F534" s="6">
        <v>11456.0</v>
      </c>
      <c r="G534" s="6">
        <v>58987.0</v>
      </c>
      <c r="H534" s="6">
        <v>0.1385</v>
      </c>
      <c r="I534" s="6">
        <v>0.1942</v>
      </c>
      <c r="J534" s="6">
        <v>-0.0557</v>
      </c>
    </row>
    <row r="535">
      <c r="A535" s="5" t="s">
        <v>56</v>
      </c>
      <c r="B535" s="5" t="s">
        <v>1867</v>
      </c>
      <c r="C535" s="5" t="s">
        <v>74</v>
      </c>
      <c r="D535" s="6">
        <v>6.0</v>
      </c>
      <c r="E535" s="6">
        <v>24199.0</v>
      </c>
      <c r="F535" s="6">
        <v>18867.0</v>
      </c>
      <c r="G535" s="6">
        <v>58987.0</v>
      </c>
      <c r="H535" s="6">
        <v>0.4102</v>
      </c>
      <c r="I535" s="6">
        <v>0.3199</v>
      </c>
      <c r="J535" s="6">
        <v>0.0904</v>
      </c>
    </row>
    <row r="536">
      <c r="A536" s="5" t="s">
        <v>56</v>
      </c>
      <c r="B536" s="5" t="s">
        <v>1867</v>
      </c>
      <c r="C536" s="5" t="s">
        <v>74</v>
      </c>
      <c r="D536" s="6">
        <v>7.0</v>
      </c>
      <c r="E536" s="6">
        <v>12347.0</v>
      </c>
      <c r="F536" s="6">
        <v>14966.0</v>
      </c>
      <c r="G536" s="6">
        <v>58987.0</v>
      </c>
      <c r="H536" s="6">
        <v>0.2093</v>
      </c>
      <c r="I536" s="6">
        <v>0.2537</v>
      </c>
      <c r="J536" s="6">
        <v>-0.0444</v>
      </c>
    </row>
    <row r="537">
      <c r="A537" s="5" t="s">
        <v>56</v>
      </c>
      <c r="B537" s="5" t="s">
        <v>1867</v>
      </c>
      <c r="C537" s="5" t="s">
        <v>74</v>
      </c>
      <c r="D537" s="6">
        <v>8.0</v>
      </c>
      <c r="E537" s="6">
        <v>8577.0</v>
      </c>
      <c r="F537" s="6">
        <v>12482.0</v>
      </c>
      <c r="G537" s="6">
        <v>58987.0</v>
      </c>
      <c r="H537" s="6">
        <v>0.1454</v>
      </c>
      <c r="I537" s="6">
        <v>0.2116</v>
      </c>
      <c r="J537" s="6">
        <v>-0.0662</v>
      </c>
    </row>
    <row r="538">
      <c r="A538" s="5" t="s">
        <v>56</v>
      </c>
      <c r="B538" s="5" t="s">
        <v>1867</v>
      </c>
      <c r="C538" s="5" t="s">
        <v>74</v>
      </c>
      <c r="D538" s="6">
        <v>9.0</v>
      </c>
      <c r="E538" s="6">
        <v>7458.0</v>
      </c>
      <c r="F538" s="6">
        <v>10847.0</v>
      </c>
      <c r="G538" s="6">
        <v>58987.0</v>
      </c>
      <c r="H538" s="6">
        <v>0.1264</v>
      </c>
      <c r="I538" s="6">
        <v>0.1839</v>
      </c>
      <c r="J538" s="6">
        <v>-0.0575</v>
      </c>
    </row>
    <row r="539">
      <c r="A539" s="5" t="s">
        <v>56</v>
      </c>
      <c r="B539" s="5" t="s">
        <v>1867</v>
      </c>
      <c r="C539" s="5" t="s">
        <v>74</v>
      </c>
      <c r="D539" s="6">
        <v>10.0</v>
      </c>
      <c r="E539" s="6">
        <v>10100.0</v>
      </c>
      <c r="F539" s="6">
        <v>11812.0</v>
      </c>
      <c r="G539" s="6">
        <v>58987.0</v>
      </c>
      <c r="H539" s="6">
        <v>0.1712</v>
      </c>
      <c r="I539" s="6">
        <v>0.2002</v>
      </c>
      <c r="J539" s="6">
        <v>-0.029</v>
      </c>
    </row>
    <row r="540">
      <c r="A540" s="5" t="s">
        <v>56</v>
      </c>
      <c r="B540" s="5" t="s">
        <v>1867</v>
      </c>
      <c r="C540" s="5" t="s">
        <v>74</v>
      </c>
      <c r="D540" s="6">
        <v>11.0</v>
      </c>
      <c r="E540" s="6">
        <v>8003.0</v>
      </c>
      <c r="F540" s="6">
        <v>10723.0</v>
      </c>
      <c r="G540" s="6">
        <v>58987.0</v>
      </c>
      <c r="H540" s="6">
        <v>0.1357</v>
      </c>
      <c r="I540" s="6">
        <v>0.1818</v>
      </c>
      <c r="J540" s="6">
        <v>-0.0461</v>
      </c>
    </row>
    <row r="541">
      <c r="A541" s="5" t="s">
        <v>56</v>
      </c>
      <c r="B541" s="5" t="s">
        <v>1867</v>
      </c>
      <c r="C541" s="5" t="s">
        <v>74</v>
      </c>
      <c r="D541" s="6">
        <v>12.0</v>
      </c>
      <c r="E541" s="6">
        <v>7074.0</v>
      </c>
      <c r="F541" s="6">
        <v>10476.0</v>
      </c>
      <c r="G541" s="6">
        <v>58987.0</v>
      </c>
      <c r="H541" s="6">
        <v>0.1199</v>
      </c>
      <c r="I541" s="6">
        <v>0.1776</v>
      </c>
      <c r="J541" s="6">
        <v>-0.0577</v>
      </c>
    </row>
    <row r="542">
      <c r="A542" s="5" t="s">
        <v>56</v>
      </c>
      <c r="B542" s="5" t="s">
        <v>1867</v>
      </c>
      <c r="C542" s="5" t="s">
        <v>74</v>
      </c>
      <c r="D542" s="6">
        <v>13.0</v>
      </c>
      <c r="E542" s="6">
        <v>22904.0</v>
      </c>
      <c r="F542" s="6">
        <v>18007.0</v>
      </c>
      <c r="G542" s="6">
        <v>58987.0</v>
      </c>
      <c r="H542" s="6">
        <v>0.3883</v>
      </c>
      <c r="I542" s="6">
        <v>0.3053</v>
      </c>
      <c r="J542" s="6">
        <v>0.083</v>
      </c>
    </row>
    <row r="543">
      <c r="A543" s="5" t="s">
        <v>56</v>
      </c>
      <c r="B543" s="5" t="s">
        <v>1867</v>
      </c>
      <c r="C543" s="5" t="s">
        <v>74</v>
      </c>
      <c r="D543" s="6">
        <v>14.0</v>
      </c>
      <c r="E543" s="6">
        <v>11069.0</v>
      </c>
      <c r="F543" s="6">
        <v>13737.0</v>
      </c>
      <c r="G543" s="6">
        <v>58987.0</v>
      </c>
      <c r="H543" s="6">
        <v>0.1877</v>
      </c>
      <c r="I543" s="6">
        <v>0.2329</v>
      </c>
      <c r="J543" s="6">
        <v>-0.0452</v>
      </c>
    </row>
    <row r="544">
      <c r="A544" s="5" t="s">
        <v>56</v>
      </c>
      <c r="B544" s="5" t="s">
        <v>1867</v>
      </c>
      <c r="C544" s="5" t="s">
        <v>74</v>
      </c>
      <c r="D544" s="6">
        <v>15.0</v>
      </c>
      <c r="E544" s="6">
        <v>7697.0</v>
      </c>
      <c r="F544" s="6">
        <v>11605.0</v>
      </c>
      <c r="G544" s="6">
        <v>58987.0</v>
      </c>
      <c r="H544" s="6">
        <v>0.1305</v>
      </c>
      <c r="I544" s="6">
        <v>0.1967</v>
      </c>
      <c r="J544" s="6">
        <v>-0.0663</v>
      </c>
    </row>
    <row r="545">
      <c r="A545" s="5" t="s">
        <v>56</v>
      </c>
      <c r="B545" s="5" t="s">
        <v>1867</v>
      </c>
      <c r="C545" s="5" t="s">
        <v>74</v>
      </c>
      <c r="D545" s="6">
        <v>16.0</v>
      </c>
      <c r="E545" s="6">
        <v>7829.0</v>
      </c>
      <c r="F545" s="6">
        <v>10634.0</v>
      </c>
      <c r="G545" s="6">
        <v>58987.0</v>
      </c>
      <c r="H545" s="6">
        <v>0.1327</v>
      </c>
      <c r="I545" s="6">
        <v>0.1803</v>
      </c>
      <c r="J545" s="6">
        <v>-0.0476</v>
      </c>
    </row>
    <row r="546">
      <c r="A546" s="5" t="s">
        <v>56</v>
      </c>
      <c r="B546" s="5" t="s">
        <v>1867</v>
      </c>
      <c r="C546" s="5" t="s">
        <v>74</v>
      </c>
      <c r="D546" s="6">
        <v>17.0</v>
      </c>
      <c r="E546" s="6">
        <v>10393.0</v>
      </c>
      <c r="F546" s="6">
        <v>11685.0</v>
      </c>
      <c r="G546" s="6">
        <v>58987.0</v>
      </c>
      <c r="H546" s="6">
        <v>0.1762</v>
      </c>
      <c r="I546" s="6">
        <v>0.1981</v>
      </c>
      <c r="J546" s="6">
        <v>-0.0219</v>
      </c>
    </row>
    <row r="547">
      <c r="A547" s="5" t="s">
        <v>56</v>
      </c>
      <c r="B547" s="5" t="s">
        <v>1867</v>
      </c>
      <c r="C547" s="5" t="s">
        <v>74</v>
      </c>
      <c r="D547" s="6">
        <v>18.0</v>
      </c>
      <c r="E547" s="6">
        <v>8138.0</v>
      </c>
      <c r="F547" s="6">
        <v>10505.0</v>
      </c>
      <c r="G547" s="6">
        <v>58987.0</v>
      </c>
      <c r="H547" s="6">
        <v>0.138</v>
      </c>
      <c r="I547" s="6">
        <v>0.1781</v>
      </c>
      <c r="J547" s="6">
        <v>-0.0401</v>
      </c>
    </row>
    <row r="548">
      <c r="A548" s="5" t="s">
        <v>56</v>
      </c>
      <c r="B548" s="5" t="s">
        <v>1867</v>
      </c>
      <c r="C548" s="5" t="s">
        <v>74</v>
      </c>
      <c r="D548" s="6">
        <v>19.0</v>
      </c>
      <c r="E548" s="6">
        <v>7413.0</v>
      </c>
      <c r="F548" s="6">
        <v>10394.0</v>
      </c>
      <c r="G548" s="6">
        <v>58987.0</v>
      </c>
      <c r="H548" s="6">
        <v>0.1257</v>
      </c>
      <c r="I548" s="6">
        <v>0.1762</v>
      </c>
      <c r="J548" s="6">
        <v>-0.0505</v>
      </c>
    </row>
    <row r="549">
      <c r="A549" s="5" t="s">
        <v>56</v>
      </c>
      <c r="B549" s="5" t="s">
        <v>1867</v>
      </c>
      <c r="C549" s="5" t="s">
        <v>74</v>
      </c>
      <c r="D549" s="6">
        <v>20.0</v>
      </c>
      <c r="E549" s="6">
        <v>22850.0</v>
      </c>
      <c r="F549" s="6">
        <v>17585.0</v>
      </c>
      <c r="G549" s="6">
        <v>58987.0</v>
      </c>
      <c r="H549" s="6">
        <v>0.3874</v>
      </c>
      <c r="I549" s="6">
        <v>0.2981</v>
      </c>
      <c r="J549" s="6">
        <v>0.0893</v>
      </c>
    </row>
    <row r="550">
      <c r="A550" s="5" t="s">
        <v>56</v>
      </c>
      <c r="B550" s="5" t="s">
        <v>1867</v>
      </c>
      <c r="C550" s="5" t="s">
        <v>74</v>
      </c>
      <c r="D550" s="6">
        <v>21.0</v>
      </c>
      <c r="E550" s="6">
        <v>12933.0</v>
      </c>
      <c r="F550" s="6">
        <v>15369.0</v>
      </c>
      <c r="G550" s="6">
        <v>58987.0</v>
      </c>
      <c r="H550" s="6">
        <v>0.2193</v>
      </c>
      <c r="I550" s="6">
        <v>0.2605</v>
      </c>
      <c r="J550" s="6">
        <v>-0.0413</v>
      </c>
    </row>
    <row r="551">
      <c r="A551" s="5" t="s">
        <v>56</v>
      </c>
      <c r="B551" s="5" t="s">
        <v>1867</v>
      </c>
      <c r="C551" s="5" t="s">
        <v>74</v>
      </c>
      <c r="D551" s="6">
        <v>22.0</v>
      </c>
      <c r="E551" s="6">
        <v>8477.0</v>
      </c>
      <c r="F551" s="6">
        <v>12000.0</v>
      </c>
      <c r="G551" s="6">
        <v>58987.0</v>
      </c>
      <c r="H551" s="6">
        <v>0.1437</v>
      </c>
      <c r="I551" s="6">
        <v>0.2034</v>
      </c>
      <c r="J551" s="6">
        <v>-0.0597</v>
      </c>
    </row>
    <row r="552">
      <c r="A552" s="5" t="s">
        <v>56</v>
      </c>
      <c r="B552" s="5" t="s">
        <v>1867</v>
      </c>
      <c r="C552" s="5" t="s">
        <v>74</v>
      </c>
      <c r="D552" s="6">
        <v>23.0</v>
      </c>
      <c r="E552" s="6">
        <v>6816.0</v>
      </c>
      <c r="F552" s="6">
        <v>10011.0</v>
      </c>
      <c r="G552" s="6">
        <v>58987.0</v>
      </c>
      <c r="H552" s="6">
        <v>0.1156</v>
      </c>
      <c r="I552" s="6">
        <v>0.1697</v>
      </c>
      <c r="J552" s="6">
        <v>-0.0542</v>
      </c>
    </row>
    <row r="553">
      <c r="A553" s="5" t="s">
        <v>56</v>
      </c>
      <c r="B553" s="5" t="s">
        <v>1867</v>
      </c>
      <c r="C553" s="5" t="s">
        <v>74</v>
      </c>
      <c r="D553" s="6">
        <v>24.0</v>
      </c>
      <c r="E553" s="6">
        <v>9513.0</v>
      </c>
      <c r="F553" s="6">
        <v>11081.0</v>
      </c>
      <c r="G553" s="6">
        <v>58987.0</v>
      </c>
      <c r="H553" s="6">
        <v>0.1613</v>
      </c>
      <c r="I553" s="6">
        <v>0.1879</v>
      </c>
      <c r="J553" s="6">
        <v>-0.0266</v>
      </c>
    </row>
    <row r="554">
      <c r="A554" s="5" t="s">
        <v>56</v>
      </c>
      <c r="B554" s="5" t="s">
        <v>1867</v>
      </c>
      <c r="C554" s="5" t="s">
        <v>74</v>
      </c>
      <c r="D554" s="6">
        <v>25.0</v>
      </c>
      <c r="E554" s="6">
        <v>7650.0</v>
      </c>
      <c r="F554" s="6">
        <v>10167.0</v>
      </c>
      <c r="G554" s="6">
        <v>58987.0</v>
      </c>
      <c r="H554" s="6">
        <v>0.1297</v>
      </c>
      <c r="I554" s="6">
        <v>0.1724</v>
      </c>
      <c r="J554" s="6">
        <v>-0.0427</v>
      </c>
    </row>
    <row r="555">
      <c r="A555" s="5" t="s">
        <v>56</v>
      </c>
      <c r="B555" s="5" t="s">
        <v>1867</v>
      </c>
      <c r="C555" s="5" t="s">
        <v>74</v>
      </c>
      <c r="D555" s="6">
        <v>26.0</v>
      </c>
      <c r="E555" s="6">
        <v>6821.0</v>
      </c>
      <c r="F555" s="6">
        <v>9854.0</v>
      </c>
      <c r="G555" s="6">
        <v>58987.0</v>
      </c>
      <c r="H555" s="6">
        <v>0.1156</v>
      </c>
      <c r="I555" s="6">
        <v>0.1671</v>
      </c>
      <c r="J555" s="6">
        <v>-0.0514</v>
      </c>
    </row>
    <row r="556">
      <c r="A556" s="5" t="s">
        <v>56</v>
      </c>
      <c r="B556" s="5" t="s">
        <v>1867</v>
      </c>
      <c r="C556" s="5" t="s">
        <v>74</v>
      </c>
      <c r="D556" s="6">
        <v>27.0</v>
      </c>
      <c r="E556" s="6">
        <v>22812.0</v>
      </c>
      <c r="F556" s="6">
        <v>17428.0</v>
      </c>
      <c r="G556" s="6">
        <v>58987.0</v>
      </c>
      <c r="H556" s="6">
        <v>0.3867</v>
      </c>
      <c r="I556" s="6">
        <v>0.2955</v>
      </c>
      <c r="J556" s="6">
        <v>0.0913</v>
      </c>
    </row>
    <row r="557">
      <c r="A557" s="5" t="s">
        <v>56</v>
      </c>
      <c r="B557" s="5" t="s">
        <v>1867</v>
      </c>
      <c r="C557" s="5" t="s">
        <v>74</v>
      </c>
      <c r="D557" s="6">
        <v>28.0</v>
      </c>
      <c r="E557" s="6">
        <v>10242.0</v>
      </c>
      <c r="F557" s="6">
        <v>13027.0</v>
      </c>
      <c r="G557" s="6">
        <v>58987.0</v>
      </c>
      <c r="H557" s="6">
        <v>0.1736</v>
      </c>
      <c r="I557" s="6">
        <v>0.2208</v>
      </c>
      <c r="J557" s="6">
        <v>-0.0472</v>
      </c>
    </row>
    <row r="558">
      <c r="A558" s="5" t="s">
        <v>56</v>
      </c>
      <c r="B558" s="5" t="s">
        <v>1867</v>
      </c>
      <c r="C558" s="5" t="s">
        <v>74</v>
      </c>
      <c r="D558" s="6">
        <v>29.0</v>
      </c>
      <c r="E558" s="6">
        <v>7192.0</v>
      </c>
      <c r="F558" s="6">
        <v>11360.0</v>
      </c>
      <c r="G558" s="6">
        <v>58987.0</v>
      </c>
      <c r="H558" s="6">
        <v>0.1219</v>
      </c>
      <c r="I558" s="6">
        <v>0.1926</v>
      </c>
      <c r="J558" s="6">
        <v>-0.0707</v>
      </c>
    </row>
    <row r="559">
      <c r="A559" s="5" t="s">
        <v>56</v>
      </c>
      <c r="B559" s="5" t="s">
        <v>1867</v>
      </c>
      <c r="C559" s="5" t="s">
        <v>74</v>
      </c>
      <c r="D559" s="6">
        <v>30.0</v>
      </c>
      <c r="E559" s="6">
        <v>7264.0</v>
      </c>
      <c r="F559" s="6">
        <v>10090.0</v>
      </c>
      <c r="G559" s="6">
        <v>58987.0</v>
      </c>
      <c r="H559" s="6">
        <v>0.1231</v>
      </c>
      <c r="I559" s="6">
        <v>0.1711</v>
      </c>
      <c r="J559" s="6">
        <v>-0.0479</v>
      </c>
    </row>
    <row r="560">
      <c r="A560" s="5" t="s">
        <v>56</v>
      </c>
      <c r="B560" s="5" t="s">
        <v>1867</v>
      </c>
      <c r="C560" s="5" t="s">
        <v>74</v>
      </c>
      <c r="D560" s="6">
        <v>31.0</v>
      </c>
      <c r="E560" s="6">
        <v>10413.0</v>
      </c>
      <c r="F560" s="6">
        <v>11578.0</v>
      </c>
      <c r="G560" s="6">
        <v>58987.0</v>
      </c>
      <c r="H560" s="6">
        <v>0.1765</v>
      </c>
      <c r="I560" s="6">
        <v>0.1963</v>
      </c>
      <c r="J560" s="6">
        <v>-0.0198</v>
      </c>
    </row>
    <row r="561">
      <c r="A561" s="5" t="s">
        <v>56</v>
      </c>
      <c r="B561" s="5" t="s">
        <v>1867</v>
      </c>
      <c r="C561" s="5" t="s">
        <v>74</v>
      </c>
      <c r="D561" s="6">
        <v>32.0</v>
      </c>
      <c r="E561" s="6">
        <v>8253.0</v>
      </c>
      <c r="F561" s="6">
        <v>10741.0</v>
      </c>
      <c r="G561" s="6">
        <v>58987.0</v>
      </c>
      <c r="H561" s="6">
        <v>0.1399</v>
      </c>
      <c r="I561" s="6">
        <v>0.1821</v>
      </c>
      <c r="J561" s="6">
        <v>-0.0422</v>
      </c>
    </row>
    <row r="562">
      <c r="A562" s="5" t="s">
        <v>56</v>
      </c>
      <c r="B562" s="5" t="s">
        <v>1867</v>
      </c>
      <c r="C562" s="5" t="s">
        <v>74</v>
      </c>
      <c r="D562" s="6">
        <v>33.0</v>
      </c>
      <c r="E562" s="6">
        <v>7546.0</v>
      </c>
      <c r="F562" s="6">
        <v>10648.0</v>
      </c>
      <c r="G562" s="6">
        <v>58987.0</v>
      </c>
      <c r="H562" s="6">
        <v>0.1279</v>
      </c>
      <c r="I562" s="6">
        <v>0.1805</v>
      </c>
      <c r="J562" s="6">
        <v>-0.0526</v>
      </c>
    </row>
    <row r="563">
      <c r="A563" s="5" t="s">
        <v>56</v>
      </c>
      <c r="B563" s="5" t="s">
        <v>1867</v>
      </c>
      <c r="C563" s="5" t="s">
        <v>69</v>
      </c>
      <c r="D563" s="6">
        <v>1.0</v>
      </c>
      <c r="E563" s="6">
        <v>22474.0</v>
      </c>
      <c r="F563" s="6">
        <v>31654.0</v>
      </c>
      <c r="G563" s="6">
        <v>73938.0</v>
      </c>
      <c r="H563" s="6">
        <v>0.304</v>
      </c>
      <c r="I563" s="6">
        <v>0.4281</v>
      </c>
      <c r="J563" s="6">
        <v>-0.1242</v>
      </c>
    </row>
    <row r="564">
      <c r="A564" s="5" t="s">
        <v>56</v>
      </c>
      <c r="B564" s="5" t="s">
        <v>1867</v>
      </c>
      <c r="C564" s="5" t="s">
        <v>69</v>
      </c>
      <c r="D564" s="6">
        <v>2.0</v>
      </c>
      <c r="E564" s="6">
        <v>21639.0</v>
      </c>
      <c r="F564" s="6">
        <v>28829.0</v>
      </c>
      <c r="G564" s="6">
        <v>73938.0</v>
      </c>
      <c r="H564" s="6">
        <v>0.2927</v>
      </c>
      <c r="I564" s="6">
        <v>0.3899</v>
      </c>
      <c r="J564" s="6">
        <v>-0.0972</v>
      </c>
    </row>
    <row r="565">
      <c r="A565" s="5" t="s">
        <v>56</v>
      </c>
      <c r="B565" s="5" t="s">
        <v>1867</v>
      </c>
      <c r="C565" s="5" t="s">
        <v>69</v>
      </c>
      <c r="D565" s="6">
        <v>3.0</v>
      </c>
      <c r="E565" s="6">
        <v>41536.0</v>
      </c>
      <c r="F565" s="6">
        <v>39697.0</v>
      </c>
      <c r="G565" s="6">
        <v>73938.0</v>
      </c>
      <c r="H565" s="6">
        <v>0.5618</v>
      </c>
      <c r="I565" s="6">
        <v>0.5369</v>
      </c>
      <c r="J565" s="6">
        <v>0.0249</v>
      </c>
    </row>
    <row r="566">
      <c r="A566" s="5" t="s">
        <v>56</v>
      </c>
      <c r="B566" s="5" t="s">
        <v>1867</v>
      </c>
      <c r="C566" s="5" t="s">
        <v>69</v>
      </c>
      <c r="D566" s="6">
        <v>4.0</v>
      </c>
      <c r="E566" s="6">
        <v>32590.0</v>
      </c>
      <c r="F566" s="6">
        <v>36401.0</v>
      </c>
      <c r="G566" s="6">
        <v>73938.0</v>
      </c>
      <c r="H566" s="6">
        <v>0.4408</v>
      </c>
      <c r="I566" s="6">
        <v>0.4923</v>
      </c>
      <c r="J566" s="6">
        <v>-0.0515</v>
      </c>
    </row>
    <row r="567">
      <c r="A567" s="5" t="s">
        <v>56</v>
      </c>
      <c r="B567" s="5" t="s">
        <v>1867</v>
      </c>
      <c r="C567" s="5" t="s">
        <v>69</v>
      </c>
      <c r="D567" s="6">
        <v>5.0</v>
      </c>
      <c r="E567" s="6">
        <v>29614.0</v>
      </c>
      <c r="F567" s="6">
        <v>36715.0</v>
      </c>
      <c r="G567" s="6">
        <v>73938.0</v>
      </c>
      <c r="H567" s="6">
        <v>0.4005</v>
      </c>
      <c r="I567" s="6">
        <v>0.4966</v>
      </c>
      <c r="J567" s="6">
        <v>-0.096</v>
      </c>
    </row>
    <row r="568">
      <c r="A568" s="5" t="s">
        <v>56</v>
      </c>
      <c r="B568" s="5" t="s">
        <v>1867</v>
      </c>
      <c r="C568" s="5" t="s">
        <v>69</v>
      </c>
      <c r="D568" s="6">
        <v>6.0</v>
      </c>
      <c r="E568" s="6">
        <v>32769.0</v>
      </c>
      <c r="F568" s="6">
        <v>36021.0</v>
      </c>
      <c r="G568" s="6">
        <v>73938.0</v>
      </c>
      <c r="H568" s="6">
        <v>0.4432</v>
      </c>
      <c r="I568" s="6">
        <v>0.4872</v>
      </c>
      <c r="J568" s="6">
        <v>-0.044</v>
      </c>
    </row>
    <row r="569">
      <c r="A569" s="5" t="s">
        <v>56</v>
      </c>
      <c r="B569" s="5" t="s">
        <v>1867</v>
      </c>
      <c r="C569" s="5" t="s">
        <v>69</v>
      </c>
      <c r="D569" s="6">
        <v>7.0</v>
      </c>
      <c r="E569" s="6">
        <v>24411.0</v>
      </c>
      <c r="F569" s="6">
        <v>32929.0</v>
      </c>
      <c r="G569" s="6">
        <v>73938.0</v>
      </c>
      <c r="H569" s="6">
        <v>0.3302</v>
      </c>
      <c r="I569" s="6">
        <v>0.4454</v>
      </c>
      <c r="J569" s="6">
        <v>-0.1152</v>
      </c>
    </row>
    <row r="570">
      <c r="A570" s="5" t="s">
        <v>56</v>
      </c>
      <c r="B570" s="5" t="s">
        <v>1867</v>
      </c>
      <c r="C570" s="5" t="s">
        <v>69</v>
      </c>
      <c r="D570" s="6">
        <v>8.0</v>
      </c>
      <c r="E570" s="6">
        <v>20798.0</v>
      </c>
      <c r="F570" s="6">
        <v>30551.0</v>
      </c>
      <c r="G570" s="6">
        <v>73938.0</v>
      </c>
      <c r="H570" s="6">
        <v>0.2813</v>
      </c>
      <c r="I570" s="6">
        <v>0.4132</v>
      </c>
      <c r="J570" s="6">
        <v>-0.1319</v>
      </c>
    </row>
    <row r="571">
      <c r="A571" s="5" t="s">
        <v>56</v>
      </c>
      <c r="B571" s="5" t="s">
        <v>1867</v>
      </c>
      <c r="C571" s="5" t="s">
        <v>69</v>
      </c>
      <c r="D571" s="6">
        <v>9.0</v>
      </c>
      <c r="E571" s="6">
        <v>19349.0</v>
      </c>
      <c r="F571" s="6">
        <v>27613.0</v>
      </c>
      <c r="G571" s="6">
        <v>73938.0</v>
      </c>
      <c r="H571" s="6">
        <v>0.2617</v>
      </c>
      <c r="I571" s="6">
        <v>0.3735</v>
      </c>
      <c r="J571" s="6">
        <v>-0.1118</v>
      </c>
    </row>
    <row r="572">
      <c r="A572" s="5" t="s">
        <v>56</v>
      </c>
      <c r="B572" s="5" t="s">
        <v>1867</v>
      </c>
      <c r="C572" s="5" t="s">
        <v>69</v>
      </c>
      <c r="D572" s="6">
        <v>10.0</v>
      </c>
      <c r="E572" s="6">
        <v>40466.0</v>
      </c>
      <c r="F572" s="6">
        <v>39643.0</v>
      </c>
      <c r="G572" s="6">
        <v>73938.0</v>
      </c>
      <c r="H572" s="6">
        <v>0.5473</v>
      </c>
      <c r="I572" s="6">
        <v>0.5362</v>
      </c>
      <c r="J572" s="6">
        <v>0.0111</v>
      </c>
    </row>
    <row r="573">
      <c r="A573" s="5" t="s">
        <v>56</v>
      </c>
      <c r="B573" s="5" t="s">
        <v>1867</v>
      </c>
      <c r="C573" s="5" t="s">
        <v>69</v>
      </c>
      <c r="D573" s="6">
        <v>11.0</v>
      </c>
      <c r="E573" s="6">
        <v>30576.0</v>
      </c>
      <c r="F573" s="6">
        <v>34854.0</v>
      </c>
      <c r="G573" s="6">
        <v>73938.0</v>
      </c>
      <c r="H573" s="6">
        <v>0.4135</v>
      </c>
      <c r="I573" s="6">
        <v>0.4714</v>
      </c>
      <c r="J573" s="6">
        <v>-0.0579</v>
      </c>
    </row>
    <row r="574">
      <c r="A574" s="5" t="s">
        <v>56</v>
      </c>
      <c r="B574" s="5" t="s">
        <v>1867</v>
      </c>
      <c r="C574" s="5" t="s">
        <v>69</v>
      </c>
      <c r="D574" s="6">
        <v>12.0</v>
      </c>
      <c r="E574" s="6">
        <v>27257.0</v>
      </c>
      <c r="F574" s="6">
        <v>34040.0</v>
      </c>
      <c r="G574" s="6">
        <v>73938.0</v>
      </c>
      <c r="H574" s="6">
        <v>0.3686</v>
      </c>
      <c r="I574" s="6">
        <v>0.4604</v>
      </c>
      <c r="J574" s="6">
        <v>-0.0917</v>
      </c>
    </row>
    <row r="575">
      <c r="A575" s="5" t="s">
        <v>56</v>
      </c>
      <c r="B575" s="5" t="s">
        <v>1867</v>
      </c>
      <c r="C575" s="5" t="s">
        <v>69</v>
      </c>
      <c r="D575" s="6">
        <v>13.0</v>
      </c>
      <c r="E575" s="6">
        <v>30933.0</v>
      </c>
      <c r="F575" s="6">
        <v>34203.0</v>
      </c>
      <c r="G575" s="6">
        <v>73938.0</v>
      </c>
      <c r="H575" s="6">
        <v>0.4184</v>
      </c>
      <c r="I575" s="6">
        <v>0.4626</v>
      </c>
      <c r="J575" s="6">
        <v>-0.0442</v>
      </c>
    </row>
    <row r="576">
      <c r="A576" s="5" t="s">
        <v>56</v>
      </c>
      <c r="B576" s="5" t="s">
        <v>1867</v>
      </c>
      <c r="C576" s="5" t="s">
        <v>69</v>
      </c>
      <c r="D576" s="6">
        <v>14.0</v>
      </c>
      <c r="E576" s="6">
        <v>21257.0</v>
      </c>
      <c r="F576" s="6">
        <v>29315.0</v>
      </c>
      <c r="G576" s="6">
        <v>73938.0</v>
      </c>
      <c r="H576" s="6">
        <v>0.2875</v>
      </c>
      <c r="I576" s="6">
        <v>0.3965</v>
      </c>
      <c r="J576" s="6">
        <v>-0.109</v>
      </c>
    </row>
    <row r="577">
      <c r="A577" s="5" t="s">
        <v>56</v>
      </c>
      <c r="B577" s="5" t="s">
        <v>1867</v>
      </c>
      <c r="C577" s="5" t="s">
        <v>69</v>
      </c>
      <c r="D577" s="6">
        <v>15.0</v>
      </c>
      <c r="E577" s="6">
        <v>18584.0</v>
      </c>
      <c r="F577" s="6">
        <v>27857.0</v>
      </c>
      <c r="G577" s="6">
        <v>73938.0</v>
      </c>
      <c r="H577" s="6">
        <v>0.2513</v>
      </c>
      <c r="I577" s="6">
        <v>0.3768</v>
      </c>
      <c r="J577" s="6">
        <v>-0.1254</v>
      </c>
    </row>
    <row r="578">
      <c r="A578" s="5" t="s">
        <v>56</v>
      </c>
      <c r="B578" s="5" t="s">
        <v>1867</v>
      </c>
      <c r="C578" s="5" t="s">
        <v>69</v>
      </c>
      <c r="D578" s="6">
        <v>16.0</v>
      </c>
      <c r="E578" s="6">
        <v>19679.0</v>
      </c>
      <c r="F578" s="6">
        <v>25794.0</v>
      </c>
      <c r="G578" s="6">
        <v>73938.0</v>
      </c>
      <c r="H578" s="6">
        <v>0.2662</v>
      </c>
      <c r="I578" s="6">
        <v>0.3489</v>
      </c>
      <c r="J578" s="6">
        <v>-0.0827</v>
      </c>
    </row>
    <row r="579">
      <c r="A579" s="5" t="s">
        <v>56</v>
      </c>
      <c r="B579" s="5" t="s">
        <v>1867</v>
      </c>
      <c r="C579" s="5" t="s">
        <v>69</v>
      </c>
      <c r="D579" s="6">
        <v>17.0</v>
      </c>
      <c r="E579" s="6">
        <v>39390.0</v>
      </c>
      <c r="F579" s="6">
        <v>37023.0</v>
      </c>
      <c r="G579" s="6">
        <v>73938.0</v>
      </c>
      <c r="H579" s="6">
        <v>0.5327</v>
      </c>
      <c r="I579" s="6">
        <v>0.5007</v>
      </c>
      <c r="J579" s="6">
        <v>0.032</v>
      </c>
    </row>
    <row r="580">
      <c r="A580" s="5" t="s">
        <v>56</v>
      </c>
      <c r="B580" s="5" t="s">
        <v>1867</v>
      </c>
      <c r="C580" s="5" t="s">
        <v>69</v>
      </c>
      <c r="D580" s="6">
        <v>18.0</v>
      </c>
      <c r="E580" s="6">
        <v>29112.0</v>
      </c>
      <c r="F580" s="6">
        <v>33444.0</v>
      </c>
      <c r="G580" s="6">
        <v>73938.0</v>
      </c>
      <c r="H580" s="6">
        <v>0.3937</v>
      </c>
      <c r="I580" s="6">
        <v>0.4523</v>
      </c>
      <c r="J580" s="6">
        <v>-0.0586</v>
      </c>
    </row>
    <row r="581">
      <c r="A581" s="5" t="s">
        <v>56</v>
      </c>
      <c r="B581" s="5" t="s">
        <v>1867</v>
      </c>
      <c r="C581" s="5" t="s">
        <v>69</v>
      </c>
      <c r="D581" s="6">
        <v>19.0</v>
      </c>
      <c r="E581" s="6">
        <v>25274.0</v>
      </c>
      <c r="F581" s="6">
        <v>31796.0</v>
      </c>
      <c r="G581" s="6">
        <v>73938.0</v>
      </c>
      <c r="H581" s="6">
        <v>0.3418</v>
      </c>
      <c r="I581" s="6">
        <v>0.43</v>
      </c>
      <c r="J581" s="6">
        <v>-0.0882</v>
      </c>
    </row>
    <row r="582">
      <c r="A582" s="5" t="s">
        <v>56</v>
      </c>
      <c r="B582" s="5" t="s">
        <v>1867</v>
      </c>
      <c r="C582" s="5" t="s">
        <v>69</v>
      </c>
      <c r="D582" s="6">
        <v>20.0</v>
      </c>
      <c r="E582" s="6">
        <v>29010.0</v>
      </c>
      <c r="F582" s="6">
        <v>32119.0</v>
      </c>
      <c r="G582" s="6">
        <v>73938.0</v>
      </c>
      <c r="H582" s="6">
        <v>0.3924</v>
      </c>
      <c r="I582" s="6">
        <v>0.4344</v>
      </c>
      <c r="J582" s="6">
        <v>-0.042</v>
      </c>
    </row>
    <row r="583">
      <c r="A583" s="5" t="s">
        <v>56</v>
      </c>
      <c r="B583" s="5" t="s">
        <v>1867</v>
      </c>
      <c r="C583" s="5" t="s">
        <v>69</v>
      </c>
      <c r="D583" s="6">
        <v>21.0</v>
      </c>
      <c r="E583" s="6">
        <v>42121.0</v>
      </c>
      <c r="F583" s="6">
        <v>35895.0</v>
      </c>
      <c r="G583" s="6">
        <v>73938.0</v>
      </c>
      <c r="H583" s="6">
        <v>0.5697</v>
      </c>
      <c r="I583" s="6">
        <v>0.4855</v>
      </c>
      <c r="J583" s="6">
        <v>0.0842</v>
      </c>
    </row>
    <row r="584">
      <c r="A584" s="5" t="s">
        <v>56</v>
      </c>
      <c r="B584" s="5" t="s">
        <v>1867</v>
      </c>
      <c r="C584" s="5" t="s">
        <v>69</v>
      </c>
      <c r="D584" s="6">
        <v>22.0</v>
      </c>
      <c r="E584" s="6">
        <v>28325.0</v>
      </c>
      <c r="F584" s="6">
        <v>35935.0</v>
      </c>
      <c r="G584" s="6">
        <v>73938.0</v>
      </c>
      <c r="H584" s="6">
        <v>0.3831</v>
      </c>
      <c r="I584" s="6">
        <v>0.486</v>
      </c>
      <c r="J584" s="6">
        <v>-0.1029</v>
      </c>
    </row>
    <row r="585">
      <c r="A585" s="5" t="s">
        <v>56</v>
      </c>
      <c r="B585" s="5" t="s">
        <v>1867</v>
      </c>
      <c r="C585" s="5" t="s">
        <v>69</v>
      </c>
      <c r="D585" s="6">
        <v>23.0</v>
      </c>
      <c r="E585" s="6">
        <v>21295.0</v>
      </c>
      <c r="F585" s="6">
        <v>30447.0</v>
      </c>
      <c r="G585" s="6">
        <v>73938.0</v>
      </c>
      <c r="H585" s="6">
        <v>0.288</v>
      </c>
      <c r="I585" s="6">
        <v>0.4118</v>
      </c>
      <c r="J585" s="6">
        <v>-0.1238</v>
      </c>
    </row>
    <row r="586">
      <c r="A586" s="5" t="s">
        <v>56</v>
      </c>
      <c r="B586" s="5" t="s">
        <v>1867</v>
      </c>
      <c r="C586" s="5" t="s">
        <v>69</v>
      </c>
      <c r="D586" s="6">
        <v>24.0</v>
      </c>
      <c r="E586" s="6">
        <v>40914.0</v>
      </c>
      <c r="F586" s="6">
        <v>41258.0</v>
      </c>
      <c r="G586" s="6">
        <v>73938.0</v>
      </c>
      <c r="H586" s="6">
        <v>0.5534</v>
      </c>
      <c r="I586" s="6">
        <v>0.558</v>
      </c>
      <c r="J586" s="6">
        <v>-0.0047</v>
      </c>
    </row>
    <row r="587">
      <c r="A587" s="5" t="s">
        <v>56</v>
      </c>
      <c r="B587" s="5" t="s">
        <v>1867</v>
      </c>
      <c r="C587" s="5" t="s">
        <v>69</v>
      </c>
      <c r="D587" s="6">
        <v>25.0</v>
      </c>
      <c r="E587" s="6">
        <v>31371.0</v>
      </c>
      <c r="F587" s="6">
        <v>37122.0</v>
      </c>
      <c r="G587" s="6">
        <v>73938.0</v>
      </c>
      <c r="H587" s="6">
        <v>0.4243</v>
      </c>
      <c r="I587" s="6">
        <v>0.5021</v>
      </c>
      <c r="J587" s="6">
        <v>-0.0778</v>
      </c>
    </row>
    <row r="588">
      <c r="A588" s="5" t="s">
        <v>56</v>
      </c>
      <c r="B588" s="5" t="s">
        <v>1867</v>
      </c>
      <c r="C588" s="5" t="s">
        <v>69</v>
      </c>
      <c r="D588" s="6">
        <v>26.0</v>
      </c>
      <c r="E588" s="6">
        <v>27845.0</v>
      </c>
      <c r="F588" s="6">
        <v>35511.0</v>
      </c>
      <c r="G588" s="6">
        <v>73938.0</v>
      </c>
      <c r="H588" s="6">
        <v>0.3766</v>
      </c>
      <c r="I588" s="6">
        <v>0.4803</v>
      </c>
      <c r="J588" s="6">
        <v>-0.1037</v>
      </c>
    </row>
    <row r="589">
      <c r="A589" s="5" t="s">
        <v>56</v>
      </c>
      <c r="B589" s="5" t="s">
        <v>1867</v>
      </c>
      <c r="C589" s="5" t="s">
        <v>69</v>
      </c>
      <c r="D589" s="6">
        <v>27.0</v>
      </c>
      <c r="E589" s="6">
        <v>32793.0</v>
      </c>
      <c r="F589" s="6">
        <v>35786.0</v>
      </c>
      <c r="G589" s="6">
        <v>73938.0</v>
      </c>
      <c r="H589" s="6">
        <v>0.4435</v>
      </c>
      <c r="I589" s="6">
        <v>0.484</v>
      </c>
      <c r="J589" s="6">
        <v>-0.0405</v>
      </c>
    </row>
    <row r="590">
      <c r="A590" s="5" t="s">
        <v>56</v>
      </c>
      <c r="B590" s="5" t="s">
        <v>1867</v>
      </c>
      <c r="C590" s="5" t="s">
        <v>69</v>
      </c>
      <c r="D590" s="6">
        <v>28.0</v>
      </c>
      <c r="E590" s="6">
        <v>21683.0</v>
      </c>
      <c r="F590" s="6">
        <v>29152.0</v>
      </c>
      <c r="G590" s="6">
        <v>73938.0</v>
      </c>
      <c r="H590" s="6">
        <v>0.2933</v>
      </c>
      <c r="I590" s="6">
        <v>0.3943</v>
      </c>
      <c r="J590" s="6">
        <v>-0.101</v>
      </c>
    </row>
    <row r="591">
      <c r="A591" s="5" t="s">
        <v>56</v>
      </c>
      <c r="B591" s="5" t="s">
        <v>1867</v>
      </c>
      <c r="C591" s="5" t="s">
        <v>69</v>
      </c>
      <c r="D591" s="6">
        <v>29.0</v>
      </c>
      <c r="E591" s="6">
        <v>19673.0</v>
      </c>
      <c r="F591" s="6">
        <v>27816.0</v>
      </c>
      <c r="G591" s="6">
        <v>73938.0</v>
      </c>
      <c r="H591" s="6">
        <v>0.2661</v>
      </c>
      <c r="I591" s="6">
        <v>0.3762</v>
      </c>
      <c r="J591" s="6">
        <v>-0.1101</v>
      </c>
    </row>
    <row r="592">
      <c r="A592" s="5" t="s">
        <v>56</v>
      </c>
      <c r="B592" s="5" t="s">
        <v>1867</v>
      </c>
      <c r="C592" s="5" t="s">
        <v>69</v>
      </c>
      <c r="D592" s="6">
        <v>30.0</v>
      </c>
      <c r="E592" s="6">
        <v>18981.0</v>
      </c>
      <c r="F592" s="6">
        <v>25035.0</v>
      </c>
      <c r="G592" s="6">
        <v>73938.0</v>
      </c>
      <c r="H592" s="6">
        <v>0.2567</v>
      </c>
      <c r="I592" s="6">
        <v>0.3386</v>
      </c>
      <c r="J592" s="6">
        <v>-0.0819</v>
      </c>
    </row>
    <row r="593">
      <c r="A593" s="5" t="s">
        <v>56</v>
      </c>
      <c r="B593" s="5" t="s">
        <v>1867</v>
      </c>
      <c r="C593" s="5" t="s">
        <v>69</v>
      </c>
      <c r="D593" s="6">
        <v>31.0</v>
      </c>
      <c r="E593" s="6">
        <v>39692.0</v>
      </c>
      <c r="F593" s="6">
        <v>36391.0</v>
      </c>
      <c r="G593" s="6">
        <v>73938.0</v>
      </c>
      <c r="H593" s="6">
        <v>0.5368</v>
      </c>
      <c r="I593" s="6">
        <v>0.4922</v>
      </c>
      <c r="J593" s="6">
        <v>0.0446</v>
      </c>
    </row>
    <row r="594">
      <c r="A594" s="5" t="s">
        <v>56</v>
      </c>
      <c r="B594" s="5" t="s">
        <v>1867</v>
      </c>
      <c r="C594" s="5" t="s">
        <v>69</v>
      </c>
      <c r="D594" s="6">
        <v>32.0</v>
      </c>
      <c r="E594" s="6">
        <v>29820.0</v>
      </c>
      <c r="F594" s="6">
        <v>33190.0</v>
      </c>
      <c r="G594" s="6">
        <v>73938.0</v>
      </c>
      <c r="H594" s="6">
        <v>0.4033</v>
      </c>
      <c r="I594" s="6">
        <v>0.4489</v>
      </c>
      <c r="J594" s="6">
        <v>-0.0456</v>
      </c>
    </row>
    <row r="595">
      <c r="A595" s="5" t="s">
        <v>56</v>
      </c>
      <c r="B595" s="5" t="s">
        <v>1867</v>
      </c>
      <c r="C595" s="5" t="s">
        <v>69</v>
      </c>
      <c r="D595" s="6">
        <v>33.0</v>
      </c>
      <c r="E595" s="6">
        <v>27489.0</v>
      </c>
      <c r="F595" s="6">
        <v>33120.0</v>
      </c>
      <c r="G595" s="6">
        <v>73938.0</v>
      </c>
      <c r="H595" s="6">
        <v>0.3718</v>
      </c>
      <c r="I595" s="6">
        <v>0.4479</v>
      </c>
      <c r="J595" s="6">
        <v>-0.0762</v>
      </c>
    </row>
    <row r="596">
      <c r="A596" s="5" t="s">
        <v>56</v>
      </c>
      <c r="B596" s="5" t="s">
        <v>1867</v>
      </c>
      <c r="C596" s="5" t="s">
        <v>70</v>
      </c>
      <c r="D596" s="6">
        <v>1.0</v>
      </c>
      <c r="E596" s="6">
        <v>21111.0</v>
      </c>
      <c r="F596" s="6">
        <v>30636.0</v>
      </c>
      <c r="G596" s="6">
        <v>75673.0</v>
      </c>
      <c r="H596" s="6">
        <v>0.279</v>
      </c>
      <c r="I596" s="6">
        <v>0.4048</v>
      </c>
      <c r="J596" s="6">
        <v>-0.1259</v>
      </c>
    </row>
    <row r="597">
      <c r="A597" s="5" t="s">
        <v>56</v>
      </c>
      <c r="B597" s="5" t="s">
        <v>1867</v>
      </c>
      <c r="C597" s="5" t="s">
        <v>70</v>
      </c>
      <c r="D597" s="6">
        <v>2.0</v>
      </c>
      <c r="E597" s="6">
        <v>19741.0</v>
      </c>
      <c r="F597" s="6">
        <v>27925.0</v>
      </c>
      <c r="G597" s="6">
        <v>75673.0</v>
      </c>
      <c r="H597" s="6">
        <v>0.2609</v>
      </c>
      <c r="I597" s="6">
        <v>0.369</v>
      </c>
      <c r="J597" s="6">
        <v>-0.1081</v>
      </c>
    </row>
    <row r="598">
      <c r="A598" s="5" t="s">
        <v>56</v>
      </c>
      <c r="B598" s="5" t="s">
        <v>1867</v>
      </c>
      <c r="C598" s="5" t="s">
        <v>70</v>
      </c>
      <c r="D598" s="6">
        <v>3.0</v>
      </c>
      <c r="E598" s="6">
        <v>36188.0</v>
      </c>
      <c r="F598" s="6">
        <v>36769.0</v>
      </c>
      <c r="G598" s="6">
        <v>75673.0</v>
      </c>
      <c r="H598" s="6">
        <v>0.4782</v>
      </c>
      <c r="I598" s="6">
        <v>0.4859</v>
      </c>
      <c r="J598" s="6">
        <v>-0.0077</v>
      </c>
    </row>
    <row r="599">
      <c r="A599" s="5" t="s">
        <v>56</v>
      </c>
      <c r="B599" s="5" t="s">
        <v>1867</v>
      </c>
      <c r="C599" s="5" t="s">
        <v>70</v>
      </c>
      <c r="D599" s="6">
        <v>4.0</v>
      </c>
      <c r="E599" s="6">
        <v>26103.0</v>
      </c>
      <c r="F599" s="6">
        <v>32199.0</v>
      </c>
      <c r="G599" s="6">
        <v>75673.0</v>
      </c>
      <c r="H599" s="6">
        <v>0.3449</v>
      </c>
      <c r="I599" s="6">
        <v>0.4255</v>
      </c>
      <c r="J599" s="6">
        <v>-0.0806</v>
      </c>
    </row>
    <row r="600">
      <c r="A600" s="5" t="s">
        <v>56</v>
      </c>
      <c r="B600" s="5" t="s">
        <v>1867</v>
      </c>
      <c r="C600" s="5" t="s">
        <v>70</v>
      </c>
      <c r="D600" s="6">
        <v>5.0</v>
      </c>
      <c r="E600" s="6">
        <v>23465.0</v>
      </c>
      <c r="F600" s="6">
        <v>32258.0</v>
      </c>
      <c r="G600" s="6">
        <v>75673.0</v>
      </c>
      <c r="H600" s="6">
        <v>0.3101</v>
      </c>
      <c r="I600" s="6">
        <v>0.4263</v>
      </c>
      <c r="J600" s="6">
        <v>-0.1162</v>
      </c>
    </row>
    <row r="601">
      <c r="A601" s="5" t="s">
        <v>56</v>
      </c>
      <c r="B601" s="5" t="s">
        <v>1867</v>
      </c>
      <c r="C601" s="5" t="s">
        <v>70</v>
      </c>
      <c r="D601" s="6">
        <v>6.0</v>
      </c>
      <c r="E601" s="6">
        <v>33397.0</v>
      </c>
      <c r="F601" s="6">
        <v>34955.0</v>
      </c>
      <c r="G601" s="6">
        <v>75673.0</v>
      </c>
      <c r="H601" s="6">
        <v>0.4413</v>
      </c>
      <c r="I601" s="6">
        <v>0.4619</v>
      </c>
      <c r="J601" s="6">
        <v>-0.0206</v>
      </c>
    </row>
    <row r="602">
      <c r="A602" s="5" t="s">
        <v>56</v>
      </c>
      <c r="B602" s="5" t="s">
        <v>1867</v>
      </c>
      <c r="C602" s="5" t="s">
        <v>70</v>
      </c>
      <c r="D602" s="6">
        <v>7.0</v>
      </c>
      <c r="E602" s="6">
        <v>26567.0</v>
      </c>
      <c r="F602" s="6">
        <v>32564.0</v>
      </c>
      <c r="G602" s="6">
        <v>75673.0</v>
      </c>
      <c r="H602" s="6">
        <v>0.3511</v>
      </c>
      <c r="I602" s="6">
        <v>0.4303</v>
      </c>
      <c r="J602" s="6">
        <v>-0.0792</v>
      </c>
    </row>
    <row r="603">
      <c r="A603" s="5" t="s">
        <v>56</v>
      </c>
      <c r="B603" s="5" t="s">
        <v>1867</v>
      </c>
      <c r="C603" s="5" t="s">
        <v>70</v>
      </c>
      <c r="D603" s="6">
        <v>8.0</v>
      </c>
      <c r="E603" s="6">
        <v>22200.0</v>
      </c>
      <c r="F603" s="6">
        <v>30758.0</v>
      </c>
      <c r="G603" s="6">
        <v>75673.0</v>
      </c>
      <c r="H603" s="6">
        <v>0.2934</v>
      </c>
      <c r="I603" s="6">
        <v>0.4065</v>
      </c>
      <c r="J603" s="6">
        <v>-0.1131</v>
      </c>
    </row>
    <row r="604">
      <c r="A604" s="5" t="s">
        <v>56</v>
      </c>
      <c r="B604" s="5" t="s">
        <v>1867</v>
      </c>
      <c r="C604" s="5" t="s">
        <v>70</v>
      </c>
      <c r="D604" s="6">
        <v>9.0</v>
      </c>
      <c r="E604" s="6">
        <v>19769.0</v>
      </c>
      <c r="F604" s="6">
        <v>27464.0</v>
      </c>
      <c r="G604" s="6">
        <v>75673.0</v>
      </c>
      <c r="H604" s="6">
        <v>0.2612</v>
      </c>
      <c r="I604" s="6">
        <v>0.3629</v>
      </c>
      <c r="J604" s="6">
        <v>-0.1017</v>
      </c>
    </row>
    <row r="605">
      <c r="A605" s="5" t="s">
        <v>56</v>
      </c>
      <c r="B605" s="5" t="s">
        <v>1867</v>
      </c>
      <c r="C605" s="5" t="s">
        <v>70</v>
      </c>
      <c r="D605" s="6">
        <v>10.0</v>
      </c>
      <c r="E605" s="6">
        <v>44814.0</v>
      </c>
      <c r="F605" s="6">
        <v>39004.0</v>
      </c>
      <c r="G605" s="6">
        <v>75673.0</v>
      </c>
      <c r="H605" s="6">
        <v>0.5922</v>
      </c>
      <c r="I605" s="6">
        <v>0.5154</v>
      </c>
      <c r="J605" s="6">
        <v>0.0768</v>
      </c>
    </row>
    <row r="606">
      <c r="A606" s="5" t="s">
        <v>56</v>
      </c>
      <c r="B606" s="5" t="s">
        <v>1867</v>
      </c>
      <c r="C606" s="5" t="s">
        <v>70</v>
      </c>
      <c r="D606" s="6">
        <v>11.0</v>
      </c>
      <c r="E606" s="6">
        <v>26472.0</v>
      </c>
      <c r="F606" s="6">
        <v>31912.0</v>
      </c>
      <c r="G606" s="6">
        <v>75673.0</v>
      </c>
      <c r="H606" s="6">
        <v>0.3498</v>
      </c>
      <c r="I606" s="6">
        <v>0.4217</v>
      </c>
      <c r="J606" s="6">
        <v>-0.0719</v>
      </c>
    </row>
    <row r="607">
      <c r="A607" s="5" t="s">
        <v>56</v>
      </c>
      <c r="B607" s="5" t="s">
        <v>1867</v>
      </c>
      <c r="C607" s="5" t="s">
        <v>70</v>
      </c>
      <c r="D607" s="6">
        <v>12.0</v>
      </c>
      <c r="E607" s="6">
        <v>23150.0</v>
      </c>
      <c r="F607" s="6">
        <v>30912.0</v>
      </c>
      <c r="G607" s="6">
        <v>75673.0</v>
      </c>
      <c r="H607" s="6">
        <v>0.3059</v>
      </c>
      <c r="I607" s="6">
        <v>0.4085</v>
      </c>
      <c r="J607" s="6">
        <v>-0.1026</v>
      </c>
    </row>
    <row r="608">
      <c r="A608" s="5" t="s">
        <v>56</v>
      </c>
      <c r="B608" s="5" t="s">
        <v>1867</v>
      </c>
      <c r="C608" s="5" t="s">
        <v>70</v>
      </c>
      <c r="D608" s="6">
        <v>13.0</v>
      </c>
      <c r="E608" s="6">
        <v>31750.0</v>
      </c>
      <c r="F608" s="6">
        <v>33505.0</v>
      </c>
      <c r="G608" s="6">
        <v>75673.0</v>
      </c>
      <c r="H608" s="6">
        <v>0.4196</v>
      </c>
      <c r="I608" s="6">
        <v>0.4428</v>
      </c>
      <c r="J608" s="6">
        <v>-0.0232</v>
      </c>
    </row>
    <row r="609">
      <c r="A609" s="5" t="s">
        <v>56</v>
      </c>
      <c r="B609" s="5" t="s">
        <v>1867</v>
      </c>
      <c r="C609" s="5" t="s">
        <v>70</v>
      </c>
      <c r="D609" s="6">
        <v>14.0</v>
      </c>
      <c r="E609" s="6">
        <v>24431.0</v>
      </c>
      <c r="F609" s="6">
        <v>30080.0</v>
      </c>
      <c r="G609" s="6">
        <v>75673.0</v>
      </c>
      <c r="H609" s="6">
        <v>0.3228</v>
      </c>
      <c r="I609" s="6">
        <v>0.3975</v>
      </c>
      <c r="J609" s="6">
        <v>-0.0747</v>
      </c>
    </row>
    <row r="610">
      <c r="A610" s="5" t="s">
        <v>56</v>
      </c>
      <c r="B610" s="5" t="s">
        <v>1867</v>
      </c>
      <c r="C610" s="5" t="s">
        <v>70</v>
      </c>
      <c r="D610" s="6">
        <v>15.0</v>
      </c>
      <c r="E610" s="6">
        <v>20791.0</v>
      </c>
      <c r="F610" s="6">
        <v>28320.0</v>
      </c>
      <c r="G610" s="6">
        <v>75673.0</v>
      </c>
      <c r="H610" s="6">
        <v>0.2747</v>
      </c>
      <c r="I610" s="6">
        <v>0.3742</v>
      </c>
      <c r="J610" s="6">
        <v>-0.0995</v>
      </c>
    </row>
    <row r="611">
      <c r="A611" s="5" t="s">
        <v>56</v>
      </c>
      <c r="B611" s="5" t="s">
        <v>1867</v>
      </c>
      <c r="C611" s="5" t="s">
        <v>70</v>
      </c>
      <c r="D611" s="6">
        <v>16.0</v>
      </c>
      <c r="E611" s="6">
        <v>21104.0</v>
      </c>
      <c r="F611" s="6">
        <v>26360.0</v>
      </c>
      <c r="G611" s="6">
        <v>75673.0</v>
      </c>
      <c r="H611" s="6">
        <v>0.2789</v>
      </c>
      <c r="I611" s="6">
        <v>0.3483</v>
      </c>
      <c r="J611" s="6">
        <v>-0.0695</v>
      </c>
    </row>
    <row r="612">
      <c r="A612" s="5" t="s">
        <v>56</v>
      </c>
      <c r="B612" s="5" t="s">
        <v>1867</v>
      </c>
      <c r="C612" s="5" t="s">
        <v>70</v>
      </c>
      <c r="D612" s="6">
        <v>17.0</v>
      </c>
      <c r="E612" s="6">
        <v>39736.0</v>
      </c>
      <c r="F612" s="6">
        <v>36278.0</v>
      </c>
      <c r="G612" s="6">
        <v>75673.0</v>
      </c>
      <c r="H612" s="6">
        <v>0.5251</v>
      </c>
      <c r="I612" s="6">
        <v>0.4794</v>
      </c>
      <c r="J612" s="6">
        <v>0.0457</v>
      </c>
    </row>
    <row r="613">
      <c r="A613" s="5" t="s">
        <v>56</v>
      </c>
      <c r="B613" s="5" t="s">
        <v>1867</v>
      </c>
      <c r="C613" s="5" t="s">
        <v>70</v>
      </c>
      <c r="D613" s="6">
        <v>18.0</v>
      </c>
      <c r="E613" s="6">
        <v>25493.0</v>
      </c>
      <c r="F613" s="6">
        <v>30955.0</v>
      </c>
      <c r="G613" s="6">
        <v>75673.0</v>
      </c>
      <c r="H613" s="6">
        <v>0.3369</v>
      </c>
      <c r="I613" s="6">
        <v>0.4091</v>
      </c>
      <c r="J613" s="6">
        <v>-0.0722</v>
      </c>
    </row>
    <row r="614">
      <c r="A614" s="5" t="s">
        <v>56</v>
      </c>
      <c r="B614" s="5" t="s">
        <v>1867</v>
      </c>
      <c r="C614" s="5" t="s">
        <v>70</v>
      </c>
      <c r="D614" s="6">
        <v>19.0</v>
      </c>
      <c r="E614" s="6">
        <v>22081.0</v>
      </c>
      <c r="F614" s="6">
        <v>29254.0</v>
      </c>
      <c r="G614" s="6">
        <v>75673.0</v>
      </c>
      <c r="H614" s="6">
        <v>0.2918</v>
      </c>
      <c r="I614" s="6">
        <v>0.3866</v>
      </c>
      <c r="J614" s="6">
        <v>-0.0948</v>
      </c>
    </row>
    <row r="615">
      <c r="A615" s="5" t="s">
        <v>56</v>
      </c>
      <c r="B615" s="5" t="s">
        <v>1867</v>
      </c>
      <c r="C615" s="5" t="s">
        <v>70</v>
      </c>
      <c r="D615" s="6">
        <v>20.0</v>
      </c>
      <c r="E615" s="6">
        <v>31126.0</v>
      </c>
      <c r="F615" s="6">
        <v>32474.0</v>
      </c>
      <c r="G615" s="6">
        <v>75673.0</v>
      </c>
      <c r="H615" s="6">
        <v>0.4113</v>
      </c>
      <c r="I615" s="6">
        <v>0.4291</v>
      </c>
      <c r="J615" s="6">
        <v>-0.0178</v>
      </c>
    </row>
    <row r="616">
      <c r="A616" s="5" t="s">
        <v>56</v>
      </c>
      <c r="B616" s="5" t="s">
        <v>1867</v>
      </c>
      <c r="C616" s="5" t="s">
        <v>70</v>
      </c>
      <c r="D616" s="6">
        <v>21.0</v>
      </c>
      <c r="E616" s="6">
        <v>59662.0</v>
      </c>
      <c r="F616" s="6">
        <v>40378.0</v>
      </c>
      <c r="G616" s="6">
        <v>75673.0</v>
      </c>
      <c r="H616" s="6">
        <v>0.7884</v>
      </c>
      <c r="I616" s="6">
        <v>0.5336</v>
      </c>
      <c r="J616" s="6">
        <v>0.2548</v>
      </c>
    </row>
    <row r="617">
      <c r="A617" s="5" t="s">
        <v>56</v>
      </c>
      <c r="B617" s="5" t="s">
        <v>1867</v>
      </c>
      <c r="C617" s="5" t="s">
        <v>70</v>
      </c>
      <c r="D617" s="6">
        <v>22.0</v>
      </c>
      <c r="E617" s="6">
        <v>38189.0</v>
      </c>
      <c r="F617" s="6">
        <v>39618.0</v>
      </c>
      <c r="G617" s="6">
        <v>75673.0</v>
      </c>
      <c r="H617" s="6">
        <v>0.5047</v>
      </c>
      <c r="I617" s="6">
        <v>0.5235</v>
      </c>
      <c r="J617" s="6">
        <v>-0.0189</v>
      </c>
    </row>
    <row r="618">
      <c r="A618" s="5" t="s">
        <v>56</v>
      </c>
      <c r="B618" s="5" t="s">
        <v>1867</v>
      </c>
      <c r="C618" s="5" t="s">
        <v>70</v>
      </c>
      <c r="D618" s="6">
        <v>23.0</v>
      </c>
      <c r="E618" s="6">
        <v>25943.0</v>
      </c>
      <c r="F618" s="6">
        <v>33124.0</v>
      </c>
      <c r="G618" s="6">
        <v>75673.0</v>
      </c>
      <c r="H618" s="6">
        <v>0.3428</v>
      </c>
      <c r="I618" s="6">
        <v>0.4377</v>
      </c>
      <c r="J618" s="6">
        <v>-0.0949</v>
      </c>
    </row>
    <row r="619">
      <c r="A619" s="5" t="s">
        <v>56</v>
      </c>
      <c r="B619" s="5" t="s">
        <v>1867</v>
      </c>
      <c r="C619" s="5" t="s">
        <v>70</v>
      </c>
      <c r="D619" s="6">
        <v>24.0</v>
      </c>
      <c r="E619" s="6">
        <v>48534.0</v>
      </c>
      <c r="F619" s="6">
        <v>42424.0</v>
      </c>
      <c r="G619" s="6">
        <v>75673.0</v>
      </c>
      <c r="H619" s="6">
        <v>0.6414</v>
      </c>
      <c r="I619" s="6">
        <v>0.5606</v>
      </c>
      <c r="J619" s="6">
        <v>0.0807</v>
      </c>
    </row>
    <row r="620">
      <c r="A620" s="5" t="s">
        <v>56</v>
      </c>
      <c r="B620" s="5" t="s">
        <v>1867</v>
      </c>
      <c r="C620" s="5" t="s">
        <v>70</v>
      </c>
      <c r="D620" s="6">
        <v>25.0</v>
      </c>
      <c r="E620" s="6">
        <v>29794.0</v>
      </c>
      <c r="F620" s="6">
        <v>35804.0</v>
      </c>
      <c r="G620" s="6">
        <v>75673.0</v>
      </c>
      <c r="H620" s="6">
        <v>0.3937</v>
      </c>
      <c r="I620" s="6">
        <v>0.4731</v>
      </c>
      <c r="J620" s="6">
        <v>-0.0794</v>
      </c>
    </row>
    <row r="621">
      <c r="A621" s="5" t="s">
        <v>56</v>
      </c>
      <c r="B621" s="5" t="s">
        <v>1867</v>
      </c>
      <c r="C621" s="5" t="s">
        <v>70</v>
      </c>
      <c r="D621" s="6">
        <v>26.0</v>
      </c>
      <c r="E621" s="6">
        <v>25050.0</v>
      </c>
      <c r="F621" s="6">
        <v>33281.0</v>
      </c>
      <c r="G621" s="6">
        <v>75673.0</v>
      </c>
      <c r="H621" s="6">
        <v>0.331</v>
      </c>
      <c r="I621" s="6">
        <v>0.4398</v>
      </c>
      <c r="J621" s="6">
        <v>-0.1088</v>
      </c>
    </row>
    <row r="622">
      <c r="A622" s="5" t="s">
        <v>56</v>
      </c>
      <c r="B622" s="5" t="s">
        <v>1867</v>
      </c>
      <c r="C622" s="5" t="s">
        <v>70</v>
      </c>
      <c r="D622" s="6">
        <v>27.0</v>
      </c>
      <c r="E622" s="6">
        <v>29258.0</v>
      </c>
      <c r="F622" s="6">
        <v>33044.0</v>
      </c>
      <c r="G622" s="6">
        <v>75673.0</v>
      </c>
      <c r="H622" s="6">
        <v>0.3866</v>
      </c>
      <c r="I622" s="6">
        <v>0.4367</v>
      </c>
      <c r="J622" s="6">
        <v>-0.05</v>
      </c>
    </row>
    <row r="623">
      <c r="A623" s="5" t="s">
        <v>56</v>
      </c>
      <c r="B623" s="5" t="s">
        <v>1867</v>
      </c>
      <c r="C623" s="5" t="s">
        <v>70</v>
      </c>
      <c r="D623" s="6">
        <v>28.0</v>
      </c>
      <c r="E623" s="6">
        <v>20087.0</v>
      </c>
      <c r="F623" s="6">
        <v>27014.0</v>
      </c>
      <c r="G623" s="6">
        <v>75673.0</v>
      </c>
      <c r="H623" s="6">
        <v>0.2654</v>
      </c>
      <c r="I623" s="6">
        <v>0.357</v>
      </c>
      <c r="J623" s="6">
        <v>-0.0915</v>
      </c>
    </row>
    <row r="624">
      <c r="A624" s="5" t="s">
        <v>56</v>
      </c>
      <c r="B624" s="5" t="s">
        <v>1867</v>
      </c>
      <c r="C624" s="5" t="s">
        <v>70</v>
      </c>
      <c r="D624" s="6">
        <v>29.0</v>
      </c>
      <c r="E624" s="6">
        <v>18285.0</v>
      </c>
      <c r="F624" s="6">
        <v>25869.0</v>
      </c>
      <c r="G624" s="6">
        <v>75673.0</v>
      </c>
      <c r="H624" s="6">
        <v>0.2416</v>
      </c>
      <c r="I624" s="6">
        <v>0.3419</v>
      </c>
      <c r="J624" s="6">
        <v>-0.1002</v>
      </c>
    </row>
    <row r="625">
      <c r="A625" s="5" t="s">
        <v>56</v>
      </c>
      <c r="B625" s="5" t="s">
        <v>1867</v>
      </c>
      <c r="C625" s="5" t="s">
        <v>70</v>
      </c>
      <c r="D625" s="6">
        <v>30.0</v>
      </c>
      <c r="E625" s="6">
        <v>17532.0</v>
      </c>
      <c r="F625" s="6">
        <v>23421.0</v>
      </c>
      <c r="G625" s="6">
        <v>75673.0</v>
      </c>
      <c r="H625" s="6">
        <v>0.2317</v>
      </c>
      <c r="I625" s="6">
        <v>0.3095</v>
      </c>
      <c r="J625" s="6">
        <v>-0.0778</v>
      </c>
    </row>
    <row r="626">
      <c r="A626" s="5" t="s">
        <v>56</v>
      </c>
      <c r="B626" s="5" t="s">
        <v>1867</v>
      </c>
      <c r="C626" s="5" t="s">
        <v>70</v>
      </c>
      <c r="D626" s="6">
        <v>31.0</v>
      </c>
      <c r="E626" s="6">
        <v>34825.0</v>
      </c>
      <c r="F626" s="6">
        <v>33112.0</v>
      </c>
      <c r="G626" s="6">
        <v>75673.0</v>
      </c>
      <c r="H626" s="6">
        <v>0.4602</v>
      </c>
      <c r="I626" s="6">
        <v>0.4376</v>
      </c>
      <c r="J626" s="6">
        <v>0.0226</v>
      </c>
    </row>
    <row r="627">
      <c r="A627" s="5" t="s">
        <v>56</v>
      </c>
      <c r="B627" s="5" t="s">
        <v>1867</v>
      </c>
      <c r="C627" s="5" t="s">
        <v>70</v>
      </c>
      <c r="D627" s="6">
        <v>32.0</v>
      </c>
      <c r="E627" s="6">
        <v>23610.0</v>
      </c>
      <c r="F627" s="6">
        <v>28619.0</v>
      </c>
      <c r="G627" s="6">
        <v>75673.0</v>
      </c>
      <c r="H627" s="6">
        <v>0.312</v>
      </c>
      <c r="I627" s="6">
        <v>0.3782</v>
      </c>
      <c r="J627" s="6">
        <v>-0.0662</v>
      </c>
    </row>
    <row r="628">
      <c r="A628" s="5" t="s">
        <v>56</v>
      </c>
      <c r="B628" s="5" t="s">
        <v>1867</v>
      </c>
      <c r="C628" s="5" t="s">
        <v>70</v>
      </c>
      <c r="D628" s="6">
        <v>33.0</v>
      </c>
      <c r="E628" s="6">
        <v>21655.0</v>
      </c>
      <c r="F628" s="6">
        <v>28416.0</v>
      </c>
      <c r="G628" s="6">
        <v>75673.0</v>
      </c>
      <c r="H628" s="6">
        <v>0.2862</v>
      </c>
      <c r="I628" s="6">
        <v>0.3755</v>
      </c>
      <c r="J628" s="6">
        <v>-0.0893</v>
      </c>
    </row>
    <row r="629">
      <c r="A629" s="5" t="s">
        <v>56</v>
      </c>
      <c r="B629" s="5" t="s">
        <v>1867</v>
      </c>
      <c r="C629" s="5" t="s">
        <v>71</v>
      </c>
      <c r="D629" s="6">
        <v>1.0</v>
      </c>
      <c r="E629" s="6">
        <v>10525.0</v>
      </c>
      <c r="F629" s="6">
        <v>15876.0</v>
      </c>
      <c r="G629" s="6">
        <v>69157.0</v>
      </c>
      <c r="H629" s="6">
        <v>0.1522</v>
      </c>
      <c r="I629" s="6">
        <v>0.2296</v>
      </c>
      <c r="J629" s="6">
        <v>-0.0774</v>
      </c>
    </row>
    <row r="630">
      <c r="A630" s="5" t="s">
        <v>56</v>
      </c>
      <c r="B630" s="5" t="s">
        <v>1867</v>
      </c>
      <c r="C630" s="5" t="s">
        <v>71</v>
      </c>
      <c r="D630" s="6">
        <v>2.0</v>
      </c>
      <c r="E630" s="6">
        <v>10194.0</v>
      </c>
      <c r="F630" s="6">
        <v>14975.0</v>
      </c>
      <c r="G630" s="6">
        <v>69157.0</v>
      </c>
      <c r="H630" s="6">
        <v>0.1474</v>
      </c>
      <c r="I630" s="6">
        <v>0.2165</v>
      </c>
      <c r="J630" s="6">
        <v>-0.0691</v>
      </c>
    </row>
    <row r="631">
      <c r="A631" s="5" t="s">
        <v>56</v>
      </c>
      <c r="B631" s="5" t="s">
        <v>1867</v>
      </c>
      <c r="C631" s="5" t="s">
        <v>71</v>
      </c>
      <c r="D631" s="6">
        <v>3.0</v>
      </c>
      <c r="E631" s="6">
        <v>26083.0</v>
      </c>
      <c r="F631" s="6">
        <v>23523.0</v>
      </c>
      <c r="G631" s="6">
        <v>69157.0</v>
      </c>
      <c r="H631" s="6">
        <v>0.3772</v>
      </c>
      <c r="I631" s="6">
        <v>0.3401</v>
      </c>
      <c r="J631" s="6">
        <v>0.037</v>
      </c>
    </row>
    <row r="632">
      <c r="A632" s="5" t="s">
        <v>56</v>
      </c>
      <c r="B632" s="5" t="s">
        <v>1867</v>
      </c>
      <c r="C632" s="5" t="s">
        <v>71</v>
      </c>
      <c r="D632" s="6">
        <v>4.0</v>
      </c>
      <c r="E632" s="6">
        <v>16321.0</v>
      </c>
      <c r="F632" s="6">
        <v>19736.0</v>
      </c>
      <c r="G632" s="6">
        <v>69157.0</v>
      </c>
      <c r="H632" s="6">
        <v>0.236</v>
      </c>
      <c r="I632" s="6">
        <v>0.2854</v>
      </c>
      <c r="J632" s="6">
        <v>-0.0494</v>
      </c>
    </row>
    <row r="633">
      <c r="A633" s="5" t="s">
        <v>56</v>
      </c>
      <c r="B633" s="5" t="s">
        <v>1867</v>
      </c>
      <c r="C633" s="5" t="s">
        <v>71</v>
      </c>
      <c r="D633" s="6">
        <v>5.0</v>
      </c>
      <c r="E633" s="6">
        <v>13791.0</v>
      </c>
      <c r="F633" s="6">
        <v>18856.0</v>
      </c>
      <c r="G633" s="6">
        <v>69157.0</v>
      </c>
      <c r="H633" s="6">
        <v>0.1994</v>
      </c>
      <c r="I633" s="6">
        <v>0.2727</v>
      </c>
      <c r="J633" s="6">
        <v>-0.0732</v>
      </c>
    </row>
    <row r="634">
      <c r="A634" s="5" t="s">
        <v>56</v>
      </c>
      <c r="B634" s="5" t="s">
        <v>1867</v>
      </c>
      <c r="C634" s="5" t="s">
        <v>71</v>
      </c>
      <c r="D634" s="6">
        <v>6.0</v>
      </c>
      <c r="E634" s="6">
        <v>20652.0</v>
      </c>
      <c r="F634" s="6">
        <v>20833.0</v>
      </c>
      <c r="G634" s="6">
        <v>69157.0</v>
      </c>
      <c r="H634" s="6">
        <v>0.2986</v>
      </c>
      <c r="I634" s="6">
        <v>0.3012</v>
      </c>
      <c r="J634" s="6">
        <v>-0.0026</v>
      </c>
    </row>
    <row r="635">
      <c r="A635" s="5" t="s">
        <v>56</v>
      </c>
      <c r="B635" s="5" t="s">
        <v>1867</v>
      </c>
      <c r="C635" s="5" t="s">
        <v>71</v>
      </c>
      <c r="D635" s="6">
        <v>7.0</v>
      </c>
      <c r="E635" s="6">
        <v>12827.0</v>
      </c>
      <c r="F635" s="6">
        <v>17499.0</v>
      </c>
      <c r="G635" s="6">
        <v>69157.0</v>
      </c>
      <c r="H635" s="6">
        <v>0.1855</v>
      </c>
      <c r="I635" s="6">
        <v>0.253</v>
      </c>
      <c r="J635" s="6">
        <v>-0.0676</v>
      </c>
    </row>
    <row r="636">
      <c r="A636" s="5" t="s">
        <v>56</v>
      </c>
      <c r="B636" s="5" t="s">
        <v>1867</v>
      </c>
      <c r="C636" s="5" t="s">
        <v>71</v>
      </c>
      <c r="D636" s="6">
        <v>8.0</v>
      </c>
      <c r="E636" s="6">
        <v>10446.0</v>
      </c>
      <c r="F636" s="6">
        <v>15875.0</v>
      </c>
      <c r="G636" s="6">
        <v>69157.0</v>
      </c>
      <c r="H636" s="6">
        <v>0.151</v>
      </c>
      <c r="I636" s="6">
        <v>0.2296</v>
      </c>
      <c r="J636" s="6">
        <v>-0.0785</v>
      </c>
    </row>
    <row r="637">
      <c r="A637" s="5" t="s">
        <v>56</v>
      </c>
      <c r="B637" s="5" t="s">
        <v>1867</v>
      </c>
      <c r="C637" s="5" t="s">
        <v>71</v>
      </c>
      <c r="D637" s="6">
        <v>9.0</v>
      </c>
      <c r="E637" s="6">
        <v>9272.0</v>
      </c>
      <c r="F637" s="6">
        <v>13995.0</v>
      </c>
      <c r="G637" s="6">
        <v>69157.0</v>
      </c>
      <c r="H637" s="6">
        <v>0.1341</v>
      </c>
      <c r="I637" s="6">
        <v>0.2024</v>
      </c>
      <c r="J637" s="6">
        <v>-0.0683</v>
      </c>
    </row>
    <row r="638">
      <c r="A638" s="5" t="s">
        <v>56</v>
      </c>
      <c r="B638" s="5" t="s">
        <v>1867</v>
      </c>
      <c r="C638" s="5" t="s">
        <v>71</v>
      </c>
      <c r="D638" s="6">
        <v>10.0</v>
      </c>
      <c r="E638" s="6">
        <v>26932.0</v>
      </c>
      <c r="F638" s="6">
        <v>23363.0</v>
      </c>
      <c r="G638" s="6">
        <v>69157.0</v>
      </c>
      <c r="H638" s="6">
        <v>0.3894</v>
      </c>
      <c r="I638" s="6">
        <v>0.3378</v>
      </c>
      <c r="J638" s="6">
        <v>0.0516</v>
      </c>
    </row>
    <row r="639">
      <c r="A639" s="5" t="s">
        <v>56</v>
      </c>
      <c r="B639" s="5" t="s">
        <v>1867</v>
      </c>
      <c r="C639" s="5" t="s">
        <v>71</v>
      </c>
      <c r="D639" s="6">
        <v>11.0</v>
      </c>
      <c r="E639" s="6">
        <v>16304.0</v>
      </c>
      <c r="F639" s="6">
        <v>19497.0</v>
      </c>
      <c r="G639" s="6">
        <v>69157.0</v>
      </c>
      <c r="H639" s="6">
        <v>0.2358</v>
      </c>
      <c r="I639" s="6">
        <v>0.2819</v>
      </c>
      <c r="J639" s="6">
        <v>-0.0462</v>
      </c>
    </row>
    <row r="640">
      <c r="A640" s="5" t="s">
        <v>56</v>
      </c>
      <c r="B640" s="5" t="s">
        <v>1867</v>
      </c>
      <c r="C640" s="5" t="s">
        <v>71</v>
      </c>
      <c r="D640" s="6">
        <v>12.0</v>
      </c>
      <c r="E640" s="6">
        <v>13376.0</v>
      </c>
      <c r="F640" s="6">
        <v>18170.0</v>
      </c>
      <c r="G640" s="6">
        <v>69157.0</v>
      </c>
      <c r="H640" s="6">
        <v>0.1934</v>
      </c>
      <c r="I640" s="6">
        <v>0.2627</v>
      </c>
      <c r="J640" s="6">
        <v>-0.0693</v>
      </c>
    </row>
    <row r="641">
      <c r="A641" s="5" t="s">
        <v>56</v>
      </c>
      <c r="B641" s="5" t="s">
        <v>1867</v>
      </c>
      <c r="C641" s="5" t="s">
        <v>71</v>
      </c>
      <c r="D641" s="6">
        <v>13.0</v>
      </c>
      <c r="E641" s="6">
        <v>20871.0</v>
      </c>
      <c r="F641" s="6">
        <v>20714.0</v>
      </c>
      <c r="G641" s="6">
        <v>69157.0</v>
      </c>
      <c r="H641" s="6">
        <v>0.3018</v>
      </c>
      <c r="I641" s="6">
        <v>0.2995</v>
      </c>
      <c r="J641" s="6">
        <v>0.0023</v>
      </c>
    </row>
    <row r="642">
      <c r="A642" s="5" t="s">
        <v>56</v>
      </c>
      <c r="B642" s="5" t="s">
        <v>1867</v>
      </c>
      <c r="C642" s="5" t="s">
        <v>71</v>
      </c>
      <c r="D642" s="6">
        <v>14.0</v>
      </c>
      <c r="E642" s="6">
        <v>12397.0</v>
      </c>
      <c r="F642" s="6">
        <v>16895.0</v>
      </c>
      <c r="G642" s="6">
        <v>69157.0</v>
      </c>
      <c r="H642" s="6">
        <v>0.1793</v>
      </c>
      <c r="I642" s="6">
        <v>0.2443</v>
      </c>
      <c r="J642" s="6">
        <v>-0.065</v>
      </c>
    </row>
    <row r="643">
      <c r="A643" s="5" t="s">
        <v>56</v>
      </c>
      <c r="B643" s="5" t="s">
        <v>1867</v>
      </c>
      <c r="C643" s="5" t="s">
        <v>71</v>
      </c>
      <c r="D643" s="6">
        <v>15.0</v>
      </c>
      <c r="E643" s="6">
        <v>10034.0</v>
      </c>
      <c r="F643" s="6">
        <v>15230.0</v>
      </c>
      <c r="G643" s="6">
        <v>69157.0</v>
      </c>
      <c r="H643" s="6">
        <v>0.1451</v>
      </c>
      <c r="I643" s="6">
        <v>0.2202</v>
      </c>
      <c r="J643" s="6">
        <v>-0.0751</v>
      </c>
    </row>
    <row r="644">
      <c r="A644" s="5" t="s">
        <v>56</v>
      </c>
      <c r="B644" s="5" t="s">
        <v>1867</v>
      </c>
      <c r="C644" s="5" t="s">
        <v>71</v>
      </c>
      <c r="D644" s="6">
        <v>16.0</v>
      </c>
      <c r="E644" s="6">
        <v>10213.0</v>
      </c>
      <c r="F644" s="6">
        <v>13964.0</v>
      </c>
      <c r="G644" s="6">
        <v>69157.0</v>
      </c>
      <c r="H644" s="6">
        <v>0.1477</v>
      </c>
      <c r="I644" s="6">
        <v>0.2019</v>
      </c>
      <c r="J644" s="6">
        <v>-0.0542</v>
      </c>
    </row>
    <row r="645">
      <c r="A645" s="5" t="s">
        <v>56</v>
      </c>
      <c r="B645" s="5" t="s">
        <v>1867</v>
      </c>
      <c r="C645" s="5" t="s">
        <v>71</v>
      </c>
      <c r="D645" s="6">
        <v>17.0</v>
      </c>
      <c r="E645" s="6">
        <v>26555.0</v>
      </c>
      <c r="F645" s="6">
        <v>23114.0</v>
      </c>
      <c r="G645" s="6">
        <v>69157.0</v>
      </c>
      <c r="H645" s="6">
        <v>0.384</v>
      </c>
      <c r="I645" s="6">
        <v>0.3342</v>
      </c>
      <c r="J645" s="6">
        <v>0.0498</v>
      </c>
    </row>
    <row r="646">
      <c r="A646" s="5" t="s">
        <v>56</v>
      </c>
      <c r="B646" s="5" t="s">
        <v>1867</v>
      </c>
      <c r="C646" s="5" t="s">
        <v>71</v>
      </c>
      <c r="D646" s="6">
        <v>18.0</v>
      </c>
      <c r="E646" s="6">
        <v>16007.0</v>
      </c>
      <c r="F646" s="6">
        <v>19378.0</v>
      </c>
      <c r="G646" s="6">
        <v>69157.0</v>
      </c>
      <c r="H646" s="6">
        <v>0.2315</v>
      </c>
      <c r="I646" s="6">
        <v>0.2802</v>
      </c>
      <c r="J646" s="6">
        <v>-0.0487</v>
      </c>
    </row>
    <row r="647">
      <c r="A647" s="5" t="s">
        <v>56</v>
      </c>
      <c r="B647" s="5" t="s">
        <v>1867</v>
      </c>
      <c r="C647" s="5" t="s">
        <v>71</v>
      </c>
      <c r="D647" s="6">
        <v>19.0</v>
      </c>
      <c r="E647" s="6">
        <v>13134.0</v>
      </c>
      <c r="F647" s="6">
        <v>18003.0</v>
      </c>
      <c r="G647" s="6">
        <v>69157.0</v>
      </c>
      <c r="H647" s="6">
        <v>0.1899</v>
      </c>
      <c r="I647" s="6">
        <v>0.2603</v>
      </c>
      <c r="J647" s="6">
        <v>-0.0704</v>
      </c>
    </row>
    <row r="648">
      <c r="A648" s="5" t="s">
        <v>56</v>
      </c>
      <c r="B648" s="5" t="s">
        <v>1867</v>
      </c>
      <c r="C648" s="5" t="s">
        <v>71</v>
      </c>
      <c r="D648" s="6">
        <v>20.0</v>
      </c>
      <c r="E648" s="6">
        <v>19982.0</v>
      </c>
      <c r="F648" s="6">
        <v>20179.0</v>
      </c>
      <c r="G648" s="6">
        <v>69157.0</v>
      </c>
      <c r="H648" s="6">
        <v>0.2889</v>
      </c>
      <c r="I648" s="6">
        <v>0.2918</v>
      </c>
      <c r="J648" s="6">
        <v>-0.0028</v>
      </c>
    </row>
    <row r="649">
      <c r="A649" s="5" t="s">
        <v>56</v>
      </c>
      <c r="B649" s="5" t="s">
        <v>1867</v>
      </c>
      <c r="C649" s="5" t="s">
        <v>71</v>
      </c>
      <c r="D649" s="6">
        <v>21.0</v>
      </c>
      <c r="E649" s="6">
        <v>18234.0</v>
      </c>
      <c r="F649" s="6">
        <v>18249.0</v>
      </c>
      <c r="G649" s="6">
        <v>69157.0</v>
      </c>
      <c r="H649" s="6">
        <v>0.2637</v>
      </c>
      <c r="I649" s="6">
        <v>0.2639</v>
      </c>
      <c r="J649" s="6">
        <v>-2.0E-4</v>
      </c>
    </row>
    <row r="650">
      <c r="A650" s="5" t="s">
        <v>56</v>
      </c>
      <c r="B650" s="5" t="s">
        <v>1867</v>
      </c>
      <c r="C650" s="5" t="s">
        <v>71</v>
      </c>
      <c r="D650" s="6">
        <v>22.0</v>
      </c>
      <c r="E650" s="6">
        <v>11103.0</v>
      </c>
      <c r="F650" s="6">
        <v>15388.0</v>
      </c>
      <c r="G650" s="6">
        <v>69157.0</v>
      </c>
      <c r="H650" s="6">
        <v>0.1605</v>
      </c>
      <c r="I650" s="6">
        <v>0.2225</v>
      </c>
      <c r="J650" s="6">
        <v>-0.062</v>
      </c>
    </row>
    <row r="651">
      <c r="A651" s="5" t="s">
        <v>56</v>
      </c>
      <c r="B651" s="5" t="s">
        <v>1867</v>
      </c>
      <c r="C651" s="5" t="s">
        <v>71</v>
      </c>
      <c r="D651" s="6">
        <v>23.0</v>
      </c>
      <c r="E651" s="6">
        <v>8032.0</v>
      </c>
      <c r="F651" s="6">
        <v>12894.0</v>
      </c>
      <c r="G651" s="6">
        <v>69157.0</v>
      </c>
      <c r="H651" s="6">
        <v>0.1161</v>
      </c>
      <c r="I651" s="6">
        <v>0.1864</v>
      </c>
      <c r="J651" s="6">
        <v>-0.0703</v>
      </c>
    </row>
    <row r="652">
      <c r="A652" s="5" t="s">
        <v>56</v>
      </c>
      <c r="B652" s="5" t="s">
        <v>1867</v>
      </c>
      <c r="C652" s="5" t="s">
        <v>71</v>
      </c>
      <c r="D652" s="6">
        <v>24.0</v>
      </c>
      <c r="E652" s="6">
        <v>23276.0</v>
      </c>
      <c r="F652" s="6">
        <v>20803.0</v>
      </c>
      <c r="G652" s="6">
        <v>69157.0</v>
      </c>
      <c r="H652" s="6">
        <v>0.3366</v>
      </c>
      <c r="I652" s="6">
        <v>0.3008</v>
      </c>
      <c r="J652" s="6">
        <v>0.0358</v>
      </c>
    </row>
    <row r="653">
      <c r="A653" s="5" t="s">
        <v>56</v>
      </c>
      <c r="B653" s="5" t="s">
        <v>1867</v>
      </c>
      <c r="C653" s="5" t="s">
        <v>71</v>
      </c>
      <c r="D653" s="6">
        <v>25.0</v>
      </c>
      <c r="E653" s="6">
        <v>13941.0</v>
      </c>
      <c r="F653" s="6">
        <v>17515.0</v>
      </c>
      <c r="G653" s="6">
        <v>69157.0</v>
      </c>
      <c r="H653" s="6">
        <v>0.2016</v>
      </c>
      <c r="I653" s="6">
        <v>0.2533</v>
      </c>
      <c r="J653" s="6">
        <v>-0.0517</v>
      </c>
    </row>
    <row r="654">
      <c r="A654" s="5" t="s">
        <v>56</v>
      </c>
      <c r="B654" s="5" t="s">
        <v>1867</v>
      </c>
      <c r="C654" s="5" t="s">
        <v>71</v>
      </c>
      <c r="D654" s="6">
        <v>26.0</v>
      </c>
      <c r="E654" s="6">
        <v>11316.0</v>
      </c>
      <c r="F654" s="6">
        <v>16026.0</v>
      </c>
      <c r="G654" s="6">
        <v>69157.0</v>
      </c>
      <c r="H654" s="6">
        <v>0.1636</v>
      </c>
      <c r="I654" s="6">
        <v>0.2317</v>
      </c>
      <c r="J654" s="6">
        <v>-0.0681</v>
      </c>
    </row>
    <row r="655">
      <c r="A655" s="5" t="s">
        <v>56</v>
      </c>
      <c r="B655" s="5" t="s">
        <v>1867</v>
      </c>
      <c r="C655" s="5" t="s">
        <v>71</v>
      </c>
      <c r="D655" s="6">
        <v>27.0</v>
      </c>
      <c r="E655" s="6">
        <v>19064.0</v>
      </c>
      <c r="F655" s="6">
        <v>19211.0</v>
      </c>
      <c r="G655" s="6">
        <v>69157.0</v>
      </c>
      <c r="H655" s="6">
        <v>0.2757</v>
      </c>
      <c r="I655" s="6">
        <v>0.2778</v>
      </c>
      <c r="J655" s="6">
        <v>-0.0021</v>
      </c>
    </row>
    <row r="656">
      <c r="A656" s="5" t="s">
        <v>56</v>
      </c>
      <c r="B656" s="5" t="s">
        <v>1867</v>
      </c>
      <c r="C656" s="5" t="s">
        <v>71</v>
      </c>
      <c r="D656" s="6">
        <v>28.0</v>
      </c>
      <c r="E656" s="6">
        <v>10194.0</v>
      </c>
      <c r="F656" s="6">
        <v>14736.0</v>
      </c>
      <c r="G656" s="6">
        <v>69157.0</v>
      </c>
      <c r="H656" s="6">
        <v>0.1474</v>
      </c>
      <c r="I656" s="6">
        <v>0.2131</v>
      </c>
      <c r="J656" s="6">
        <v>-0.0657</v>
      </c>
    </row>
    <row r="657">
      <c r="A657" s="5" t="s">
        <v>56</v>
      </c>
      <c r="B657" s="5" t="s">
        <v>1867</v>
      </c>
      <c r="C657" s="5" t="s">
        <v>71</v>
      </c>
      <c r="D657" s="6">
        <v>29.0</v>
      </c>
      <c r="E657" s="6">
        <v>8696.0</v>
      </c>
      <c r="F657" s="6">
        <v>13796.0</v>
      </c>
      <c r="G657" s="6">
        <v>69157.0</v>
      </c>
      <c r="H657" s="6">
        <v>0.1257</v>
      </c>
      <c r="I657" s="6">
        <v>0.1995</v>
      </c>
      <c r="J657" s="6">
        <v>-0.0737</v>
      </c>
    </row>
    <row r="658">
      <c r="A658" s="5" t="s">
        <v>56</v>
      </c>
      <c r="B658" s="5" t="s">
        <v>1867</v>
      </c>
      <c r="C658" s="5" t="s">
        <v>71</v>
      </c>
      <c r="D658" s="6">
        <v>30.0</v>
      </c>
      <c r="E658" s="6">
        <v>8396.0</v>
      </c>
      <c r="F658" s="6">
        <v>12318.0</v>
      </c>
      <c r="G658" s="6">
        <v>69157.0</v>
      </c>
      <c r="H658" s="6">
        <v>0.1214</v>
      </c>
      <c r="I658" s="6">
        <v>0.1781</v>
      </c>
      <c r="J658" s="6">
        <v>-0.0567</v>
      </c>
    </row>
    <row r="659">
      <c r="A659" s="5" t="s">
        <v>56</v>
      </c>
      <c r="B659" s="5" t="s">
        <v>1867</v>
      </c>
      <c r="C659" s="5" t="s">
        <v>71</v>
      </c>
      <c r="D659" s="6">
        <v>31.0</v>
      </c>
      <c r="E659" s="6">
        <v>25120.0</v>
      </c>
      <c r="F659" s="6">
        <v>21490.0</v>
      </c>
      <c r="G659" s="6">
        <v>69157.0</v>
      </c>
      <c r="H659" s="6">
        <v>0.3632</v>
      </c>
      <c r="I659" s="6">
        <v>0.3107</v>
      </c>
      <c r="J659" s="6">
        <v>0.0525</v>
      </c>
    </row>
    <row r="660">
      <c r="A660" s="5" t="s">
        <v>56</v>
      </c>
      <c r="B660" s="5" t="s">
        <v>1867</v>
      </c>
      <c r="C660" s="5" t="s">
        <v>71</v>
      </c>
      <c r="D660" s="6">
        <v>32.0</v>
      </c>
      <c r="E660" s="6">
        <v>14814.0</v>
      </c>
      <c r="F660" s="6">
        <v>17956.0</v>
      </c>
      <c r="G660" s="6">
        <v>69157.0</v>
      </c>
      <c r="H660" s="6">
        <v>0.2142</v>
      </c>
      <c r="I660" s="6">
        <v>0.2596</v>
      </c>
      <c r="J660" s="6">
        <v>-0.0454</v>
      </c>
    </row>
    <row r="661">
      <c r="A661" s="5" t="s">
        <v>56</v>
      </c>
      <c r="B661" s="5" t="s">
        <v>1867</v>
      </c>
      <c r="C661" s="5" t="s">
        <v>71</v>
      </c>
      <c r="D661" s="6">
        <v>33.0</v>
      </c>
      <c r="E661" s="6">
        <v>12555.0</v>
      </c>
      <c r="F661" s="6">
        <v>17065.0</v>
      </c>
      <c r="G661" s="6">
        <v>69157.0</v>
      </c>
      <c r="H661" s="6">
        <v>0.1815</v>
      </c>
      <c r="I661" s="6">
        <v>0.2468</v>
      </c>
      <c r="J661" s="6">
        <v>-0.0652</v>
      </c>
    </row>
    <row r="662">
      <c r="A662" s="5" t="s">
        <v>56</v>
      </c>
      <c r="B662" s="5" t="s">
        <v>1867</v>
      </c>
      <c r="C662" s="5" t="s">
        <v>1883</v>
      </c>
      <c r="D662" s="6">
        <v>1.0</v>
      </c>
      <c r="E662" s="6">
        <v>21075.0</v>
      </c>
      <c r="F662" s="6">
        <v>21895.0</v>
      </c>
      <c r="G662" s="6">
        <v>26282.0</v>
      </c>
      <c r="H662" s="6">
        <v>0.8019</v>
      </c>
      <c r="I662" s="6">
        <v>0.8331</v>
      </c>
      <c r="J662" s="6">
        <v>-0.0312</v>
      </c>
    </row>
    <row r="663">
      <c r="A663" s="5" t="s">
        <v>56</v>
      </c>
      <c r="B663" s="5" t="s">
        <v>1867</v>
      </c>
      <c r="C663" s="5" t="s">
        <v>1883</v>
      </c>
      <c r="D663" s="6">
        <v>2.0</v>
      </c>
      <c r="E663" s="6">
        <v>27110.0</v>
      </c>
      <c r="F663" s="6">
        <v>25987.0</v>
      </c>
      <c r="G663" s="6">
        <v>26282.0</v>
      </c>
      <c r="H663" s="6">
        <v>1.0315</v>
      </c>
      <c r="I663" s="6">
        <v>0.9888</v>
      </c>
      <c r="J663" s="6">
        <v>0.0427</v>
      </c>
    </row>
    <row r="664">
      <c r="A664" s="5" t="s">
        <v>56</v>
      </c>
      <c r="B664" s="5" t="s">
        <v>1867</v>
      </c>
      <c r="C664" s="5" t="s">
        <v>1883</v>
      </c>
      <c r="D664" s="6">
        <v>3.0</v>
      </c>
      <c r="E664" s="6">
        <v>31885.0</v>
      </c>
      <c r="F664" s="6">
        <v>25915.0</v>
      </c>
      <c r="G664" s="6">
        <v>26282.0</v>
      </c>
      <c r="H664" s="6">
        <v>1.2132</v>
      </c>
      <c r="I664" s="6">
        <v>0.986</v>
      </c>
      <c r="J664" s="6">
        <v>0.2272</v>
      </c>
    </row>
    <row r="665">
      <c r="A665" s="5" t="s">
        <v>56</v>
      </c>
      <c r="B665" s="5" t="s">
        <v>1867</v>
      </c>
      <c r="C665" s="5" t="s">
        <v>1883</v>
      </c>
      <c r="D665" s="6">
        <v>4.0</v>
      </c>
      <c r="E665" s="6">
        <v>33725.0</v>
      </c>
      <c r="F665" s="6">
        <v>26920.0</v>
      </c>
      <c r="G665" s="6">
        <v>26282.0</v>
      </c>
      <c r="H665" s="6">
        <v>1.2832</v>
      </c>
      <c r="I665" s="6">
        <v>1.0243</v>
      </c>
      <c r="J665" s="6">
        <v>0.2589</v>
      </c>
    </row>
    <row r="666">
      <c r="A666" s="5" t="s">
        <v>56</v>
      </c>
      <c r="B666" s="5" t="s">
        <v>1867</v>
      </c>
      <c r="C666" s="5" t="s">
        <v>1883</v>
      </c>
      <c r="D666" s="6">
        <v>5.0</v>
      </c>
      <c r="E666" s="6">
        <v>30370.0</v>
      </c>
      <c r="F666" s="6">
        <v>25713.0</v>
      </c>
      <c r="G666" s="6">
        <v>26282.0</v>
      </c>
      <c r="H666" s="6">
        <v>1.1555</v>
      </c>
      <c r="I666" s="6">
        <v>0.9784</v>
      </c>
      <c r="J666" s="6">
        <v>0.1772</v>
      </c>
    </row>
    <row r="667">
      <c r="A667" s="5" t="s">
        <v>56</v>
      </c>
      <c r="B667" s="5" t="s">
        <v>1867</v>
      </c>
      <c r="C667" s="5" t="s">
        <v>1883</v>
      </c>
      <c r="D667" s="6">
        <v>6.0</v>
      </c>
      <c r="E667" s="6">
        <v>27065.0</v>
      </c>
      <c r="F667" s="6">
        <v>25272.0</v>
      </c>
      <c r="G667" s="6">
        <v>26282.0</v>
      </c>
      <c r="H667" s="6">
        <v>1.0298</v>
      </c>
      <c r="I667" s="6">
        <v>0.9616</v>
      </c>
      <c r="J667" s="6">
        <v>0.0682</v>
      </c>
    </row>
    <row r="668">
      <c r="A668" s="5" t="s">
        <v>56</v>
      </c>
      <c r="B668" s="5" t="s">
        <v>1867</v>
      </c>
      <c r="C668" s="5" t="s">
        <v>1883</v>
      </c>
      <c r="D668" s="6">
        <v>7.0</v>
      </c>
      <c r="E668" s="6">
        <v>27545.0</v>
      </c>
      <c r="F668" s="6">
        <v>25650.0</v>
      </c>
      <c r="G668" s="6">
        <v>26282.0</v>
      </c>
      <c r="H668" s="6">
        <v>1.0481</v>
      </c>
      <c r="I668" s="6">
        <v>0.976</v>
      </c>
      <c r="J668" s="6">
        <v>0.0721</v>
      </c>
    </row>
    <row r="669">
      <c r="A669" s="5" t="s">
        <v>56</v>
      </c>
      <c r="B669" s="5" t="s">
        <v>1867</v>
      </c>
      <c r="C669" s="5" t="s">
        <v>1883</v>
      </c>
      <c r="D669" s="6">
        <v>8.0</v>
      </c>
      <c r="E669" s="6">
        <v>27185.0</v>
      </c>
      <c r="F669" s="6">
        <v>23171.0</v>
      </c>
      <c r="G669" s="6">
        <v>26282.0</v>
      </c>
      <c r="H669" s="6">
        <v>1.0344</v>
      </c>
      <c r="I669" s="6">
        <v>0.8816</v>
      </c>
      <c r="J669" s="6">
        <v>0.1527</v>
      </c>
    </row>
    <row r="670">
      <c r="A670" s="5" t="s">
        <v>56</v>
      </c>
      <c r="B670" s="5" t="s">
        <v>1867</v>
      </c>
      <c r="C670" s="5" t="s">
        <v>1883</v>
      </c>
      <c r="D670" s="6">
        <v>9.0</v>
      </c>
      <c r="E670" s="6">
        <v>25140.0</v>
      </c>
      <c r="F670" s="6">
        <v>22997.0</v>
      </c>
      <c r="G670" s="6">
        <v>26282.0</v>
      </c>
      <c r="H670" s="6">
        <v>0.9565</v>
      </c>
      <c r="I670" s="6">
        <v>0.875</v>
      </c>
      <c r="J670" s="6">
        <v>0.0815</v>
      </c>
    </row>
    <row r="671">
      <c r="A671" s="5" t="s">
        <v>56</v>
      </c>
      <c r="B671" s="5" t="s">
        <v>1867</v>
      </c>
      <c r="C671" s="5" t="s">
        <v>1883</v>
      </c>
      <c r="D671" s="6">
        <v>10.0</v>
      </c>
      <c r="E671" s="6">
        <v>26200.0</v>
      </c>
      <c r="F671" s="6">
        <v>22739.0</v>
      </c>
      <c r="G671" s="6">
        <v>26282.0</v>
      </c>
      <c r="H671" s="6">
        <v>0.9969</v>
      </c>
      <c r="I671" s="6">
        <v>0.8652</v>
      </c>
      <c r="J671" s="6">
        <v>0.1317</v>
      </c>
    </row>
    <row r="672">
      <c r="A672" s="5" t="s">
        <v>56</v>
      </c>
      <c r="B672" s="5" t="s">
        <v>1867</v>
      </c>
      <c r="C672" s="5" t="s">
        <v>1883</v>
      </c>
      <c r="D672" s="6">
        <v>11.0</v>
      </c>
      <c r="E672" s="6">
        <v>28935.0</v>
      </c>
      <c r="F672" s="6">
        <v>24314.0</v>
      </c>
      <c r="G672" s="6">
        <v>26282.0</v>
      </c>
      <c r="H672" s="6">
        <v>1.1009</v>
      </c>
      <c r="I672" s="6">
        <v>0.9251</v>
      </c>
      <c r="J672" s="6">
        <v>0.1758</v>
      </c>
    </row>
    <row r="673">
      <c r="A673" s="5" t="s">
        <v>56</v>
      </c>
      <c r="B673" s="5" t="s">
        <v>1867</v>
      </c>
      <c r="C673" s="5" t="s">
        <v>1883</v>
      </c>
      <c r="D673" s="6">
        <v>12.0</v>
      </c>
      <c r="E673" s="6">
        <v>27170.0</v>
      </c>
      <c r="F673" s="6">
        <v>22883.0</v>
      </c>
      <c r="G673" s="6">
        <v>26282.0</v>
      </c>
      <c r="H673" s="6">
        <v>1.0338</v>
      </c>
      <c r="I673" s="6">
        <v>0.8707</v>
      </c>
      <c r="J673" s="6">
        <v>0.1631</v>
      </c>
    </row>
    <row r="674">
      <c r="A674" s="5" t="s">
        <v>56</v>
      </c>
      <c r="B674" s="5" t="s">
        <v>1867</v>
      </c>
      <c r="C674" s="5" t="s">
        <v>1883</v>
      </c>
      <c r="D674" s="6">
        <v>13.0</v>
      </c>
      <c r="E674" s="6">
        <v>23160.0</v>
      </c>
      <c r="F674" s="6">
        <v>20311.0</v>
      </c>
      <c r="G674" s="6">
        <v>26282.0</v>
      </c>
      <c r="H674" s="6">
        <v>0.8812</v>
      </c>
      <c r="I674" s="6">
        <v>0.7728</v>
      </c>
      <c r="J674" s="6">
        <v>0.1084</v>
      </c>
    </row>
    <row r="675">
      <c r="A675" s="5" t="s">
        <v>56</v>
      </c>
      <c r="B675" s="5" t="s">
        <v>1867</v>
      </c>
      <c r="C675" s="5" t="s">
        <v>1883</v>
      </c>
      <c r="D675" s="6">
        <v>14.0</v>
      </c>
      <c r="E675" s="6">
        <v>21715.0</v>
      </c>
      <c r="F675" s="6">
        <v>20694.0</v>
      </c>
      <c r="G675" s="6">
        <v>26282.0</v>
      </c>
      <c r="H675" s="6">
        <v>0.8262</v>
      </c>
      <c r="I675" s="6">
        <v>0.7874</v>
      </c>
      <c r="J675" s="6">
        <v>0.0388</v>
      </c>
    </row>
    <row r="676">
      <c r="A676" s="5" t="s">
        <v>56</v>
      </c>
      <c r="B676" s="5" t="s">
        <v>1867</v>
      </c>
      <c r="C676" s="5" t="s">
        <v>1883</v>
      </c>
      <c r="D676" s="6">
        <v>15.0</v>
      </c>
      <c r="E676" s="6">
        <v>24235.0</v>
      </c>
      <c r="F676" s="6">
        <v>21709.0</v>
      </c>
      <c r="G676" s="6">
        <v>26282.0</v>
      </c>
      <c r="H676" s="6">
        <v>0.9221</v>
      </c>
      <c r="I676" s="6">
        <v>0.826</v>
      </c>
      <c r="J676" s="6">
        <v>0.0961</v>
      </c>
    </row>
    <row r="677">
      <c r="A677" s="5" t="s">
        <v>56</v>
      </c>
      <c r="B677" s="5" t="s">
        <v>1867</v>
      </c>
      <c r="C677" s="5" t="s">
        <v>1883</v>
      </c>
      <c r="D677" s="6">
        <v>16.0</v>
      </c>
      <c r="E677" s="6">
        <v>29860.0</v>
      </c>
      <c r="F677" s="6">
        <v>25320.0</v>
      </c>
      <c r="G677" s="6">
        <v>26282.0</v>
      </c>
      <c r="H677" s="6">
        <v>1.1361</v>
      </c>
      <c r="I677" s="6">
        <v>0.9634</v>
      </c>
      <c r="J677" s="6">
        <v>0.1727</v>
      </c>
    </row>
    <row r="678">
      <c r="A678" s="5" t="s">
        <v>56</v>
      </c>
      <c r="B678" s="5" t="s">
        <v>1867</v>
      </c>
      <c r="C678" s="5" t="s">
        <v>1883</v>
      </c>
      <c r="D678" s="6">
        <v>17.0</v>
      </c>
      <c r="E678" s="6">
        <v>34005.0</v>
      </c>
      <c r="F678" s="6">
        <v>25716.0</v>
      </c>
      <c r="G678" s="6">
        <v>26282.0</v>
      </c>
      <c r="H678" s="6">
        <v>1.2939</v>
      </c>
      <c r="I678" s="6">
        <v>0.9785</v>
      </c>
      <c r="J678" s="6">
        <v>0.3154</v>
      </c>
    </row>
    <row r="679">
      <c r="A679" s="5" t="s">
        <v>56</v>
      </c>
      <c r="B679" s="5" t="s">
        <v>1867</v>
      </c>
      <c r="C679" s="5" t="s">
        <v>1883</v>
      </c>
      <c r="D679" s="6">
        <v>18.0</v>
      </c>
      <c r="E679" s="6">
        <v>34080.0</v>
      </c>
      <c r="F679" s="6">
        <v>25707.0</v>
      </c>
      <c r="G679" s="6">
        <v>26282.0</v>
      </c>
      <c r="H679" s="6">
        <v>1.2967</v>
      </c>
      <c r="I679" s="6">
        <v>0.9781</v>
      </c>
      <c r="J679" s="6">
        <v>0.3186</v>
      </c>
    </row>
    <row r="680">
      <c r="A680" s="5" t="s">
        <v>56</v>
      </c>
      <c r="B680" s="5" t="s">
        <v>1867</v>
      </c>
      <c r="C680" s="5" t="s">
        <v>1883</v>
      </c>
      <c r="D680" s="6">
        <v>19.0</v>
      </c>
      <c r="E680" s="6">
        <v>32220.0</v>
      </c>
      <c r="F680" s="6">
        <v>25367.0</v>
      </c>
      <c r="G680" s="6">
        <v>26282.0</v>
      </c>
      <c r="H680" s="6">
        <v>1.2259</v>
      </c>
      <c r="I680" s="6">
        <v>0.9652</v>
      </c>
      <c r="J680" s="6">
        <v>0.2607</v>
      </c>
    </row>
    <row r="681">
      <c r="A681" s="5" t="s">
        <v>56</v>
      </c>
      <c r="B681" s="5" t="s">
        <v>1867</v>
      </c>
      <c r="C681" s="5" t="s">
        <v>1883</v>
      </c>
      <c r="D681" s="6">
        <v>20.0</v>
      </c>
      <c r="E681" s="6">
        <v>30045.0</v>
      </c>
      <c r="F681" s="6">
        <v>24626.0</v>
      </c>
      <c r="G681" s="6">
        <v>26282.0</v>
      </c>
      <c r="H681" s="6">
        <v>1.1432</v>
      </c>
      <c r="I681" s="6">
        <v>0.937</v>
      </c>
      <c r="J681" s="6">
        <v>0.2062</v>
      </c>
    </row>
    <row r="682">
      <c r="A682" s="5" t="s">
        <v>56</v>
      </c>
      <c r="B682" s="5" t="s">
        <v>1867</v>
      </c>
      <c r="C682" s="5" t="s">
        <v>1883</v>
      </c>
      <c r="D682" s="6">
        <v>21.0</v>
      </c>
      <c r="E682" s="6">
        <v>42020.0</v>
      </c>
      <c r="F682" s="6">
        <v>31199.0</v>
      </c>
      <c r="G682" s="6">
        <v>26282.0</v>
      </c>
      <c r="H682" s="6">
        <v>1.5988</v>
      </c>
      <c r="I682" s="6">
        <v>1.1871</v>
      </c>
      <c r="J682" s="6">
        <v>0.4117</v>
      </c>
    </row>
    <row r="683">
      <c r="A683" s="5" t="s">
        <v>56</v>
      </c>
      <c r="B683" s="5" t="s">
        <v>1867</v>
      </c>
      <c r="C683" s="5" t="s">
        <v>1883</v>
      </c>
      <c r="D683" s="6">
        <v>22.0</v>
      </c>
      <c r="E683" s="6">
        <v>31490.0</v>
      </c>
      <c r="F683" s="6">
        <v>24016.0</v>
      </c>
      <c r="G683" s="6">
        <v>26282.0</v>
      </c>
      <c r="H683" s="6">
        <v>1.1982</v>
      </c>
      <c r="I683" s="6">
        <v>0.9138</v>
      </c>
      <c r="J683" s="6">
        <v>0.2844</v>
      </c>
    </row>
    <row r="684">
      <c r="A684" s="5" t="s">
        <v>56</v>
      </c>
      <c r="B684" s="5" t="s">
        <v>1867</v>
      </c>
      <c r="C684" s="5" t="s">
        <v>1883</v>
      </c>
      <c r="D684" s="6">
        <v>23.0</v>
      </c>
      <c r="E684" s="6">
        <v>24345.0</v>
      </c>
      <c r="F684" s="6">
        <v>21749.0</v>
      </c>
      <c r="G684" s="6">
        <v>26282.0</v>
      </c>
      <c r="H684" s="6">
        <v>0.9263</v>
      </c>
      <c r="I684" s="6">
        <v>0.8275</v>
      </c>
      <c r="J684" s="6">
        <v>0.0988</v>
      </c>
    </row>
    <row r="685">
      <c r="A685" s="5" t="s">
        <v>56</v>
      </c>
      <c r="B685" s="5" t="s">
        <v>1867</v>
      </c>
      <c r="C685" s="5" t="s">
        <v>1883</v>
      </c>
      <c r="D685" s="6">
        <v>24.0</v>
      </c>
      <c r="E685" s="6">
        <v>26575.0</v>
      </c>
      <c r="F685" s="6">
        <v>21969.0</v>
      </c>
      <c r="G685" s="6">
        <v>26282.0</v>
      </c>
      <c r="H685" s="6">
        <v>1.0111</v>
      </c>
      <c r="I685" s="6">
        <v>0.8359</v>
      </c>
      <c r="J685" s="6">
        <v>0.1753</v>
      </c>
    </row>
    <row r="686">
      <c r="A686" s="5" t="s">
        <v>56</v>
      </c>
      <c r="B686" s="5" t="s">
        <v>1867</v>
      </c>
      <c r="C686" s="5" t="s">
        <v>1883</v>
      </c>
      <c r="D686" s="6">
        <v>25.0</v>
      </c>
      <c r="E686" s="6">
        <v>28610.0</v>
      </c>
      <c r="F686" s="6">
        <v>23447.0</v>
      </c>
      <c r="G686" s="6">
        <v>26282.0</v>
      </c>
      <c r="H686" s="6">
        <v>1.0886</v>
      </c>
      <c r="I686" s="6">
        <v>0.8921</v>
      </c>
      <c r="J686" s="6">
        <v>0.1964</v>
      </c>
    </row>
    <row r="687">
      <c r="A687" s="5" t="s">
        <v>56</v>
      </c>
      <c r="B687" s="5" t="s">
        <v>1867</v>
      </c>
      <c r="C687" s="5" t="s">
        <v>1883</v>
      </c>
      <c r="D687" s="6">
        <v>26.0</v>
      </c>
      <c r="E687" s="6">
        <v>26235.0</v>
      </c>
      <c r="F687" s="6">
        <v>23157.0</v>
      </c>
      <c r="G687" s="6">
        <v>26282.0</v>
      </c>
      <c r="H687" s="6">
        <v>0.9982</v>
      </c>
      <c r="I687" s="6">
        <v>0.8811</v>
      </c>
      <c r="J687" s="6">
        <v>0.1171</v>
      </c>
    </row>
    <row r="688">
      <c r="A688" s="5" t="s">
        <v>56</v>
      </c>
      <c r="B688" s="5" t="s">
        <v>1867</v>
      </c>
      <c r="C688" s="5" t="s">
        <v>1883</v>
      </c>
      <c r="D688" s="6">
        <v>27.0</v>
      </c>
      <c r="E688" s="6">
        <v>21140.0</v>
      </c>
      <c r="F688" s="6">
        <v>21208.0</v>
      </c>
      <c r="G688" s="6">
        <v>26282.0</v>
      </c>
      <c r="H688" s="6">
        <v>0.8044</v>
      </c>
      <c r="I688" s="6">
        <v>0.8069</v>
      </c>
      <c r="J688" s="6">
        <v>-0.0026</v>
      </c>
    </row>
    <row r="689">
      <c r="A689" s="5" t="s">
        <v>56</v>
      </c>
      <c r="B689" s="5" t="s">
        <v>1867</v>
      </c>
      <c r="C689" s="5" t="s">
        <v>1883</v>
      </c>
      <c r="D689" s="6">
        <v>28.0</v>
      </c>
      <c r="E689" s="6">
        <v>18480.0</v>
      </c>
      <c r="F689" s="6">
        <v>19282.0</v>
      </c>
      <c r="G689" s="6">
        <v>26282.0</v>
      </c>
      <c r="H689" s="6">
        <v>0.7031</v>
      </c>
      <c r="I689" s="6">
        <v>0.7337</v>
      </c>
      <c r="J689" s="6">
        <v>-0.0305</v>
      </c>
    </row>
    <row r="690">
      <c r="A690" s="5" t="s">
        <v>56</v>
      </c>
      <c r="B690" s="5" t="s">
        <v>1867</v>
      </c>
      <c r="C690" s="5" t="s">
        <v>1883</v>
      </c>
      <c r="D690" s="6">
        <v>29.0</v>
      </c>
      <c r="E690" s="6">
        <v>19365.0</v>
      </c>
      <c r="F690" s="6">
        <v>19680.0</v>
      </c>
      <c r="G690" s="6">
        <v>26282.0</v>
      </c>
      <c r="H690" s="6">
        <v>0.7368</v>
      </c>
      <c r="I690" s="6">
        <v>0.7488</v>
      </c>
      <c r="J690" s="6">
        <v>-0.012</v>
      </c>
    </row>
    <row r="691">
      <c r="A691" s="5" t="s">
        <v>56</v>
      </c>
      <c r="B691" s="5" t="s">
        <v>1867</v>
      </c>
      <c r="C691" s="5" t="s">
        <v>1883</v>
      </c>
      <c r="D691" s="6">
        <v>30.0</v>
      </c>
      <c r="E691" s="6">
        <v>23960.0</v>
      </c>
      <c r="F691" s="6">
        <v>21359.0</v>
      </c>
      <c r="G691" s="6">
        <v>26282.0</v>
      </c>
      <c r="H691" s="6">
        <v>0.9117</v>
      </c>
      <c r="I691" s="6">
        <v>0.8127</v>
      </c>
      <c r="J691" s="6">
        <v>0.099</v>
      </c>
    </row>
    <row r="692">
      <c r="A692" s="5" t="s">
        <v>56</v>
      </c>
      <c r="B692" s="5" t="s">
        <v>1867</v>
      </c>
      <c r="C692" s="5" t="s">
        <v>1883</v>
      </c>
      <c r="D692" s="6">
        <v>31.0</v>
      </c>
      <c r="E692" s="6">
        <v>29435.0</v>
      </c>
      <c r="F692" s="6">
        <v>24890.0</v>
      </c>
      <c r="G692" s="6">
        <v>26282.0</v>
      </c>
      <c r="H692" s="6">
        <v>1.12</v>
      </c>
      <c r="I692" s="6">
        <v>0.947</v>
      </c>
      <c r="J692" s="6">
        <v>0.1729</v>
      </c>
    </row>
    <row r="693">
      <c r="A693" s="5" t="s">
        <v>56</v>
      </c>
      <c r="B693" s="5" t="s">
        <v>1867</v>
      </c>
      <c r="C693" s="5" t="s">
        <v>1883</v>
      </c>
      <c r="D693" s="6">
        <v>32.0</v>
      </c>
      <c r="E693" s="6">
        <v>30120.0</v>
      </c>
      <c r="F693" s="6">
        <v>24781.0</v>
      </c>
      <c r="G693" s="6">
        <v>26282.0</v>
      </c>
      <c r="H693" s="6">
        <v>1.146</v>
      </c>
      <c r="I693" s="6">
        <v>0.9429</v>
      </c>
      <c r="J693" s="6">
        <v>0.2031</v>
      </c>
    </row>
    <row r="694">
      <c r="A694" s="5" t="s">
        <v>56</v>
      </c>
      <c r="B694" s="5" t="s">
        <v>1867</v>
      </c>
      <c r="C694" s="5" t="s">
        <v>1883</v>
      </c>
      <c r="D694" s="6">
        <v>33.0</v>
      </c>
      <c r="E694" s="6">
        <v>28490.0</v>
      </c>
      <c r="F694" s="6">
        <v>24566.0</v>
      </c>
      <c r="G694" s="6">
        <v>26282.0</v>
      </c>
      <c r="H694" s="6">
        <v>1.084</v>
      </c>
      <c r="I694" s="6">
        <v>0.9347</v>
      </c>
      <c r="J694" s="6">
        <v>0.1493</v>
      </c>
    </row>
    <row r="695">
      <c r="A695" s="5" t="s">
        <v>56</v>
      </c>
      <c r="B695" s="5" t="s">
        <v>1867</v>
      </c>
      <c r="C695" s="5" t="s">
        <v>1884</v>
      </c>
      <c r="D695" s="6">
        <v>1.0</v>
      </c>
      <c r="E695" s="6">
        <v>75545.0</v>
      </c>
      <c r="F695" s="6">
        <v>37383.0</v>
      </c>
      <c r="G695" s="6">
        <v>62641.0</v>
      </c>
      <c r="H695" s="6">
        <v>1.206</v>
      </c>
      <c r="I695" s="6">
        <v>0.5968</v>
      </c>
      <c r="J695" s="6">
        <v>0.6092</v>
      </c>
    </row>
    <row r="696">
      <c r="A696" s="5" t="s">
        <v>56</v>
      </c>
      <c r="B696" s="5" t="s">
        <v>1867</v>
      </c>
      <c r="C696" s="5" t="s">
        <v>1884</v>
      </c>
      <c r="D696" s="6">
        <v>2.0</v>
      </c>
      <c r="E696" s="6">
        <v>80305.0</v>
      </c>
      <c r="F696" s="6">
        <v>41183.0</v>
      </c>
      <c r="G696" s="6">
        <v>62641.0</v>
      </c>
      <c r="H696" s="6">
        <v>1.282</v>
      </c>
      <c r="I696" s="6">
        <v>0.6574</v>
      </c>
      <c r="J696" s="6">
        <v>0.6245</v>
      </c>
    </row>
    <row r="697">
      <c r="A697" s="5" t="s">
        <v>56</v>
      </c>
      <c r="B697" s="5" t="s">
        <v>1867</v>
      </c>
      <c r="C697" s="5" t="s">
        <v>1884</v>
      </c>
      <c r="D697" s="6">
        <v>3.0</v>
      </c>
      <c r="E697" s="6">
        <v>84420.0</v>
      </c>
      <c r="F697" s="6">
        <v>39913.0</v>
      </c>
      <c r="G697" s="6">
        <v>62641.0</v>
      </c>
      <c r="H697" s="6">
        <v>1.3477</v>
      </c>
      <c r="I697" s="6">
        <v>0.6372</v>
      </c>
      <c r="J697" s="6">
        <v>0.7105</v>
      </c>
    </row>
    <row r="698">
      <c r="A698" s="5" t="s">
        <v>56</v>
      </c>
      <c r="B698" s="5" t="s">
        <v>1867</v>
      </c>
      <c r="C698" s="5" t="s">
        <v>1884</v>
      </c>
      <c r="D698" s="6">
        <v>4.0</v>
      </c>
      <c r="E698" s="6">
        <v>85620.0</v>
      </c>
      <c r="F698" s="6">
        <v>40338.0</v>
      </c>
      <c r="G698" s="6">
        <v>62641.0</v>
      </c>
      <c r="H698" s="6">
        <v>1.3668</v>
      </c>
      <c r="I698" s="6">
        <v>0.644</v>
      </c>
      <c r="J698" s="6">
        <v>0.7229</v>
      </c>
    </row>
    <row r="699">
      <c r="A699" s="5" t="s">
        <v>56</v>
      </c>
      <c r="B699" s="5" t="s">
        <v>1867</v>
      </c>
      <c r="C699" s="5" t="s">
        <v>1884</v>
      </c>
      <c r="D699" s="6">
        <v>5.0</v>
      </c>
      <c r="E699" s="6">
        <v>80480.0</v>
      </c>
      <c r="F699" s="6">
        <v>38695.0</v>
      </c>
      <c r="G699" s="6">
        <v>62641.0</v>
      </c>
      <c r="H699" s="6">
        <v>1.2848</v>
      </c>
      <c r="I699" s="6">
        <v>0.6177</v>
      </c>
      <c r="J699" s="6">
        <v>0.6671</v>
      </c>
    </row>
    <row r="700">
      <c r="A700" s="5" t="s">
        <v>56</v>
      </c>
      <c r="B700" s="5" t="s">
        <v>1867</v>
      </c>
      <c r="C700" s="5" t="s">
        <v>1884</v>
      </c>
      <c r="D700" s="6">
        <v>6.0</v>
      </c>
      <c r="E700" s="6">
        <v>79260.0</v>
      </c>
      <c r="F700" s="6">
        <v>41525.0</v>
      </c>
      <c r="G700" s="6">
        <v>62641.0</v>
      </c>
      <c r="H700" s="6">
        <v>1.2653</v>
      </c>
      <c r="I700" s="6">
        <v>0.6629</v>
      </c>
      <c r="J700" s="6">
        <v>0.6024</v>
      </c>
    </row>
    <row r="701">
      <c r="A701" s="5" t="s">
        <v>56</v>
      </c>
      <c r="B701" s="5" t="s">
        <v>1867</v>
      </c>
      <c r="C701" s="5" t="s">
        <v>1884</v>
      </c>
      <c r="D701" s="6">
        <v>7.0</v>
      </c>
      <c r="E701" s="6">
        <v>87435.0</v>
      </c>
      <c r="F701" s="6">
        <v>46037.0</v>
      </c>
      <c r="G701" s="6">
        <v>62641.0</v>
      </c>
      <c r="H701" s="6">
        <v>1.3958</v>
      </c>
      <c r="I701" s="6">
        <v>0.7349</v>
      </c>
      <c r="J701" s="6">
        <v>0.6609</v>
      </c>
    </row>
    <row r="702">
      <c r="A702" s="5" t="s">
        <v>56</v>
      </c>
      <c r="B702" s="5" t="s">
        <v>1867</v>
      </c>
      <c r="C702" s="5" t="s">
        <v>1884</v>
      </c>
      <c r="D702" s="6">
        <v>8.0</v>
      </c>
      <c r="E702" s="6">
        <v>87025.0</v>
      </c>
      <c r="F702" s="6">
        <v>43018.0</v>
      </c>
      <c r="G702" s="6">
        <v>62641.0</v>
      </c>
      <c r="H702" s="6">
        <v>1.3893</v>
      </c>
      <c r="I702" s="6">
        <v>0.6867</v>
      </c>
      <c r="J702" s="6">
        <v>0.7025</v>
      </c>
    </row>
    <row r="703">
      <c r="A703" s="5" t="s">
        <v>56</v>
      </c>
      <c r="B703" s="5" t="s">
        <v>1867</v>
      </c>
      <c r="C703" s="5" t="s">
        <v>1884</v>
      </c>
      <c r="D703" s="6">
        <v>9.0</v>
      </c>
      <c r="E703" s="6">
        <v>90525.0</v>
      </c>
      <c r="F703" s="6">
        <v>43311.0</v>
      </c>
      <c r="G703" s="6">
        <v>62641.0</v>
      </c>
      <c r="H703" s="6">
        <v>1.4451</v>
      </c>
      <c r="I703" s="6">
        <v>0.6914</v>
      </c>
      <c r="J703" s="6">
        <v>0.7537</v>
      </c>
    </row>
    <row r="704">
      <c r="A704" s="5" t="s">
        <v>56</v>
      </c>
      <c r="B704" s="5" t="s">
        <v>1867</v>
      </c>
      <c r="C704" s="5" t="s">
        <v>1884</v>
      </c>
      <c r="D704" s="6">
        <v>10.0</v>
      </c>
      <c r="E704" s="6">
        <v>106770.0</v>
      </c>
      <c r="F704" s="6">
        <v>45732.0</v>
      </c>
      <c r="G704" s="6">
        <v>62641.0</v>
      </c>
      <c r="H704" s="6">
        <v>1.7045</v>
      </c>
      <c r="I704" s="6">
        <v>0.7301</v>
      </c>
      <c r="J704" s="6">
        <v>0.9744</v>
      </c>
    </row>
    <row r="705">
      <c r="A705" s="5" t="s">
        <v>56</v>
      </c>
      <c r="B705" s="5" t="s">
        <v>1867</v>
      </c>
      <c r="C705" s="5" t="s">
        <v>1884</v>
      </c>
      <c r="D705" s="6">
        <v>11.0</v>
      </c>
      <c r="E705" s="6">
        <v>80385.0</v>
      </c>
      <c r="F705" s="6">
        <v>35823.0</v>
      </c>
      <c r="G705" s="6">
        <v>62641.0</v>
      </c>
      <c r="H705" s="6">
        <v>1.2833</v>
      </c>
      <c r="I705" s="6">
        <v>0.5719</v>
      </c>
      <c r="J705" s="6">
        <v>0.7114</v>
      </c>
    </row>
    <row r="706">
      <c r="A706" s="5" t="s">
        <v>56</v>
      </c>
      <c r="B706" s="5" t="s">
        <v>1867</v>
      </c>
      <c r="C706" s="5" t="s">
        <v>1884</v>
      </c>
      <c r="D706" s="6">
        <v>12.0</v>
      </c>
      <c r="E706" s="6">
        <v>69465.0</v>
      </c>
      <c r="F706" s="6">
        <v>32147.0</v>
      </c>
      <c r="G706" s="6">
        <v>62641.0</v>
      </c>
      <c r="H706" s="6">
        <v>1.1089</v>
      </c>
      <c r="I706" s="6">
        <v>0.5132</v>
      </c>
      <c r="J706" s="6">
        <v>0.5957</v>
      </c>
    </row>
    <row r="707">
      <c r="A707" s="5" t="s">
        <v>56</v>
      </c>
      <c r="B707" s="5" t="s">
        <v>1867</v>
      </c>
      <c r="C707" s="5" t="s">
        <v>1884</v>
      </c>
      <c r="D707" s="6">
        <v>13.0</v>
      </c>
      <c r="E707" s="6">
        <v>70235.0</v>
      </c>
      <c r="F707" s="6">
        <v>35057.0</v>
      </c>
      <c r="G707" s="6">
        <v>62641.0</v>
      </c>
      <c r="H707" s="6">
        <v>1.1212</v>
      </c>
      <c r="I707" s="6">
        <v>0.5596</v>
      </c>
      <c r="J707" s="6">
        <v>0.5616</v>
      </c>
    </row>
    <row r="708">
      <c r="A708" s="5" t="s">
        <v>56</v>
      </c>
      <c r="B708" s="5" t="s">
        <v>1867</v>
      </c>
      <c r="C708" s="5" t="s">
        <v>1884</v>
      </c>
      <c r="D708" s="6">
        <v>14.0</v>
      </c>
      <c r="E708" s="6">
        <v>73530.0</v>
      </c>
      <c r="F708" s="6">
        <v>35833.0</v>
      </c>
      <c r="G708" s="6">
        <v>62641.0</v>
      </c>
      <c r="H708" s="6">
        <v>1.1738</v>
      </c>
      <c r="I708" s="6">
        <v>0.572</v>
      </c>
      <c r="J708" s="6">
        <v>0.6018</v>
      </c>
    </row>
    <row r="709">
      <c r="A709" s="5" t="s">
        <v>56</v>
      </c>
      <c r="B709" s="5" t="s">
        <v>1867</v>
      </c>
      <c r="C709" s="5" t="s">
        <v>1884</v>
      </c>
      <c r="D709" s="6">
        <v>15.0</v>
      </c>
      <c r="E709" s="6">
        <v>74020.0</v>
      </c>
      <c r="F709" s="6">
        <v>36414.0</v>
      </c>
      <c r="G709" s="6">
        <v>62641.0</v>
      </c>
      <c r="H709" s="6">
        <v>1.1817</v>
      </c>
      <c r="I709" s="6">
        <v>0.5813</v>
      </c>
      <c r="J709" s="6">
        <v>0.6003</v>
      </c>
    </row>
    <row r="710">
      <c r="A710" s="5" t="s">
        <v>56</v>
      </c>
      <c r="B710" s="5" t="s">
        <v>1867</v>
      </c>
      <c r="C710" s="5" t="s">
        <v>1884</v>
      </c>
      <c r="D710" s="6">
        <v>16.0</v>
      </c>
      <c r="E710" s="6">
        <v>91115.0</v>
      </c>
      <c r="F710" s="6">
        <v>43908.0</v>
      </c>
      <c r="G710" s="6">
        <v>62641.0</v>
      </c>
      <c r="H710" s="6">
        <v>1.4546</v>
      </c>
      <c r="I710" s="6">
        <v>0.7009</v>
      </c>
      <c r="J710" s="6">
        <v>0.7536</v>
      </c>
    </row>
    <row r="711">
      <c r="A711" s="5" t="s">
        <v>56</v>
      </c>
      <c r="B711" s="5" t="s">
        <v>1867</v>
      </c>
      <c r="C711" s="5" t="s">
        <v>1884</v>
      </c>
      <c r="D711" s="6">
        <v>17.0</v>
      </c>
      <c r="E711" s="6">
        <v>94070.0</v>
      </c>
      <c r="F711" s="6">
        <v>43651.0</v>
      </c>
      <c r="G711" s="6">
        <v>62641.0</v>
      </c>
      <c r="H711" s="6">
        <v>1.5017</v>
      </c>
      <c r="I711" s="6">
        <v>0.6968</v>
      </c>
      <c r="J711" s="6">
        <v>0.8049</v>
      </c>
    </row>
    <row r="712">
      <c r="A712" s="5" t="s">
        <v>56</v>
      </c>
      <c r="B712" s="5" t="s">
        <v>1867</v>
      </c>
      <c r="C712" s="5" t="s">
        <v>1884</v>
      </c>
      <c r="D712" s="6">
        <v>18.0</v>
      </c>
      <c r="E712" s="6">
        <v>78520.0</v>
      </c>
      <c r="F712" s="6">
        <v>37369.0</v>
      </c>
      <c r="G712" s="6">
        <v>62641.0</v>
      </c>
      <c r="H712" s="6">
        <v>1.2535</v>
      </c>
      <c r="I712" s="6">
        <v>0.5966</v>
      </c>
      <c r="J712" s="6">
        <v>0.6569</v>
      </c>
    </row>
    <row r="713">
      <c r="A713" s="5" t="s">
        <v>56</v>
      </c>
      <c r="B713" s="5" t="s">
        <v>1867</v>
      </c>
      <c r="C713" s="5" t="s">
        <v>1884</v>
      </c>
      <c r="D713" s="6">
        <v>19.0</v>
      </c>
      <c r="E713" s="6">
        <v>70520.0</v>
      </c>
      <c r="F713" s="6">
        <v>34094.0</v>
      </c>
      <c r="G713" s="6">
        <v>62641.0</v>
      </c>
      <c r="H713" s="6">
        <v>1.1258</v>
      </c>
      <c r="I713" s="6">
        <v>0.5443</v>
      </c>
      <c r="J713" s="6">
        <v>0.5815</v>
      </c>
    </row>
    <row r="714">
      <c r="A714" s="5" t="s">
        <v>56</v>
      </c>
      <c r="B714" s="5" t="s">
        <v>1867</v>
      </c>
      <c r="C714" s="5" t="s">
        <v>1884</v>
      </c>
      <c r="D714" s="6">
        <v>20.0</v>
      </c>
      <c r="E714" s="6">
        <v>75085.0</v>
      </c>
      <c r="F714" s="6">
        <v>37186.0</v>
      </c>
      <c r="G714" s="6">
        <v>62641.0</v>
      </c>
      <c r="H714" s="6">
        <v>1.1987</v>
      </c>
      <c r="I714" s="6">
        <v>0.5936</v>
      </c>
      <c r="J714" s="6">
        <v>0.605</v>
      </c>
    </row>
    <row r="715">
      <c r="A715" s="5" t="s">
        <v>56</v>
      </c>
      <c r="B715" s="5" t="s">
        <v>1867</v>
      </c>
      <c r="C715" s="5" t="s">
        <v>1884</v>
      </c>
      <c r="D715" s="6">
        <v>21.0</v>
      </c>
      <c r="E715" s="6">
        <v>301920.0</v>
      </c>
      <c r="F715" s="6">
        <v>109308.0</v>
      </c>
      <c r="G715" s="6">
        <v>62641.0</v>
      </c>
      <c r="H715" s="6">
        <v>4.8198</v>
      </c>
      <c r="I715" s="6">
        <v>1.745</v>
      </c>
      <c r="J715" s="6">
        <v>3.0749</v>
      </c>
    </row>
    <row r="716">
      <c r="A716" s="5" t="s">
        <v>56</v>
      </c>
      <c r="B716" s="5" t="s">
        <v>1867</v>
      </c>
      <c r="C716" s="5" t="s">
        <v>1884</v>
      </c>
      <c r="D716" s="6">
        <v>22.0</v>
      </c>
      <c r="E716" s="6">
        <v>246440.0</v>
      </c>
      <c r="F716" s="6">
        <v>100423.0</v>
      </c>
      <c r="G716" s="6">
        <v>62641.0</v>
      </c>
      <c r="H716" s="6">
        <v>3.9342</v>
      </c>
      <c r="I716" s="6">
        <v>1.6032</v>
      </c>
      <c r="J716" s="6">
        <v>2.331</v>
      </c>
    </row>
    <row r="717">
      <c r="A717" s="5" t="s">
        <v>56</v>
      </c>
      <c r="B717" s="5" t="s">
        <v>1867</v>
      </c>
      <c r="C717" s="5" t="s">
        <v>1884</v>
      </c>
      <c r="D717" s="6">
        <v>23.0</v>
      </c>
      <c r="E717" s="6">
        <v>183755.0</v>
      </c>
      <c r="F717" s="6">
        <v>77287.0</v>
      </c>
      <c r="G717" s="6">
        <v>62641.0</v>
      </c>
      <c r="H717" s="6">
        <v>2.9335</v>
      </c>
      <c r="I717" s="6">
        <v>1.2338</v>
      </c>
      <c r="J717" s="6">
        <v>1.6997</v>
      </c>
    </row>
    <row r="718">
      <c r="A718" s="5" t="s">
        <v>56</v>
      </c>
      <c r="B718" s="5" t="s">
        <v>1867</v>
      </c>
      <c r="C718" s="5" t="s">
        <v>1884</v>
      </c>
      <c r="D718" s="6">
        <v>24.0</v>
      </c>
      <c r="E718" s="6">
        <v>198895.0</v>
      </c>
      <c r="F718" s="6">
        <v>76550.0</v>
      </c>
      <c r="G718" s="6">
        <v>62641.0</v>
      </c>
      <c r="H718" s="6">
        <v>3.1752</v>
      </c>
      <c r="I718" s="6">
        <v>1.222</v>
      </c>
      <c r="J718" s="6">
        <v>1.9531</v>
      </c>
    </row>
    <row r="719">
      <c r="A719" s="5" t="s">
        <v>56</v>
      </c>
      <c r="B719" s="5" t="s">
        <v>1867</v>
      </c>
      <c r="C719" s="5" t="s">
        <v>1884</v>
      </c>
      <c r="D719" s="6">
        <v>25.0</v>
      </c>
      <c r="E719" s="6">
        <v>135805.0</v>
      </c>
      <c r="F719" s="6">
        <v>57148.0</v>
      </c>
      <c r="G719" s="6">
        <v>62641.0</v>
      </c>
      <c r="H719" s="6">
        <v>2.168</v>
      </c>
      <c r="I719" s="6">
        <v>0.9123</v>
      </c>
      <c r="J719" s="6">
        <v>1.2557</v>
      </c>
    </row>
    <row r="720">
      <c r="A720" s="5" t="s">
        <v>56</v>
      </c>
      <c r="B720" s="5" t="s">
        <v>1867</v>
      </c>
      <c r="C720" s="5" t="s">
        <v>1884</v>
      </c>
      <c r="D720" s="6">
        <v>26.0</v>
      </c>
      <c r="E720" s="6">
        <v>110550.0</v>
      </c>
      <c r="F720" s="6">
        <v>48867.0</v>
      </c>
      <c r="G720" s="6">
        <v>62641.0</v>
      </c>
      <c r="H720" s="6">
        <v>1.7648</v>
      </c>
      <c r="I720" s="6">
        <v>0.7801</v>
      </c>
      <c r="J720" s="6">
        <v>0.9847</v>
      </c>
    </row>
    <row r="721">
      <c r="A721" s="5" t="s">
        <v>56</v>
      </c>
      <c r="B721" s="5" t="s">
        <v>1867</v>
      </c>
      <c r="C721" s="5" t="s">
        <v>1884</v>
      </c>
      <c r="D721" s="6">
        <v>27.0</v>
      </c>
      <c r="E721" s="6">
        <v>85275.0</v>
      </c>
      <c r="F721" s="6">
        <v>40834.0</v>
      </c>
      <c r="G721" s="6">
        <v>62641.0</v>
      </c>
      <c r="H721" s="6">
        <v>1.3613</v>
      </c>
      <c r="I721" s="6">
        <v>0.6519</v>
      </c>
      <c r="J721" s="6">
        <v>0.7095</v>
      </c>
    </row>
    <row r="722">
      <c r="A722" s="5" t="s">
        <v>56</v>
      </c>
      <c r="B722" s="5" t="s">
        <v>1867</v>
      </c>
      <c r="C722" s="5" t="s">
        <v>1884</v>
      </c>
      <c r="D722" s="6">
        <v>28.0</v>
      </c>
      <c r="E722" s="6">
        <v>74220.0</v>
      </c>
      <c r="F722" s="6">
        <v>36025.0</v>
      </c>
      <c r="G722" s="6">
        <v>62641.0</v>
      </c>
      <c r="H722" s="6">
        <v>1.1848</v>
      </c>
      <c r="I722" s="6">
        <v>0.5751</v>
      </c>
      <c r="J722" s="6">
        <v>0.6097</v>
      </c>
    </row>
    <row r="723">
      <c r="A723" s="5" t="s">
        <v>56</v>
      </c>
      <c r="B723" s="5" t="s">
        <v>1867</v>
      </c>
      <c r="C723" s="5" t="s">
        <v>1884</v>
      </c>
      <c r="D723" s="6">
        <v>29.0</v>
      </c>
      <c r="E723" s="6">
        <v>68005.0</v>
      </c>
      <c r="F723" s="6">
        <v>32413.0</v>
      </c>
      <c r="G723" s="6">
        <v>62641.0</v>
      </c>
      <c r="H723" s="6">
        <v>1.0856</v>
      </c>
      <c r="I723" s="6">
        <v>0.5174</v>
      </c>
      <c r="J723" s="6">
        <v>0.5682</v>
      </c>
    </row>
    <row r="724">
      <c r="A724" s="5" t="s">
        <v>56</v>
      </c>
      <c r="B724" s="5" t="s">
        <v>1867</v>
      </c>
      <c r="C724" s="5" t="s">
        <v>1884</v>
      </c>
      <c r="D724" s="6">
        <v>30.0</v>
      </c>
      <c r="E724" s="6">
        <v>76920.0</v>
      </c>
      <c r="F724" s="6">
        <v>36724.0</v>
      </c>
      <c r="G724" s="6">
        <v>62641.0</v>
      </c>
      <c r="H724" s="6">
        <v>1.2279</v>
      </c>
      <c r="I724" s="6">
        <v>0.5863</v>
      </c>
      <c r="J724" s="6">
        <v>0.6417</v>
      </c>
    </row>
    <row r="725">
      <c r="A725" s="5" t="s">
        <v>56</v>
      </c>
      <c r="B725" s="5" t="s">
        <v>1867</v>
      </c>
      <c r="C725" s="5" t="s">
        <v>1884</v>
      </c>
      <c r="D725" s="6">
        <v>31.0</v>
      </c>
      <c r="E725" s="6">
        <v>79990.0</v>
      </c>
      <c r="F725" s="6">
        <v>38703.0</v>
      </c>
      <c r="G725" s="6">
        <v>62641.0</v>
      </c>
      <c r="H725" s="6">
        <v>1.277</v>
      </c>
      <c r="I725" s="6">
        <v>0.6179</v>
      </c>
      <c r="J725" s="6">
        <v>0.6591</v>
      </c>
    </row>
    <row r="726">
      <c r="A726" s="5" t="s">
        <v>56</v>
      </c>
      <c r="B726" s="5" t="s">
        <v>1867</v>
      </c>
      <c r="C726" s="5" t="s">
        <v>1884</v>
      </c>
      <c r="D726" s="6">
        <v>32.0</v>
      </c>
      <c r="E726" s="6">
        <v>80020.0</v>
      </c>
      <c r="F726" s="6">
        <v>38371.0</v>
      </c>
      <c r="G726" s="6">
        <v>62641.0</v>
      </c>
      <c r="H726" s="6">
        <v>1.2774</v>
      </c>
      <c r="I726" s="6">
        <v>0.6126</v>
      </c>
      <c r="J726" s="6">
        <v>0.6649</v>
      </c>
    </row>
    <row r="727">
      <c r="A727" s="5" t="s">
        <v>56</v>
      </c>
      <c r="B727" s="5" t="s">
        <v>1867</v>
      </c>
      <c r="C727" s="5" t="s">
        <v>1884</v>
      </c>
      <c r="D727" s="6">
        <v>33.0</v>
      </c>
      <c r="E727" s="6">
        <v>75070.0</v>
      </c>
      <c r="F727" s="6">
        <v>37061.0</v>
      </c>
      <c r="G727" s="6">
        <v>62641.0</v>
      </c>
      <c r="H727" s="6">
        <v>1.1984</v>
      </c>
      <c r="I727" s="6">
        <v>0.5916</v>
      </c>
      <c r="J727" s="6">
        <v>0.6068</v>
      </c>
    </row>
    <row r="728">
      <c r="A728" s="5" t="s">
        <v>56</v>
      </c>
      <c r="B728" s="5" t="s">
        <v>1867</v>
      </c>
      <c r="C728" s="5" t="s">
        <v>1885</v>
      </c>
      <c r="D728" s="6">
        <v>1.0</v>
      </c>
      <c r="E728" s="6">
        <v>82365.0</v>
      </c>
      <c r="F728" s="6">
        <v>41897.0</v>
      </c>
      <c r="G728" s="6">
        <v>67089.0</v>
      </c>
      <c r="H728" s="6">
        <v>1.2277</v>
      </c>
      <c r="I728" s="6">
        <v>0.6245</v>
      </c>
      <c r="J728" s="6">
        <v>0.6032</v>
      </c>
    </row>
    <row r="729">
      <c r="A729" s="5" t="s">
        <v>56</v>
      </c>
      <c r="B729" s="5" t="s">
        <v>1867</v>
      </c>
      <c r="C729" s="5" t="s">
        <v>1885</v>
      </c>
      <c r="D729" s="6">
        <v>2.0</v>
      </c>
      <c r="E729" s="6">
        <v>86240.0</v>
      </c>
      <c r="F729" s="6">
        <v>43675.0</v>
      </c>
      <c r="G729" s="6">
        <v>67089.0</v>
      </c>
      <c r="H729" s="6">
        <v>1.2855</v>
      </c>
      <c r="I729" s="6">
        <v>0.651</v>
      </c>
      <c r="J729" s="6">
        <v>0.6345</v>
      </c>
    </row>
    <row r="730">
      <c r="A730" s="5" t="s">
        <v>56</v>
      </c>
      <c r="B730" s="5" t="s">
        <v>1867</v>
      </c>
      <c r="C730" s="5" t="s">
        <v>1885</v>
      </c>
      <c r="D730" s="6">
        <v>3.0</v>
      </c>
      <c r="E730" s="6">
        <v>87515.0</v>
      </c>
      <c r="F730" s="6">
        <v>43168.0</v>
      </c>
      <c r="G730" s="6">
        <v>67089.0</v>
      </c>
      <c r="H730" s="6">
        <v>1.3045</v>
      </c>
      <c r="I730" s="6">
        <v>0.6434</v>
      </c>
      <c r="J730" s="6">
        <v>0.661</v>
      </c>
    </row>
    <row r="731">
      <c r="A731" s="5" t="s">
        <v>56</v>
      </c>
      <c r="B731" s="5" t="s">
        <v>1867</v>
      </c>
      <c r="C731" s="5" t="s">
        <v>1885</v>
      </c>
      <c r="D731" s="6">
        <v>4.0</v>
      </c>
      <c r="E731" s="6">
        <v>93230.0</v>
      </c>
      <c r="F731" s="6">
        <v>43714.0</v>
      </c>
      <c r="G731" s="6">
        <v>67089.0</v>
      </c>
      <c r="H731" s="6">
        <v>1.3896</v>
      </c>
      <c r="I731" s="6">
        <v>0.6516</v>
      </c>
      <c r="J731" s="6">
        <v>0.7381</v>
      </c>
    </row>
    <row r="732">
      <c r="A732" s="5" t="s">
        <v>56</v>
      </c>
      <c r="B732" s="5" t="s">
        <v>1867</v>
      </c>
      <c r="C732" s="5" t="s">
        <v>1885</v>
      </c>
      <c r="D732" s="6">
        <v>5.0</v>
      </c>
      <c r="E732" s="6">
        <v>86795.0</v>
      </c>
      <c r="F732" s="6">
        <v>41863.0</v>
      </c>
      <c r="G732" s="6">
        <v>67089.0</v>
      </c>
      <c r="H732" s="6">
        <v>1.2937</v>
      </c>
      <c r="I732" s="6">
        <v>0.624</v>
      </c>
      <c r="J732" s="6">
        <v>0.6697</v>
      </c>
    </row>
    <row r="733">
      <c r="A733" s="5" t="s">
        <v>56</v>
      </c>
      <c r="B733" s="5" t="s">
        <v>1867</v>
      </c>
      <c r="C733" s="5" t="s">
        <v>1885</v>
      </c>
      <c r="D733" s="6">
        <v>6.0</v>
      </c>
      <c r="E733" s="6">
        <v>110825.0</v>
      </c>
      <c r="F733" s="6">
        <v>53678.0</v>
      </c>
      <c r="G733" s="6">
        <v>67089.0</v>
      </c>
      <c r="H733" s="6">
        <v>1.6519</v>
      </c>
      <c r="I733" s="6">
        <v>0.8001</v>
      </c>
      <c r="J733" s="6">
        <v>0.8518</v>
      </c>
    </row>
    <row r="734">
      <c r="A734" s="5" t="s">
        <v>56</v>
      </c>
      <c r="B734" s="5" t="s">
        <v>1867</v>
      </c>
      <c r="C734" s="5" t="s">
        <v>1885</v>
      </c>
      <c r="D734" s="6">
        <v>7.0</v>
      </c>
      <c r="E734" s="6">
        <v>121665.0</v>
      </c>
      <c r="F734" s="6">
        <v>58789.0</v>
      </c>
      <c r="G734" s="6">
        <v>67089.0</v>
      </c>
      <c r="H734" s="6">
        <v>1.8135</v>
      </c>
      <c r="I734" s="6">
        <v>0.8763</v>
      </c>
      <c r="J734" s="6">
        <v>0.9372</v>
      </c>
    </row>
    <row r="735">
      <c r="A735" s="5" t="s">
        <v>56</v>
      </c>
      <c r="B735" s="5" t="s">
        <v>1867</v>
      </c>
      <c r="C735" s="5" t="s">
        <v>1885</v>
      </c>
      <c r="D735" s="6">
        <v>8.0</v>
      </c>
      <c r="E735" s="6">
        <v>113635.0</v>
      </c>
      <c r="F735" s="6">
        <v>53122.0</v>
      </c>
      <c r="G735" s="6">
        <v>67089.0</v>
      </c>
      <c r="H735" s="6">
        <v>1.6938</v>
      </c>
      <c r="I735" s="6">
        <v>0.7918</v>
      </c>
      <c r="J735" s="6">
        <v>0.902</v>
      </c>
    </row>
    <row r="736">
      <c r="A736" s="5" t="s">
        <v>56</v>
      </c>
      <c r="B736" s="5" t="s">
        <v>1867</v>
      </c>
      <c r="C736" s="5" t="s">
        <v>1885</v>
      </c>
      <c r="D736" s="6">
        <v>9.0</v>
      </c>
      <c r="E736" s="6">
        <v>106530.0</v>
      </c>
      <c r="F736" s="6">
        <v>49333.0</v>
      </c>
      <c r="G736" s="6">
        <v>67089.0</v>
      </c>
      <c r="H736" s="6">
        <v>1.5879</v>
      </c>
      <c r="I736" s="6">
        <v>0.7353</v>
      </c>
      <c r="J736" s="6">
        <v>0.8526</v>
      </c>
    </row>
    <row r="737">
      <c r="A737" s="5" t="s">
        <v>56</v>
      </c>
      <c r="B737" s="5" t="s">
        <v>1867</v>
      </c>
      <c r="C737" s="5" t="s">
        <v>1885</v>
      </c>
      <c r="D737" s="6">
        <v>10.0</v>
      </c>
      <c r="E737" s="6">
        <v>146330.0</v>
      </c>
      <c r="F737" s="6">
        <v>59279.0</v>
      </c>
      <c r="G737" s="6">
        <v>67089.0</v>
      </c>
      <c r="H737" s="6">
        <v>2.1811</v>
      </c>
      <c r="I737" s="6">
        <v>0.8836</v>
      </c>
      <c r="J737" s="6">
        <v>1.2975</v>
      </c>
    </row>
    <row r="738">
      <c r="A738" s="5" t="s">
        <v>56</v>
      </c>
      <c r="B738" s="5" t="s">
        <v>1867</v>
      </c>
      <c r="C738" s="5" t="s">
        <v>1885</v>
      </c>
      <c r="D738" s="6">
        <v>11.0</v>
      </c>
      <c r="E738" s="6">
        <v>94505.0</v>
      </c>
      <c r="F738" s="6">
        <v>41967.0</v>
      </c>
      <c r="G738" s="6">
        <v>67089.0</v>
      </c>
      <c r="H738" s="6">
        <v>1.4087</v>
      </c>
      <c r="I738" s="6">
        <v>0.6255</v>
      </c>
      <c r="J738" s="6">
        <v>0.7831</v>
      </c>
    </row>
    <row r="739">
      <c r="A739" s="5" t="s">
        <v>56</v>
      </c>
      <c r="B739" s="5" t="s">
        <v>1867</v>
      </c>
      <c r="C739" s="5" t="s">
        <v>1885</v>
      </c>
      <c r="D739" s="6">
        <v>12.0</v>
      </c>
      <c r="E739" s="6">
        <v>83755.0</v>
      </c>
      <c r="F739" s="6">
        <v>38964.0</v>
      </c>
      <c r="G739" s="6">
        <v>67089.0</v>
      </c>
      <c r="H739" s="6">
        <v>1.2484</v>
      </c>
      <c r="I739" s="6">
        <v>0.5808</v>
      </c>
      <c r="J739" s="6">
        <v>0.6676</v>
      </c>
    </row>
    <row r="740">
      <c r="A740" s="5" t="s">
        <v>56</v>
      </c>
      <c r="B740" s="5" t="s">
        <v>1867</v>
      </c>
      <c r="C740" s="5" t="s">
        <v>1885</v>
      </c>
      <c r="D740" s="6">
        <v>13.0</v>
      </c>
      <c r="E740" s="6">
        <v>103180.0</v>
      </c>
      <c r="F740" s="6">
        <v>47203.0</v>
      </c>
      <c r="G740" s="6">
        <v>67089.0</v>
      </c>
      <c r="H740" s="6">
        <v>1.538</v>
      </c>
      <c r="I740" s="6">
        <v>0.7036</v>
      </c>
      <c r="J740" s="6">
        <v>0.8344</v>
      </c>
    </row>
    <row r="741">
      <c r="A741" s="5" t="s">
        <v>56</v>
      </c>
      <c r="B741" s="5" t="s">
        <v>1867</v>
      </c>
      <c r="C741" s="5" t="s">
        <v>1885</v>
      </c>
      <c r="D741" s="6">
        <v>14.0</v>
      </c>
      <c r="E741" s="6">
        <v>105390.0</v>
      </c>
      <c r="F741" s="6">
        <v>48304.0</v>
      </c>
      <c r="G741" s="6">
        <v>67089.0</v>
      </c>
      <c r="H741" s="6">
        <v>1.5709</v>
      </c>
      <c r="I741" s="6">
        <v>0.72</v>
      </c>
      <c r="J741" s="6">
        <v>0.8509</v>
      </c>
    </row>
    <row r="742">
      <c r="A742" s="5" t="s">
        <v>56</v>
      </c>
      <c r="B742" s="5" t="s">
        <v>1867</v>
      </c>
      <c r="C742" s="5" t="s">
        <v>1885</v>
      </c>
      <c r="D742" s="6">
        <v>15.0</v>
      </c>
      <c r="E742" s="6">
        <v>100050.0</v>
      </c>
      <c r="F742" s="6">
        <v>47204.0</v>
      </c>
      <c r="G742" s="6">
        <v>67089.0</v>
      </c>
      <c r="H742" s="6">
        <v>1.4913</v>
      </c>
      <c r="I742" s="6">
        <v>0.7036</v>
      </c>
      <c r="J742" s="6">
        <v>0.7877</v>
      </c>
    </row>
    <row r="743">
      <c r="A743" s="5" t="s">
        <v>56</v>
      </c>
      <c r="B743" s="5" t="s">
        <v>1867</v>
      </c>
      <c r="C743" s="5" t="s">
        <v>1885</v>
      </c>
      <c r="D743" s="6">
        <v>16.0</v>
      </c>
      <c r="E743" s="6">
        <v>118820.0</v>
      </c>
      <c r="F743" s="6">
        <v>53881.0</v>
      </c>
      <c r="G743" s="6">
        <v>67089.0</v>
      </c>
      <c r="H743" s="6">
        <v>1.7711</v>
      </c>
      <c r="I743" s="6">
        <v>0.8031</v>
      </c>
      <c r="J743" s="6">
        <v>0.968</v>
      </c>
    </row>
    <row r="744">
      <c r="A744" s="5" t="s">
        <v>56</v>
      </c>
      <c r="B744" s="5" t="s">
        <v>1867</v>
      </c>
      <c r="C744" s="5" t="s">
        <v>1885</v>
      </c>
      <c r="D744" s="6">
        <v>17.0</v>
      </c>
      <c r="E744" s="6">
        <v>120820.0</v>
      </c>
      <c r="F744" s="6">
        <v>54512.0</v>
      </c>
      <c r="G744" s="6">
        <v>67089.0</v>
      </c>
      <c r="H744" s="6">
        <v>1.8009</v>
      </c>
      <c r="I744" s="6">
        <v>0.8125</v>
      </c>
      <c r="J744" s="6">
        <v>0.9884</v>
      </c>
    </row>
    <row r="745">
      <c r="A745" s="5" t="s">
        <v>56</v>
      </c>
      <c r="B745" s="5" t="s">
        <v>1867</v>
      </c>
      <c r="C745" s="5" t="s">
        <v>1885</v>
      </c>
      <c r="D745" s="6">
        <v>18.0</v>
      </c>
      <c r="E745" s="6">
        <v>98800.0</v>
      </c>
      <c r="F745" s="6">
        <v>44245.0</v>
      </c>
      <c r="G745" s="6">
        <v>67089.0</v>
      </c>
      <c r="H745" s="6">
        <v>1.4727</v>
      </c>
      <c r="I745" s="6">
        <v>0.6595</v>
      </c>
      <c r="J745" s="6">
        <v>0.8132</v>
      </c>
    </row>
    <row r="746">
      <c r="A746" s="5" t="s">
        <v>56</v>
      </c>
      <c r="B746" s="5" t="s">
        <v>1867</v>
      </c>
      <c r="C746" s="5" t="s">
        <v>1885</v>
      </c>
      <c r="D746" s="6">
        <v>19.0</v>
      </c>
      <c r="E746" s="6">
        <v>87930.0</v>
      </c>
      <c r="F746" s="6">
        <v>40689.0</v>
      </c>
      <c r="G746" s="6">
        <v>67089.0</v>
      </c>
      <c r="H746" s="6">
        <v>1.3106</v>
      </c>
      <c r="I746" s="6">
        <v>0.6065</v>
      </c>
      <c r="J746" s="6">
        <v>0.7042</v>
      </c>
    </row>
    <row r="747">
      <c r="A747" s="5" t="s">
        <v>56</v>
      </c>
      <c r="B747" s="5" t="s">
        <v>1867</v>
      </c>
      <c r="C747" s="5" t="s">
        <v>1885</v>
      </c>
      <c r="D747" s="6">
        <v>20.0</v>
      </c>
      <c r="E747" s="6">
        <v>103225.0</v>
      </c>
      <c r="F747" s="6">
        <v>49825.0</v>
      </c>
      <c r="G747" s="6">
        <v>67089.0</v>
      </c>
      <c r="H747" s="6">
        <v>1.5386</v>
      </c>
      <c r="I747" s="6">
        <v>0.7427</v>
      </c>
      <c r="J747" s="6">
        <v>0.796</v>
      </c>
    </row>
    <row r="748">
      <c r="A748" s="5" t="s">
        <v>56</v>
      </c>
      <c r="B748" s="5" t="s">
        <v>1867</v>
      </c>
      <c r="C748" s="5" t="s">
        <v>1885</v>
      </c>
      <c r="D748" s="6">
        <v>21.0</v>
      </c>
      <c r="E748" s="6">
        <v>447930.0</v>
      </c>
      <c r="F748" s="6">
        <v>150219.0</v>
      </c>
      <c r="G748" s="6">
        <v>67089.0</v>
      </c>
      <c r="H748" s="6">
        <v>6.6767</v>
      </c>
      <c r="I748" s="6">
        <v>2.2391</v>
      </c>
      <c r="J748" s="6">
        <v>4.4376</v>
      </c>
    </row>
    <row r="749">
      <c r="A749" s="5" t="s">
        <v>56</v>
      </c>
      <c r="B749" s="5" t="s">
        <v>1867</v>
      </c>
      <c r="C749" s="5" t="s">
        <v>1885</v>
      </c>
      <c r="D749" s="6">
        <v>22.0</v>
      </c>
      <c r="E749" s="6">
        <v>259280.0</v>
      </c>
      <c r="F749" s="6">
        <v>103118.0</v>
      </c>
      <c r="G749" s="6">
        <v>67089.0</v>
      </c>
      <c r="H749" s="6">
        <v>3.8647</v>
      </c>
      <c r="I749" s="6">
        <v>1.537</v>
      </c>
      <c r="J749" s="6">
        <v>2.3277</v>
      </c>
    </row>
    <row r="750">
      <c r="A750" s="5" t="s">
        <v>56</v>
      </c>
      <c r="B750" s="5" t="s">
        <v>1867</v>
      </c>
      <c r="C750" s="5" t="s">
        <v>1885</v>
      </c>
      <c r="D750" s="6">
        <v>23.0</v>
      </c>
      <c r="E750" s="6">
        <v>169145.0</v>
      </c>
      <c r="F750" s="6">
        <v>71472.0</v>
      </c>
      <c r="G750" s="6">
        <v>67089.0</v>
      </c>
      <c r="H750" s="6">
        <v>2.5212</v>
      </c>
      <c r="I750" s="6">
        <v>1.0653</v>
      </c>
      <c r="J750" s="6">
        <v>1.4559</v>
      </c>
    </row>
    <row r="751">
      <c r="A751" s="5" t="s">
        <v>56</v>
      </c>
      <c r="B751" s="5" t="s">
        <v>1867</v>
      </c>
      <c r="C751" s="5" t="s">
        <v>1885</v>
      </c>
      <c r="D751" s="6">
        <v>24.0</v>
      </c>
      <c r="E751" s="6">
        <v>203735.0</v>
      </c>
      <c r="F751" s="6">
        <v>78992.0</v>
      </c>
      <c r="G751" s="6">
        <v>67089.0</v>
      </c>
      <c r="H751" s="6">
        <v>3.0368</v>
      </c>
      <c r="I751" s="6">
        <v>1.1774</v>
      </c>
      <c r="J751" s="6">
        <v>1.8594</v>
      </c>
    </row>
    <row r="752">
      <c r="A752" s="5" t="s">
        <v>56</v>
      </c>
      <c r="B752" s="5" t="s">
        <v>1867</v>
      </c>
      <c r="C752" s="5" t="s">
        <v>1885</v>
      </c>
      <c r="D752" s="6">
        <v>25.0</v>
      </c>
      <c r="E752" s="6">
        <v>132600.0</v>
      </c>
      <c r="F752" s="6">
        <v>58440.0</v>
      </c>
      <c r="G752" s="6">
        <v>67089.0</v>
      </c>
      <c r="H752" s="6">
        <v>1.9765</v>
      </c>
      <c r="I752" s="6">
        <v>0.8711</v>
      </c>
      <c r="J752" s="6">
        <v>1.1054</v>
      </c>
    </row>
    <row r="753">
      <c r="A753" s="5" t="s">
        <v>56</v>
      </c>
      <c r="B753" s="5" t="s">
        <v>1867</v>
      </c>
      <c r="C753" s="5" t="s">
        <v>1885</v>
      </c>
      <c r="D753" s="6">
        <v>26.0</v>
      </c>
      <c r="E753" s="6">
        <v>109645.0</v>
      </c>
      <c r="F753" s="6">
        <v>51809.0</v>
      </c>
      <c r="G753" s="6">
        <v>67089.0</v>
      </c>
      <c r="H753" s="6">
        <v>1.6343</v>
      </c>
      <c r="I753" s="6">
        <v>0.7722</v>
      </c>
      <c r="J753" s="6">
        <v>0.8621</v>
      </c>
    </row>
    <row r="754">
      <c r="A754" s="5" t="s">
        <v>56</v>
      </c>
      <c r="B754" s="5" t="s">
        <v>1867</v>
      </c>
      <c r="C754" s="5" t="s">
        <v>1885</v>
      </c>
      <c r="D754" s="6">
        <v>27.0</v>
      </c>
      <c r="E754" s="6">
        <v>93235.0</v>
      </c>
      <c r="F754" s="6">
        <v>45770.0</v>
      </c>
      <c r="G754" s="6">
        <v>67089.0</v>
      </c>
      <c r="H754" s="6">
        <v>1.3897</v>
      </c>
      <c r="I754" s="6">
        <v>0.6822</v>
      </c>
      <c r="J754" s="6">
        <v>0.7075</v>
      </c>
    </row>
    <row r="755">
      <c r="A755" s="5" t="s">
        <v>56</v>
      </c>
      <c r="B755" s="5" t="s">
        <v>1867</v>
      </c>
      <c r="C755" s="5" t="s">
        <v>1885</v>
      </c>
      <c r="D755" s="6">
        <v>28.0</v>
      </c>
      <c r="E755" s="6">
        <v>82365.0</v>
      </c>
      <c r="F755" s="6">
        <v>39962.0</v>
      </c>
      <c r="G755" s="6">
        <v>67089.0</v>
      </c>
      <c r="H755" s="6">
        <v>1.2277</v>
      </c>
      <c r="I755" s="6">
        <v>0.5957</v>
      </c>
      <c r="J755" s="6">
        <v>0.632</v>
      </c>
    </row>
    <row r="756">
      <c r="A756" s="5" t="s">
        <v>56</v>
      </c>
      <c r="B756" s="5" t="s">
        <v>1867</v>
      </c>
      <c r="C756" s="5" t="s">
        <v>1885</v>
      </c>
      <c r="D756" s="6">
        <v>29.0</v>
      </c>
      <c r="E756" s="6">
        <v>77945.0</v>
      </c>
      <c r="F756" s="6">
        <v>37224.0</v>
      </c>
      <c r="G756" s="6">
        <v>67089.0</v>
      </c>
      <c r="H756" s="6">
        <v>1.1618</v>
      </c>
      <c r="I756" s="6">
        <v>0.5548</v>
      </c>
      <c r="J756" s="6">
        <v>0.607</v>
      </c>
    </row>
    <row r="757">
      <c r="A757" s="5" t="s">
        <v>56</v>
      </c>
      <c r="B757" s="5" t="s">
        <v>1867</v>
      </c>
      <c r="C757" s="5" t="s">
        <v>1885</v>
      </c>
      <c r="D757" s="6">
        <v>30.0</v>
      </c>
      <c r="E757" s="6">
        <v>78425.0</v>
      </c>
      <c r="F757" s="6">
        <v>37493.0</v>
      </c>
      <c r="G757" s="6">
        <v>67089.0</v>
      </c>
      <c r="H757" s="6">
        <v>1.169</v>
      </c>
      <c r="I757" s="6">
        <v>0.5589</v>
      </c>
      <c r="J757" s="6">
        <v>0.6101</v>
      </c>
    </row>
    <row r="758">
      <c r="A758" s="5" t="s">
        <v>56</v>
      </c>
      <c r="B758" s="5" t="s">
        <v>1867</v>
      </c>
      <c r="C758" s="5" t="s">
        <v>1885</v>
      </c>
      <c r="D758" s="6">
        <v>31.0</v>
      </c>
      <c r="E758" s="6">
        <v>85390.0</v>
      </c>
      <c r="F758" s="6">
        <v>41916.0</v>
      </c>
      <c r="G758" s="6">
        <v>67089.0</v>
      </c>
      <c r="H758" s="6">
        <v>1.2728</v>
      </c>
      <c r="I758" s="6">
        <v>0.6248</v>
      </c>
      <c r="J758" s="6">
        <v>0.648</v>
      </c>
    </row>
    <row r="759">
      <c r="A759" s="5" t="s">
        <v>56</v>
      </c>
      <c r="B759" s="5" t="s">
        <v>1867</v>
      </c>
      <c r="C759" s="5" t="s">
        <v>1885</v>
      </c>
      <c r="D759" s="6">
        <v>32.0</v>
      </c>
      <c r="E759" s="6">
        <v>86250.0</v>
      </c>
      <c r="F759" s="6">
        <v>41665.0</v>
      </c>
      <c r="G759" s="6">
        <v>67089.0</v>
      </c>
      <c r="H759" s="6">
        <v>1.2856</v>
      </c>
      <c r="I759" s="6">
        <v>0.621</v>
      </c>
      <c r="J759" s="6">
        <v>0.6646</v>
      </c>
    </row>
    <row r="760">
      <c r="A760" s="5" t="s">
        <v>56</v>
      </c>
      <c r="B760" s="5" t="s">
        <v>1867</v>
      </c>
      <c r="C760" s="5" t="s">
        <v>1885</v>
      </c>
      <c r="D760" s="6">
        <v>33.0</v>
      </c>
      <c r="E760" s="6">
        <v>82825.0</v>
      </c>
      <c r="F760" s="6">
        <v>40394.0</v>
      </c>
      <c r="G760" s="6">
        <v>67089.0</v>
      </c>
      <c r="H760" s="6">
        <v>1.2346</v>
      </c>
      <c r="I760" s="6">
        <v>0.6021</v>
      </c>
      <c r="J760" s="6">
        <v>0.6325</v>
      </c>
    </row>
    <row r="761">
      <c r="A761" s="5" t="s">
        <v>56</v>
      </c>
      <c r="B761" s="5" t="s">
        <v>1867</v>
      </c>
      <c r="C761" s="5" t="s">
        <v>75</v>
      </c>
      <c r="D761" s="6">
        <v>1.0</v>
      </c>
      <c r="E761" s="6">
        <v>3281357.0</v>
      </c>
      <c r="F761" s="6">
        <v>0.0</v>
      </c>
      <c r="G761" s="6">
        <v>79253.0</v>
      </c>
      <c r="H761" s="6">
        <v>41.4036</v>
      </c>
      <c r="I761" s="6">
        <v>0.0</v>
      </c>
      <c r="J761" s="6">
        <v>41.4036</v>
      </c>
    </row>
    <row r="762">
      <c r="A762" s="5" t="s">
        <v>56</v>
      </c>
      <c r="B762" s="5" t="s">
        <v>1867</v>
      </c>
      <c r="C762" s="5" t="s">
        <v>75</v>
      </c>
      <c r="D762" s="6">
        <v>2.0</v>
      </c>
      <c r="E762" s="6">
        <v>1685082.0</v>
      </c>
      <c r="F762" s="6">
        <v>11.0</v>
      </c>
      <c r="G762" s="6">
        <v>79253.0</v>
      </c>
      <c r="H762" s="6">
        <v>21.2621</v>
      </c>
      <c r="I762" s="6">
        <v>1.0E-4</v>
      </c>
      <c r="J762" s="6">
        <v>21.2619</v>
      </c>
    </row>
    <row r="763">
      <c r="A763" s="5" t="s">
        <v>56</v>
      </c>
      <c r="B763" s="5" t="s">
        <v>1867</v>
      </c>
      <c r="C763" s="5" t="s">
        <v>75</v>
      </c>
      <c r="D763" s="6">
        <v>3.0</v>
      </c>
      <c r="E763" s="6">
        <v>2866384.0</v>
      </c>
      <c r="F763" s="6">
        <v>0.0</v>
      </c>
      <c r="G763" s="6">
        <v>79253.0</v>
      </c>
      <c r="H763" s="6">
        <v>36.1675</v>
      </c>
      <c r="I763" s="6">
        <v>0.0</v>
      </c>
      <c r="J763" s="6">
        <v>36.1675</v>
      </c>
    </row>
    <row r="764">
      <c r="A764" s="5" t="s">
        <v>56</v>
      </c>
      <c r="B764" s="5" t="s">
        <v>1867</v>
      </c>
      <c r="C764" s="5" t="s">
        <v>75</v>
      </c>
      <c r="D764" s="6">
        <v>4.0</v>
      </c>
      <c r="E764" s="6">
        <v>1985017.0</v>
      </c>
      <c r="F764" s="6">
        <v>0.0</v>
      </c>
      <c r="G764" s="6">
        <v>79253.0</v>
      </c>
      <c r="H764" s="6">
        <v>25.0466</v>
      </c>
      <c r="I764" s="6">
        <v>0.0</v>
      </c>
      <c r="J764" s="6">
        <v>25.0466</v>
      </c>
    </row>
    <row r="765">
      <c r="A765" s="5" t="s">
        <v>56</v>
      </c>
      <c r="B765" s="5" t="s">
        <v>1867</v>
      </c>
      <c r="C765" s="5" t="s">
        <v>75</v>
      </c>
      <c r="D765" s="6">
        <v>5.0</v>
      </c>
      <c r="E765" s="6">
        <v>2993164.0</v>
      </c>
      <c r="F765" s="6">
        <v>0.0</v>
      </c>
      <c r="G765" s="6">
        <v>79253.0</v>
      </c>
      <c r="H765" s="6">
        <v>37.7672</v>
      </c>
      <c r="I765" s="6">
        <v>0.0</v>
      </c>
      <c r="J765" s="6">
        <v>37.7672</v>
      </c>
    </row>
    <row r="766">
      <c r="A766" s="5" t="s">
        <v>56</v>
      </c>
      <c r="B766" s="5" t="s">
        <v>1867</v>
      </c>
      <c r="C766" s="5" t="s">
        <v>75</v>
      </c>
      <c r="D766" s="6">
        <v>6.0</v>
      </c>
      <c r="E766" s="6">
        <v>3161377.0</v>
      </c>
      <c r="F766" s="6">
        <v>1.0</v>
      </c>
      <c r="G766" s="6">
        <v>79253.0</v>
      </c>
      <c r="H766" s="6">
        <v>39.8897</v>
      </c>
      <c r="I766" s="6">
        <v>0.0</v>
      </c>
      <c r="J766" s="6">
        <v>39.8897</v>
      </c>
    </row>
    <row r="767">
      <c r="A767" s="5" t="s">
        <v>56</v>
      </c>
      <c r="B767" s="5" t="s">
        <v>1867</v>
      </c>
      <c r="C767" s="5" t="s">
        <v>75</v>
      </c>
      <c r="D767" s="6">
        <v>7.0</v>
      </c>
      <c r="E767" s="6">
        <v>1676503.0</v>
      </c>
      <c r="F767" s="6">
        <v>7.0</v>
      </c>
      <c r="G767" s="6">
        <v>79253.0</v>
      </c>
      <c r="H767" s="6">
        <v>21.1538</v>
      </c>
      <c r="I767" s="6">
        <v>1.0E-4</v>
      </c>
      <c r="J767" s="6">
        <v>21.1537</v>
      </c>
    </row>
    <row r="768">
      <c r="A768" s="5" t="s">
        <v>56</v>
      </c>
      <c r="B768" s="5" t="s">
        <v>1867</v>
      </c>
      <c r="C768" s="5" t="s">
        <v>75</v>
      </c>
      <c r="D768" s="6">
        <v>8.0</v>
      </c>
      <c r="E768" s="6">
        <v>3249494.0</v>
      </c>
      <c r="F768" s="6">
        <v>0.0</v>
      </c>
      <c r="G768" s="6">
        <v>79253.0</v>
      </c>
      <c r="H768" s="6">
        <v>41.0015</v>
      </c>
      <c r="I768" s="6">
        <v>0.0</v>
      </c>
      <c r="J768" s="6">
        <v>41.0015</v>
      </c>
    </row>
    <row r="769">
      <c r="A769" s="5" t="s">
        <v>56</v>
      </c>
      <c r="B769" s="5" t="s">
        <v>1867</v>
      </c>
      <c r="C769" s="5" t="s">
        <v>75</v>
      </c>
      <c r="D769" s="6">
        <v>9.0</v>
      </c>
      <c r="E769" s="6">
        <v>1676846.0</v>
      </c>
      <c r="F769" s="6">
        <v>0.0</v>
      </c>
      <c r="G769" s="6">
        <v>79253.0</v>
      </c>
      <c r="H769" s="6">
        <v>21.1581</v>
      </c>
      <c r="I769" s="6">
        <v>0.0</v>
      </c>
      <c r="J769" s="6">
        <v>21.1581</v>
      </c>
    </row>
    <row r="770">
      <c r="A770" s="5" t="s">
        <v>56</v>
      </c>
      <c r="B770" s="5" t="s">
        <v>1867</v>
      </c>
      <c r="C770" s="5" t="s">
        <v>75</v>
      </c>
      <c r="D770" s="6">
        <v>10.0</v>
      </c>
      <c r="E770" s="6">
        <v>2947786.0</v>
      </c>
      <c r="F770" s="6">
        <v>1.0</v>
      </c>
      <c r="G770" s="6">
        <v>79253.0</v>
      </c>
      <c r="H770" s="6">
        <v>37.1946</v>
      </c>
      <c r="I770" s="6">
        <v>0.0</v>
      </c>
      <c r="J770" s="6">
        <v>37.1946</v>
      </c>
    </row>
    <row r="771">
      <c r="A771" s="5" t="s">
        <v>56</v>
      </c>
      <c r="B771" s="5" t="s">
        <v>1867</v>
      </c>
      <c r="C771" s="5" t="s">
        <v>75</v>
      </c>
      <c r="D771" s="6">
        <v>11.0</v>
      </c>
      <c r="E771" s="6">
        <v>1965164.0</v>
      </c>
      <c r="F771" s="6">
        <v>0.0</v>
      </c>
      <c r="G771" s="6">
        <v>79253.0</v>
      </c>
      <c r="H771" s="6">
        <v>24.7961</v>
      </c>
      <c r="I771" s="6">
        <v>0.0</v>
      </c>
      <c r="J771" s="6">
        <v>24.7961</v>
      </c>
    </row>
    <row r="772">
      <c r="A772" s="5" t="s">
        <v>56</v>
      </c>
      <c r="B772" s="5" t="s">
        <v>1867</v>
      </c>
      <c r="C772" s="5" t="s">
        <v>75</v>
      </c>
      <c r="D772" s="6">
        <v>12.0</v>
      </c>
      <c r="E772" s="6">
        <v>2943243.0</v>
      </c>
      <c r="F772" s="6">
        <v>5.0</v>
      </c>
      <c r="G772" s="6">
        <v>79253.0</v>
      </c>
      <c r="H772" s="6">
        <v>37.1373</v>
      </c>
      <c r="I772" s="6">
        <v>1.0E-4</v>
      </c>
      <c r="J772" s="6">
        <v>37.1372</v>
      </c>
    </row>
    <row r="773">
      <c r="A773" s="5" t="s">
        <v>56</v>
      </c>
      <c r="B773" s="5" t="s">
        <v>1867</v>
      </c>
      <c r="C773" s="5" t="s">
        <v>75</v>
      </c>
      <c r="D773" s="6">
        <v>13.0</v>
      </c>
      <c r="E773" s="6">
        <v>3126637.0</v>
      </c>
      <c r="F773" s="6">
        <v>0.0</v>
      </c>
      <c r="G773" s="6">
        <v>79253.0</v>
      </c>
      <c r="H773" s="6">
        <v>39.4513</v>
      </c>
      <c r="I773" s="6">
        <v>0.0</v>
      </c>
      <c r="J773" s="6">
        <v>39.4513</v>
      </c>
    </row>
    <row r="774">
      <c r="A774" s="5" t="s">
        <v>56</v>
      </c>
      <c r="B774" s="5" t="s">
        <v>1867</v>
      </c>
      <c r="C774" s="5" t="s">
        <v>75</v>
      </c>
      <c r="D774" s="6">
        <v>14.0</v>
      </c>
      <c r="E774" s="6">
        <v>1593942.0</v>
      </c>
      <c r="F774" s="6">
        <v>1.0</v>
      </c>
      <c r="G774" s="6">
        <v>79253.0</v>
      </c>
      <c r="H774" s="6">
        <v>20.1121</v>
      </c>
      <c r="I774" s="6">
        <v>0.0</v>
      </c>
      <c r="J774" s="6">
        <v>20.1121</v>
      </c>
    </row>
    <row r="775">
      <c r="A775" s="5" t="s">
        <v>56</v>
      </c>
      <c r="B775" s="5" t="s">
        <v>1867</v>
      </c>
      <c r="C775" s="5" t="s">
        <v>75</v>
      </c>
      <c r="D775" s="6">
        <v>15.0</v>
      </c>
      <c r="E775" s="6">
        <v>3134837.0</v>
      </c>
      <c r="F775" s="6">
        <v>16.0</v>
      </c>
      <c r="G775" s="6">
        <v>79253.0</v>
      </c>
      <c r="H775" s="6">
        <v>39.5548</v>
      </c>
      <c r="I775" s="6">
        <v>2.0E-4</v>
      </c>
      <c r="J775" s="6">
        <v>39.5546</v>
      </c>
    </row>
    <row r="776">
      <c r="A776" s="5" t="s">
        <v>56</v>
      </c>
      <c r="B776" s="5" t="s">
        <v>1867</v>
      </c>
      <c r="C776" s="5" t="s">
        <v>75</v>
      </c>
      <c r="D776" s="6">
        <v>16.0</v>
      </c>
      <c r="E776" s="6">
        <v>1567687.0</v>
      </c>
      <c r="F776" s="6">
        <v>1.0</v>
      </c>
      <c r="G776" s="6">
        <v>79253.0</v>
      </c>
      <c r="H776" s="6">
        <v>19.7808</v>
      </c>
      <c r="I776" s="6">
        <v>0.0</v>
      </c>
      <c r="J776" s="6">
        <v>19.7808</v>
      </c>
    </row>
    <row r="777">
      <c r="A777" s="5" t="s">
        <v>56</v>
      </c>
      <c r="B777" s="5" t="s">
        <v>1867</v>
      </c>
      <c r="C777" s="5" t="s">
        <v>75</v>
      </c>
      <c r="D777" s="6">
        <v>17.0</v>
      </c>
      <c r="E777" s="6">
        <v>2762437.0</v>
      </c>
      <c r="F777" s="6">
        <v>3.0</v>
      </c>
      <c r="G777" s="6">
        <v>79253.0</v>
      </c>
      <c r="H777" s="6">
        <v>34.8559</v>
      </c>
      <c r="I777" s="6">
        <v>0.0</v>
      </c>
      <c r="J777" s="6">
        <v>34.8559</v>
      </c>
    </row>
    <row r="778">
      <c r="A778" s="5" t="s">
        <v>56</v>
      </c>
      <c r="B778" s="5" t="s">
        <v>1867</v>
      </c>
      <c r="C778" s="5" t="s">
        <v>75</v>
      </c>
      <c r="D778" s="6">
        <v>18.0</v>
      </c>
      <c r="E778" s="6">
        <v>1864918.0</v>
      </c>
      <c r="F778" s="6">
        <v>0.0</v>
      </c>
      <c r="G778" s="6">
        <v>79253.0</v>
      </c>
      <c r="H778" s="6">
        <v>23.5312</v>
      </c>
      <c r="I778" s="6">
        <v>0.0</v>
      </c>
      <c r="J778" s="6">
        <v>23.5312</v>
      </c>
    </row>
    <row r="779">
      <c r="A779" s="5" t="s">
        <v>56</v>
      </c>
      <c r="B779" s="5" t="s">
        <v>1867</v>
      </c>
      <c r="C779" s="5" t="s">
        <v>75</v>
      </c>
      <c r="D779" s="6">
        <v>19.0</v>
      </c>
      <c r="E779" s="6">
        <v>2771241.0</v>
      </c>
      <c r="F779" s="6">
        <v>54.0</v>
      </c>
      <c r="G779" s="6">
        <v>79253.0</v>
      </c>
      <c r="H779" s="6">
        <v>34.967</v>
      </c>
      <c r="I779" s="6">
        <v>7.0E-4</v>
      </c>
      <c r="J779" s="6">
        <v>34.9663</v>
      </c>
    </row>
    <row r="780">
      <c r="A780" s="5" t="s">
        <v>56</v>
      </c>
      <c r="B780" s="5" t="s">
        <v>1867</v>
      </c>
      <c r="C780" s="5" t="s">
        <v>75</v>
      </c>
      <c r="D780" s="6">
        <v>20.0</v>
      </c>
      <c r="E780" s="6">
        <v>2979455.0</v>
      </c>
      <c r="F780" s="6">
        <v>12.0</v>
      </c>
      <c r="G780" s="6">
        <v>79253.0</v>
      </c>
      <c r="H780" s="6">
        <v>37.5942</v>
      </c>
      <c r="I780" s="6">
        <v>2.0E-4</v>
      </c>
      <c r="J780" s="6">
        <v>37.5941</v>
      </c>
    </row>
    <row r="781">
      <c r="A781" s="5" t="s">
        <v>56</v>
      </c>
      <c r="B781" s="5" t="s">
        <v>1867</v>
      </c>
      <c r="C781" s="5" t="s">
        <v>75</v>
      </c>
      <c r="D781" s="6">
        <v>21.0</v>
      </c>
      <c r="E781" s="6">
        <v>3751689.0</v>
      </c>
      <c r="F781" s="6">
        <v>0.0</v>
      </c>
      <c r="G781" s="6">
        <v>79253.0</v>
      </c>
      <c r="H781" s="6">
        <v>47.3381</v>
      </c>
      <c r="I781" s="6">
        <v>0.0</v>
      </c>
      <c r="J781" s="6">
        <v>47.3381</v>
      </c>
    </row>
    <row r="782">
      <c r="A782" s="5" t="s">
        <v>56</v>
      </c>
      <c r="B782" s="5" t="s">
        <v>1867</v>
      </c>
      <c r="C782" s="5" t="s">
        <v>75</v>
      </c>
      <c r="D782" s="6">
        <v>22.0</v>
      </c>
      <c r="E782" s="6">
        <v>3437876.0</v>
      </c>
      <c r="F782" s="6">
        <v>10.0</v>
      </c>
      <c r="G782" s="6">
        <v>79253.0</v>
      </c>
      <c r="H782" s="6">
        <v>43.3785</v>
      </c>
      <c r="I782" s="6">
        <v>1.0E-4</v>
      </c>
      <c r="J782" s="6">
        <v>43.3784</v>
      </c>
    </row>
    <row r="783">
      <c r="A783" s="5" t="s">
        <v>56</v>
      </c>
      <c r="B783" s="5" t="s">
        <v>1867</v>
      </c>
      <c r="C783" s="5" t="s">
        <v>75</v>
      </c>
      <c r="D783" s="6">
        <v>23.0</v>
      </c>
      <c r="E783" s="6">
        <v>2010695.0</v>
      </c>
      <c r="F783" s="6">
        <v>0.0</v>
      </c>
      <c r="G783" s="6">
        <v>79253.0</v>
      </c>
      <c r="H783" s="6">
        <v>25.3706</v>
      </c>
      <c r="I783" s="6">
        <v>0.0</v>
      </c>
      <c r="J783" s="6">
        <v>25.3706</v>
      </c>
    </row>
    <row r="784">
      <c r="A784" s="5" t="s">
        <v>56</v>
      </c>
      <c r="B784" s="5" t="s">
        <v>1867</v>
      </c>
      <c r="C784" s="5" t="s">
        <v>75</v>
      </c>
      <c r="D784" s="6">
        <v>24.0</v>
      </c>
      <c r="E784" s="6">
        <v>3127690.0</v>
      </c>
      <c r="F784" s="6">
        <v>0.0</v>
      </c>
      <c r="G784" s="6">
        <v>79253.0</v>
      </c>
      <c r="H784" s="6">
        <v>39.4646</v>
      </c>
      <c r="I784" s="6">
        <v>0.0</v>
      </c>
      <c r="J784" s="6">
        <v>39.4646</v>
      </c>
    </row>
    <row r="785">
      <c r="A785" s="5" t="s">
        <v>56</v>
      </c>
      <c r="B785" s="5" t="s">
        <v>1867</v>
      </c>
      <c r="C785" s="5" t="s">
        <v>75</v>
      </c>
      <c r="D785" s="6">
        <v>25.0</v>
      </c>
      <c r="E785" s="6">
        <v>2157508.0</v>
      </c>
      <c r="F785" s="6">
        <v>0.0</v>
      </c>
      <c r="G785" s="6">
        <v>79253.0</v>
      </c>
      <c r="H785" s="6">
        <v>27.223</v>
      </c>
      <c r="I785" s="6">
        <v>0.0</v>
      </c>
      <c r="J785" s="6">
        <v>27.223</v>
      </c>
    </row>
    <row r="786">
      <c r="A786" s="5" t="s">
        <v>56</v>
      </c>
      <c r="B786" s="5" t="s">
        <v>1867</v>
      </c>
      <c r="C786" s="5" t="s">
        <v>75</v>
      </c>
      <c r="D786" s="6">
        <v>26.0</v>
      </c>
      <c r="E786" s="6">
        <v>2985159.0</v>
      </c>
      <c r="F786" s="6">
        <v>9.0</v>
      </c>
      <c r="G786" s="6">
        <v>79253.0</v>
      </c>
      <c r="H786" s="6">
        <v>37.6662</v>
      </c>
      <c r="I786" s="6">
        <v>1.0E-4</v>
      </c>
      <c r="J786" s="6">
        <v>37.6661</v>
      </c>
    </row>
    <row r="787">
      <c r="A787" s="5" t="s">
        <v>56</v>
      </c>
      <c r="B787" s="5" t="s">
        <v>1867</v>
      </c>
      <c r="C787" s="5" t="s">
        <v>75</v>
      </c>
      <c r="D787" s="6">
        <v>27.0</v>
      </c>
      <c r="E787" s="6">
        <v>3123407.0</v>
      </c>
      <c r="F787" s="6">
        <v>0.0</v>
      </c>
      <c r="G787" s="6">
        <v>79253.0</v>
      </c>
      <c r="H787" s="6">
        <v>39.4106</v>
      </c>
      <c r="I787" s="6">
        <v>0.0</v>
      </c>
      <c r="J787" s="6">
        <v>39.4106</v>
      </c>
    </row>
    <row r="788">
      <c r="A788" s="5" t="s">
        <v>56</v>
      </c>
      <c r="B788" s="5" t="s">
        <v>1867</v>
      </c>
      <c r="C788" s="5" t="s">
        <v>75</v>
      </c>
      <c r="D788" s="6">
        <v>28.0</v>
      </c>
      <c r="E788" s="6">
        <v>1609236.0</v>
      </c>
      <c r="F788" s="6">
        <v>3.0</v>
      </c>
      <c r="G788" s="6">
        <v>79253.0</v>
      </c>
      <c r="H788" s="6">
        <v>20.305</v>
      </c>
      <c r="I788" s="6">
        <v>0.0</v>
      </c>
      <c r="J788" s="6">
        <v>20.305</v>
      </c>
    </row>
    <row r="789">
      <c r="A789" s="5" t="s">
        <v>56</v>
      </c>
      <c r="B789" s="5" t="s">
        <v>1867</v>
      </c>
      <c r="C789" s="5" t="s">
        <v>75</v>
      </c>
      <c r="D789" s="6">
        <v>29.0</v>
      </c>
      <c r="E789" s="6">
        <v>3065952.0</v>
      </c>
      <c r="F789" s="6">
        <v>0.0</v>
      </c>
      <c r="G789" s="6">
        <v>79253.0</v>
      </c>
      <c r="H789" s="6">
        <v>38.6856</v>
      </c>
      <c r="I789" s="6">
        <v>0.0</v>
      </c>
      <c r="J789" s="6">
        <v>38.6856</v>
      </c>
    </row>
    <row r="790">
      <c r="A790" s="5" t="s">
        <v>56</v>
      </c>
      <c r="B790" s="5" t="s">
        <v>1867</v>
      </c>
      <c r="C790" s="5" t="s">
        <v>75</v>
      </c>
      <c r="D790" s="6">
        <v>30.0</v>
      </c>
      <c r="E790" s="6">
        <v>1506320.0</v>
      </c>
      <c r="F790" s="6">
        <v>0.0</v>
      </c>
      <c r="G790" s="6">
        <v>79253.0</v>
      </c>
      <c r="H790" s="6">
        <v>19.0065</v>
      </c>
      <c r="I790" s="6">
        <v>0.0</v>
      </c>
      <c r="J790" s="6">
        <v>19.0065</v>
      </c>
    </row>
    <row r="791">
      <c r="A791" s="5" t="s">
        <v>56</v>
      </c>
      <c r="B791" s="5" t="s">
        <v>1867</v>
      </c>
      <c r="C791" s="5" t="s">
        <v>75</v>
      </c>
      <c r="D791" s="6">
        <v>31.0</v>
      </c>
      <c r="E791" s="6">
        <v>2646964.0</v>
      </c>
      <c r="F791" s="6">
        <v>0.0</v>
      </c>
      <c r="G791" s="6">
        <v>79253.0</v>
      </c>
      <c r="H791" s="6">
        <v>33.3989</v>
      </c>
      <c r="I791" s="6">
        <v>0.0</v>
      </c>
      <c r="J791" s="6">
        <v>33.3989</v>
      </c>
    </row>
    <row r="792">
      <c r="A792" s="5" t="s">
        <v>56</v>
      </c>
      <c r="B792" s="5" t="s">
        <v>1867</v>
      </c>
      <c r="C792" s="5" t="s">
        <v>75</v>
      </c>
      <c r="D792" s="6">
        <v>32.0</v>
      </c>
      <c r="E792" s="6">
        <v>1800989.0</v>
      </c>
      <c r="F792" s="6">
        <v>4.0</v>
      </c>
      <c r="G792" s="6">
        <v>79253.0</v>
      </c>
      <c r="H792" s="6">
        <v>22.7246</v>
      </c>
      <c r="I792" s="6">
        <v>1.0E-4</v>
      </c>
      <c r="J792" s="6">
        <v>22.7245</v>
      </c>
    </row>
    <row r="793">
      <c r="A793" s="5" t="s">
        <v>56</v>
      </c>
      <c r="B793" s="5" t="s">
        <v>1867</v>
      </c>
      <c r="C793" s="5" t="s">
        <v>75</v>
      </c>
      <c r="D793" s="6">
        <v>33.0</v>
      </c>
      <c r="E793" s="6">
        <v>2706305.0</v>
      </c>
      <c r="F793" s="6">
        <v>0.0</v>
      </c>
      <c r="G793" s="6">
        <v>79253.0</v>
      </c>
      <c r="H793" s="6">
        <v>34.1477</v>
      </c>
      <c r="I793" s="6">
        <v>0.0</v>
      </c>
      <c r="J793" s="6">
        <v>34.1477</v>
      </c>
    </row>
    <row r="794">
      <c r="A794" s="5" t="s">
        <v>56</v>
      </c>
      <c r="B794" s="5" t="s">
        <v>1867</v>
      </c>
      <c r="C794" s="5" t="s">
        <v>68</v>
      </c>
      <c r="D794" s="6">
        <v>1.0</v>
      </c>
      <c r="E794" s="6">
        <v>255784.0</v>
      </c>
      <c r="F794" s="6">
        <v>0.0</v>
      </c>
      <c r="G794" s="6">
        <v>66689.0</v>
      </c>
      <c r="H794" s="6">
        <v>3.8355</v>
      </c>
      <c r="I794" s="6">
        <v>0.0</v>
      </c>
      <c r="J794" s="6">
        <v>3.8355</v>
      </c>
    </row>
    <row r="795">
      <c r="A795" s="5" t="s">
        <v>56</v>
      </c>
      <c r="B795" s="5" t="s">
        <v>1867</v>
      </c>
      <c r="C795" s="5" t="s">
        <v>68</v>
      </c>
      <c r="D795" s="6">
        <v>2.0</v>
      </c>
      <c r="E795" s="6">
        <v>484500.0</v>
      </c>
      <c r="F795" s="6">
        <v>0.0</v>
      </c>
      <c r="G795" s="6">
        <v>66689.0</v>
      </c>
      <c r="H795" s="6">
        <v>7.2651</v>
      </c>
      <c r="I795" s="6">
        <v>0.0</v>
      </c>
      <c r="J795" s="6">
        <v>7.2651</v>
      </c>
    </row>
    <row r="796">
      <c r="A796" s="5" t="s">
        <v>56</v>
      </c>
      <c r="B796" s="5" t="s">
        <v>1867</v>
      </c>
      <c r="C796" s="5" t="s">
        <v>68</v>
      </c>
      <c r="D796" s="6">
        <v>3.0</v>
      </c>
      <c r="E796" s="6">
        <v>909757.0</v>
      </c>
      <c r="F796" s="6">
        <v>0.0</v>
      </c>
      <c r="G796" s="6">
        <v>66689.0</v>
      </c>
      <c r="H796" s="6">
        <v>13.6418</v>
      </c>
      <c r="I796" s="6">
        <v>0.0</v>
      </c>
      <c r="J796" s="6">
        <v>13.6418</v>
      </c>
    </row>
    <row r="797">
      <c r="A797" s="5" t="s">
        <v>56</v>
      </c>
      <c r="B797" s="5" t="s">
        <v>1867</v>
      </c>
      <c r="C797" s="5" t="s">
        <v>68</v>
      </c>
      <c r="D797" s="6">
        <v>4.0</v>
      </c>
      <c r="E797" s="6">
        <v>557888.0</v>
      </c>
      <c r="F797" s="6">
        <v>0.0</v>
      </c>
      <c r="G797" s="6">
        <v>66689.0</v>
      </c>
      <c r="H797" s="6">
        <v>8.3655</v>
      </c>
      <c r="I797" s="6">
        <v>0.0</v>
      </c>
      <c r="J797" s="6">
        <v>8.3655</v>
      </c>
    </row>
    <row r="798">
      <c r="A798" s="5" t="s">
        <v>56</v>
      </c>
      <c r="B798" s="5" t="s">
        <v>1867</v>
      </c>
      <c r="C798" s="5" t="s">
        <v>68</v>
      </c>
      <c r="D798" s="6">
        <v>5.0</v>
      </c>
      <c r="E798" s="6">
        <v>376366.0</v>
      </c>
      <c r="F798" s="6">
        <v>0.0</v>
      </c>
      <c r="G798" s="6">
        <v>66689.0</v>
      </c>
      <c r="H798" s="6">
        <v>5.6436</v>
      </c>
      <c r="I798" s="6">
        <v>0.0</v>
      </c>
      <c r="J798" s="6">
        <v>5.6436</v>
      </c>
    </row>
    <row r="799">
      <c r="A799" s="5" t="s">
        <v>56</v>
      </c>
      <c r="B799" s="5" t="s">
        <v>1867</v>
      </c>
      <c r="C799" s="5" t="s">
        <v>68</v>
      </c>
      <c r="D799" s="6">
        <v>6.0</v>
      </c>
      <c r="E799" s="6">
        <v>234774.0</v>
      </c>
      <c r="F799" s="6">
        <v>0.0</v>
      </c>
      <c r="G799" s="6">
        <v>66689.0</v>
      </c>
      <c r="H799" s="6">
        <v>3.5204</v>
      </c>
      <c r="I799" s="6">
        <v>0.0</v>
      </c>
      <c r="J799" s="6">
        <v>3.5204</v>
      </c>
    </row>
    <row r="800">
      <c r="A800" s="5" t="s">
        <v>56</v>
      </c>
      <c r="B800" s="5" t="s">
        <v>1867</v>
      </c>
      <c r="C800" s="5" t="s">
        <v>68</v>
      </c>
      <c r="D800" s="6">
        <v>7.0</v>
      </c>
      <c r="E800" s="6">
        <v>295038.0</v>
      </c>
      <c r="F800" s="6">
        <v>0.0</v>
      </c>
      <c r="G800" s="6">
        <v>66689.0</v>
      </c>
      <c r="H800" s="6">
        <v>4.4241</v>
      </c>
      <c r="I800" s="6">
        <v>0.0</v>
      </c>
      <c r="J800" s="6">
        <v>4.4241</v>
      </c>
    </row>
    <row r="801">
      <c r="A801" s="5" t="s">
        <v>56</v>
      </c>
      <c r="B801" s="5" t="s">
        <v>1867</v>
      </c>
      <c r="C801" s="5" t="s">
        <v>68</v>
      </c>
      <c r="D801" s="6">
        <v>8.0</v>
      </c>
      <c r="E801" s="6">
        <v>236402.0</v>
      </c>
      <c r="F801" s="6">
        <v>0.0</v>
      </c>
      <c r="G801" s="6">
        <v>66689.0</v>
      </c>
      <c r="H801" s="6">
        <v>3.5448</v>
      </c>
      <c r="I801" s="6">
        <v>0.0</v>
      </c>
      <c r="J801" s="6">
        <v>3.5448</v>
      </c>
    </row>
    <row r="802">
      <c r="A802" s="5" t="s">
        <v>56</v>
      </c>
      <c r="B802" s="5" t="s">
        <v>1867</v>
      </c>
      <c r="C802" s="5" t="s">
        <v>68</v>
      </c>
      <c r="D802" s="6">
        <v>9.0</v>
      </c>
      <c r="E802" s="6">
        <v>252845.0</v>
      </c>
      <c r="F802" s="6">
        <v>0.0</v>
      </c>
      <c r="G802" s="6">
        <v>66689.0</v>
      </c>
      <c r="H802" s="6">
        <v>3.7914</v>
      </c>
      <c r="I802" s="6">
        <v>0.0</v>
      </c>
      <c r="J802" s="6">
        <v>3.7914</v>
      </c>
    </row>
    <row r="803">
      <c r="A803" s="5" t="s">
        <v>56</v>
      </c>
      <c r="B803" s="5" t="s">
        <v>1867</v>
      </c>
      <c r="C803" s="5" t="s">
        <v>68</v>
      </c>
      <c r="D803" s="6">
        <v>10.0</v>
      </c>
      <c r="E803" s="6">
        <v>924266.0</v>
      </c>
      <c r="F803" s="6">
        <v>0.0</v>
      </c>
      <c r="G803" s="6">
        <v>66689.0</v>
      </c>
      <c r="H803" s="6">
        <v>13.8593</v>
      </c>
      <c r="I803" s="6">
        <v>0.0</v>
      </c>
      <c r="J803" s="6">
        <v>13.8593</v>
      </c>
    </row>
    <row r="804">
      <c r="A804" s="5" t="s">
        <v>56</v>
      </c>
      <c r="B804" s="5" t="s">
        <v>1867</v>
      </c>
      <c r="C804" s="5" t="s">
        <v>68</v>
      </c>
      <c r="D804" s="6">
        <v>11.0</v>
      </c>
      <c r="E804" s="6">
        <v>537015.0</v>
      </c>
      <c r="F804" s="6">
        <v>0.0</v>
      </c>
      <c r="G804" s="6">
        <v>66689.0</v>
      </c>
      <c r="H804" s="6">
        <v>8.0525</v>
      </c>
      <c r="I804" s="6">
        <v>0.0</v>
      </c>
      <c r="J804" s="6">
        <v>8.0525</v>
      </c>
    </row>
    <row r="805">
      <c r="A805" s="5" t="s">
        <v>56</v>
      </c>
      <c r="B805" s="5" t="s">
        <v>1867</v>
      </c>
      <c r="C805" s="5" t="s">
        <v>68</v>
      </c>
      <c r="D805" s="6">
        <v>12.0</v>
      </c>
      <c r="E805" s="6">
        <v>343867.0</v>
      </c>
      <c r="F805" s="6">
        <v>0.0</v>
      </c>
      <c r="G805" s="6">
        <v>66689.0</v>
      </c>
      <c r="H805" s="6">
        <v>5.1563</v>
      </c>
      <c r="I805" s="6">
        <v>0.0</v>
      </c>
      <c r="J805" s="6">
        <v>5.1563</v>
      </c>
    </row>
    <row r="806">
      <c r="A806" s="5" t="s">
        <v>56</v>
      </c>
      <c r="B806" s="5" t="s">
        <v>1867</v>
      </c>
      <c r="C806" s="5" t="s">
        <v>68</v>
      </c>
      <c r="D806" s="6">
        <v>13.0</v>
      </c>
      <c r="E806" s="6">
        <v>228401.0</v>
      </c>
      <c r="F806" s="6">
        <v>0.0</v>
      </c>
      <c r="G806" s="6">
        <v>66689.0</v>
      </c>
      <c r="H806" s="6">
        <v>3.4249</v>
      </c>
      <c r="I806" s="6">
        <v>0.0</v>
      </c>
      <c r="J806" s="6">
        <v>3.4249</v>
      </c>
    </row>
    <row r="807">
      <c r="A807" s="5" t="s">
        <v>56</v>
      </c>
      <c r="B807" s="5" t="s">
        <v>1867</v>
      </c>
      <c r="C807" s="5" t="s">
        <v>68</v>
      </c>
      <c r="D807" s="6">
        <v>14.0</v>
      </c>
      <c r="E807" s="6">
        <v>266595.0</v>
      </c>
      <c r="F807" s="6">
        <v>0.0</v>
      </c>
      <c r="G807" s="6">
        <v>66689.0</v>
      </c>
      <c r="H807" s="6">
        <v>3.9976</v>
      </c>
      <c r="I807" s="6">
        <v>0.0</v>
      </c>
      <c r="J807" s="6">
        <v>3.9976</v>
      </c>
    </row>
    <row r="808">
      <c r="A808" s="5" t="s">
        <v>56</v>
      </c>
      <c r="B808" s="5" t="s">
        <v>1867</v>
      </c>
      <c r="C808" s="5" t="s">
        <v>68</v>
      </c>
      <c r="D808" s="6">
        <v>15.0</v>
      </c>
      <c r="E808" s="6">
        <v>204522.0</v>
      </c>
      <c r="F808" s="6">
        <v>0.0</v>
      </c>
      <c r="G808" s="6">
        <v>66689.0</v>
      </c>
      <c r="H808" s="6">
        <v>3.0668</v>
      </c>
      <c r="I808" s="6">
        <v>0.0</v>
      </c>
      <c r="J808" s="6">
        <v>3.0668</v>
      </c>
    </row>
    <row r="809">
      <c r="A809" s="5" t="s">
        <v>56</v>
      </c>
      <c r="B809" s="5" t="s">
        <v>1867</v>
      </c>
      <c r="C809" s="5" t="s">
        <v>68</v>
      </c>
      <c r="D809" s="6">
        <v>16.0</v>
      </c>
      <c r="E809" s="6">
        <v>358338.0</v>
      </c>
      <c r="F809" s="6">
        <v>0.0</v>
      </c>
      <c r="G809" s="6">
        <v>66689.0</v>
      </c>
      <c r="H809" s="6">
        <v>5.3733</v>
      </c>
      <c r="I809" s="6">
        <v>0.0</v>
      </c>
      <c r="J809" s="6">
        <v>5.3733</v>
      </c>
    </row>
    <row r="810">
      <c r="A810" s="5" t="s">
        <v>56</v>
      </c>
      <c r="B810" s="5" t="s">
        <v>1867</v>
      </c>
      <c r="C810" s="5" t="s">
        <v>68</v>
      </c>
      <c r="D810" s="6">
        <v>17.0</v>
      </c>
      <c r="E810" s="6">
        <v>836793.0</v>
      </c>
      <c r="F810" s="6">
        <v>0.0</v>
      </c>
      <c r="G810" s="6">
        <v>66689.0</v>
      </c>
      <c r="H810" s="6">
        <v>12.5477</v>
      </c>
      <c r="I810" s="6">
        <v>0.0</v>
      </c>
      <c r="J810" s="6">
        <v>12.5477</v>
      </c>
    </row>
    <row r="811">
      <c r="A811" s="5" t="s">
        <v>56</v>
      </c>
      <c r="B811" s="5" t="s">
        <v>1867</v>
      </c>
      <c r="C811" s="5" t="s">
        <v>68</v>
      </c>
      <c r="D811" s="6">
        <v>18.0</v>
      </c>
      <c r="E811" s="6">
        <v>487724.0</v>
      </c>
      <c r="F811" s="6">
        <v>0.0</v>
      </c>
      <c r="G811" s="6">
        <v>66689.0</v>
      </c>
      <c r="H811" s="6">
        <v>7.3134</v>
      </c>
      <c r="I811" s="6">
        <v>0.0</v>
      </c>
      <c r="J811" s="6">
        <v>7.3134</v>
      </c>
    </row>
    <row r="812">
      <c r="A812" s="5" t="s">
        <v>56</v>
      </c>
      <c r="B812" s="5" t="s">
        <v>1867</v>
      </c>
      <c r="C812" s="5" t="s">
        <v>68</v>
      </c>
      <c r="D812" s="6">
        <v>19.0</v>
      </c>
      <c r="E812" s="6">
        <v>312254.0</v>
      </c>
      <c r="F812" s="6">
        <v>0.0</v>
      </c>
      <c r="G812" s="6">
        <v>66689.0</v>
      </c>
      <c r="H812" s="6">
        <v>4.6822</v>
      </c>
      <c r="I812" s="6">
        <v>0.0</v>
      </c>
      <c r="J812" s="6">
        <v>4.6822</v>
      </c>
    </row>
    <row r="813">
      <c r="A813" s="5" t="s">
        <v>56</v>
      </c>
      <c r="B813" s="5" t="s">
        <v>1867</v>
      </c>
      <c r="C813" s="5" t="s">
        <v>68</v>
      </c>
      <c r="D813" s="6">
        <v>20.0</v>
      </c>
      <c r="E813" s="6">
        <v>196898.0</v>
      </c>
      <c r="F813" s="6">
        <v>0.0</v>
      </c>
      <c r="G813" s="6">
        <v>66689.0</v>
      </c>
      <c r="H813" s="6">
        <v>2.9525</v>
      </c>
      <c r="I813" s="6">
        <v>0.0</v>
      </c>
      <c r="J813" s="6">
        <v>2.9525</v>
      </c>
    </row>
    <row r="814">
      <c r="A814" s="5" t="s">
        <v>56</v>
      </c>
      <c r="B814" s="5" t="s">
        <v>1867</v>
      </c>
      <c r="C814" s="5" t="s">
        <v>68</v>
      </c>
      <c r="D814" s="6">
        <v>21.0</v>
      </c>
      <c r="E814" s="6">
        <v>272652.0</v>
      </c>
      <c r="F814" s="6">
        <v>0.0</v>
      </c>
      <c r="G814" s="6">
        <v>66689.0</v>
      </c>
      <c r="H814" s="6">
        <v>4.0884</v>
      </c>
      <c r="I814" s="6">
        <v>0.0</v>
      </c>
      <c r="J814" s="6">
        <v>4.0884</v>
      </c>
    </row>
    <row r="815">
      <c r="A815" s="5" t="s">
        <v>56</v>
      </c>
      <c r="B815" s="5" t="s">
        <v>1867</v>
      </c>
      <c r="C815" s="5" t="s">
        <v>68</v>
      </c>
      <c r="D815" s="6">
        <v>22.0</v>
      </c>
      <c r="E815" s="6">
        <v>216445.0</v>
      </c>
      <c r="F815" s="6">
        <v>0.0</v>
      </c>
      <c r="G815" s="6">
        <v>66689.0</v>
      </c>
      <c r="H815" s="6">
        <v>3.2456</v>
      </c>
      <c r="I815" s="6">
        <v>0.0</v>
      </c>
      <c r="J815" s="6">
        <v>3.2456</v>
      </c>
    </row>
    <row r="816">
      <c r="A816" s="5" t="s">
        <v>56</v>
      </c>
      <c r="B816" s="5" t="s">
        <v>1867</v>
      </c>
      <c r="C816" s="5" t="s">
        <v>68</v>
      </c>
      <c r="D816" s="6">
        <v>23.0</v>
      </c>
      <c r="E816" s="6">
        <v>205340.0</v>
      </c>
      <c r="F816" s="6">
        <v>0.0</v>
      </c>
      <c r="G816" s="6">
        <v>66689.0</v>
      </c>
      <c r="H816" s="6">
        <v>3.0791</v>
      </c>
      <c r="I816" s="6">
        <v>0.0</v>
      </c>
      <c r="J816" s="6">
        <v>3.0791</v>
      </c>
    </row>
    <row r="817">
      <c r="A817" s="5" t="s">
        <v>56</v>
      </c>
      <c r="B817" s="5" t="s">
        <v>1867</v>
      </c>
      <c r="C817" s="5" t="s">
        <v>68</v>
      </c>
      <c r="D817" s="6">
        <v>24.0</v>
      </c>
      <c r="E817" s="6">
        <v>804488.0</v>
      </c>
      <c r="F817" s="6">
        <v>0.0</v>
      </c>
      <c r="G817" s="6">
        <v>66689.0</v>
      </c>
      <c r="H817" s="6">
        <v>12.0633</v>
      </c>
      <c r="I817" s="6">
        <v>0.0</v>
      </c>
      <c r="J817" s="6">
        <v>12.0633</v>
      </c>
    </row>
    <row r="818">
      <c r="A818" s="5" t="s">
        <v>56</v>
      </c>
      <c r="B818" s="5" t="s">
        <v>1867</v>
      </c>
      <c r="C818" s="5" t="s">
        <v>68</v>
      </c>
      <c r="D818" s="6">
        <v>25.0</v>
      </c>
      <c r="E818" s="6">
        <v>471381.0</v>
      </c>
      <c r="F818" s="6">
        <v>0.0</v>
      </c>
      <c r="G818" s="6">
        <v>66689.0</v>
      </c>
      <c r="H818" s="6">
        <v>7.0683</v>
      </c>
      <c r="I818" s="6">
        <v>0.0</v>
      </c>
      <c r="J818" s="6">
        <v>7.0683</v>
      </c>
    </row>
    <row r="819">
      <c r="A819" s="5" t="s">
        <v>56</v>
      </c>
      <c r="B819" s="5" t="s">
        <v>1867</v>
      </c>
      <c r="C819" s="5" t="s">
        <v>68</v>
      </c>
      <c r="D819" s="6">
        <v>26.0</v>
      </c>
      <c r="E819" s="6">
        <v>296963.0</v>
      </c>
      <c r="F819" s="6">
        <v>0.0</v>
      </c>
      <c r="G819" s="6">
        <v>66689.0</v>
      </c>
      <c r="H819" s="6">
        <v>4.453</v>
      </c>
      <c r="I819" s="6">
        <v>0.0</v>
      </c>
      <c r="J819" s="6">
        <v>4.453</v>
      </c>
    </row>
    <row r="820">
      <c r="A820" s="5" t="s">
        <v>56</v>
      </c>
      <c r="B820" s="5" t="s">
        <v>1867</v>
      </c>
      <c r="C820" s="5" t="s">
        <v>68</v>
      </c>
      <c r="D820" s="6">
        <v>27.0</v>
      </c>
      <c r="E820" s="6">
        <v>187755.0</v>
      </c>
      <c r="F820" s="6">
        <v>0.0</v>
      </c>
      <c r="G820" s="6">
        <v>66689.0</v>
      </c>
      <c r="H820" s="6">
        <v>2.8154</v>
      </c>
      <c r="I820" s="6">
        <v>0.0</v>
      </c>
      <c r="J820" s="6">
        <v>2.8154</v>
      </c>
    </row>
    <row r="821">
      <c r="A821" s="5" t="s">
        <v>56</v>
      </c>
      <c r="B821" s="5" t="s">
        <v>1867</v>
      </c>
      <c r="C821" s="5" t="s">
        <v>68</v>
      </c>
      <c r="D821" s="6">
        <v>28.0</v>
      </c>
      <c r="E821" s="6">
        <v>229900.0</v>
      </c>
      <c r="F821" s="6">
        <v>0.0</v>
      </c>
      <c r="G821" s="6">
        <v>66689.0</v>
      </c>
      <c r="H821" s="6">
        <v>3.4473</v>
      </c>
      <c r="I821" s="6">
        <v>0.0</v>
      </c>
      <c r="J821" s="6">
        <v>3.4473</v>
      </c>
    </row>
    <row r="822">
      <c r="A822" s="5" t="s">
        <v>56</v>
      </c>
      <c r="B822" s="5" t="s">
        <v>1867</v>
      </c>
      <c r="C822" s="5" t="s">
        <v>68</v>
      </c>
      <c r="D822" s="6">
        <v>29.0</v>
      </c>
      <c r="E822" s="6">
        <v>203286.0</v>
      </c>
      <c r="F822" s="6">
        <v>0.0</v>
      </c>
      <c r="G822" s="6">
        <v>66689.0</v>
      </c>
      <c r="H822" s="6">
        <v>3.0483</v>
      </c>
      <c r="I822" s="6">
        <v>0.0</v>
      </c>
      <c r="J822" s="6">
        <v>3.0483</v>
      </c>
    </row>
    <row r="823">
      <c r="A823" s="5" t="s">
        <v>56</v>
      </c>
      <c r="B823" s="5" t="s">
        <v>1867</v>
      </c>
      <c r="C823" s="5" t="s">
        <v>68</v>
      </c>
      <c r="D823" s="6">
        <v>30.0</v>
      </c>
      <c r="E823" s="6">
        <v>351866.0</v>
      </c>
      <c r="F823" s="6">
        <v>0.0</v>
      </c>
      <c r="G823" s="6">
        <v>66689.0</v>
      </c>
      <c r="H823" s="6">
        <v>5.2762</v>
      </c>
      <c r="I823" s="6">
        <v>0.0</v>
      </c>
      <c r="J823" s="6">
        <v>5.2762</v>
      </c>
    </row>
    <row r="824">
      <c r="A824" s="5" t="s">
        <v>56</v>
      </c>
      <c r="B824" s="5" t="s">
        <v>1867</v>
      </c>
      <c r="C824" s="5" t="s">
        <v>68</v>
      </c>
      <c r="D824" s="6">
        <v>31.0</v>
      </c>
      <c r="E824" s="6">
        <v>875481.0</v>
      </c>
      <c r="F824" s="6">
        <v>0.0</v>
      </c>
      <c r="G824" s="6">
        <v>66689.0</v>
      </c>
      <c r="H824" s="6">
        <v>13.1278</v>
      </c>
      <c r="I824" s="6">
        <v>0.0</v>
      </c>
      <c r="J824" s="6">
        <v>13.1278</v>
      </c>
    </row>
    <row r="825">
      <c r="A825" s="5" t="s">
        <v>56</v>
      </c>
      <c r="B825" s="5" t="s">
        <v>1867</v>
      </c>
      <c r="C825" s="5" t="s">
        <v>68</v>
      </c>
      <c r="D825" s="6">
        <v>32.0</v>
      </c>
      <c r="E825" s="6">
        <v>492368.0</v>
      </c>
      <c r="F825" s="6">
        <v>0.0</v>
      </c>
      <c r="G825" s="6">
        <v>66689.0</v>
      </c>
      <c r="H825" s="6">
        <v>7.383</v>
      </c>
      <c r="I825" s="6">
        <v>0.0</v>
      </c>
      <c r="J825" s="6">
        <v>7.383</v>
      </c>
    </row>
    <row r="826">
      <c r="A826" s="5" t="s">
        <v>56</v>
      </c>
      <c r="B826" s="5" t="s">
        <v>1867</v>
      </c>
      <c r="C826" s="5" t="s">
        <v>68</v>
      </c>
      <c r="D826" s="6">
        <v>33.0</v>
      </c>
      <c r="E826" s="6">
        <v>314157.0</v>
      </c>
      <c r="F826" s="6">
        <v>0.0</v>
      </c>
      <c r="G826" s="6">
        <v>66689.0</v>
      </c>
      <c r="H826" s="6">
        <v>4.7108</v>
      </c>
      <c r="I826" s="6">
        <v>0.0</v>
      </c>
      <c r="J826" s="6">
        <v>4.7108</v>
      </c>
    </row>
    <row r="827">
      <c r="A827" s="5" t="s">
        <v>56</v>
      </c>
      <c r="B827" s="5" t="s">
        <v>1867</v>
      </c>
      <c r="C827" s="5" t="s">
        <v>2035</v>
      </c>
      <c r="D827" s="6">
        <v>1.0</v>
      </c>
      <c r="E827" s="6">
        <v>45.0</v>
      </c>
      <c r="F827" s="6">
        <v>0.0</v>
      </c>
      <c r="G827" s="6">
        <v>3002.0</v>
      </c>
      <c r="H827" s="6">
        <v>0.015</v>
      </c>
      <c r="I827" s="6">
        <v>0.0</v>
      </c>
      <c r="J827" s="6">
        <v>0.015</v>
      </c>
    </row>
    <row r="828">
      <c r="A828" s="5" t="s">
        <v>56</v>
      </c>
      <c r="B828" s="5" t="s">
        <v>1867</v>
      </c>
      <c r="C828" s="5" t="s">
        <v>2035</v>
      </c>
      <c r="D828" s="6">
        <v>2.0</v>
      </c>
      <c r="E828" s="6">
        <v>2775.0</v>
      </c>
      <c r="F828" s="6">
        <v>0.0</v>
      </c>
      <c r="G828" s="6">
        <v>3002.0</v>
      </c>
      <c r="H828" s="6">
        <v>0.9244</v>
      </c>
      <c r="I828" s="6">
        <v>0.0</v>
      </c>
      <c r="J828" s="6">
        <v>0.9244</v>
      </c>
    </row>
    <row r="829">
      <c r="A829" s="5" t="s">
        <v>56</v>
      </c>
      <c r="B829" s="5" t="s">
        <v>1867</v>
      </c>
      <c r="C829" s="5" t="s">
        <v>2035</v>
      </c>
      <c r="D829" s="6">
        <v>3.0</v>
      </c>
      <c r="E829" s="6">
        <v>3250.0</v>
      </c>
      <c r="F829" s="6">
        <v>0.0</v>
      </c>
      <c r="G829" s="6">
        <v>3002.0</v>
      </c>
      <c r="H829" s="6">
        <v>1.0826</v>
      </c>
      <c r="I829" s="6">
        <v>0.0</v>
      </c>
      <c r="J829" s="6">
        <v>1.0826</v>
      </c>
    </row>
    <row r="830">
      <c r="A830" s="5" t="s">
        <v>56</v>
      </c>
      <c r="B830" s="5" t="s">
        <v>1867</v>
      </c>
      <c r="C830" s="5" t="s">
        <v>2035</v>
      </c>
      <c r="D830" s="6">
        <v>4.0</v>
      </c>
      <c r="E830" s="6">
        <v>2460.0</v>
      </c>
      <c r="F830" s="6">
        <v>0.0</v>
      </c>
      <c r="G830" s="6">
        <v>3002.0</v>
      </c>
      <c r="H830" s="6">
        <v>0.8195</v>
      </c>
      <c r="I830" s="6">
        <v>0.0</v>
      </c>
      <c r="J830" s="6">
        <v>0.8195</v>
      </c>
    </row>
    <row r="831">
      <c r="A831" s="5" t="s">
        <v>56</v>
      </c>
      <c r="B831" s="5" t="s">
        <v>1867</v>
      </c>
      <c r="C831" s="5" t="s">
        <v>2035</v>
      </c>
      <c r="D831" s="6">
        <v>5.0</v>
      </c>
      <c r="E831" s="6">
        <v>2325.0</v>
      </c>
      <c r="F831" s="6">
        <v>0.0</v>
      </c>
      <c r="G831" s="6">
        <v>3002.0</v>
      </c>
      <c r="H831" s="6">
        <v>0.7745</v>
      </c>
      <c r="I831" s="6">
        <v>0.0</v>
      </c>
      <c r="J831" s="6">
        <v>0.7745</v>
      </c>
    </row>
    <row r="832">
      <c r="A832" s="5" t="s">
        <v>56</v>
      </c>
      <c r="B832" s="5" t="s">
        <v>1867</v>
      </c>
      <c r="C832" s="5" t="s">
        <v>2035</v>
      </c>
      <c r="D832" s="6">
        <v>6.0</v>
      </c>
      <c r="E832" s="6">
        <v>2235.0</v>
      </c>
      <c r="F832" s="6">
        <v>0.0</v>
      </c>
      <c r="G832" s="6">
        <v>3002.0</v>
      </c>
      <c r="H832" s="6">
        <v>0.7445</v>
      </c>
      <c r="I832" s="6">
        <v>0.0</v>
      </c>
      <c r="J832" s="6">
        <v>0.7445</v>
      </c>
    </row>
    <row r="833">
      <c r="A833" s="5" t="s">
        <v>56</v>
      </c>
      <c r="B833" s="5" t="s">
        <v>1867</v>
      </c>
      <c r="C833" s="5" t="s">
        <v>2035</v>
      </c>
      <c r="D833" s="6">
        <v>7.0</v>
      </c>
      <c r="E833" s="6">
        <v>2100.0</v>
      </c>
      <c r="F833" s="6">
        <v>0.0</v>
      </c>
      <c r="G833" s="6">
        <v>3002.0</v>
      </c>
      <c r="H833" s="6">
        <v>0.6995</v>
      </c>
      <c r="I833" s="6">
        <v>0.0</v>
      </c>
      <c r="J833" s="6">
        <v>0.6995</v>
      </c>
    </row>
    <row r="834">
      <c r="A834" s="5" t="s">
        <v>56</v>
      </c>
      <c r="B834" s="5" t="s">
        <v>1867</v>
      </c>
      <c r="C834" s="5" t="s">
        <v>2035</v>
      </c>
      <c r="D834" s="6">
        <v>8.0</v>
      </c>
      <c r="E834" s="6">
        <v>1675.0</v>
      </c>
      <c r="F834" s="6">
        <v>0.0</v>
      </c>
      <c r="G834" s="6">
        <v>3002.0</v>
      </c>
      <c r="H834" s="6">
        <v>0.558</v>
      </c>
      <c r="I834" s="6">
        <v>0.0</v>
      </c>
      <c r="J834" s="6">
        <v>0.558</v>
      </c>
    </row>
    <row r="835">
      <c r="A835" s="5" t="s">
        <v>56</v>
      </c>
      <c r="B835" s="5" t="s">
        <v>1867</v>
      </c>
      <c r="C835" s="5" t="s">
        <v>2035</v>
      </c>
      <c r="D835" s="6">
        <v>9.0</v>
      </c>
      <c r="E835" s="6">
        <v>75.0</v>
      </c>
      <c r="F835" s="6">
        <v>0.0</v>
      </c>
      <c r="G835" s="6">
        <v>3002.0</v>
      </c>
      <c r="H835" s="6">
        <v>0.025</v>
      </c>
      <c r="I835" s="6">
        <v>0.0</v>
      </c>
      <c r="J835" s="6">
        <v>0.025</v>
      </c>
    </row>
    <row r="836">
      <c r="A836" s="5" t="s">
        <v>56</v>
      </c>
      <c r="B836" s="5" t="s">
        <v>1867</v>
      </c>
      <c r="C836" s="5" t="s">
        <v>2035</v>
      </c>
      <c r="D836" s="6">
        <v>10.0</v>
      </c>
      <c r="E836" s="6">
        <v>15.0</v>
      </c>
      <c r="F836" s="6">
        <v>0.0</v>
      </c>
      <c r="G836" s="6">
        <v>3002.0</v>
      </c>
      <c r="H836" s="6">
        <v>0.005</v>
      </c>
      <c r="I836" s="6">
        <v>0.0</v>
      </c>
      <c r="J836" s="6">
        <v>0.005</v>
      </c>
    </row>
    <row r="837">
      <c r="A837" s="5" t="s">
        <v>56</v>
      </c>
      <c r="B837" s="5" t="s">
        <v>1867</v>
      </c>
      <c r="C837" s="5" t="s">
        <v>2035</v>
      </c>
      <c r="D837" s="6">
        <v>11.0</v>
      </c>
      <c r="E837" s="6">
        <v>80.0</v>
      </c>
      <c r="F837" s="6">
        <v>0.0</v>
      </c>
      <c r="G837" s="6">
        <v>3002.0</v>
      </c>
      <c r="H837" s="6">
        <v>0.0266</v>
      </c>
      <c r="I837" s="6">
        <v>0.0</v>
      </c>
      <c r="J837" s="6">
        <v>0.0266</v>
      </c>
    </row>
    <row r="838">
      <c r="A838" s="5" t="s">
        <v>56</v>
      </c>
      <c r="B838" s="5" t="s">
        <v>1867</v>
      </c>
      <c r="C838" s="5" t="s">
        <v>2035</v>
      </c>
      <c r="D838" s="6">
        <v>12.0</v>
      </c>
      <c r="E838" s="6">
        <v>60.0</v>
      </c>
      <c r="F838" s="6">
        <v>0.0</v>
      </c>
      <c r="G838" s="6">
        <v>3002.0</v>
      </c>
      <c r="H838" s="6">
        <v>0.02</v>
      </c>
      <c r="I838" s="6">
        <v>0.0</v>
      </c>
      <c r="J838" s="6">
        <v>0.02</v>
      </c>
    </row>
    <row r="839">
      <c r="A839" s="5" t="s">
        <v>56</v>
      </c>
      <c r="B839" s="5" t="s">
        <v>1867</v>
      </c>
      <c r="C839" s="5" t="s">
        <v>2035</v>
      </c>
      <c r="D839" s="6">
        <v>13.0</v>
      </c>
      <c r="E839" s="6">
        <v>15.0</v>
      </c>
      <c r="F839" s="6">
        <v>0.0</v>
      </c>
      <c r="G839" s="6">
        <v>3002.0</v>
      </c>
      <c r="H839" s="6">
        <v>0.005</v>
      </c>
      <c r="I839" s="6">
        <v>0.0</v>
      </c>
      <c r="J839" s="6">
        <v>0.005</v>
      </c>
    </row>
    <row r="840">
      <c r="A840" s="5" t="s">
        <v>56</v>
      </c>
      <c r="B840" s="5" t="s">
        <v>1867</v>
      </c>
      <c r="C840" s="5" t="s">
        <v>2035</v>
      </c>
      <c r="D840" s="6">
        <v>14.0</v>
      </c>
      <c r="E840" s="6">
        <v>0.0</v>
      </c>
      <c r="F840" s="6">
        <v>0.0</v>
      </c>
      <c r="G840" s="6">
        <v>3002.0</v>
      </c>
      <c r="H840" s="6">
        <v>0.0</v>
      </c>
      <c r="I840" s="6">
        <v>0.0</v>
      </c>
      <c r="J840" s="6">
        <v>0.0</v>
      </c>
    </row>
    <row r="841">
      <c r="A841" s="5" t="s">
        <v>56</v>
      </c>
      <c r="B841" s="5" t="s">
        <v>1867</v>
      </c>
      <c r="C841" s="5" t="s">
        <v>2035</v>
      </c>
      <c r="D841" s="6">
        <v>15.0</v>
      </c>
      <c r="E841" s="6">
        <v>15.0</v>
      </c>
      <c r="F841" s="6">
        <v>0.0</v>
      </c>
      <c r="G841" s="6">
        <v>3002.0</v>
      </c>
      <c r="H841" s="6">
        <v>0.005</v>
      </c>
      <c r="I841" s="6">
        <v>0.0</v>
      </c>
      <c r="J841" s="6">
        <v>0.005</v>
      </c>
    </row>
    <row r="842">
      <c r="A842" s="5" t="s">
        <v>56</v>
      </c>
      <c r="B842" s="5" t="s">
        <v>1867</v>
      </c>
      <c r="C842" s="5" t="s">
        <v>2035</v>
      </c>
      <c r="D842" s="6">
        <v>16.0</v>
      </c>
      <c r="E842" s="6">
        <v>2000.0</v>
      </c>
      <c r="F842" s="6">
        <v>0.0</v>
      </c>
      <c r="G842" s="6">
        <v>3002.0</v>
      </c>
      <c r="H842" s="6">
        <v>0.6662</v>
      </c>
      <c r="I842" s="6">
        <v>0.0</v>
      </c>
      <c r="J842" s="6">
        <v>0.6662</v>
      </c>
    </row>
    <row r="843">
      <c r="A843" s="5" t="s">
        <v>56</v>
      </c>
      <c r="B843" s="5" t="s">
        <v>1867</v>
      </c>
      <c r="C843" s="5" t="s">
        <v>2035</v>
      </c>
      <c r="D843" s="6">
        <v>17.0</v>
      </c>
      <c r="E843" s="6">
        <v>2170.0</v>
      </c>
      <c r="F843" s="6">
        <v>0.0</v>
      </c>
      <c r="G843" s="6">
        <v>3002.0</v>
      </c>
      <c r="H843" s="6">
        <v>0.7229</v>
      </c>
      <c r="I843" s="6">
        <v>0.0</v>
      </c>
      <c r="J843" s="6">
        <v>0.7229</v>
      </c>
    </row>
    <row r="844">
      <c r="A844" s="5" t="s">
        <v>56</v>
      </c>
      <c r="B844" s="5" t="s">
        <v>1867</v>
      </c>
      <c r="C844" s="5" t="s">
        <v>2035</v>
      </c>
      <c r="D844" s="6">
        <v>18.0</v>
      </c>
      <c r="E844" s="6">
        <v>1940.0</v>
      </c>
      <c r="F844" s="6">
        <v>0.0</v>
      </c>
      <c r="G844" s="6">
        <v>3002.0</v>
      </c>
      <c r="H844" s="6">
        <v>0.6462</v>
      </c>
      <c r="I844" s="6">
        <v>0.0</v>
      </c>
      <c r="J844" s="6">
        <v>0.6462</v>
      </c>
    </row>
    <row r="845">
      <c r="A845" s="5" t="s">
        <v>56</v>
      </c>
      <c r="B845" s="5" t="s">
        <v>1867</v>
      </c>
      <c r="C845" s="5" t="s">
        <v>2035</v>
      </c>
      <c r="D845" s="6">
        <v>19.0</v>
      </c>
      <c r="E845" s="6">
        <v>1715.0</v>
      </c>
      <c r="F845" s="6">
        <v>0.0</v>
      </c>
      <c r="G845" s="6">
        <v>3002.0</v>
      </c>
      <c r="H845" s="6">
        <v>0.5713</v>
      </c>
      <c r="I845" s="6">
        <v>0.0</v>
      </c>
      <c r="J845" s="6">
        <v>0.5713</v>
      </c>
    </row>
    <row r="846">
      <c r="A846" s="5" t="s">
        <v>56</v>
      </c>
      <c r="B846" s="5" t="s">
        <v>1867</v>
      </c>
      <c r="C846" s="5" t="s">
        <v>2035</v>
      </c>
      <c r="D846" s="6">
        <v>20.0</v>
      </c>
      <c r="E846" s="6">
        <v>1775.0</v>
      </c>
      <c r="F846" s="6">
        <v>0.0</v>
      </c>
      <c r="G846" s="6">
        <v>3002.0</v>
      </c>
      <c r="H846" s="6">
        <v>0.5913</v>
      </c>
      <c r="I846" s="6">
        <v>0.0</v>
      </c>
      <c r="J846" s="6">
        <v>0.5913</v>
      </c>
    </row>
    <row r="847">
      <c r="A847" s="5" t="s">
        <v>56</v>
      </c>
      <c r="B847" s="5" t="s">
        <v>1867</v>
      </c>
      <c r="C847" s="5" t="s">
        <v>2035</v>
      </c>
      <c r="D847" s="6">
        <v>21.0</v>
      </c>
      <c r="E847" s="6">
        <v>1975.0</v>
      </c>
      <c r="F847" s="6">
        <v>0.0</v>
      </c>
      <c r="G847" s="6">
        <v>3002.0</v>
      </c>
      <c r="H847" s="6">
        <v>0.6579</v>
      </c>
      <c r="I847" s="6">
        <v>0.0</v>
      </c>
      <c r="J847" s="6">
        <v>0.6579</v>
      </c>
    </row>
    <row r="848">
      <c r="A848" s="5" t="s">
        <v>56</v>
      </c>
      <c r="B848" s="5" t="s">
        <v>1867</v>
      </c>
      <c r="C848" s="5" t="s">
        <v>2035</v>
      </c>
      <c r="D848" s="6">
        <v>22.0</v>
      </c>
      <c r="E848" s="6">
        <v>1625.0</v>
      </c>
      <c r="F848" s="6">
        <v>0.0</v>
      </c>
      <c r="G848" s="6">
        <v>3002.0</v>
      </c>
      <c r="H848" s="6">
        <v>0.5413</v>
      </c>
      <c r="I848" s="6">
        <v>0.0</v>
      </c>
      <c r="J848" s="6">
        <v>0.5413</v>
      </c>
    </row>
    <row r="849">
      <c r="A849" s="5" t="s">
        <v>56</v>
      </c>
      <c r="B849" s="5" t="s">
        <v>1867</v>
      </c>
      <c r="C849" s="5" t="s">
        <v>2035</v>
      </c>
      <c r="D849" s="6">
        <v>23.0</v>
      </c>
      <c r="E849" s="6">
        <v>85.0</v>
      </c>
      <c r="F849" s="6">
        <v>0.0</v>
      </c>
      <c r="G849" s="6">
        <v>3002.0</v>
      </c>
      <c r="H849" s="6">
        <v>0.0283</v>
      </c>
      <c r="I849" s="6">
        <v>0.0</v>
      </c>
      <c r="J849" s="6">
        <v>0.0283</v>
      </c>
    </row>
    <row r="850">
      <c r="A850" s="5" t="s">
        <v>56</v>
      </c>
      <c r="B850" s="5" t="s">
        <v>1867</v>
      </c>
      <c r="C850" s="5" t="s">
        <v>2035</v>
      </c>
      <c r="D850" s="6">
        <v>24.0</v>
      </c>
      <c r="E850" s="6">
        <v>0.0</v>
      </c>
      <c r="F850" s="6">
        <v>0.0</v>
      </c>
      <c r="G850" s="6">
        <v>3002.0</v>
      </c>
      <c r="H850" s="6">
        <v>0.0</v>
      </c>
      <c r="I850" s="6">
        <v>0.0</v>
      </c>
      <c r="J850" s="6">
        <v>0.0</v>
      </c>
    </row>
    <row r="851">
      <c r="A851" s="5" t="s">
        <v>56</v>
      </c>
      <c r="B851" s="5" t="s">
        <v>1867</v>
      </c>
      <c r="C851" s="5" t="s">
        <v>2035</v>
      </c>
      <c r="D851" s="6">
        <v>25.0</v>
      </c>
      <c r="E851" s="6">
        <v>45.0</v>
      </c>
      <c r="F851" s="6">
        <v>0.0</v>
      </c>
      <c r="G851" s="6">
        <v>3002.0</v>
      </c>
      <c r="H851" s="6">
        <v>0.015</v>
      </c>
      <c r="I851" s="6">
        <v>0.0</v>
      </c>
      <c r="J851" s="6">
        <v>0.015</v>
      </c>
    </row>
    <row r="852">
      <c r="A852" s="5" t="s">
        <v>56</v>
      </c>
      <c r="B852" s="5" t="s">
        <v>1867</v>
      </c>
      <c r="C852" s="5" t="s">
        <v>2035</v>
      </c>
      <c r="D852" s="6">
        <v>26.0</v>
      </c>
      <c r="E852" s="6">
        <v>45.0</v>
      </c>
      <c r="F852" s="6">
        <v>0.0</v>
      </c>
      <c r="G852" s="6">
        <v>3002.0</v>
      </c>
      <c r="H852" s="6">
        <v>0.015</v>
      </c>
      <c r="I852" s="6">
        <v>0.0</v>
      </c>
      <c r="J852" s="6">
        <v>0.015</v>
      </c>
    </row>
    <row r="853">
      <c r="A853" s="5" t="s">
        <v>56</v>
      </c>
      <c r="B853" s="5" t="s">
        <v>1867</v>
      </c>
      <c r="C853" s="5" t="s">
        <v>2035</v>
      </c>
      <c r="D853" s="6">
        <v>27.0</v>
      </c>
      <c r="E853" s="6">
        <v>15.0</v>
      </c>
      <c r="F853" s="6">
        <v>0.0</v>
      </c>
      <c r="G853" s="6">
        <v>3002.0</v>
      </c>
      <c r="H853" s="6">
        <v>0.005</v>
      </c>
      <c r="I853" s="6">
        <v>0.0</v>
      </c>
      <c r="J853" s="6">
        <v>0.005</v>
      </c>
    </row>
    <row r="854">
      <c r="A854" s="5" t="s">
        <v>56</v>
      </c>
      <c r="B854" s="5" t="s">
        <v>1867</v>
      </c>
      <c r="C854" s="5" t="s">
        <v>2035</v>
      </c>
      <c r="D854" s="6">
        <v>28.0</v>
      </c>
      <c r="E854" s="6">
        <v>45.0</v>
      </c>
      <c r="F854" s="6">
        <v>0.0</v>
      </c>
      <c r="G854" s="6">
        <v>3002.0</v>
      </c>
      <c r="H854" s="6">
        <v>0.015</v>
      </c>
      <c r="I854" s="6">
        <v>0.0</v>
      </c>
      <c r="J854" s="6">
        <v>0.015</v>
      </c>
    </row>
    <row r="855">
      <c r="A855" s="5" t="s">
        <v>56</v>
      </c>
      <c r="B855" s="5" t="s">
        <v>1867</v>
      </c>
      <c r="C855" s="5" t="s">
        <v>2035</v>
      </c>
      <c r="D855" s="6">
        <v>29.0</v>
      </c>
      <c r="E855" s="6">
        <v>45.0</v>
      </c>
      <c r="F855" s="6">
        <v>0.0</v>
      </c>
      <c r="G855" s="6">
        <v>3002.0</v>
      </c>
      <c r="H855" s="6">
        <v>0.015</v>
      </c>
      <c r="I855" s="6">
        <v>0.0</v>
      </c>
      <c r="J855" s="6">
        <v>0.015</v>
      </c>
    </row>
    <row r="856">
      <c r="A856" s="5" t="s">
        <v>56</v>
      </c>
      <c r="B856" s="5" t="s">
        <v>1867</v>
      </c>
      <c r="C856" s="5" t="s">
        <v>2035</v>
      </c>
      <c r="D856" s="6">
        <v>30.0</v>
      </c>
      <c r="E856" s="6">
        <v>2245.0</v>
      </c>
      <c r="F856" s="6">
        <v>0.0</v>
      </c>
      <c r="G856" s="6">
        <v>3002.0</v>
      </c>
      <c r="H856" s="6">
        <v>0.7478</v>
      </c>
      <c r="I856" s="6">
        <v>0.0</v>
      </c>
      <c r="J856" s="6">
        <v>0.7478</v>
      </c>
    </row>
    <row r="857">
      <c r="A857" s="5" t="s">
        <v>56</v>
      </c>
      <c r="B857" s="5" t="s">
        <v>1867</v>
      </c>
      <c r="C857" s="5" t="s">
        <v>2035</v>
      </c>
      <c r="D857" s="6">
        <v>31.0</v>
      </c>
      <c r="E857" s="6">
        <v>2180.0</v>
      </c>
      <c r="F857" s="6">
        <v>0.0</v>
      </c>
      <c r="G857" s="6">
        <v>3002.0</v>
      </c>
      <c r="H857" s="6">
        <v>0.7262</v>
      </c>
      <c r="I857" s="6">
        <v>0.0</v>
      </c>
      <c r="J857" s="6">
        <v>0.7262</v>
      </c>
    </row>
    <row r="858">
      <c r="A858" s="5" t="s">
        <v>56</v>
      </c>
      <c r="B858" s="5" t="s">
        <v>1867</v>
      </c>
      <c r="C858" s="5" t="s">
        <v>2035</v>
      </c>
      <c r="D858" s="6">
        <v>32.0</v>
      </c>
      <c r="E858" s="6">
        <v>2320.0</v>
      </c>
      <c r="F858" s="6">
        <v>0.0</v>
      </c>
      <c r="G858" s="6">
        <v>3002.0</v>
      </c>
      <c r="H858" s="6">
        <v>0.7728</v>
      </c>
      <c r="I858" s="6">
        <v>0.0</v>
      </c>
      <c r="J858" s="6">
        <v>0.7728</v>
      </c>
    </row>
    <row r="859">
      <c r="A859" s="5" t="s">
        <v>56</v>
      </c>
      <c r="B859" s="5" t="s">
        <v>1867</v>
      </c>
      <c r="C859" s="5" t="s">
        <v>2035</v>
      </c>
      <c r="D859" s="6">
        <v>33.0</v>
      </c>
      <c r="E859" s="6">
        <v>1885.0</v>
      </c>
      <c r="F859" s="6">
        <v>0.0</v>
      </c>
      <c r="G859" s="6">
        <v>3002.0</v>
      </c>
      <c r="H859" s="6">
        <v>0.6279</v>
      </c>
      <c r="I859" s="6">
        <v>0.0</v>
      </c>
      <c r="J859" s="6">
        <v>0.6279</v>
      </c>
    </row>
    <row r="860">
      <c r="A860" s="5" t="s">
        <v>57</v>
      </c>
      <c r="B860" s="5" t="s">
        <v>163</v>
      </c>
      <c r="C860" s="5" t="s">
        <v>1882</v>
      </c>
      <c r="D860" s="6">
        <v>1.0</v>
      </c>
      <c r="E860" s="6">
        <v>2141543.0</v>
      </c>
      <c r="F860" s="6">
        <v>2534100.0</v>
      </c>
      <c r="G860" s="6">
        <v>74092.0</v>
      </c>
      <c r="H860" s="6">
        <v>28.9038</v>
      </c>
      <c r="I860" s="6">
        <v>34.2021</v>
      </c>
      <c r="J860" s="6">
        <v>-5.2982</v>
      </c>
    </row>
    <row r="861">
      <c r="A861" s="5" t="s">
        <v>57</v>
      </c>
      <c r="B861" s="5" t="s">
        <v>163</v>
      </c>
      <c r="C861" s="5" t="s">
        <v>1882</v>
      </c>
      <c r="D861" s="6">
        <v>2.0</v>
      </c>
      <c r="E861" s="6">
        <v>2590670.0</v>
      </c>
      <c r="F861" s="6">
        <v>2494250.0</v>
      </c>
      <c r="G861" s="6">
        <v>74092.0</v>
      </c>
      <c r="H861" s="6">
        <v>34.9656</v>
      </c>
      <c r="I861" s="6">
        <v>33.6642</v>
      </c>
      <c r="J861" s="6">
        <v>1.3014</v>
      </c>
    </row>
    <row r="862">
      <c r="A862" s="5" t="s">
        <v>57</v>
      </c>
      <c r="B862" s="5" t="s">
        <v>163</v>
      </c>
      <c r="C862" s="5" t="s">
        <v>1882</v>
      </c>
      <c r="D862" s="6">
        <v>3.0</v>
      </c>
      <c r="E862" s="6">
        <v>2775663.0</v>
      </c>
      <c r="F862" s="6">
        <v>2581850.0</v>
      </c>
      <c r="G862" s="6">
        <v>74092.0</v>
      </c>
      <c r="H862" s="6">
        <v>37.4624</v>
      </c>
      <c r="I862" s="6">
        <v>34.8465</v>
      </c>
      <c r="J862" s="6">
        <v>2.6158</v>
      </c>
    </row>
    <row r="863">
      <c r="A863" s="5" t="s">
        <v>57</v>
      </c>
      <c r="B863" s="5" t="s">
        <v>163</v>
      </c>
      <c r="C863" s="5" t="s">
        <v>1882</v>
      </c>
      <c r="D863" s="6">
        <v>4.0</v>
      </c>
      <c r="E863" s="6">
        <v>2584269.0</v>
      </c>
      <c r="F863" s="6">
        <v>2542800.0</v>
      </c>
      <c r="G863" s="6">
        <v>74092.0</v>
      </c>
      <c r="H863" s="6">
        <v>34.8792</v>
      </c>
      <c r="I863" s="6">
        <v>34.3195</v>
      </c>
      <c r="J863" s="6">
        <v>0.5597</v>
      </c>
    </row>
    <row r="864">
      <c r="A864" s="5" t="s">
        <v>57</v>
      </c>
      <c r="B864" s="5" t="s">
        <v>163</v>
      </c>
      <c r="C864" s="5" t="s">
        <v>1882</v>
      </c>
      <c r="D864" s="6">
        <v>5.0</v>
      </c>
      <c r="E864" s="6">
        <v>2229939.0</v>
      </c>
      <c r="F864" s="6">
        <v>2533300.0</v>
      </c>
      <c r="G864" s="6">
        <v>74092.0</v>
      </c>
      <c r="H864" s="6">
        <v>30.0969</v>
      </c>
      <c r="I864" s="6">
        <v>34.1913</v>
      </c>
      <c r="J864" s="6">
        <v>-4.0944</v>
      </c>
    </row>
    <row r="865">
      <c r="A865" s="5" t="s">
        <v>57</v>
      </c>
      <c r="B865" s="5" t="s">
        <v>163</v>
      </c>
      <c r="C865" s="5" t="s">
        <v>1882</v>
      </c>
      <c r="D865" s="6">
        <v>6.0</v>
      </c>
      <c r="E865" s="6">
        <v>3918782.0</v>
      </c>
      <c r="F865" s="6">
        <v>3411650.0</v>
      </c>
      <c r="G865" s="6">
        <v>74092.0</v>
      </c>
      <c r="H865" s="6">
        <v>52.8908</v>
      </c>
      <c r="I865" s="6">
        <v>46.0461</v>
      </c>
      <c r="J865" s="6">
        <v>6.8446</v>
      </c>
    </row>
    <row r="866">
      <c r="A866" s="5" t="s">
        <v>57</v>
      </c>
      <c r="B866" s="5" t="s">
        <v>163</v>
      </c>
      <c r="C866" s="5" t="s">
        <v>1882</v>
      </c>
      <c r="D866" s="6">
        <v>7.0</v>
      </c>
      <c r="E866" s="6">
        <v>2914504.0</v>
      </c>
      <c r="F866" s="6">
        <v>2923300.0</v>
      </c>
      <c r="G866" s="6">
        <v>74092.0</v>
      </c>
      <c r="H866" s="6">
        <v>39.3363</v>
      </c>
      <c r="I866" s="6">
        <v>39.455</v>
      </c>
      <c r="J866" s="6">
        <v>-0.1187</v>
      </c>
    </row>
    <row r="867">
      <c r="A867" s="5" t="s">
        <v>57</v>
      </c>
      <c r="B867" s="5" t="s">
        <v>163</v>
      </c>
      <c r="C867" s="5" t="s">
        <v>1882</v>
      </c>
      <c r="D867" s="6">
        <v>8.0</v>
      </c>
      <c r="E867" s="6">
        <v>2214475.0</v>
      </c>
      <c r="F867" s="6">
        <v>2536550.0</v>
      </c>
      <c r="G867" s="6">
        <v>74092.0</v>
      </c>
      <c r="H867" s="6">
        <v>29.8882</v>
      </c>
      <c r="I867" s="6">
        <v>34.2351</v>
      </c>
      <c r="J867" s="6">
        <v>-4.347</v>
      </c>
    </row>
    <row r="868">
      <c r="A868" s="5" t="s">
        <v>57</v>
      </c>
      <c r="B868" s="5" t="s">
        <v>163</v>
      </c>
      <c r="C868" s="5" t="s">
        <v>1882</v>
      </c>
      <c r="D868" s="6">
        <v>9.0</v>
      </c>
      <c r="E868" s="6">
        <v>2344067.0</v>
      </c>
      <c r="F868" s="6">
        <v>2366600.0</v>
      </c>
      <c r="G868" s="6">
        <v>74092.0</v>
      </c>
      <c r="H868" s="6">
        <v>31.6372</v>
      </c>
      <c r="I868" s="6">
        <v>31.9414</v>
      </c>
      <c r="J868" s="6">
        <v>-0.3041</v>
      </c>
    </row>
    <row r="869">
      <c r="A869" s="5" t="s">
        <v>57</v>
      </c>
      <c r="B869" s="5" t="s">
        <v>163</v>
      </c>
      <c r="C869" s="5" t="s">
        <v>1882</v>
      </c>
      <c r="D869" s="6">
        <v>10.0</v>
      </c>
      <c r="E869" s="6">
        <v>2783020.0</v>
      </c>
      <c r="F869" s="6">
        <v>2563850.0</v>
      </c>
      <c r="G869" s="6">
        <v>74092.0</v>
      </c>
      <c r="H869" s="6">
        <v>37.5617</v>
      </c>
      <c r="I869" s="6">
        <v>34.6036</v>
      </c>
      <c r="J869" s="6">
        <v>2.9581</v>
      </c>
    </row>
    <row r="870">
      <c r="A870" s="5" t="s">
        <v>57</v>
      </c>
      <c r="B870" s="5" t="s">
        <v>163</v>
      </c>
      <c r="C870" s="5" t="s">
        <v>1882</v>
      </c>
      <c r="D870" s="6">
        <v>11.0</v>
      </c>
      <c r="E870" s="6">
        <v>2449985.0</v>
      </c>
      <c r="F870" s="6">
        <v>2436650.0</v>
      </c>
      <c r="G870" s="6">
        <v>74092.0</v>
      </c>
      <c r="H870" s="6">
        <v>33.0668</v>
      </c>
      <c r="I870" s="6">
        <v>32.8868</v>
      </c>
      <c r="J870" s="6">
        <v>0.18</v>
      </c>
    </row>
    <row r="871">
      <c r="A871" s="5" t="s">
        <v>57</v>
      </c>
      <c r="B871" s="5" t="s">
        <v>163</v>
      </c>
      <c r="C871" s="5" t="s">
        <v>1882</v>
      </c>
      <c r="D871" s="6">
        <v>12.0</v>
      </c>
      <c r="E871" s="6">
        <v>2065701.0</v>
      </c>
      <c r="F871" s="6">
        <v>2384000.0</v>
      </c>
      <c r="G871" s="6">
        <v>74092.0</v>
      </c>
      <c r="H871" s="6">
        <v>27.8802</v>
      </c>
      <c r="I871" s="6">
        <v>32.1762</v>
      </c>
      <c r="J871" s="6">
        <v>-4.296</v>
      </c>
    </row>
    <row r="872">
      <c r="A872" s="5" t="s">
        <v>57</v>
      </c>
      <c r="B872" s="5" t="s">
        <v>163</v>
      </c>
      <c r="C872" s="5" t="s">
        <v>1882</v>
      </c>
      <c r="D872" s="6">
        <v>13.0</v>
      </c>
      <c r="E872" s="6">
        <v>3769974.0</v>
      </c>
      <c r="F872" s="6">
        <v>3274050.0</v>
      </c>
      <c r="G872" s="6">
        <v>74092.0</v>
      </c>
      <c r="H872" s="6">
        <v>50.8823</v>
      </c>
      <c r="I872" s="6">
        <v>44.189</v>
      </c>
      <c r="J872" s="6">
        <v>6.6934</v>
      </c>
    </row>
    <row r="873">
      <c r="A873" s="5" t="s">
        <v>57</v>
      </c>
      <c r="B873" s="5" t="s">
        <v>163</v>
      </c>
      <c r="C873" s="5" t="s">
        <v>1882</v>
      </c>
      <c r="D873" s="6">
        <v>14.0</v>
      </c>
      <c r="E873" s="6">
        <v>2755036.0</v>
      </c>
      <c r="F873" s="6">
        <v>2784850.0</v>
      </c>
      <c r="G873" s="6">
        <v>74092.0</v>
      </c>
      <c r="H873" s="6">
        <v>37.184</v>
      </c>
      <c r="I873" s="6">
        <v>37.5864</v>
      </c>
      <c r="J873" s="6">
        <v>-0.4024</v>
      </c>
    </row>
    <row r="874">
      <c r="A874" s="5" t="s">
        <v>57</v>
      </c>
      <c r="B874" s="5" t="s">
        <v>163</v>
      </c>
      <c r="C874" s="5" t="s">
        <v>1882</v>
      </c>
      <c r="D874" s="6">
        <v>15.0</v>
      </c>
      <c r="E874" s="6">
        <v>2094049.0</v>
      </c>
      <c r="F874" s="6">
        <v>2429400.0</v>
      </c>
      <c r="G874" s="6">
        <v>74092.0</v>
      </c>
      <c r="H874" s="6">
        <v>28.2628</v>
      </c>
      <c r="I874" s="6">
        <v>32.789</v>
      </c>
      <c r="J874" s="6">
        <v>-4.5261</v>
      </c>
    </row>
    <row r="875">
      <c r="A875" s="5" t="s">
        <v>57</v>
      </c>
      <c r="B875" s="5" t="s">
        <v>163</v>
      </c>
      <c r="C875" s="5" t="s">
        <v>1882</v>
      </c>
      <c r="D875" s="6">
        <v>16.0</v>
      </c>
      <c r="E875" s="6">
        <v>2360394.0</v>
      </c>
      <c r="F875" s="6">
        <v>2314650.0</v>
      </c>
      <c r="G875" s="6">
        <v>74092.0</v>
      </c>
      <c r="H875" s="6">
        <v>31.8576</v>
      </c>
      <c r="I875" s="6">
        <v>31.2402</v>
      </c>
      <c r="J875" s="6">
        <v>0.6174</v>
      </c>
    </row>
    <row r="876">
      <c r="A876" s="5" t="s">
        <v>57</v>
      </c>
      <c r="B876" s="5" t="s">
        <v>163</v>
      </c>
      <c r="C876" s="5" t="s">
        <v>1882</v>
      </c>
      <c r="D876" s="6">
        <v>17.0</v>
      </c>
      <c r="E876" s="6">
        <v>2666256.0</v>
      </c>
      <c r="F876" s="6">
        <v>2521350.0</v>
      </c>
      <c r="G876" s="6">
        <v>74092.0</v>
      </c>
      <c r="H876" s="6">
        <v>35.9857</v>
      </c>
      <c r="I876" s="6">
        <v>34.03</v>
      </c>
      <c r="J876" s="6">
        <v>1.9558</v>
      </c>
    </row>
    <row r="877">
      <c r="A877" s="5" t="s">
        <v>57</v>
      </c>
      <c r="B877" s="5" t="s">
        <v>163</v>
      </c>
      <c r="C877" s="5" t="s">
        <v>1882</v>
      </c>
      <c r="D877" s="6">
        <v>18.0</v>
      </c>
      <c r="E877" s="6">
        <v>2330383.0</v>
      </c>
      <c r="F877" s="6">
        <v>2372700.0</v>
      </c>
      <c r="G877" s="6">
        <v>74092.0</v>
      </c>
      <c r="H877" s="6">
        <v>31.4526</v>
      </c>
      <c r="I877" s="6">
        <v>32.0237</v>
      </c>
      <c r="J877" s="6">
        <v>-0.5711</v>
      </c>
    </row>
    <row r="878">
      <c r="A878" s="5" t="s">
        <v>57</v>
      </c>
      <c r="B878" s="5" t="s">
        <v>163</v>
      </c>
      <c r="C878" s="5" t="s">
        <v>1882</v>
      </c>
      <c r="D878" s="6">
        <v>19.0</v>
      </c>
      <c r="E878" s="6">
        <v>2004147.0</v>
      </c>
      <c r="F878" s="6">
        <v>2287400.0</v>
      </c>
      <c r="G878" s="6">
        <v>74092.0</v>
      </c>
      <c r="H878" s="6">
        <v>27.0494</v>
      </c>
      <c r="I878" s="6">
        <v>30.8724</v>
      </c>
      <c r="J878" s="6">
        <v>-3.823</v>
      </c>
    </row>
    <row r="879">
      <c r="A879" s="5" t="s">
        <v>57</v>
      </c>
      <c r="B879" s="5" t="s">
        <v>163</v>
      </c>
      <c r="C879" s="5" t="s">
        <v>1882</v>
      </c>
      <c r="D879" s="6">
        <v>20.0</v>
      </c>
      <c r="E879" s="6">
        <v>3776938.0</v>
      </c>
      <c r="F879" s="6">
        <v>3178450.0</v>
      </c>
      <c r="G879" s="6">
        <v>74092.0</v>
      </c>
      <c r="H879" s="6">
        <v>50.9763</v>
      </c>
      <c r="I879" s="6">
        <v>42.8987</v>
      </c>
      <c r="J879" s="6">
        <v>8.0776</v>
      </c>
    </row>
    <row r="880">
      <c r="A880" s="5" t="s">
        <v>57</v>
      </c>
      <c r="B880" s="5" t="s">
        <v>163</v>
      </c>
      <c r="C880" s="5" t="s">
        <v>1882</v>
      </c>
      <c r="D880" s="6">
        <v>21.0</v>
      </c>
      <c r="E880" s="6">
        <v>4266114.0</v>
      </c>
      <c r="F880" s="6">
        <v>3293100.0</v>
      </c>
      <c r="G880" s="6">
        <v>74092.0</v>
      </c>
      <c r="H880" s="6">
        <v>57.5786</v>
      </c>
      <c r="I880" s="6">
        <v>44.4461</v>
      </c>
      <c r="J880" s="6">
        <v>13.1325</v>
      </c>
    </row>
    <row r="881">
      <c r="A881" s="5" t="s">
        <v>57</v>
      </c>
      <c r="B881" s="5" t="s">
        <v>163</v>
      </c>
      <c r="C881" s="5" t="s">
        <v>1882</v>
      </c>
      <c r="D881" s="6">
        <v>22.0</v>
      </c>
      <c r="E881" s="6">
        <v>2598055.0</v>
      </c>
      <c r="F881" s="6">
        <v>2724750.0</v>
      </c>
      <c r="G881" s="6">
        <v>74092.0</v>
      </c>
      <c r="H881" s="6">
        <v>35.0653</v>
      </c>
      <c r="I881" s="6">
        <v>36.7752</v>
      </c>
      <c r="J881" s="6">
        <v>-1.71</v>
      </c>
    </row>
    <row r="882">
      <c r="A882" s="5" t="s">
        <v>57</v>
      </c>
      <c r="B882" s="5" t="s">
        <v>163</v>
      </c>
      <c r="C882" s="5" t="s">
        <v>1882</v>
      </c>
      <c r="D882" s="6">
        <v>23.0</v>
      </c>
      <c r="E882" s="6">
        <v>2351172.0</v>
      </c>
      <c r="F882" s="6">
        <v>2417700.0</v>
      </c>
      <c r="G882" s="6">
        <v>74092.0</v>
      </c>
      <c r="H882" s="6">
        <v>31.7331</v>
      </c>
      <c r="I882" s="6">
        <v>32.6311</v>
      </c>
      <c r="J882" s="6">
        <v>-0.8979</v>
      </c>
    </row>
    <row r="883">
      <c r="A883" s="5" t="s">
        <v>57</v>
      </c>
      <c r="B883" s="5" t="s">
        <v>163</v>
      </c>
      <c r="C883" s="5" t="s">
        <v>1882</v>
      </c>
      <c r="D883" s="6">
        <v>24.0</v>
      </c>
      <c r="E883" s="6">
        <v>2790961.0</v>
      </c>
      <c r="F883" s="6">
        <v>2538600.0</v>
      </c>
      <c r="G883" s="6">
        <v>74092.0</v>
      </c>
      <c r="H883" s="6">
        <v>37.6689</v>
      </c>
      <c r="I883" s="6">
        <v>34.2628</v>
      </c>
      <c r="J883" s="6">
        <v>3.406</v>
      </c>
    </row>
    <row r="884">
      <c r="A884" s="5" t="s">
        <v>57</v>
      </c>
      <c r="B884" s="5" t="s">
        <v>163</v>
      </c>
      <c r="C884" s="5" t="s">
        <v>1882</v>
      </c>
      <c r="D884" s="6">
        <v>25.0</v>
      </c>
      <c r="E884" s="6">
        <v>2382231.0</v>
      </c>
      <c r="F884" s="6">
        <v>2415550.0</v>
      </c>
      <c r="G884" s="6">
        <v>74092.0</v>
      </c>
      <c r="H884" s="6">
        <v>32.1523</v>
      </c>
      <c r="I884" s="6">
        <v>32.602</v>
      </c>
      <c r="J884" s="6">
        <v>-0.4497</v>
      </c>
    </row>
    <row r="885">
      <c r="A885" s="5" t="s">
        <v>57</v>
      </c>
      <c r="B885" s="5" t="s">
        <v>163</v>
      </c>
      <c r="C885" s="5" t="s">
        <v>1882</v>
      </c>
      <c r="D885" s="6">
        <v>26.0</v>
      </c>
      <c r="E885" s="6">
        <v>2011344.0</v>
      </c>
      <c r="F885" s="6">
        <v>2327600.0</v>
      </c>
      <c r="G885" s="6">
        <v>74092.0</v>
      </c>
      <c r="H885" s="6">
        <v>27.1466</v>
      </c>
      <c r="I885" s="6">
        <v>31.415</v>
      </c>
      <c r="J885" s="6">
        <v>-4.2684</v>
      </c>
    </row>
    <row r="886">
      <c r="A886" s="5" t="s">
        <v>57</v>
      </c>
      <c r="B886" s="5" t="s">
        <v>163</v>
      </c>
      <c r="C886" s="5" t="s">
        <v>1882</v>
      </c>
      <c r="D886" s="6">
        <v>27.0</v>
      </c>
      <c r="E886" s="6">
        <v>3839533.0</v>
      </c>
      <c r="F886" s="6">
        <v>3276200.0</v>
      </c>
      <c r="G886" s="6">
        <v>74092.0</v>
      </c>
      <c r="H886" s="6">
        <v>51.8212</v>
      </c>
      <c r="I886" s="6">
        <v>44.218</v>
      </c>
      <c r="J886" s="6">
        <v>7.6032</v>
      </c>
    </row>
    <row r="887">
      <c r="A887" s="5" t="s">
        <v>57</v>
      </c>
      <c r="B887" s="5" t="s">
        <v>163</v>
      </c>
      <c r="C887" s="5" t="s">
        <v>1882</v>
      </c>
      <c r="D887" s="6">
        <v>28.0</v>
      </c>
      <c r="E887" s="6">
        <v>2576881.0</v>
      </c>
      <c r="F887" s="6">
        <v>2726800.0</v>
      </c>
      <c r="G887" s="6">
        <v>74092.0</v>
      </c>
      <c r="H887" s="6">
        <v>34.7795</v>
      </c>
      <c r="I887" s="6">
        <v>36.8029</v>
      </c>
      <c r="J887" s="6">
        <v>-2.0234</v>
      </c>
    </row>
    <row r="888">
      <c r="A888" s="5" t="s">
        <v>57</v>
      </c>
      <c r="B888" s="5" t="s">
        <v>163</v>
      </c>
      <c r="C888" s="5" t="s">
        <v>1882</v>
      </c>
      <c r="D888" s="6">
        <v>29.0</v>
      </c>
      <c r="E888" s="6">
        <v>1918365.0</v>
      </c>
      <c r="F888" s="6">
        <v>2317100.0</v>
      </c>
      <c r="G888" s="6">
        <v>74092.0</v>
      </c>
      <c r="H888" s="6">
        <v>25.8917</v>
      </c>
      <c r="I888" s="6">
        <v>31.2733</v>
      </c>
      <c r="J888" s="6">
        <v>-5.3816</v>
      </c>
    </row>
    <row r="889">
      <c r="A889" s="5" t="s">
        <v>57</v>
      </c>
      <c r="B889" s="5" t="s">
        <v>163</v>
      </c>
      <c r="C889" s="5" t="s">
        <v>1882</v>
      </c>
      <c r="D889" s="6">
        <v>30.0</v>
      </c>
      <c r="E889" s="6">
        <v>2294876.0</v>
      </c>
      <c r="F889" s="6">
        <v>2261700.0</v>
      </c>
      <c r="G889" s="6">
        <v>74092.0</v>
      </c>
      <c r="H889" s="6">
        <v>30.9733</v>
      </c>
      <c r="I889" s="6">
        <v>30.5256</v>
      </c>
      <c r="J889" s="6">
        <v>0.4478</v>
      </c>
    </row>
    <row r="890">
      <c r="A890" s="5" t="s">
        <v>57</v>
      </c>
      <c r="B890" s="5" t="s">
        <v>163</v>
      </c>
      <c r="C890" s="5" t="s">
        <v>1882</v>
      </c>
      <c r="D890" s="6">
        <v>31.0</v>
      </c>
      <c r="E890" s="6">
        <v>2601794.0</v>
      </c>
      <c r="F890" s="6">
        <v>2375850.0</v>
      </c>
      <c r="G890" s="6">
        <v>74092.0</v>
      </c>
      <c r="H890" s="6">
        <v>35.1157</v>
      </c>
      <c r="I890" s="6">
        <v>32.0662</v>
      </c>
      <c r="J890" s="6">
        <v>3.0495</v>
      </c>
    </row>
    <row r="891">
      <c r="A891" s="5" t="s">
        <v>57</v>
      </c>
      <c r="B891" s="5" t="s">
        <v>163</v>
      </c>
      <c r="C891" s="5" t="s">
        <v>1882</v>
      </c>
      <c r="D891" s="6">
        <v>32.0</v>
      </c>
      <c r="E891" s="6">
        <v>2296930.0</v>
      </c>
      <c r="F891" s="6">
        <v>2302500.0</v>
      </c>
      <c r="G891" s="6">
        <v>74092.0</v>
      </c>
      <c r="H891" s="6">
        <v>31.0011</v>
      </c>
      <c r="I891" s="6">
        <v>31.0762</v>
      </c>
      <c r="J891" s="6">
        <v>-0.0752</v>
      </c>
    </row>
    <row r="892">
      <c r="A892" s="5" t="s">
        <v>57</v>
      </c>
      <c r="B892" s="5" t="s">
        <v>163</v>
      </c>
      <c r="C892" s="5" t="s">
        <v>1882</v>
      </c>
      <c r="D892" s="6">
        <v>33.0</v>
      </c>
      <c r="E892" s="6">
        <v>2010288.0</v>
      </c>
      <c r="F892" s="6">
        <v>2291750.0</v>
      </c>
      <c r="G892" s="6">
        <v>74092.0</v>
      </c>
      <c r="H892" s="6">
        <v>27.1323</v>
      </c>
      <c r="I892" s="6">
        <v>30.9311</v>
      </c>
      <c r="J892" s="6">
        <v>-3.7988</v>
      </c>
    </row>
    <row r="893">
      <c r="A893" s="5" t="s">
        <v>57</v>
      </c>
      <c r="B893" s="5" t="s">
        <v>163</v>
      </c>
      <c r="C893" s="5" t="s">
        <v>72</v>
      </c>
      <c r="D893" s="6">
        <v>1.0</v>
      </c>
      <c r="E893" s="6">
        <v>23644.0</v>
      </c>
      <c r="F893" s="6">
        <v>28931.0</v>
      </c>
      <c r="G893" s="6">
        <v>61923.0</v>
      </c>
      <c r="H893" s="6">
        <v>0.3818</v>
      </c>
      <c r="I893" s="6">
        <v>0.4672</v>
      </c>
      <c r="J893" s="6">
        <v>-0.0854</v>
      </c>
    </row>
    <row r="894">
      <c r="A894" s="5" t="s">
        <v>57</v>
      </c>
      <c r="B894" s="5" t="s">
        <v>163</v>
      </c>
      <c r="C894" s="5" t="s">
        <v>72</v>
      </c>
      <c r="D894" s="6">
        <v>2.0</v>
      </c>
      <c r="E894" s="6">
        <v>28427.0</v>
      </c>
      <c r="F894" s="6">
        <v>28082.0</v>
      </c>
      <c r="G894" s="6">
        <v>61923.0</v>
      </c>
      <c r="H894" s="6">
        <v>0.4591</v>
      </c>
      <c r="I894" s="6">
        <v>0.4535</v>
      </c>
      <c r="J894" s="6">
        <v>0.0056</v>
      </c>
    </row>
    <row r="895">
      <c r="A895" s="5" t="s">
        <v>57</v>
      </c>
      <c r="B895" s="5" t="s">
        <v>163</v>
      </c>
      <c r="C895" s="5" t="s">
        <v>72</v>
      </c>
      <c r="D895" s="6">
        <v>3.0</v>
      </c>
      <c r="E895" s="6">
        <v>29892.0</v>
      </c>
      <c r="F895" s="6">
        <v>29349.0</v>
      </c>
      <c r="G895" s="6">
        <v>61923.0</v>
      </c>
      <c r="H895" s="6">
        <v>0.4827</v>
      </c>
      <c r="I895" s="6">
        <v>0.474</v>
      </c>
      <c r="J895" s="6">
        <v>0.0088</v>
      </c>
    </row>
    <row r="896">
      <c r="A896" s="5" t="s">
        <v>57</v>
      </c>
      <c r="B896" s="5" t="s">
        <v>163</v>
      </c>
      <c r="C896" s="5" t="s">
        <v>72</v>
      </c>
      <c r="D896" s="6">
        <v>4.0</v>
      </c>
      <c r="E896" s="6">
        <v>27728.0</v>
      </c>
      <c r="F896" s="6">
        <v>28384.0</v>
      </c>
      <c r="G896" s="6">
        <v>61923.0</v>
      </c>
      <c r="H896" s="6">
        <v>0.4478</v>
      </c>
      <c r="I896" s="6">
        <v>0.4584</v>
      </c>
      <c r="J896" s="6">
        <v>-0.0106</v>
      </c>
    </row>
    <row r="897">
      <c r="A897" s="5" t="s">
        <v>57</v>
      </c>
      <c r="B897" s="5" t="s">
        <v>163</v>
      </c>
      <c r="C897" s="5" t="s">
        <v>72</v>
      </c>
      <c r="D897" s="6">
        <v>5.0</v>
      </c>
      <c r="E897" s="6">
        <v>24293.0</v>
      </c>
      <c r="F897" s="6">
        <v>28700.0</v>
      </c>
      <c r="G897" s="6">
        <v>61923.0</v>
      </c>
      <c r="H897" s="6">
        <v>0.3923</v>
      </c>
      <c r="I897" s="6">
        <v>0.4635</v>
      </c>
      <c r="J897" s="6">
        <v>-0.0712</v>
      </c>
    </row>
    <row r="898">
      <c r="A898" s="5" t="s">
        <v>57</v>
      </c>
      <c r="B898" s="5" t="s">
        <v>163</v>
      </c>
      <c r="C898" s="5" t="s">
        <v>72</v>
      </c>
      <c r="D898" s="6">
        <v>6.0</v>
      </c>
      <c r="E898" s="6">
        <v>40748.0</v>
      </c>
      <c r="F898" s="6">
        <v>36194.0</v>
      </c>
      <c r="G898" s="6">
        <v>61923.0</v>
      </c>
      <c r="H898" s="6">
        <v>0.658</v>
      </c>
      <c r="I898" s="6">
        <v>0.5845</v>
      </c>
      <c r="J898" s="6">
        <v>0.0735</v>
      </c>
    </row>
    <row r="899">
      <c r="A899" s="5" t="s">
        <v>57</v>
      </c>
      <c r="B899" s="5" t="s">
        <v>163</v>
      </c>
      <c r="C899" s="5" t="s">
        <v>72</v>
      </c>
      <c r="D899" s="6">
        <v>7.0</v>
      </c>
      <c r="E899" s="6">
        <v>33524.0</v>
      </c>
      <c r="F899" s="6">
        <v>33042.0</v>
      </c>
      <c r="G899" s="6">
        <v>61923.0</v>
      </c>
      <c r="H899" s="6">
        <v>0.5414</v>
      </c>
      <c r="I899" s="6">
        <v>0.5336</v>
      </c>
      <c r="J899" s="6">
        <v>0.0078</v>
      </c>
    </row>
    <row r="900">
      <c r="A900" s="5" t="s">
        <v>57</v>
      </c>
      <c r="B900" s="5" t="s">
        <v>163</v>
      </c>
      <c r="C900" s="5" t="s">
        <v>72</v>
      </c>
      <c r="D900" s="6">
        <v>8.0</v>
      </c>
      <c r="E900" s="6">
        <v>24663.0</v>
      </c>
      <c r="F900" s="6">
        <v>29035.0</v>
      </c>
      <c r="G900" s="6">
        <v>61923.0</v>
      </c>
      <c r="H900" s="6">
        <v>0.3983</v>
      </c>
      <c r="I900" s="6">
        <v>0.4689</v>
      </c>
      <c r="J900" s="6">
        <v>-0.0706</v>
      </c>
    </row>
    <row r="901">
      <c r="A901" s="5" t="s">
        <v>57</v>
      </c>
      <c r="B901" s="5" t="s">
        <v>163</v>
      </c>
      <c r="C901" s="5" t="s">
        <v>72</v>
      </c>
      <c r="D901" s="6">
        <v>9.0</v>
      </c>
      <c r="E901" s="6">
        <v>27414.0</v>
      </c>
      <c r="F901" s="6">
        <v>27504.0</v>
      </c>
      <c r="G901" s="6">
        <v>61923.0</v>
      </c>
      <c r="H901" s="6">
        <v>0.4427</v>
      </c>
      <c r="I901" s="6">
        <v>0.4442</v>
      </c>
      <c r="J901" s="6">
        <v>-0.0015</v>
      </c>
    </row>
    <row r="902">
      <c r="A902" s="5" t="s">
        <v>57</v>
      </c>
      <c r="B902" s="5" t="s">
        <v>163</v>
      </c>
      <c r="C902" s="5" t="s">
        <v>72</v>
      </c>
      <c r="D902" s="6">
        <v>10.0</v>
      </c>
      <c r="E902" s="6">
        <v>30474.0</v>
      </c>
      <c r="F902" s="6">
        <v>30070.0</v>
      </c>
      <c r="G902" s="6">
        <v>61923.0</v>
      </c>
      <c r="H902" s="6">
        <v>0.4921</v>
      </c>
      <c r="I902" s="6">
        <v>0.4856</v>
      </c>
      <c r="J902" s="6">
        <v>0.0065</v>
      </c>
    </row>
    <row r="903">
      <c r="A903" s="5" t="s">
        <v>57</v>
      </c>
      <c r="B903" s="5" t="s">
        <v>163</v>
      </c>
      <c r="C903" s="5" t="s">
        <v>72</v>
      </c>
      <c r="D903" s="6">
        <v>11.0</v>
      </c>
      <c r="E903" s="6">
        <v>27651.0</v>
      </c>
      <c r="F903" s="6">
        <v>28794.0</v>
      </c>
      <c r="G903" s="6">
        <v>61923.0</v>
      </c>
      <c r="H903" s="6">
        <v>0.4465</v>
      </c>
      <c r="I903" s="6">
        <v>0.465</v>
      </c>
      <c r="J903" s="6">
        <v>-0.0185</v>
      </c>
    </row>
    <row r="904">
      <c r="A904" s="5" t="s">
        <v>57</v>
      </c>
      <c r="B904" s="5" t="s">
        <v>163</v>
      </c>
      <c r="C904" s="5" t="s">
        <v>72</v>
      </c>
      <c r="D904" s="6">
        <v>12.0</v>
      </c>
      <c r="E904" s="6">
        <v>22967.0</v>
      </c>
      <c r="F904" s="6">
        <v>27711.0</v>
      </c>
      <c r="G904" s="6">
        <v>61923.0</v>
      </c>
      <c r="H904" s="6">
        <v>0.3709</v>
      </c>
      <c r="I904" s="6">
        <v>0.4475</v>
      </c>
      <c r="J904" s="6">
        <v>-0.0766</v>
      </c>
    </row>
    <row r="905">
      <c r="A905" s="5" t="s">
        <v>57</v>
      </c>
      <c r="B905" s="5" t="s">
        <v>163</v>
      </c>
      <c r="C905" s="5" t="s">
        <v>72</v>
      </c>
      <c r="D905" s="6">
        <v>13.0</v>
      </c>
      <c r="E905" s="6">
        <v>39928.0</v>
      </c>
      <c r="F905" s="6">
        <v>35699.0</v>
      </c>
      <c r="G905" s="6">
        <v>61923.0</v>
      </c>
      <c r="H905" s="6">
        <v>0.6448</v>
      </c>
      <c r="I905" s="6">
        <v>0.5765</v>
      </c>
      <c r="J905" s="6">
        <v>0.0683</v>
      </c>
    </row>
    <row r="906">
      <c r="A906" s="5" t="s">
        <v>57</v>
      </c>
      <c r="B906" s="5" t="s">
        <v>163</v>
      </c>
      <c r="C906" s="5" t="s">
        <v>72</v>
      </c>
      <c r="D906" s="6">
        <v>14.0</v>
      </c>
      <c r="E906" s="6">
        <v>32972.0</v>
      </c>
      <c r="F906" s="6">
        <v>32849.0</v>
      </c>
      <c r="G906" s="6">
        <v>61923.0</v>
      </c>
      <c r="H906" s="6">
        <v>0.5325</v>
      </c>
      <c r="I906" s="6">
        <v>0.5305</v>
      </c>
      <c r="J906" s="6">
        <v>0.002</v>
      </c>
    </row>
    <row r="907">
      <c r="A907" s="5" t="s">
        <v>57</v>
      </c>
      <c r="B907" s="5" t="s">
        <v>163</v>
      </c>
      <c r="C907" s="5" t="s">
        <v>72</v>
      </c>
      <c r="D907" s="6">
        <v>15.0</v>
      </c>
      <c r="E907" s="6">
        <v>23754.0</v>
      </c>
      <c r="F907" s="6">
        <v>29256.0</v>
      </c>
      <c r="G907" s="6">
        <v>61923.0</v>
      </c>
      <c r="H907" s="6">
        <v>0.3836</v>
      </c>
      <c r="I907" s="6">
        <v>0.4725</v>
      </c>
      <c r="J907" s="6">
        <v>-0.0889</v>
      </c>
    </row>
    <row r="908">
      <c r="A908" s="5" t="s">
        <v>57</v>
      </c>
      <c r="B908" s="5" t="s">
        <v>163</v>
      </c>
      <c r="C908" s="5" t="s">
        <v>72</v>
      </c>
      <c r="D908" s="6">
        <v>16.0</v>
      </c>
      <c r="E908" s="6">
        <v>27508.0</v>
      </c>
      <c r="F908" s="6">
        <v>27479.0</v>
      </c>
      <c r="G908" s="6">
        <v>61923.0</v>
      </c>
      <c r="H908" s="6">
        <v>0.4442</v>
      </c>
      <c r="I908" s="6">
        <v>0.4438</v>
      </c>
      <c r="J908" s="6">
        <v>5.0E-4</v>
      </c>
    </row>
    <row r="909">
      <c r="A909" s="5" t="s">
        <v>57</v>
      </c>
      <c r="B909" s="5" t="s">
        <v>163</v>
      </c>
      <c r="C909" s="5" t="s">
        <v>72</v>
      </c>
      <c r="D909" s="6">
        <v>17.0</v>
      </c>
      <c r="E909" s="6">
        <v>29505.0</v>
      </c>
      <c r="F909" s="6">
        <v>29050.0</v>
      </c>
      <c r="G909" s="6">
        <v>61923.0</v>
      </c>
      <c r="H909" s="6">
        <v>0.4765</v>
      </c>
      <c r="I909" s="6">
        <v>0.4691</v>
      </c>
      <c r="J909" s="6">
        <v>0.0073</v>
      </c>
    </row>
    <row r="910">
      <c r="A910" s="5" t="s">
        <v>57</v>
      </c>
      <c r="B910" s="5" t="s">
        <v>163</v>
      </c>
      <c r="C910" s="5" t="s">
        <v>72</v>
      </c>
      <c r="D910" s="6">
        <v>18.0</v>
      </c>
      <c r="E910" s="6">
        <v>26157.0</v>
      </c>
      <c r="F910" s="6">
        <v>27198.0</v>
      </c>
      <c r="G910" s="6">
        <v>61923.0</v>
      </c>
      <c r="H910" s="6">
        <v>0.4224</v>
      </c>
      <c r="I910" s="6">
        <v>0.4392</v>
      </c>
      <c r="J910" s="6">
        <v>-0.0168</v>
      </c>
    </row>
    <row r="911">
      <c r="A911" s="5" t="s">
        <v>57</v>
      </c>
      <c r="B911" s="5" t="s">
        <v>163</v>
      </c>
      <c r="C911" s="5" t="s">
        <v>72</v>
      </c>
      <c r="D911" s="6">
        <v>19.0</v>
      </c>
      <c r="E911" s="6">
        <v>21341.0</v>
      </c>
      <c r="F911" s="6">
        <v>26765.0</v>
      </c>
      <c r="G911" s="6">
        <v>61923.0</v>
      </c>
      <c r="H911" s="6">
        <v>0.3446</v>
      </c>
      <c r="I911" s="6">
        <v>0.4322</v>
      </c>
      <c r="J911" s="6">
        <v>-0.0876</v>
      </c>
    </row>
    <row r="912">
      <c r="A912" s="5" t="s">
        <v>57</v>
      </c>
      <c r="B912" s="5" t="s">
        <v>163</v>
      </c>
      <c r="C912" s="5" t="s">
        <v>72</v>
      </c>
      <c r="D912" s="6">
        <v>20.0</v>
      </c>
      <c r="E912" s="6">
        <v>39755.0</v>
      </c>
      <c r="F912" s="6">
        <v>35116.0</v>
      </c>
      <c r="G912" s="6">
        <v>61923.0</v>
      </c>
      <c r="H912" s="6">
        <v>0.642</v>
      </c>
      <c r="I912" s="6">
        <v>0.5671</v>
      </c>
      <c r="J912" s="6">
        <v>0.0749</v>
      </c>
    </row>
    <row r="913">
      <c r="A913" s="5" t="s">
        <v>57</v>
      </c>
      <c r="B913" s="5" t="s">
        <v>163</v>
      </c>
      <c r="C913" s="5" t="s">
        <v>72</v>
      </c>
      <c r="D913" s="6">
        <v>21.0</v>
      </c>
      <c r="E913" s="6">
        <v>42980.0</v>
      </c>
      <c r="F913" s="6">
        <v>36461.0</v>
      </c>
      <c r="G913" s="6">
        <v>61923.0</v>
      </c>
      <c r="H913" s="6">
        <v>0.6941</v>
      </c>
      <c r="I913" s="6">
        <v>0.5888</v>
      </c>
      <c r="J913" s="6">
        <v>0.1053</v>
      </c>
    </row>
    <row r="914">
      <c r="A914" s="5" t="s">
        <v>57</v>
      </c>
      <c r="B914" s="5" t="s">
        <v>163</v>
      </c>
      <c r="C914" s="5" t="s">
        <v>72</v>
      </c>
      <c r="D914" s="6">
        <v>22.0</v>
      </c>
      <c r="E914" s="6">
        <v>25838.0</v>
      </c>
      <c r="F914" s="6">
        <v>30340.0</v>
      </c>
      <c r="G914" s="6">
        <v>61923.0</v>
      </c>
      <c r="H914" s="6">
        <v>0.4173</v>
      </c>
      <c r="I914" s="6">
        <v>0.49</v>
      </c>
      <c r="J914" s="6">
        <v>-0.0727</v>
      </c>
    </row>
    <row r="915">
      <c r="A915" s="5" t="s">
        <v>57</v>
      </c>
      <c r="B915" s="5" t="s">
        <v>163</v>
      </c>
      <c r="C915" s="5" t="s">
        <v>72</v>
      </c>
      <c r="D915" s="6">
        <v>23.0</v>
      </c>
      <c r="E915" s="6">
        <v>26346.0</v>
      </c>
      <c r="F915" s="6">
        <v>27494.0</v>
      </c>
      <c r="G915" s="6">
        <v>61923.0</v>
      </c>
      <c r="H915" s="6">
        <v>0.4255</v>
      </c>
      <c r="I915" s="6">
        <v>0.444</v>
      </c>
      <c r="J915" s="6">
        <v>-0.0185</v>
      </c>
    </row>
    <row r="916">
      <c r="A916" s="5" t="s">
        <v>57</v>
      </c>
      <c r="B916" s="5" t="s">
        <v>163</v>
      </c>
      <c r="C916" s="5" t="s">
        <v>72</v>
      </c>
      <c r="D916" s="6">
        <v>24.0</v>
      </c>
      <c r="E916" s="6">
        <v>29129.0</v>
      </c>
      <c r="F916" s="6">
        <v>29237.0</v>
      </c>
      <c r="G916" s="6">
        <v>61923.0</v>
      </c>
      <c r="H916" s="6">
        <v>0.4704</v>
      </c>
      <c r="I916" s="6">
        <v>0.4722</v>
      </c>
      <c r="J916" s="6">
        <v>-0.0017</v>
      </c>
    </row>
    <row r="917">
      <c r="A917" s="5" t="s">
        <v>57</v>
      </c>
      <c r="B917" s="5" t="s">
        <v>163</v>
      </c>
      <c r="C917" s="5" t="s">
        <v>72</v>
      </c>
      <c r="D917" s="6">
        <v>25.0</v>
      </c>
      <c r="E917" s="6">
        <v>26059.0</v>
      </c>
      <c r="F917" s="6">
        <v>27564.0</v>
      </c>
      <c r="G917" s="6">
        <v>61923.0</v>
      </c>
      <c r="H917" s="6">
        <v>0.4208</v>
      </c>
      <c r="I917" s="6">
        <v>0.4451</v>
      </c>
      <c r="J917" s="6">
        <v>-0.0243</v>
      </c>
    </row>
    <row r="918">
      <c r="A918" s="5" t="s">
        <v>57</v>
      </c>
      <c r="B918" s="5" t="s">
        <v>163</v>
      </c>
      <c r="C918" s="5" t="s">
        <v>72</v>
      </c>
      <c r="D918" s="6">
        <v>26.0</v>
      </c>
      <c r="E918" s="6">
        <v>21324.0</v>
      </c>
      <c r="F918" s="6">
        <v>27012.0</v>
      </c>
      <c r="G918" s="6">
        <v>61923.0</v>
      </c>
      <c r="H918" s="6">
        <v>0.3444</v>
      </c>
      <c r="I918" s="6">
        <v>0.4362</v>
      </c>
      <c r="J918" s="6">
        <v>-0.0919</v>
      </c>
    </row>
    <row r="919">
      <c r="A919" s="5" t="s">
        <v>57</v>
      </c>
      <c r="B919" s="5" t="s">
        <v>163</v>
      </c>
      <c r="C919" s="5" t="s">
        <v>72</v>
      </c>
      <c r="D919" s="6">
        <v>27.0</v>
      </c>
      <c r="E919" s="6">
        <v>40297.0</v>
      </c>
      <c r="F919" s="6">
        <v>35528.0</v>
      </c>
      <c r="G919" s="6">
        <v>61923.0</v>
      </c>
      <c r="H919" s="6">
        <v>0.6508</v>
      </c>
      <c r="I919" s="6">
        <v>0.5737</v>
      </c>
      <c r="J919" s="6">
        <v>0.077</v>
      </c>
    </row>
    <row r="920">
      <c r="A920" s="5" t="s">
        <v>57</v>
      </c>
      <c r="B920" s="5" t="s">
        <v>163</v>
      </c>
      <c r="C920" s="5" t="s">
        <v>72</v>
      </c>
      <c r="D920" s="6">
        <v>28.0</v>
      </c>
      <c r="E920" s="6">
        <v>30080.0</v>
      </c>
      <c r="F920" s="6">
        <v>30677.0</v>
      </c>
      <c r="G920" s="6">
        <v>61923.0</v>
      </c>
      <c r="H920" s="6">
        <v>0.4858</v>
      </c>
      <c r="I920" s="6">
        <v>0.4954</v>
      </c>
      <c r="J920" s="6">
        <v>-0.0096</v>
      </c>
    </row>
    <row r="921">
      <c r="A921" s="5" t="s">
        <v>57</v>
      </c>
      <c r="B921" s="5" t="s">
        <v>163</v>
      </c>
      <c r="C921" s="5" t="s">
        <v>72</v>
      </c>
      <c r="D921" s="6">
        <v>29.0</v>
      </c>
      <c r="E921" s="6">
        <v>21423.0</v>
      </c>
      <c r="F921" s="6">
        <v>27231.0</v>
      </c>
      <c r="G921" s="6">
        <v>61923.0</v>
      </c>
      <c r="H921" s="6">
        <v>0.346</v>
      </c>
      <c r="I921" s="6">
        <v>0.4398</v>
      </c>
      <c r="J921" s="6">
        <v>-0.0938</v>
      </c>
    </row>
    <row r="922">
      <c r="A922" s="5" t="s">
        <v>57</v>
      </c>
      <c r="B922" s="5" t="s">
        <v>163</v>
      </c>
      <c r="C922" s="5" t="s">
        <v>72</v>
      </c>
      <c r="D922" s="6">
        <v>30.0</v>
      </c>
      <c r="E922" s="6">
        <v>26539.0</v>
      </c>
      <c r="F922" s="6">
        <v>26738.0</v>
      </c>
      <c r="G922" s="6">
        <v>61923.0</v>
      </c>
      <c r="H922" s="6">
        <v>0.4286</v>
      </c>
      <c r="I922" s="6">
        <v>0.4318</v>
      </c>
      <c r="J922" s="6">
        <v>-0.0032</v>
      </c>
    </row>
    <row r="923">
      <c r="A923" s="5" t="s">
        <v>57</v>
      </c>
      <c r="B923" s="5" t="s">
        <v>163</v>
      </c>
      <c r="C923" s="5" t="s">
        <v>72</v>
      </c>
      <c r="D923" s="6">
        <v>31.0</v>
      </c>
      <c r="E923" s="6">
        <v>28059.0</v>
      </c>
      <c r="F923" s="6">
        <v>27827.0</v>
      </c>
      <c r="G923" s="6">
        <v>61923.0</v>
      </c>
      <c r="H923" s="6">
        <v>0.4531</v>
      </c>
      <c r="I923" s="6">
        <v>0.4494</v>
      </c>
      <c r="J923" s="6">
        <v>0.0037</v>
      </c>
    </row>
    <row r="924">
      <c r="A924" s="5" t="s">
        <v>57</v>
      </c>
      <c r="B924" s="5" t="s">
        <v>163</v>
      </c>
      <c r="C924" s="5" t="s">
        <v>72</v>
      </c>
      <c r="D924" s="6">
        <v>32.0</v>
      </c>
      <c r="E924" s="6">
        <v>24910.0</v>
      </c>
      <c r="F924" s="6">
        <v>26631.0</v>
      </c>
      <c r="G924" s="6">
        <v>61923.0</v>
      </c>
      <c r="H924" s="6">
        <v>0.4023</v>
      </c>
      <c r="I924" s="6">
        <v>0.4301</v>
      </c>
      <c r="J924" s="6">
        <v>-0.0278</v>
      </c>
    </row>
    <row r="925">
      <c r="A925" s="5" t="s">
        <v>57</v>
      </c>
      <c r="B925" s="5" t="s">
        <v>163</v>
      </c>
      <c r="C925" s="5" t="s">
        <v>72</v>
      </c>
      <c r="D925" s="6">
        <v>33.0</v>
      </c>
      <c r="E925" s="6">
        <v>21510.0</v>
      </c>
      <c r="F925" s="6">
        <v>26423.0</v>
      </c>
      <c r="G925" s="6">
        <v>61923.0</v>
      </c>
      <c r="H925" s="6">
        <v>0.3474</v>
      </c>
      <c r="I925" s="6">
        <v>0.4267</v>
      </c>
      <c r="J925" s="6">
        <v>-0.0793</v>
      </c>
    </row>
    <row r="926">
      <c r="A926" s="5" t="s">
        <v>57</v>
      </c>
      <c r="B926" s="5" t="s">
        <v>163</v>
      </c>
      <c r="C926" s="5" t="s">
        <v>73</v>
      </c>
      <c r="D926" s="6">
        <v>1.0</v>
      </c>
      <c r="E926" s="6">
        <v>20820.0</v>
      </c>
      <c r="F926" s="6">
        <v>28163.0</v>
      </c>
      <c r="G926" s="6">
        <v>62811.0</v>
      </c>
      <c r="H926" s="6">
        <v>0.3315</v>
      </c>
      <c r="I926" s="6">
        <v>0.4484</v>
      </c>
      <c r="J926" s="6">
        <v>-0.1169</v>
      </c>
    </row>
    <row r="927">
      <c r="A927" s="5" t="s">
        <v>57</v>
      </c>
      <c r="B927" s="5" t="s">
        <v>163</v>
      </c>
      <c r="C927" s="5" t="s">
        <v>73</v>
      </c>
      <c r="D927" s="6">
        <v>2.0</v>
      </c>
      <c r="E927" s="6">
        <v>27390.0</v>
      </c>
      <c r="F927" s="6">
        <v>26675.0</v>
      </c>
      <c r="G927" s="6">
        <v>62811.0</v>
      </c>
      <c r="H927" s="6">
        <v>0.4361</v>
      </c>
      <c r="I927" s="6">
        <v>0.4247</v>
      </c>
      <c r="J927" s="6">
        <v>0.0114</v>
      </c>
    </row>
    <row r="928">
      <c r="A928" s="5" t="s">
        <v>57</v>
      </c>
      <c r="B928" s="5" t="s">
        <v>163</v>
      </c>
      <c r="C928" s="5" t="s">
        <v>73</v>
      </c>
      <c r="D928" s="6">
        <v>3.0</v>
      </c>
      <c r="E928" s="6">
        <v>24825.0</v>
      </c>
      <c r="F928" s="6">
        <v>26255.0</v>
      </c>
      <c r="G928" s="6">
        <v>62811.0</v>
      </c>
      <c r="H928" s="6">
        <v>0.3952</v>
      </c>
      <c r="I928" s="6">
        <v>0.418</v>
      </c>
      <c r="J928" s="6">
        <v>-0.0228</v>
      </c>
    </row>
    <row r="929">
      <c r="A929" s="5" t="s">
        <v>57</v>
      </c>
      <c r="B929" s="5" t="s">
        <v>163</v>
      </c>
      <c r="C929" s="5" t="s">
        <v>73</v>
      </c>
      <c r="D929" s="6">
        <v>4.0</v>
      </c>
      <c r="E929" s="6">
        <v>25918.0</v>
      </c>
      <c r="F929" s="6">
        <v>26333.0</v>
      </c>
      <c r="G929" s="6">
        <v>62811.0</v>
      </c>
      <c r="H929" s="6">
        <v>0.4126</v>
      </c>
      <c r="I929" s="6">
        <v>0.4192</v>
      </c>
      <c r="J929" s="6">
        <v>-0.0066</v>
      </c>
    </row>
    <row r="930">
      <c r="A930" s="5" t="s">
        <v>57</v>
      </c>
      <c r="B930" s="5" t="s">
        <v>163</v>
      </c>
      <c r="C930" s="5" t="s">
        <v>73</v>
      </c>
      <c r="D930" s="6">
        <v>5.0</v>
      </c>
      <c r="E930" s="6">
        <v>23684.0</v>
      </c>
      <c r="F930" s="6">
        <v>26833.0</v>
      </c>
      <c r="G930" s="6">
        <v>62811.0</v>
      </c>
      <c r="H930" s="6">
        <v>0.3771</v>
      </c>
      <c r="I930" s="6">
        <v>0.4272</v>
      </c>
      <c r="J930" s="6">
        <v>-0.0501</v>
      </c>
    </row>
    <row r="931">
      <c r="A931" s="5" t="s">
        <v>57</v>
      </c>
      <c r="B931" s="5" t="s">
        <v>163</v>
      </c>
      <c r="C931" s="5" t="s">
        <v>73</v>
      </c>
      <c r="D931" s="6">
        <v>6.0</v>
      </c>
      <c r="E931" s="6">
        <v>41129.0</v>
      </c>
      <c r="F931" s="6">
        <v>33912.0</v>
      </c>
      <c r="G931" s="6">
        <v>62811.0</v>
      </c>
      <c r="H931" s="6">
        <v>0.6548</v>
      </c>
      <c r="I931" s="6">
        <v>0.5399</v>
      </c>
      <c r="J931" s="6">
        <v>0.1149</v>
      </c>
    </row>
    <row r="932">
      <c r="A932" s="5" t="s">
        <v>57</v>
      </c>
      <c r="B932" s="5" t="s">
        <v>163</v>
      </c>
      <c r="C932" s="5" t="s">
        <v>73</v>
      </c>
      <c r="D932" s="6">
        <v>7.0</v>
      </c>
      <c r="E932" s="6">
        <v>30497.0</v>
      </c>
      <c r="F932" s="6">
        <v>31083.0</v>
      </c>
      <c r="G932" s="6">
        <v>62811.0</v>
      </c>
      <c r="H932" s="6">
        <v>0.4855</v>
      </c>
      <c r="I932" s="6">
        <v>0.4949</v>
      </c>
      <c r="J932" s="6">
        <v>-0.0093</v>
      </c>
    </row>
    <row r="933">
      <c r="A933" s="5" t="s">
        <v>57</v>
      </c>
      <c r="B933" s="5" t="s">
        <v>163</v>
      </c>
      <c r="C933" s="5" t="s">
        <v>73</v>
      </c>
      <c r="D933" s="6">
        <v>8.0</v>
      </c>
      <c r="E933" s="6">
        <v>21565.0</v>
      </c>
      <c r="F933" s="6">
        <v>27483.0</v>
      </c>
      <c r="G933" s="6">
        <v>62811.0</v>
      </c>
      <c r="H933" s="6">
        <v>0.3433</v>
      </c>
      <c r="I933" s="6">
        <v>0.4376</v>
      </c>
      <c r="J933" s="6">
        <v>-0.0942</v>
      </c>
    </row>
    <row r="934">
      <c r="A934" s="5" t="s">
        <v>57</v>
      </c>
      <c r="B934" s="5" t="s">
        <v>163</v>
      </c>
      <c r="C934" s="5" t="s">
        <v>73</v>
      </c>
      <c r="D934" s="6">
        <v>9.0</v>
      </c>
      <c r="E934" s="6">
        <v>24030.0</v>
      </c>
      <c r="F934" s="6">
        <v>25207.0</v>
      </c>
      <c r="G934" s="6">
        <v>62811.0</v>
      </c>
      <c r="H934" s="6">
        <v>0.3826</v>
      </c>
      <c r="I934" s="6">
        <v>0.4013</v>
      </c>
      <c r="J934" s="6">
        <v>-0.0187</v>
      </c>
    </row>
    <row r="935">
      <c r="A935" s="5" t="s">
        <v>57</v>
      </c>
      <c r="B935" s="5" t="s">
        <v>163</v>
      </c>
      <c r="C935" s="5" t="s">
        <v>73</v>
      </c>
      <c r="D935" s="6">
        <v>10.0</v>
      </c>
      <c r="E935" s="6">
        <v>23511.0</v>
      </c>
      <c r="F935" s="6">
        <v>26028.0</v>
      </c>
      <c r="G935" s="6">
        <v>62811.0</v>
      </c>
      <c r="H935" s="6">
        <v>0.3743</v>
      </c>
      <c r="I935" s="6">
        <v>0.4144</v>
      </c>
      <c r="J935" s="6">
        <v>-0.0401</v>
      </c>
    </row>
    <row r="936">
      <c r="A936" s="5" t="s">
        <v>57</v>
      </c>
      <c r="B936" s="5" t="s">
        <v>163</v>
      </c>
      <c r="C936" s="5" t="s">
        <v>73</v>
      </c>
      <c r="D936" s="6">
        <v>11.0</v>
      </c>
      <c r="E936" s="6">
        <v>24007.0</v>
      </c>
      <c r="F936" s="6">
        <v>25210.0</v>
      </c>
      <c r="G936" s="6">
        <v>62811.0</v>
      </c>
      <c r="H936" s="6">
        <v>0.3822</v>
      </c>
      <c r="I936" s="6">
        <v>0.4014</v>
      </c>
      <c r="J936" s="6">
        <v>-0.0192</v>
      </c>
    </row>
    <row r="937">
      <c r="A937" s="5" t="s">
        <v>57</v>
      </c>
      <c r="B937" s="5" t="s">
        <v>163</v>
      </c>
      <c r="C937" s="5" t="s">
        <v>73</v>
      </c>
      <c r="D937" s="6">
        <v>12.0</v>
      </c>
      <c r="E937" s="6">
        <v>21728.0</v>
      </c>
      <c r="F937" s="6">
        <v>25668.0</v>
      </c>
      <c r="G937" s="6">
        <v>62811.0</v>
      </c>
      <c r="H937" s="6">
        <v>0.3459</v>
      </c>
      <c r="I937" s="6">
        <v>0.4087</v>
      </c>
      <c r="J937" s="6">
        <v>-0.0627</v>
      </c>
    </row>
    <row r="938">
      <c r="A938" s="5" t="s">
        <v>57</v>
      </c>
      <c r="B938" s="5" t="s">
        <v>163</v>
      </c>
      <c r="C938" s="5" t="s">
        <v>73</v>
      </c>
      <c r="D938" s="6">
        <v>13.0</v>
      </c>
      <c r="E938" s="6">
        <v>39363.0</v>
      </c>
      <c r="F938" s="6">
        <v>32527.0</v>
      </c>
      <c r="G938" s="6">
        <v>62811.0</v>
      </c>
      <c r="H938" s="6">
        <v>0.6267</v>
      </c>
      <c r="I938" s="6">
        <v>0.5179</v>
      </c>
      <c r="J938" s="6">
        <v>0.1088</v>
      </c>
    </row>
    <row r="939">
      <c r="A939" s="5" t="s">
        <v>57</v>
      </c>
      <c r="B939" s="5" t="s">
        <v>163</v>
      </c>
      <c r="C939" s="5" t="s">
        <v>73</v>
      </c>
      <c r="D939" s="6">
        <v>14.0</v>
      </c>
      <c r="E939" s="6">
        <v>28941.0</v>
      </c>
      <c r="F939" s="6">
        <v>29599.0</v>
      </c>
      <c r="G939" s="6">
        <v>62811.0</v>
      </c>
      <c r="H939" s="6">
        <v>0.4608</v>
      </c>
      <c r="I939" s="6">
        <v>0.4712</v>
      </c>
      <c r="J939" s="6">
        <v>-0.0105</v>
      </c>
    </row>
    <row r="940">
      <c r="A940" s="5" t="s">
        <v>57</v>
      </c>
      <c r="B940" s="5" t="s">
        <v>163</v>
      </c>
      <c r="C940" s="5" t="s">
        <v>73</v>
      </c>
      <c r="D940" s="6">
        <v>15.0</v>
      </c>
      <c r="E940" s="6">
        <v>20505.0</v>
      </c>
      <c r="F940" s="6">
        <v>26180.0</v>
      </c>
      <c r="G940" s="6">
        <v>62811.0</v>
      </c>
      <c r="H940" s="6">
        <v>0.3265</v>
      </c>
      <c r="I940" s="6">
        <v>0.4168</v>
      </c>
      <c r="J940" s="6">
        <v>-0.0904</v>
      </c>
    </row>
    <row r="941">
      <c r="A941" s="5" t="s">
        <v>57</v>
      </c>
      <c r="B941" s="5" t="s">
        <v>163</v>
      </c>
      <c r="C941" s="5" t="s">
        <v>73</v>
      </c>
      <c r="D941" s="6">
        <v>16.0</v>
      </c>
      <c r="E941" s="6">
        <v>25872.0</v>
      </c>
      <c r="F941" s="6">
        <v>24480.0</v>
      </c>
      <c r="G941" s="6">
        <v>62811.0</v>
      </c>
      <c r="H941" s="6">
        <v>0.4119</v>
      </c>
      <c r="I941" s="6">
        <v>0.3897</v>
      </c>
      <c r="J941" s="6">
        <v>0.0222</v>
      </c>
    </row>
    <row r="942">
      <c r="A942" s="5" t="s">
        <v>57</v>
      </c>
      <c r="B942" s="5" t="s">
        <v>163</v>
      </c>
      <c r="C942" s="5" t="s">
        <v>73</v>
      </c>
      <c r="D942" s="6">
        <v>17.0</v>
      </c>
      <c r="E942" s="6">
        <v>24577.0</v>
      </c>
      <c r="F942" s="6">
        <v>24844.0</v>
      </c>
      <c r="G942" s="6">
        <v>62811.0</v>
      </c>
      <c r="H942" s="6">
        <v>0.3913</v>
      </c>
      <c r="I942" s="6">
        <v>0.3955</v>
      </c>
      <c r="J942" s="6">
        <v>-0.0043</v>
      </c>
    </row>
    <row r="943">
      <c r="A943" s="5" t="s">
        <v>57</v>
      </c>
      <c r="B943" s="5" t="s">
        <v>163</v>
      </c>
      <c r="C943" s="5" t="s">
        <v>73</v>
      </c>
      <c r="D943" s="6">
        <v>18.0</v>
      </c>
      <c r="E943" s="6">
        <v>24118.0</v>
      </c>
      <c r="F943" s="6">
        <v>24443.0</v>
      </c>
      <c r="G943" s="6">
        <v>62811.0</v>
      </c>
      <c r="H943" s="6">
        <v>0.384</v>
      </c>
      <c r="I943" s="6">
        <v>0.3892</v>
      </c>
      <c r="J943" s="6">
        <v>-0.0052</v>
      </c>
    </row>
    <row r="944">
      <c r="A944" s="5" t="s">
        <v>57</v>
      </c>
      <c r="B944" s="5" t="s">
        <v>163</v>
      </c>
      <c r="C944" s="5" t="s">
        <v>73</v>
      </c>
      <c r="D944" s="6">
        <v>19.0</v>
      </c>
      <c r="E944" s="6">
        <v>21498.0</v>
      </c>
      <c r="F944" s="6">
        <v>24802.0</v>
      </c>
      <c r="G944" s="6">
        <v>62811.0</v>
      </c>
      <c r="H944" s="6">
        <v>0.3423</v>
      </c>
      <c r="I944" s="6">
        <v>0.3949</v>
      </c>
      <c r="J944" s="6">
        <v>-0.0526</v>
      </c>
    </row>
    <row r="945">
      <c r="A945" s="5" t="s">
        <v>57</v>
      </c>
      <c r="B945" s="5" t="s">
        <v>163</v>
      </c>
      <c r="C945" s="5" t="s">
        <v>73</v>
      </c>
      <c r="D945" s="6">
        <v>20.0</v>
      </c>
      <c r="E945" s="6">
        <v>39743.0</v>
      </c>
      <c r="F945" s="6">
        <v>32240.0</v>
      </c>
      <c r="G945" s="6">
        <v>62811.0</v>
      </c>
      <c r="H945" s="6">
        <v>0.6327</v>
      </c>
      <c r="I945" s="6">
        <v>0.5133</v>
      </c>
      <c r="J945" s="6">
        <v>0.1195</v>
      </c>
    </row>
    <row r="946">
      <c r="A946" s="5" t="s">
        <v>57</v>
      </c>
      <c r="B946" s="5" t="s">
        <v>163</v>
      </c>
      <c r="C946" s="5" t="s">
        <v>73</v>
      </c>
      <c r="D946" s="6">
        <v>21.0</v>
      </c>
      <c r="E946" s="6">
        <v>45848.0</v>
      </c>
      <c r="F946" s="6">
        <v>33653.0</v>
      </c>
      <c r="G946" s="6">
        <v>62811.0</v>
      </c>
      <c r="H946" s="6">
        <v>0.7299</v>
      </c>
      <c r="I946" s="6">
        <v>0.5358</v>
      </c>
      <c r="J946" s="6">
        <v>0.1942</v>
      </c>
    </row>
    <row r="947">
      <c r="A947" s="5" t="s">
        <v>57</v>
      </c>
      <c r="B947" s="5" t="s">
        <v>163</v>
      </c>
      <c r="C947" s="5" t="s">
        <v>73</v>
      </c>
      <c r="D947" s="6">
        <v>22.0</v>
      </c>
      <c r="E947" s="6">
        <v>24988.0</v>
      </c>
      <c r="F947" s="6">
        <v>28439.0</v>
      </c>
      <c r="G947" s="6">
        <v>62811.0</v>
      </c>
      <c r="H947" s="6">
        <v>0.3978</v>
      </c>
      <c r="I947" s="6">
        <v>0.4528</v>
      </c>
      <c r="J947" s="6">
        <v>-0.0549</v>
      </c>
    </row>
    <row r="948">
      <c r="A948" s="5" t="s">
        <v>57</v>
      </c>
      <c r="B948" s="5" t="s">
        <v>163</v>
      </c>
      <c r="C948" s="5" t="s">
        <v>73</v>
      </c>
      <c r="D948" s="6">
        <v>23.0</v>
      </c>
      <c r="E948" s="6">
        <v>24175.0</v>
      </c>
      <c r="F948" s="6">
        <v>25315.0</v>
      </c>
      <c r="G948" s="6">
        <v>62811.0</v>
      </c>
      <c r="H948" s="6">
        <v>0.3849</v>
      </c>
      <c r="I948" s="6">
        <v>0.403</v>
      </c>
      <c r="J948" s="6">
        <v>-0.0181</v>
      </c>
    </row>
    <row r="949">
      <c r="A949" s="5" t="s">
        <v>57</v>
      </c>
      <c r="B949" s="5" t="s">
        <v>163</v>
      </c>
      <c r="C949" s="5" t="s">
        <v>73</v>
      </c>
      <c r="D949" s="6">
        <v>24.0</v>
      </c>
      <c r="E949" s="6">
        <v>24196.0</v>
      </c>
      <c r="F949" s="6">
        <v>25704.0</v>
      </c>
      <c r="G949" s="6">
        <v>62811.0</v>
      </c>
      <c r="H949" s="6">
        <v>0.3852</v>
      </c>
      <c r="I949" s="6">
        <v>0.4092</v>
      </c>
      <c r="J949" s="6">
        <v>-0.024</v>
      </c>
    </row>
    <row r="950">
      <c r="A950" s="5" t="s">
        <v>57</v>
      </c>
      <c r="B950" s="5" t="s">
        <v>163</v>
      </c>
      <c r="C950" s="5" t="s">
        <v>73</v>
      </c>
      <c r="D950" s="6">
        <v>25.0</v>
      </c>
      <c r="E950" s="6">
        <v>24522.0</v>
      </c>
      <c r="F950" s="6">
        <v>25280.0</v>
      </c>
      <c r="G950" s="6">
        <v>62811.0</v>
      </c>
      <c r="H950" s="6">
        <v>0.3904</v>
      </c>
      <c r="I950" s="6">
        <v>0.4025</v>
      </c>
      <c r="J950" s="6">
        <v>-0.0121</v>
      </c>
    </row>
    <row r="951">
      <c r="A951" s="5" t="s">
        <v>57</v>
      </c>
      <c r="B951" s="5" t="s">
        <v>163</v>
      </c>
      <c r="C951" s="5" t="s">
        <v>73</v>
      </c>
      <c r="D951" s="6">
        <v>26.0</v>
      </c>
      <c r="E951" s="6">
        <v>22304.0</v>
      </c>
      <c r="F951" s="6">
        <v>25991.0</v>
      </c>
      <c r="G951" s="6">
        <v>62811.0</v>
      </c>
      <c r="H951" s="6">
        <v>0.3551</v>
      </c>
      <c r="I951" s="6">
        <v>0.4138</v>
      </c>
      <c r="J951" s="6">
        <v>-0.0587</v>
      </c>
    </row>
    <row r="952">
      <c r="A952" s="5" t="s">
        <v>57</v>
      </c>
      <c r="B952" s="5" t="s">
        <v>163</v>
      </c>
      <c r="C952" s="5" t="s">
        <v>73</v>
      </c>
      <c r="D952" s="6">
        <v>27.0</v>
      </c>
      <c r="E952" s="6">
        <v>41229.0</v>
      </c>
      <c r="F952" s="6">
        <v>33252.0</v>
      </c>
      <c r="G952" s="6">
        <v>62811.0</v>
      </c>
      <c r="H952" s="6">
        <v>0.6564</v>
      </c>
      <c r="I952" s="6">
        <v>0.5294</v>
      </c>
      <c r="J952" s="6">
        <v>0.127</v>
      </c>
    </row>
    <row r="953">
      <c r="A953" s="5" t="s">
        <v>57</v>
      </c>
      <c r="B953" s="5" t="s">
        <v>163</v>
      </c>
      <c r="C953" s="5" t="s">
        <v>73</v>
      </c>
      <c r="D953" s="6">
        <v>28.0</v>
      </c>
      <c r="E953" s="6">
        <v>27542.0</v>
      </c>
      <c r="F953" s="6">
        <v>28876.0</v>
      </c>
      <c r="G953" s="6">
        <v>62811.0</v>
      </c>
      <c r="H953" s="6">
        <v>0.4385</v>
      </c>
      <c r="I953" s="6">
        <v>0.4597</v>
      </c>
      <c r="J953" s="6">
        <v>-0.0212</v>
      </c>
    </row>
    <row r="954">
      <c r="A954" s="5" t="s">
        <v>57</v>
      </c>
      <c r="B954" s="5" t="s">
        <v>163</v>
      </c>
      <c r="C954" s="5" t="s">
        <v>73</v>
      </c>
      <c r="D954" s="6">
        <v>29.0</v>
      </c>
      <c r="E954" s="6">
        <v>19382.0</v>
      </c>
      <c r="F954" s="6">
        <v>25304.0</v>
      </c>
      <c r="G954" s="6">
        <v>62811.0</v>
      </c>
      <c r="H954" s="6">
        <v>0.3086</v>
      </c>
      <c r="I954" s="6">
        <v>0.4029</v>
      </c>
      <c r="J954" s="6">
        <v>-0.0943</v>
      </c>
    </row>
    <row r="955">
      <c r="A955" s="5" t="s">
        <v>57</v>
      </c>
      <c r="B955" s="5" t="s">
        <v>163</v>
      </c>
      <c r="C955" s="5" t="s">
        <v>73</v>
      </c>
      <c r="D955" s="6">
        <v>30.0</v>
      </c>
      <c r="E955" s="6">
        <v>25303.0</v>
      </c>
      <c r="F955" s="6">
        <v>24684.0</v>
      </c>
      <c r="G955" s="6">
        <v>62811.0</v>
      </c>
      <c r="H955" s="6">
        <v>0.4028</v>
      </c>
      <c r="I955" s="6">
        <v>0.393</v>
      </c>
      <c r="J955" s="6">
        <v>0.0099</v>
      </c>
    </row>
    <row r="956">
      <c r="A956" s="5" t="s">
        <v>57</v>
      </c>
      <c r="B956" s="5" t="s">
        <v>163</v>
      </c>
      <c r="C956" s="5" t="s">
        <v>73</v>
      </c>
      <c r="D956" s="6">
        <v>31.0</v>
      </c>
      <c r="E956" s="6">
        <v>23866.0</v>
      </c>
      <c r="F956" s="6">
        <v>24853.0</v>
      </c>
      <c r="G956" s="6">
        <v>62811.0</v>
      </c>
      <c r="H956" s="6">
        <v>0.38</v>
      </c>
      <c r="I956" s="6">
        <v>0.3957</v>
      </c>
      <c r="J956" s="6">
        <v>-0.0157</v>
      </c>
    </row>
    <row r="957">
      <c r="A957" s="5" t="s">
        <v>57</v>
      </c>
      <c r="B957" s="5" t="s">
        <v>163</v>
      </c>
      <c r="C957" s="5" t="s">
        <v>73</v>
      </c>
      <c r="D957" s="6">
        <v>32.0</v>
      </c>
      <c r="E957" s="6">
        <v>23234.0</v>
      </c>
      <c r="F957" s="6">
        <v>24000.0</v>
      </c>
      <c r="G957" s="6">
        <v>62811.0</v>
      </c>
      <c r="H957" s="6">
        <v>0.3699</v>
      </c>
      <c r="I957" s="6">
        <v>0.3821</v>
      </c>
      <c r="J957" s="6">
        <v>-0.0122</v>
      </c>
    </row>
    <row r="958">
      <c r="A958" s="5" t="s">
        <v>57</v>
      </c>
      <c r="B958" s="5" t="s">
        <v>163</v>
      </c>
      <c r="C958" s="5" t="s">
        <v>73</v>
      </c>
      <c r="D958" s="6">
        <v>33.0</v>
      </c>
      <c r="E958" s="6">
        <v>21152.0</v>
      </c>
      <c r="F958" s="6">
        <v>24704.0</v>
      </c>
      <c r="G958" s="6">
        <v>62811.0</v>
      </c>
      <c r="H958" s="6">
        <v>0.3368</v>
      </c>
      <c r="I958" s="6">
        <v>0.3933</v>
      </c>
      <c r="J958" s="6">
        <v>-0.0566</v>
      </c>
    </row>
    <row r="959">
      <c r="A959" s="5" t="s">
        <v>57</v>
      </c>
      <c r="B959" s="5" t="s">
        <v>163</v>
      </c>
      <c r="C959" s="5" t="s">
        <v>74</v>
      </c>
      <c r="D959" s="6">
        <v>1.0</v>
      </c>
      <c r="E959" s="6">
        <v>10293.0</v>
      </c>
      <c r="F959" s="6">
        <v>12750.0</v>
      </c>
      <c r="G959" s="6">
        <v>58012.0</v>
      </c>
      <c r="H959" s="6">
        <v>0.1774</v>
      </c>
      <c r="I959" s="6">
        <v>0.2198</v>
      </c>
      <c r="J959" s="6">
        <v>-0.0424</v>
      </c>
    </row>
    <row r="960">
      <c r="A960" s="5" t="s">
        <v>57</v>
      </c>
      <c r="B960" s="5" t="s">
        <v>163</v>
      </c>
      <c r="C960" s="5" t="s">
        <v>74</v>
      </c>
      <c r="D960" s="6">
        <v>2.0</v>
      </c>
      <c r="E960" s="6">
        <v>12434.0</v>
      </c>
      <c r="F960" s="6">
        <v>12358.0</v>
      </c>
      <c r="G960" s="6">
        <v>58012.0</v>
      </c>
      <c r="H960" s="6">
        <v>0.2143</v>
      </c>
      <c r="I960" s="6">
        <v>0.213</v>
      </c>
      <c r="J960" s="6">
        <v>0.0013</v>
      </c>
    </row>
    <row r="961">
      <c r="A961" s="5" t="s">
        <v>57</v>
      </c>
      <c r="B961" s="5" t="s">
        <v>163</v>
      </c>
      <c r="C961" s="5" t="s">
        <v>74</v>
      </c>
      <c r="D961" s="6">
        <v>3.0</v>
      </c>
      <c r="E961" s="6">
        <v>12773.0</v>
      </c>
      <c r="F961" s="6">
        <v>12371.0</v>
      </c>
      <c r="G961" s="6">
        <v>58012.0</v>
      </c>
      <c r="H961" s="6">
        <v>0.2202</v>
      </c>
      <c r="I961" s="6">
        <v>0.2132</v>
      </c>
      <c r="J961" s="6">
        <v>0.0069</v>
      </c>
    </row>
    <row r="962">
      <c r="A962" s="5" t="s">
        <v>57</v>
      </c>
      <c r="B962" s="5" t="s">
        <v>163</v>
      </c>
      <c r="C962" s="5" t="s">
        <v>74</v>
      </c>
      <c r="D962" s="6">
        <v>4.0</v>
      </c>
      <c r="E962" s="6">
        <v>12480.0</v>
      </c>
      <c r="F962" s="6">
        <v>12538.0</v>
      </c>
      <c r="G962" s="6">
        <v>58012.0</v>
      </c>
      <c r="H962" s="6">
        <v>0.2151</v>
      </c>
      <c r="I962" s="6">
        <v>0.2161</v>
      </c>
      <c r="J962" s="6">
        <v>-0.001</v>
      </c>
    </row>
    <row r="963">
      <c r="A963" s="5" t="s">
        <v>57</v>
      </c>
      <c r="B963" s="5" t="s">
        <v>163</v>
      </c>
      <c r="C963" s="5" t="s">
        <v>74</v>
      </c>
      <c r="D963" s="6">
        <v>5.0</v>
      </c>
      <c r="E963" s="6">
        <v>11350.0</v>
      </c>
      <c r="F963" s="6">
        <v>12510.0</v>
      </c>
      <c r="G963" s="6">
        <v>58012.0</v>
      </c>
      <c r="H963" s="6">
        <v>0.1956</v>
      </c>
      <c r="I963" s="6">
        <v>0.2156</v>
      </c>
      <c r="J963" s="6">
        <v>-0.02</v>
      </c>
    </row>
    <row r="964">
      <c r="A964" s="5" t="s">
        <v>57</v>
      </c>
      <c r="B964" s="5" t="s">
        <v>163</v>
      </c>
      <c r="C964" s="5" t="s">
        <v>74</v>
      </c>
      <c r="D964" s="6">
        <v>6.0</v>
      </c>
      <c r="E964" s="6">
        <v>28211.0</v>
      </c>
      <c r="F964" s="6">
        <v>20593.0</v>
      </c>
      <c r="G964" s="6">
        <v>58012.0</v>
      </c>
      <c r="H964" s="6">
        <v>0.4863</v>
      </c>
      <c r="I964" s="6">
        <v>0.355</v>
      </c>
      <c r="J964" s="6">
        <v>0.1313</v>
      </c>
    </row>
    <row r="965">
      <c r="A965" s="5" t="s">
        <v>57</v>
      </c>
      <c r="B965" s="5" t="s">
        <v>163</v>
      </c>
      <c r="C965" s="5" t="s">
        <v>74</v>
      </c>
      <c r="D965" s="6">
        <v>7.0</v>
      </c>
      <c r="E965" s="6">
        <v>15766.0</v>
      </c>
      <c r="F965" s="6">
        <v>16334.0</v>
      </c>
      <c r="G965" s="6">
        <v>58012.0</v>
      </c>
      <c r="H965" s="6">
        <v>0.2718</v>
      </c>
      <c r="I965" s="6">
        <v>0.2816</v>
      </c>
      <c r="J965" s="6">
        <v>-0.0098</v>
      </c>
    </row>
    <row r="966">
      <c r="A966" s="5" t="s">
        <v>57</v>
      </c>
      <c r="B966" s="5" t="s">
        <v>163</v>
      </c>
      <c r="C966" s="5" t="s">
        <v>74</v>
      </c>
      <c r="D966" s="6">
        <v>8.0</v>
      </c>
      <c r="E966" s="6">
        <v>11559.0</v>
      </c>
      <c r="F966" s="6">
        <v>13741.0</v>
      </c>
      <c r="G966" s="6">
        <v>58012.0</v>
      </c>
      <c r="H966" s="6">
        <v>0.1993</v>
      </c>
      <c r="I966" s="6">
        <v>0.2369</v>
      </c>
      <c r="J966" s="6">
        <v>-0.0376</v>
      </c>
    </row>
    <row r="967">
      <c r="A967" s="5" t="s">
        <v>57</v>
      </c>
      <c r="B967" s="5" t="s">
        <v>163</v>
      </c>
      <c r="C967" s="5" t="s">
        <v>74</v>
      </c>
      <c r="D967" s="6">
        <v>9.0</v>
      </c>
      <c r="E967" s="6">
        <v>10394.0</v>
      </c>
      <c r="F967" s="6">
        <v>11961.0</v>
      </c>
      <c r="G967" s="6">
        <v>58012.0</v>
      </c>
      <c r="H967" s="6">
        <v>0.1792</v>
      </c>
      <c r="I967" s="6">
        <v>0.2062</v>
      </c>
      <c r="J967" s="6">
        <v>-0.027</v>
      </c>
    </row>
    <row r="968">
      <c r="A968" s="5" t="s">
        <v>57</v>
      </c>
      <c r="B968" s="5" t="s">
        <v>163</v>
      </c>
      <c r="C968" s="5" t="s">
        <v>74</v>
      </c>
      <c r="D968" s="6">
        <v>10.0</v>
      </c>
      <c r="E968" s="6">
        <v>11231.0</v>
      </c>
      <c r="F968" s="6">
        <v>12143.0</v>
      </c>
      <c r="G968" s="6">
        <v>58012.0</v>
      </c>
      <c r="H968" s="6">
        <v>0.1936</v>
      </c>
      <c r="I968" s="6">
        <v>0.2093</v>
      </c>
      <c r="J968" s="6">
        <v>-0.0157</v>
      </c>
    </row>
    <row r="969">
      <c r="A969" s="5" t="s">
        <v>57</v>
      </c>
      <c r="B969" s="5" t="s">
        <v>163</v>
      </c>
      <c r="C969" s="5" t="s">
        <v>74</v>
      </c>
      <c r="D969" s="6">
        <v>11.0</v>
      </c>
      <c r="E969" s="6">
        <v>10527.0</v>
      </c>
      <c r="F969" s="6">
        <v>11634.0</v>
      </c>
      <c r="G969" s="6">
        <v>58012.0</v>
      </c>
      <c r="H969" s="6">
        <v>0.1815</v>
      </c>
      <c r="I969" s="6">
        <v>0.2005</v>
      </c>
      <c r="J969" s="6">
        <v>-0.0191</v>
      </c>
    </row>
    <row r="970">
      <c r="A970" s="5" t="s">
        <v>57</v>
      </c>
      <c r="B970" s="5" t="s">
        <v>163</v>
      </c>
      <c r="C970" s="5" t="s">
        <v>74</v>
      </c>
      <c r="D970" s="6">
        <v>12.0</v>
      </c>
      <c r="E970" s="6">
        <v>9589.0</v>
      </c>
      <c r="F970" s="6">
        <v>11588.0</v>
      </c>
      <c r="G970" s="6">
        <v>58012.0</v>
      </c>
      <c r="H970" s="6">
        <v>0.1653</v>
      </c>
      <c r="I970" s="6">
        <v>0.1998</v>
      </c>
      <c r="J970" s="6">
        <v>-0.0345</v>
      </c>
    </row>
    <row r="971">
      <c r="A971" s="5" t="s">
        <v>57</v>
      </c>
      <c r="B971" s="5" t="s">
        <v>163</v>
      </c>
      <c r="C971" s="5" t="s">
        <v>74</v>
      </c>
      <c r="D971" s="6">
        <v>13.0</v>
      </c>
      <c r="E971" s="6">
        <v>26202.0</v>
      </c>
      <c r="F971" s="6">
        <v>19626.0</v>
      </c>
      <c r="G971" s="6">
        <v>58012.0</v>
      </c>
      <c r="H971" s="6">
        <v>0.4517</v>
      </c>
      <c r="I971" s="6">
        <v>0.3383</v>
      </c>
      <c r="J971" s="6">
        <v>0.1134</v>
      </c>
    </row>
    <row r="972">
      <c r="A972" s="5" t="s">
        <v>57</v>
      </c>
      <c r="B972" s="5" t="s">
        <v>163</v>
      </c>
      <c r="C972" s="5" t="s">
        <v>74</v>
      </c>
      <c r="D972" s="6">
        <v>14.0</v>
      </c>
      <c r="E972" s="6">
        <v>14172.0</v>
      </c>
      <c r="F972" s="6">
        <v>14972.0</v>
      </c>
      <c r="G972" s="6">
        <v>58012.0</v>
      </c>
      <c r="H972" s="6">
        <v>0.2443</v>
      </c>
      <c r="I972" s="6">
        <v>0.2581</v>
      </c>
      <c r="J972" s="6">
        <v>-0.0138</v>
      </c>
    </row>
    <row r="973">
      <c r="A973" s="5" t="s">
        <v>57</v>
      </c>
      <c r="B973" s="5" t="s">
        <v>163</v>
      </c>
      <c r="C973" s="5" t="s">
        <v>74</v>
      </c>
      <c r="D973" s="6">
        <v>15.0</v>
      </c>
      <c r="E973" s="6">
        <v>10528.0</v>
      </c>
      <c r="F973" s="6">
        <v>13178.0</v>
      </c>
      <c r="G973" s="6">
        <v>58012.0</v>
      </c>
      <c r="H973" s="6">
        <v>0.1815</v>
      </c>
      <c r="I973" s="6">
        <v>0.2272</v>
      </c>
      <c r="J973" s="6">
        <v>-0.0457</v>
      </c>
    </row>
    <row r="974">
      <c r="A974" s="5" t="s">
        <v>57</v>
      </c>
      <c r="B974" s="5" t="s">
        <v>163</v>
      </c>
      <c r="C974" s="5" t="s">
        <v>74</v>
      </c>
      <c r="D974" s="6">
        <v>16.0</v>
      </c>
      <c r="E974" s="6">
        <v>11696.0</v>
      </c>
      <c r="F974" s="6">
        <v>11647.0</v>
      </c>
      <c r="G974" s="6">
        <v>58012.0</v>
      </c>
      <c r="H974" s="6">
        <v>0.2016</v>
      </c>
      <c r="I974" s="6">
        <v>0.2008</v>
      </c>
      <c r="J974" s="6">
        <v>8.0E-4</v>
      </c>
    </row>
    <row r="975">
      <c r="A975" s="5" t="s">
        <v>57</v>
      </c>
      <c r="B975" s="5" t="s">
        <v>163</v>
      </c>
      <c r="C975" s="5" t="s">
        <v>74</v>
      </c>
      <c r="D975" s="6">
        <v>17.0</v>
      </c>
      <c r="E975" s="6">
        <v>12280.0</v>
      </c>
      <c r="F975" s="6">
        <v>12063.0</v>
      </c>
      <c r="G975" s="6">
        <v>58012.0</v>
      </c>
      <c r="H975" s="6">
        <v>0.2117</v>
      </c>
      <c r="I975" s="6">
        <v>0.2079</v>
      </c>
      <c r="J975" s="6">
        <v>0.0037</v>
      </c>
    </row>
    <row r="976">
      <c r="A976" s="5" t="s">
        <v>57</v>
      </c>
      <c r="B976" s="5" t="s">
        <v>163</v>
      </c>
      <c r="C976" s="5" t="s">
        <v>74</v>
      </c>
      <c r="D976" s="6">
        <v>18.0</v>
      </c>
      <c r="E976" s="6">
        <v>11543.0</v>
      </c>
      <c r="F976" s="6">
        <v>11995.0</v>
      </c>
      <c r="G976" s="6">
        <v>58012.0</v>
      </c>
      <c r="H976" s="6">
        <v>0.199</v>
      </c>
      <c r="I976" s="6">
        <v>0.2068</v>
      </c>
      <c r="J976" s="6">
        <v>-0.0078</v>
      </c>
    </row>
    <row r="977">
      <c r="A977" s="5" t="s">
        <v>57</v>
      </c>
      <c r="B977" s="5" t="s">
        <v>163</v>
      </c>
      <c r="C977" s="5" t="s">
        <v>74</v>
      </c>
      <c r="D977" s="6">
        <v>19.0</v>
      </c>
      <c r="E977" s="6">
        <v>10540.0</v>
      </c>
      <c r="F977" s="6">
        <v>11920.0</v>
      </c>
      <c r="G977" s="6">
        <v>58012.0</v>
      </c>
      <c r="H977" s="6">
        <v>0.1817</v>
      </c>
      <c r="I977" s="6">
        <v>0.2055</v>
      </c>
      <c r="J977" s="6">
        <v>-0.0238</v>
      </c>
    </row>
    <row r="978">
      <c r="A978" s="5" t="s">
        <v>57</v>
      </c>
      <c r="B978" s="5" t="s">
        <v>163</v>
      </c>
      <c r="C978" s="5" t="s">
        <v>74</v>
      </c>
      <c r="D978" s="6">
        <v>20.0</v>
      </c>
      <c r="E978" s="6">
        <v>27291.0</v>
      </c>
      <c r="F978" s="6">
        <v>20121.0</v>
      </c>
      <c r="G978" s="6">
        <v>58012.0</v>
      </c>
      <c r="H978" s="6">
        <v>0.4704</v>
      </c>
      <c r="I978" s="6">
        <v>0.3468</v>
      </c>
      <c r="J978" s="6">
        <v>0.1236</v>
      </c>
    </row>
    <row r="979">
      <c r="A979" s="5" t="s">
        <v>57</v>
      </c>
      <c r="B979" s="5" t="s">
        <v>163</v>
      </c>
      <c r="C979" s="5" t="s">
        <v>74</v>
      </c>
      <c r="D979" s="6">
        <v>21.0</v>
      </c>
      <c r="E979" s="6">
        <v>16256.0</v>
      </c>
      <c r="F979" s="6">
        <v>16771.0</v>
      </c>
      <c r="G979" s="6">
        <v>58012.0</v>
      </c>
      <c r="H979" s="6">
        <v>0.2802</v>
      </c>
      <c r="I979" s="6">
        <v>0.2891</v>
      </c>
      <c r="J979" s="6">
        <v>-0.0089</v>
      </c>
    </row>
    <row r="980">
      <c r="A980" s="5" t="s">
        <v>57</v>
      </c>
      <c r="B980" s="5" t="s">
        <v>163</v>
      </c>
      <c r="C980" s="5" t="s">
        <v>74</v>
      </c>
      <c r="D980" s="6">
        <v>22.0</v>
      </c>
      <c r="E980" s="6">
        <v>12184.0</v>
      </c>
      <c r="F980" s="6">
        <v>14154.0</v>
      </c>
      <c r="G980" s="6">
        <v>58012.0</v>
      </c>
      <c r="H980" s="6">
        <v>0.21</v>
      </c>
      <c r="I980" s="6">
        <v>0.244</v>
      </c>
      <c r="J980" s="6">
        <v>-0.034</v>
      </c>
    </row>
    <row r="981">
      <c r="A981" s="5" t="s">
        <v>57</v>
      </c>
      <c r="B981" s="5" t="s">
        <v>163</v>
      </c>
      <c r="C981" s="5" t="s">
        <v>74</v>
      </c>
      <c r="D981" s="6">
        <v>23.0</v>
      </c>
      <c r="E981" s="6">
        <v>10266.0</v>
      </c>
      <c r="F981" s="6">
        <v>12101.0</v>
      </c>
      <c r="G981" s="6">
        <v>58012.0</v>
      </c>
      <c r="H981" s="6">
        <v>0.177</v>
      </c>
      <c r="I981" s="6">
        <v>0.2086</v>
      </c>
      <c r="J981" s="6">
        <v>-0.0316</v>
      </c>
    </row>
    <row r="982">
      <c r="A982" s="5" t="s">
        <v>57</v>
      </c>
      <c r="B982" s="5" t="s">
        <v>163</v>
      </c>
      <c r="C982" s="5" t="s">
        <v>74</v>
      </c>
      <c r="D982" s="6">
        <v>24.0</v>
      </c>
      <c r="E982" s="6">
        <v>11045.0</v>
      </c>
      <c r="F982" s="6">
        <v>11803.0</v>
      </c>
      <c r="G982" s="6">
        <v>58012.0</v>
      </c>
      <c r="H982" s="6">
        <v>0.1904</v>
      </c>
      <c r="I982" s="6">
        <v>0.2035</v>
      </c>
      <c r="J982" s="6">
        <v>-0.0131</v>
      </c>
    </row>
    <row r="983">
      <c r="A983" s="5" t="s">
        <v>57</v>
      </c>
      <c r="B983" s="5" t="s">
        <v>163</v>
      </c>
      <c r="C983" s="5" t="s">
        <v>74</v>
      </c>
      <c r="D983" s="6">
        <v>25.0</v>
      </c>
      <c r="E983" s="6">
        <v>10402.0</v>
      </c>
      <c r="F983" s="6">
        <v>11397.0</v>
      </c>
      <c r="G983" s="6">
        <v>58012.0</v>
      </c>
      <c r="H983" s="6">
        <v>0.1793</v>
      </c>
      <c r="I983" s="6">
        <v>0.1965</v>
      </c>
      <c r="J983" s="6">
        <v>-0.0172</v>
      </c>
    </row>
    <row r="984">
      <c r="A984" s="5" t="s">
        <v>57</v>
      </c>
      <c r="B984" s="5" t="s">
        <v>163</v>
      </c>
      <c r="C984" s="5" t="s">
        <v>74</v>
      </c>
      <c r="D984" s="6">
        <v>26.0</v>
      </c>
      <c r="E984" s="6">
        <v>9318.0</v>
      </c>
      <c r="F984" s="6">
        <v>11401.0</v>
      </c>
      <c r="G984" s="6">
        <v>58012.0</v>
      </c>
      <c r="H984" s="6">
        <v>0.1606</v>
      </c>
      <c r="I984" s="6">
        <v>0.1965</v>
      </c>
      <c r="J984" s="6">
        <v>-0.0359</v>
      </c>
    </row>
    <row r="985">
      <c r="A985" s="5" t="s">
        <v>57</v>
      </c>
      <c r="B985" s="5" t="s">
        <v>163</v>
      </c>
      <c r="C985" s="5" t="s">
        <v>74</v>
      </c>
      <c r="D985" s="6">
        <v>27.0</v>
      </c>
      <c r="E985" s="6">
        <v>27043.0</v>
      </c>
      <c r="F985" s="6">
        <v>19806.0</v>
      </c>
      <c r="G985" s="6">
        <v>58012.0</v>
      </c>
      <c r="H985" s="6">
        <v>0.4662</v>
      </c>
      <c r="I985" s="6">
        <v>0.3414</v>
      </c>
      <c r="J985" s="6">
        <v>0.1248</v>
      </c>
    </row>
    <row r="986">
      <c r="A986" s="5" t="s">
        <v>57</v>
      </c>
      <c r="B986" s="5" t="s">
        <v>163</v>
      </c>
      <c r="C986" s="5" t="s">
        <v>74</v>
      </c>
      <c r="D986" s="6">
        <v>28.0</v>
      </c>
      <c r="E986" s="6">
        <v>13036.0</v>
      </c>
      <c r="F986" s="6">
        <v>14733.0</v>
      </c>
      <c r="G986" s="6">
        <v>58012.0</v>
      </c>
      <c r="H986" s="6">
        <v>0.2247</v>
      </c>
      <c r="I986" s="6">
        <v>0.254</v>
      </c>
      <c r="J986" s="6">
        <v>-0.0293</v>
      </c>
    </row>
    <row r="987">
      <c r="A987" s="5" t="s">
        <v>57</v>
      </c>
      <c r="B987" s="5" t="s">
        <v>163</v>
      </c>
      <c r="C987" s="5" t="s">
        <v>74</v>
      </c>
      <c r="D987" s="6">
        <v>29.0</v>
      </c>
      <c r="E987" s="6">
        <v>9199.0</v>
      </c>
      <c r="F987" s="6">
        <v>12275.0</v>
      </c>
      <c r="G987" s="6">
        <v>58012.0</v>
      </c>
      <c r="H987" s="6">
        <v>0.1586</v>
      </c>
      <c r="I987" s="6">
        <v>0.2116</v>
      </c>
      <c r="J987" s="6">
        <v>-0.053</v>
      </c>
    </row>
    <row r="988">
      <c r="A988" s="5" t="s">
        <v>57</v>
      </c>
      <c r="B988" s="5" t="s">
        <v>163</v>
      </c>
      <c r="C988" s="5" t="s">
        <v>74</v>
      </c>
      <c r="D988" s="6">
        <v>30.0</v>
      </c>
      <c r="E988" s="6">
        <v>11325.0</v>
      </c>
      <c r="F988" s="6">
        <v>11665.0</v>
      </c>
      <c r="G988" s="6">
        <v>58012.0</v>
      </c>
      <c r="H988" s="6">
        <v>0.1952</v>
      </c>
      <c r="I988" s="6">
        <v>0.2011</v>
      </c>
      <c r="J988" s="6">
        <v>-0.0059</v>
      </c>
    </row>
    <row r="989">
      <c r="A989" s="5" t="s">
        <v>57</v>
      </c>
      <c r="B989" s="5" t="s">
        <v>163</v>
      </c>
      <c r="C989" s="5" t="s">
        <v>74</v>
      </c>
      <c r="D989" s="6">
        <v>31.0</v>
      </c>
      <c r="E989" s="6">
        <v>11993.0</v>
      </c>
      <c r="F989" s="6">
        <v>11786.0</v>
      </c>
      <c r="G989" s="6">
        <v>58012.0</v>
      </c>
      <c r="H989" s="6">
        <v>0.2067</v>
      </c>
      <c r="I989" s="6">
        <v>0.2032</v>
      </c>
      <c r="J989" s="6">
        <v>0.0036</v>
      </c>
    </row>
    <row r="990">
      <c r="A990" s="5" t="s">
        <v>57</v>
      </c>
      <c r="B990" s="5" t="s">
        <v>163</v>
      </c>
      <c r="C990" s="5" t="s">
        <v>74</v>
      </c>
      <c r="D990" s="6">
        <v>32.0</v>
      </c>
      <c r="E990" s="6">
        <v>11000.0</v>
      </c>
      <c r="F990" s="6">
        <v>11563.0</v>
      </c>
      <c r="G990" s="6">
        <v>58012.0</v>
      </c>
      <c r="H990" s="6">
        <v>0.1896</v>
      </c>
      <c r="I990" s="6">
        <v>0.1993</v>
      </c>
      <c r="J990" s="6">
        <v>-0.0097</v>
      </c>
    </row>
    <row r="991">
      <c r="A991" s="5" t="s">
        <v>57</v>
      </c>
      <c r="B991" s="5" t="s">
        <v>163</v>
      </c>
      <c r="C991" s="5" t="s">
        <v>74</v>
      </c>
      <c r="D991" s="6">
        <v>33.0</v>
      </c>
      <c r="E991" s="6">
        <v>10403.0</v>
      </c>
      <c r="F991" s="6">
        <v>11908.0</v>
      </c>
      <c r="G991" s="6">
        <v>58012.0</v>
      </c>
      <c r="H991" s="6">
        <v>0.1793</v>
      </c>
      <c r="I991" s="6">
        <v>0.2053</v>
      </c>
      <c r="J991" s="6">
        <v>-0.0259</v>
      </c>
    </row>
    <row r="992">
      <c r="A992" s="5" t="s">
        <v>57</v>
      </c>
      <c r="B992" s="5" t="s">
        <v>163</v>
      </c>
      <c r="C992" s="5" t="s">
        <v>69</v>
      </c>
      <c r="D992" s="6">
        <v>1.0</v>
      </c>
      <c r="E992" s="6">
        <v>30666.0</v>
      </c>
      <c r="F992" s="6">
        <v>36325.0</v>
      </c>
      <c r="G992" s="6">
        <v>69475.0</v>
      </c>
      <c r="H992" s="6">
        <v>0.4414</v>
      </c>
      <c r="I992" s="6">
        <v>0.5228</v>
      </c>
      <c r="J992" s="6">
        <v>-0.0815</v>
      </c>
    </row>
    <row r="993">
      <c r="A993" s="5" t="s">
        <v>57</v>
      </c>
      <c r="B993" s="5" t="s">
        <v>163</v>
      </c>
      <c r="C993" s="5" t="s">
        <v>69</v>
      </c>
      <c r="D993" s="6">
        <v>2.0</v>
      </c>
      <c r="E993" s="6">
        <v>29537.0</v>
      </c>
      <c r="F993" s="6">
        <v>32840.0</v>
      </c>
      <c r="G993" s="6">
        <v>69475.0</v>
      </c>
      <c r="H993" s="6">
        <v>0.4251</v>
      </c>
      <c r="I993" s="6">
        <v>0.4727</v>
      </c>
      <c r="J993" s="6">
        <v>-0.0475</v>
      </c>
    </row>
    <row r="994">
      <c r="A994" s="5" t="s">
        <v>57</v>
      </c>
      <c r="B994" s="5" t="s">
        <v>163</v>
      </c>
      <c r="C994" s="5" t="s">
        <v>69</v>
      </c>
      <c r="D994" s="6">
        <v>3.0</v>
      </c>
      <c r="E994" s="6">
        <v>45223.0</v>
      </c>
      <c r="F994" s="6">
        <v>39755.0</v>
      </c>
      <c r="G994" s="6">
        <v>69475.0</v>
      </c>
      <c r="H994" s="6">
        <v>0.6509</v>
      </c>
      <c r="I994" s="6">
        <v>0.5722</v>
      </c>
      <c r="J994" s="6">
        <v>0.0787</v>
      </c>
    </row>
    <row r="995">
      <c r="A995" s="5" t="s">
        <v>57</v>
      </c>
      <c r="B995" s="5" t="s">
        <v>163</v>
      </c>
      <c r="C995" s="5" t="s">
        <v>69</v>
      </c>
      <c r="D995" s="6">
        <v>4.0</v>
      </c>
      <c r="E995" s="6">
        <v>37277.0</v>
      </c>
      <c r="F995" s="6">
        <v>37629.0</v>
      </c>
      <c r="G995" s="6">
        <v>69475.0</v>
      </c>
      <c r="H995" s="6">
        <v>0.5366</v>
      </c>
      <c r="I995" s="6">
        <v>0.5416</v>
      </c>
      <c r="J995" s="6">
        <v>-0.0051</v>
      </c>
    </row>
    <row r="996">
      <c r="A996" s="5" t="s">
        <v>57</v>
      </c>
      <c r="B996" s="5" t="s">
        <v>163</v>
      </c>
      <c r="C996" s="5" t="s">
        <v>69</v>
      </c>
      <c r="D996" s="6">
        <v>5.0</v>
      </c>
      <c r="E996" s="6">
        <v>35057.0</v>
      </c>
      <c r="F996" s="6">
        <v>39100.0</v>
      </c>
      <c r="G996" s="6">
        <v>69475.0</v>
      </c>
      <c r="H996" s="6">
        <v>0.5046</v>
      </c>
      <c r="I996" s="6">
        <v>0.5628</v>
      </c>
      <c r="J996" s="6">
        <v>-0.0582</v>
      </c>
    </row>
    <row r="997">
      <c r="A997" s="5" t="s">
        <v>57</v>
      </c>
      <c r="B997" s="5" t="s">
        <v>163</v>
      </c>
      <c r="C997" s="5" t="s">
        <v>69</v>
      </c>
      <c r="D997" s="6">
        <v>6.0</v>
      </c>
      <c r="E997" s="6">
        <v>41507.0</v>
      </c>
      <c r="F997" s="6">
        <v>43171.0</v>
      </c>
      <c r="G997" s="6">
        <v>69475.0</v>
      </c>
      <c r="H997" s="6">
        <v>0.5974</v>
      </c>
      <c r="I997" s="6">
        <v>0.6214</v>
      </c>
      <c r="J997" s="6">
        <v>-0.024</v>
      </c>
    </row>
    <row r="998">
      <c r="A998" s="5" t="s">
        <v>57</v>
      </c>
      <c r="B998" s="5" t="s">
        <v>163</v>
      </c>
      <c r="C998" s="5" t="s">
        <v>69</v>
      </c>
      <c r="D998" s="6">
        <v>7.0</v>
      </c>
      <c r="E998" s="6">
        <v>31889.0</v>
      </c>
      <c r="F998" s="6">
        <v>38750.0</v>
      </c>
      <c r="G998" s="6">
        <v>69475.0</v>
      </c>
      <c r="H998" s="6">
        <v>0.459</v>
      </c>
      <c r="I998" s="6">
        <v>0.5578</v>
      </c>
      <c r="J998" s="6">
        <v>-0.0988</v>
      </c>
    </row>
    <row r="999">
      <c r="A999" s="5" t="s">
        <v>57</v>
      </c>
      <c r="B999" s="5" t="s">
        <v>163</v>
      </c>
      <c r="C999" s="5" t="s">
        <v>69</v>
      </c>
      <c r="D999" s="6">
        <v>8.0</v>
      </c>
      <c r="E999" s="6">
        <v>30315.0</v>
      </c>
      <c r="F999" s="6">
        <v>36396.0</v>
      </c>
      <c r="G999" s="6">
        <v>69475.0</v>
      </c>
      <c r="H999" s="6">
        <v>0.4363</v>
      </c>
      <c r="I999" s="6">
        <v>0.5239</v>
      </c>
      <c r="J999" s="6">
        <v>-0.0875</v>
      </c>
    </row>
    <row r="1000">
      <c r="A1000" s="5" t="s">
        <v>57</v>
      </c>
      <c r="B1000" s="5" t="s">
        <v>163</v>
      </c>
      <c r="C1000" s="5" t="s">
        <v>69</v>
      </c>
      <c r="D1000" s="6">
        <v>9.0</v>
      </c>
      <c r="E1000" s="6">
        <v>26655.0</v>
      </c>
      <c r="F1000" s="6">
        <v>32284.0</v>
      </c>
      <c r="G1000" s="6">
        <v>69475.0</v>
      </c>
      <c r="H1000" s="6">
        <v>0.3837</v>
      </c>
      <c r="I1000" s="6">
        <v>0.4647</v>
      </c>
      <c r="J1000" s="6">
        <v>-0.081</v>
      </c>
    </row>
    <row r="1001">
      <c r="A1001" s="5" t="s">
        <v>57</v>
      </c>
      <c r="B1001" s="5" t="s">
        <v>163</v>
      </c>
      <c r="C1001" s="5" t="s">
        <v>69</v>
      </c>
      <c r="D1001" s="6">
        <v>10.0</v>
      </c>
      <c r="E1001" s="6">
        <v>47549.0</v>
      </c>
      <c r="F1001" s="6">
        <v>43045.0</v>
      </c>
      <c r="G1001" s="6">
        <v>69475.0</v>
      </c>
      <c r="H1001" s="6">
        <v>0.6844</v>
      </c>
      <c r="I1001" s="6">
        <v>0.6196</v>
      </c>
      <c r="J1001" s="6">
        <v>0.0648</v>
      </c>
    </row>
    <row r="1002">
      <c r="A1002" s="5" t="s">
        <v>57</v>
      </c>
      <c r="B1002" s="5" t="s">
        <v>163</v>
      </c>
      <c r="C1002" s="5" t="s">
        <v>69</v>
      </c>
      <c r="D1002" s="6">
        <v>11.0</v>
      </c>
      <c r="E1002" s="6">
        <v>34241.0</v>
      </c>
      <c r="F1002" s="6">
        <v>36470.0</v>
      </c>
      <c r="G1002" s="6">
        <v>69475.0</v>
      </c>
      <c r="H1002" s="6">
        <v>0.4929</v>
      </c>
      <c r="I1002" s="6">
        <v>0.5249</v>
      </c>
      <c r="J1002" s="6">
        <v>-0.0321</v>
      </c>
    </row>
    <row r="1003">
      <c r="A1003" s="5" t="s">
        <v>57</v>
      </c>
      <c r="B1003" s="5" t="s">
        <v>163</v>
      </c>
      <c r="C1003" s="5" t="s">
        <v>69</v>
      </c>
      <c r="D1003" s="6">
        <v>12.0</v>
      </c>
      <c r="E1003" s="6">
        <v>31438.0</v>
      </c>
      <c r="F1003" s="6">
        <v>36376.0</v>
      </c>
      <c r="G1003" s="6">
        <v>69475.0</v>
      </c>
      <c r="H1003" s="6">
        <v>0.4525</v>
      </c>
      <c r="I1003" s="6">
        <v>0.5236</v>
      </c>
      <c r="J1003" s="6">
        <v>-0.0711</v>
      </c>
    </row>
    <row r="1004">
      <c r="A1004" s="5" t="s">
        <v>57</v>
      </c>
      <c r="B1004" s="5" t="s">
        <v>163</v>
      </c>
      <c r="C1004" s="5" t="s">
        <v>69</v>
      </c>
      <c r="D1004" s="6">
        <v>13.0</v>
      </c>
      <c r="E1004" s="6">
        <v>38635.0</v>
      </c>
      <c r="F1004" s="6">
        <v>40623.0</v>
      </c>
      <c r="G1004" s="6">
        <v>69475.0</v>
      </c>
      <c r="H1004" s="6">
        <v>0.5561</v>
      </c>
      <c r="I1004" s="6">
        <v>0.5847</v>
      </c>
      <c r="J1004" s="6">
        <v>-0.0286</v>
      </c>
    </row>
    <row r="1005">
      <c r="A1005" s="5" t="s">
        <v>57</v>
      </c>
      <c r="B1005" s="5" t="s">
        <v>163</v>
      </c>
      <c r="C1005" s="5" t="s">
        <v>69</v>
      </c>
      <c r="D1005" s="6">
        <v>14.0</v>
      </c>
      <c r="E1005" s="6">
        <v>28190.0</v>
      </c>
      <c r="F1005" s="6">
        <v>35894.0</v>
      </c>
      <c r="G1005" s="6">
        <v>69475.0</v>
      </c>
      <c r="H1005" s="6">
        <v>0.4058</v>
      </c>
      <c r="I1005" s="6">
        <v>0.5166</v>
      </c>
      <c r="J1005" s="6">
        <v>-0.1109</v>
      </c>
    </row>
    <row r="1006">
      <c r="A1006" s="5" t="s">
        <v>57</v>
      </c>
      <c r="B1006" s="5" t="s">
        <v>163</v>
      </c>
      <c r="C1006" s="5" t="s">
        <v>69</v>
      </c>
      <c r="D1006" s="6">
        <v>15.0</v>
      </c>
      <c r="E1006" s="6">
        <v>26558.0</v>
      </c>
      <c r="F1006" s="6">
        <v>33726.0</v>
      </c>
      <c r="G1006" s="6">
        <v>69475.0</v>
      </c>
      <c r="H1006" s="6">
        <v>0.3823</v>
      </c>
      <c r="I1006" s="6">
        <v>0.4854</v>
      </c>
      <c r="J1006" s="6">
        <v>-0.1032</v>
      </c>
    </row>
    <row r="1007">
      <c r="A1007" s="5" t="s">
        <v>57</v>
      </c>
      <c r="B1007" s="5" t="s">
        <v>163</v>
      </c>
      <c r="C1007" s="5" t="s">
        <v>69</v>
      </c>
      <c r="D1007" s="6">
        <v>16.0</v>
      </c>
      <c r="E1007" s="6">
        <v>25616.0</v>
      </c>
      <c r="F1007" s="6">
        <v>29502.0</v>
      </c>
      <c r="G1007" s="6">
        <v>69475.0</v>
      </c>
      <c r="H1007" s="6">
        <v>0.3687</v>
      </c>
      <c r="I1007" s="6">
        <v>0.4246</v>
      </c>
      <c r="J1007" s="6">
        <v>-0.0559</v>
      </c>
    </row>
    <row r="1008">
      <c r="A1008" s="5" t="s">
        <v>57</v>
      </c>
      <c r="B1008" s="5" t="s">
        <v>163</v>
      </c>
      <c r="C1008" s="5" t="s">
        <v>69</v>
      </c>
      <c r="D1008" s="6">
        <v>17.0</v>
      </c>
      <c r="E1008" s="6">
        <v>42883.0</v>
      </c>
      <c r="F1008" s="6">
        <v>39005.0</v>
      </c>
      <c r="G1008" s="6">
        <v>69475.0</v>
      </c>
      <c r="H1008" s="6">
        <v>0.6172</v>
      </c>
      <c r="I1008" s="6">
        <v>0.5614</v>
      </c>
      <c r="J1008" s="6">
        <v>0.0558</v>
      </c>
    </row>
    <row r="1009">
      <c r="A1009" s="5" t="s">
        <v>57</v>
      </c>
      <c r="B1009" s="5" t="s">
        <v>163</v>
      </c>
      <c r="C1009" s="5" t="s">
        <v>69</v>
      </c>
      <c r="D1009" s="6">
        <v>18.0</v>
      </c>
      <c r="E1009" s="6">
        <v>33143.0</v>
      </c>
      <c r="F1009" s="6">
        <v>35034.0</v>
      </c>
      <c r="G1009" s="6">
        <v>69475.0</v>
      </c>
      <c r="H1009" s="6">
        <v>0.477</v>
      </c>
      <c r="I1009" s="6">
        <v>0.5043</v>
      </c>
      <c r="J1009" s="6">
        <v>-0.0272</v>
      </c>
    </row>
    <row r="1010">
      <c r="A1010" s="5" t="s">
        <v>57</v>
      </c>
      <c r="B1010" s="5" t="s">
        <v>163</v>
      </c>
      <c r="C1010" s="5" t="s">
        <v>69</v>
      </c>
      <c r="D1010" s="6">
        <v>19.0</v>
      </c>
      <c r="E1010" s="6">
        <v>30362.0</v>
      </c>
      <c r="F1010" s="6">
        <v>33932.0</v>
      </c>
      <c r="G1010" s="6">
        <v>69475.0</v>
      </c>
      <c r="H1010" s="6">
        <v>0.437</v>
      </c>
      <c r="I1010" s="6">
        <v>0.4884</v>
      </c>
      <c r="J1010" s="6">
        <v>-0.0514</v>
      </c>
    </row>
    <row r="1011">
      <c r="A1011" s="5" t="s">
        <v>57</v>
      </c>
      <c r="B1011" s="5" t="s">
        <v>163</v>
      </c>
      <c r="C1011" s="5" t="s">
        <v>69</v>
      </c>
      <c r="D1011" s="6">
        <v>20.0</v>
      </c>
      <c r="E1011" s="6">
        <v>38104.0</v>
      </c>
      <c r="F1011" s="6">
        <v>39043.0</v>
      </c>
      <c r="G1011" s="6">
        <v>69475.0</v>
      </c>
      <c r="H1011" s="6">
        <v>0.5485</v>
      </c>
      <c r="I1011" s="6">
        <v>0.562</v>
      </c>
      <c r="J1011" s="6">
        <v>-0.0135</v>
      </c>
    </row>
    <row r="1012">
      <c r="A1012" s="5" t="s">
        <v>57</v>
      </c>
      <c r="B1012" s="5" t="s">
        <v>163</v>
      </c>
      <c r="C1012" s="5" t="s">
        <v>69</v>
      </c>
      <c r="D1012" s="6">
        <v>21.0</v>
      </c>
      <c r="E1012" s="6">
        <v>64311.0</v>
      </c>
      <c r="F1012" s="6">
        <v>47780.0</v>
      </c>
      <c r="G1012" s="6">
        <v>69475.0</v>
      </c>
      <c r="H1012" s="6">
        <v>0.9257</v>
      </c>
      <c r="I1012" s="6">
        <v>0.6877</v>
      </c>
      <c r="J1012" s="6">
        <v>0.2379</v>
      </c>
    </row>
    <row r="1013">
      <c r="A1013" s="5" t="s">
        <v>57</v>
      </c>
      <c r="B1013" s="5" t="s">
        <v>163</v>
      </c>
      <c r="C1013" s="5" t="s">
        <v>69</v>
      </c>
      <c r="D1013" s="6">
        <v>22.0</v>
      </c>
      <c r="E1013" s="6">
        <v>45066.0</v>
      </c>
      <c r="F1013" s="6">
        <v>44787.0</v>
      </c>
      <c r="G1013" s="6">
        <v>69475.0</v>
      </c>
      <c r="H1013" s="6">
        <v>0.6487</v>
      </c>
      <c r="I1013" s="6">
        <v>0.6446</v>
      </c>
      <c r="J1013" s="6">
        <v>0.004</v>
      </c>
    </row>
    <row r="1014">
      <c r="A1014" s="5" t="s">
        <v>57</v>
      </c>
      <c r="B1014" s="5" t="s">
        <v>163</v>
      </c>
      <c r="C1014" s="5" t="s">
        <v>69</v>
      </c>
      <c r="D1014" s="6">
        <v>23.0</v>
      </c>
      <c r="E1014" s="6">
        <v>35539.0</v>
      </c>
      <c r="F1014" s="6">
        <v>38900.0</v>
      </c>
      <c r="G1014" s="6">
        <v>69475.0</v>
      </c>
      <c r="H1014" s="6">
        <v>0.5115</v>
      </c>
      <c r="I1014" s="6">
        <v>0.5599</v>
      </c>
      <c r="J1014" s="6">
        <v>-0.0484</v>
      </c>
    </row>
    <row r="1015">
      <c r="A1015" s="5" t="s">
        <v>57</v>
      </c>
      <c r="B1015" s="5" t="s">
        <v>163</v>
      </c>
      <c r="C1015" s="5" t="s">
        <v>69</v>
      </c>
      <c r="D1015" s="6">
        <v>24.0</v>
      </c>
      <c r="E1015" s="6">
        <v>54074.0</v>
      </c>
      <c r="F1015" s="6">
        <v>47819.0</v>
      </c>
      <c r="G1015" s="6">
        <v>69475.0</v>
      </c>
      <c r="H1015" s="6">
        <v>0.7783</v>
      </c>
      <c r="I1015" s="6">
        <v>0.6883</v>
      </c>
      <c r="J1015" s="6">
        <v>0.09</v>
      </c>
    </row>
    <row r="1016">
      <c r="A1016" s="5" t="s">
        <v>57</v>
      </c>
      <c r="B1016" s="5" t="s">
        <v>163</v>
      </c>
      <c r="C1016" s="5" t="s">
        <v>69</v>
      </c>
      <c r="D1016" s="6">
        <v>25.0</v>
      </c>
      <c r="E1016" s="6">
        <v>41684.0</v>
      </c>
      <c r="F1016" s="6">
        <v>42133.0</v>
      </c>
      <c r="G1016" s="6">
        <v>69475.0</v>
      </c>
      <c r="H1016" s="6">
        <v>0.6</v>
      </c>
      <c r="I1016" s="6">
        <v>0.6064</v>
      </c>
      <c r="J1016" s="6">
        <v>-0.0065</v>
      </c>
    </row>
    <row r="1017">
      <c r="A1017" s="5" t="s">
        <v>57</v>
      </c>
      <c r="B1017" s="5" t="s">
        <v>163</v>
      </c>
      <c r="C1017" s="5" t="s">
        <v>69</v>
      </c>
      <c r="D1017" s="6">
        <v>26.0</v>
      </c>
      <c r="E1017" s="6">
        <v>37965.0</v>
      </c>
      <c r="F1017" s="6">
        <v>42272.0</v>
      </c>
      <c r="G1017" s="6">
        <v>69475.0</v>
      </c>
      <c r="H1017" s="6">
        <v>0.5465</v>
      </c>
      <c r="I1017" s="6">
        <v>0.6084</v>
      </c>
      <c r="J1017" s="6">
        <v>-0.062</v>
      </c>
    </row>
    <row r="1018">
      <c r="A1018" s="5" t="s">
        <v>57</v>
      </c>
      <c r="B1018" s="5" t="s">
        <v>163</v>
      </c>
      <c r="C1018" s="5" t="s">
        <v>69</v>
      </c>
      <c r="D1018" s="6">
        <v>27.0</v>
      </c>
      <c r="E1018" s="6">
        <v>46492.0</v>
      </c>
      <c r="F1018" s="6">
        <v>43743.0</v>
      </c>
      <c r="G1018" s="6">
        <v>69475.0</v>
      </c>
      <c r="H1018" s="6">
        <v>0.6692</v>
      </c>
      <c r="I1018" s="6">
        <v>0.6296</v>
      </c>
      <c r="J1018" s="6">
        <v>0.0396</v>
      </c>
    </row>
    <row r="1019">
      <c r="A1019" s="5" t="s">
        <v>57</v>
      </c>
      <c r="B1019" s="5" t="s">
        <v>163</v>
      </c>
      <c r="C1019" s="5" t="s">
        <v>69</v>
      </c>
      <c r="D1019" s="6">
        <v>28.0</v>
      </c>
      <c r="E1019" s="6">
        <v>31837.0</v>
      </c>
      <c r="F1019" s="6">
        <v>36672.0</v>
      </c>
      <c r="G1019" s="6">
        <v>69475.0</v>
      </c>
      <c r="H1019" s="6">
        <v>0.4583</v>
      </c>
      <c r="I1019" s="6">
        <v>0.5278</v>
      </c>
      <c r="J1019" s="6">
        <v>-0.0696</v>
      </c>
    </row>
    <row r="1020">
      <c r="A1020" s="5" t="s">
        <v>57</v>
      </c>
      <c r="B1020" s="5" t="s">
        <v>163</v>
      </c>
      <c r="C1020" s="5" t="s">
        <v>69</v>
      </c>
      <c r="D1020" s="6">
        <v>29.0</v>
      </c>
      <c r="E1020" s="6">
        <v>29269.0</v>
      </c>
      <c r="F1020" s="6">
        <v>34934.0</v>
      </c>
      <c r="G1020" s="6">
        <v>69475.0</v>
      </c>
      <c r="H1020" s="6">
        <v>0.4213</v>
      </c>
      <c r="I1020" s="6">
        <v>0.5028</v>
      </c>
      <c r="J1020" s="6">
        <v>-0.0815</v>
      </c>
    </row>
    <row r="1021">
      <c r="A1021" s="5" t="s">
        <v>57</v>
      </c>
      <c r="B1021" s="5" t="s">
        <v>163</v>
      </c>
      <c r="C1021" s="5" t="s">
        <v>69</v>
      </c>
      <c r="D1021" s="6">
        <v>30.0</v>
      </c>
      <c r="E1021" s="6">
        <v>27868.0</v>
      </c>
      <c r="F1021" s="6">
        <v>31259.0</v>
      </c>
      <c r="G1021" s="6">
        <v>69475.0</v>
      </c>
      <c r="H1021" s="6">
        <v>0.4011</v>
      </c>
      <c r="I1021" s="6">
        <v>0.4499</v>
      </c>
      <c r="J1021" s="6">
        <v>-0.0488</v>
      </c>
    </row>
    <row r="1022">
      <c r="A1022" s="5" t="s">
        <v>57</v>
      </c>
      <c r="B1022" s="5" t="s">
        <v>163</v>
      </c>
      <c r="C1022" s="5" t="s">
        <v>69</v>
      </c>
      <c r="D1022" s="6">
        <v>31.0</v>
      </c>
      <c r="E1022" s="6">
        <v>45198.0</v>
      </c>
      <c r="F1022" s="6">
        <v>38183.0</v>
      </c>
      <c r="G1022" s="6">
        <v>69475.0</v>
      </c>
      <c r="H1022" s="6">
        <v>0.6506</v>
      </c>
      <c r="I1022" s="6">
        <v>0.5496</v>
      </c>
      <c r="J1022" s="6">
        <v>0.101</v>
      </c>
    </row>
    <row r="1023">
      <c r="A1023" s="5" t="s">
        <v>57</v>
      </c>
      <c r="B1023" s="5" t="s">
        <v>163</v>
      </c>
      <c r="C1023" s="5" t="s">
        <v>69</v>
      </c>
      <c r="D1023" s="6">
        <v>32.0</v>
      </c>
      <c r="E1023" s="6">
        <v>34602.0</v>
      </c>
      <c r="F1023" s="6">
        <v>34692.0</v>
      </c>
      <c r="G1023" s="6">
        <v>69475.0</v>
      </c>
      <c r="H1023" s="6">
        <v>0.498</v>
      </c>
      <c r="I1023" s="6">
        <v>0.4993</v>
      </c>
      <c r="J1023" s="6">
        <v>-0.0013</v>
      </c>
    </row>
    <row r="1024">
      <c r="A1024" s="5" t="s">
        <v>57</v>
      </c>
      <c r="B1024" s="5" t="s">
        <v>163</v>
      </c>
      <c r="C1024" s="5" t="s">
        <v>69</v>
      </c>
      <c r="D1024" s="6">
        <v>33.0</v>
      </c>
      <c r="E1024" s="6">
        <v>32239.0</v>
      </c>
      <c r="F1024" s="6">
        <v>35730.0</v>
      </c>
      <c r="G1024" s="6">
        <v>69475.0</v>
      </c>
      <c r="H1024" s="6">
        <v>0.464</v>
      </c>
      <c r="I1024" s="6">
        <v>0.5143</v>
      </c>
      <c r="J1024" s="6">
        <v>-0.0502</v>
      </c>
    </row>
    <row r="1025">
      <c r="A1025" s="5" t="s">
        <v>57</v>
      </c>
      <c r="B1025" s="5" t="s">
        <v>163</v>
      </c>
      <c r="C1025" s="5" t="s">
        <v>70</v>
      </c>
      <c r="D1025" s="6">
        <v>1.0</v>
      </c>
      <c r="E1025" s="6">
        <v>31964.0</v>
      </c>
      <c r="F1025" s="6">
        <v>36657.0</v>
      </c>
      <c r="G1025" s="6">
        <v>69810.0</v>
      </c>
      <c r="H1025" s="6">
        <v>0.4579</v>
      </c>
      <c r="I1025" s="6">
        <v>0.5251</v>
      </c>
      <c r="J1025" s="6">
        <v>-0.0672</v>
      </c>
    </row>
    <row r="1026">
      <c r="A1026" s="5" t="s">
        <v>57</v>
      </c>
      <c r="B1026" s="5" t="s">
        <v>163</v>
      </c>
      <c r="C1026" s="5" t="s">
        <v>70</v>
      </c>
      <c r="D1026" s="6">
        <v>2.0</v>
      </c>
      <c r="E1026" s="6">
        <v>30766.0</v>
      </c>
      <c r="F1026" s="6">
        <v>33418.0</v>
      </c>
      <c r="G1026" s="6">
        <v>69810.0</v>
      </c>
      <c r="H1026" s="6">
        <v>0.4407</v>
      </c>
      <c r="I1026" s="6">
        <v>0.4787</v>
      </c>
      <c r="J1026" s="6">
        <v>-0.038</v>
      </c>
    </row>
    <row r="1027">
      <c r="A1027" s="5" t="s">
        <v>57</v>
      </c>
      <c r="B1027" s="5" t="s">
        <v>163</v>
      </c>
      <c r="C1027" s="5" t="s">
        <v>70</v>
      </c>
      <c r="D1027" s="6">
        <v>3.0</v>
      </c>
      <c r="E1027" s="6">
        <v>43059.0</v>
      </c>
      <c r="F1027" s="6">
        <v>38161.0</v>
      </c>
      <c r="G1027" s="6">
        <v>69810.0</v>
      </c>
      <c r="H1027" s="6">
        <v>0.6168</v>
      </c>
      <c r="I1027" s="6">
        <v>0.5466</v>
      </c>
      <c r="J1027" s="6">
        <v>0.0702</v>
      </c>
    </row>
    <row r="1028">
      <c r="A1028" s="5" t="s">
        <v>57</v>
      </c>
      <c r="B1028" s="5" t="s">
        <v>163</v>
      </c>
      <c r="C1028" s="5" t="s">
        <v>70</v>
      </c>
      <c r="D1028" s="6">
        <v>4.0</v>
      </c>
      <c r="E1028" s="6">
        <v>35654.0</v>
      </c>
      <c r="F1028" s="6">
        <v>36693.0</v>
      </c>
      <c r="G1028" s="6">
        <v>69810.0</v>
      </c>
      <c r="H1028" s="6">
        <v>0.5107</v>
      </c>
      <c r="I1028" s="6">
        <v>0.5256</v>
      </c>
      <c r="J1028" s="6">
        <v>-0.0149</v>
      </c>
    </row>
    <row r="1029">
      <c r="A1029" s="5" t="s">
        <v>57</v>
      </c>
      <c r="B1029" s="5" t="s">
        <v>163</v>
      </c>
      <c r="C1029" s="5" t="s">
        <v>70</v>
      </c>
      <c r="D1029" s="6">
        <v>5.0</v>
      </c>
      <c r="E1029" s="6">
        <v>34483.0</v>
      </c>
      <c r="F1029" s="6">
        <v>38358.0</v>
      </c>
      <c r="G1029" s="6">
        <v>69810.0</v>
      </c>
      <c r="H1029" s="6">
        <v>0.494</v>
      </c>
      <c r="I1029" s="6">
        <v>0.5495</v>
      </c>
      <c r="J1029" s="6">
        <v>-0.0555</v>
      </c>
    </row>
    <row r="1030">
      <c r="A1030" s="5" t="s">
        <v>57</v>
      </c>
      <c r="B1030" s="5" t="s">
        <v>163</v>
      </c>
      <c r="C1030" s="5" t="s">
        <v>70</v>
      </c>
      <c r="D1030" s="6">
        <v>6.0</v>
      </c>
      <c r="E1030" s="6">
        <v>50299.0</v>
      </c>
      <c r="F1030" s="6">
        <v>45926.0</v>
      </c>
      <c r="G1030" s="6">
        <v>69810.0</v>
      </c>
      <c r="H1030" s="6">
        <v>0.7205</v>
      </c>
      <c r="I1030" s="6">
        <v>0.6579</v>
      </c>
      <c r="J1030" s="6">
        <v>0.0626</v>
      </c>
    </row>
    <row r="1031">
      <c r="A1031" s="5" t="s">
        <v>57</v>
      </c>
      <c r="B1031" s="5" t="s">
        <v>163</v>
      </c>
      <c r="C1031" s="5" t="s">
        <v>70</v>
      </c>
      <c r="D1031" s="6">
        <v>7.0</v>
      </c>
      <c r="E1031" s="6">
        <v>35599.0</v>
      </c>
      <c r="F1031" s="6">
        <v>40837.0</v>
      </c>
      <c r="G1031" s="6">
        <v>69810.0</v>
      </c>
      <c r="H1031" s="6">
        <v>0.5099</v>
      </c>
      <c r="I1031" s="6">
        <v>0.585</v>
      </c>
      <c r="J1031" s="6">
        <v>-0.075</v>
      </c>
    </row>
    <row r="1032">
      <c r="A1032" s="5" t="s">
        <v>57</v>
      </c>
      <c r="B1032" s="5" t="s">
        <v>163</v>
      </c>
      <c r="C1032" s="5" t="s">
        <v>70</v>
      </c>
      <c r="D1032" s="6">
        <v>8.0</v>
      </c>
      <c r="E1032" s="6">
        <v>30838.0</v>
      </c>
      <c r="F1032" s="6">
        <v>37578.0</v>
      </c>
      <c r="G1032" s="6">
        <v>69810.0</v>
      </c>
      <c r="H1032" s="6">
        <v>0.4417</v>
      </c>
      <c r="I1032" s="6">
        <v>0.5383</v>
      </c>
      <c r="J1032" s="6">
        <v>-0.0965</v>
      </c>
    </row>
    <row r="1033">
      <c r="A1033" s="5" t="s">
        <v>57</v>
      </c>
      <c r="B1033" s="5" t="s">
        <v>163</v>
      </c>
      <c r="C1033" s="5" t="s">
        <v>70</v>
      </c>
      <c r="D1033" s="6">
        <v>9.0</v>
      </c>
      <c r="E1033" s="6">
        <v>26762.0</v>
      </c>
      <c r="F1033" s="6">
        <v>32308.0</v>
      </c>
      <c r="G1033" s="6">
        <v>69810.0</v>
      </c>
      <c r="H1033" s="6">
        <v>0.3834</v>
      </c>
      <c r="I1033" s="6">
        <v>0.4628</v>
      </c>
      <c r="J1033" s="6">
        <v>-0.0794</v>
      </c>
    </row>
    <row r="1034">
      <c r="A1034" s="5" t="s">
        <v>57</v>
      </c>
      <c r="B1034" s="5" t="s">
        <v>163</v>
      </c>
      <c r="C1034" s="5" t="s">
        <v>70</v>
      </c>
      <c r="D1034" s="6">
        <v>10.0</v>
      </c>
      <c r="E1034" s="6">
        <v>48355.0</v>
      </c>
      <c r="F1034" s="6">
        <v>41812.0</v>
      </c>
      <c r="G1034" s="6">
        <v>69810.0</v>
      </c>
      <c r="H1034" s="6">
        <v>0.6927</v>
      </c>
      <c r="I1034" s="6">
        <v>0.5989</v>
      </c>
      <c r="J1034" s="6">
        <v>0.0937</v>
      </c>
    </row>
    <row r="1035">
      <c r="A1035" s="5" t="s">
        <v>57</v>
      </c>
      <c r="B1035" s="5" t="s">
        <v>163</v>
      </c>
      <c r="C1035" s="5" t="s">
        <v>70</v>
      </c>
      <c r="D1035" s="6">
        <v>11.0</v>
      </c>
      <c r="E1035" s="6">
        <v>33714.0</v>
      </c>
      <c r="F1035" s="6">
        <v>35667.0</v>
      </c>
      <c r="G1035" s="6">
        <v>69810.0</v>
      </c>
      <c r="H1035" s="6">
        <v>0.4829</v>
      </c>
      <c r="I1035" s="6">
        <v>0.5109</v>
      </c>
      <c r="J1035" s="6">
        <v>-0.028</v>
      </c>
    </row>
    <row r="1036">
      <c r="A1036" s="5" t="s">
        <v>57</v>
      </c>
      <c r="B1036" s="5" t="s">
        <v>163</v>
      </c>
      <c r="C1036" s="5" t="s">
        <v>70</v>
      </c>
      <c r="D1036" s="6">
        <v>12.0</v>
      </c>
      <c r="E1036" s="6">
        <v>31670.0</v>
      </c>
      <c r="F1036" s="6">
        <v>35943.0</v>
      </c>
      <c r="G1036" s="6">
        <v>69810.0</v>
      </c>
      <c r="H1036" s="6">
        <v>0.4537</v>
      </c>
      <c r="I1036" s="6">
        <v>0.5149</v>
      </c>
      <c r="J1036" s="6">
        <v>-0.0612</v>
      </c>
    </row>
    <row r="1037">
      <c r="A1037" s="5" t="s">
        <v>57</v>
      </c>
      <c r="B1037" s="5" t="s">
        <v>163</v>
      </c>
      <c r="C1037" s="5" t="s">
        <v>70</v>
      </c>
      <c r="D1037" s="6">
        <v>13.0</v>
      </c>
      <c r="E1037" s="6">
        <v>47242.0</v>
      </c>
      <c r="F1037" s="6">
        <v>43302.0</v>
      </c>
      <c r="G1037" s="6">
        <v>69810.0</v>
      </c>
      <c r="H1037" s="6">
        <v>0.6767</v>
      </c>
      <c r="I1037" s="6">
        <v>0.6203</v>
      </c>
      <c r="J1037" s="6">
        <v>0.0564</v>
      </c>
    </row>
    <row r="1038">
      <c r="A1038" s="5" t="s">
        <v>57</v>
      </c>
      <c r="B1038" s="5" t="s">
        <v>163</v>
      </c>
      <c r="C1038" s="5" t="s">
        <v>70</v>
      </c>
      <c r="D1038" s="6">
        <v>14.0</v>
      </c>
      <c r="E1038" s="6">
        <v>33002.0</v>
      </c>
      <c r="F1038" s="6">
        <v>38350.0</v>
      </c>
      <c r="G1038" s="6">
        <v>69810.0</v>
      </c>
      <c r="H1038" s="6">
        <v>0.4727</v>
      </c>
      <c r="I1038" s="6">
        <v>0.5493</v>
      </c>
      <c r="J1038" s="6">
        <v>-0.0766</v>
      </c>
    </row>
    <row r="1039">
      <c r="A1039" s="5" t="s">
        <v>57</v>
      </c>
      <c r="B1039" s="5" t="s">
        <v>163</v>
      </c>
      <c r="C1039" s="5" t="s">
        <v>70</v>
      </c>
      <c r="D1039" s="6">
        <v>15.0</v>
      </c>
      <c r="E1039" s="6">
        <v>28015.0</v>
      </c>
      <c r="F1039" s="6">
        <v>35552.0</v>
      </c>
      <c r="G1039" s="6">
        <v>69810.0</v>
      </c>
      <c r="H1039" s="6">
        <v>0.4013</v>
      </c>
      <c r="I1039" s="6">
        <v>0.5093</v>
      </c>
      <c r="J1039" s="6">
        <v>-0.108</v>
      </c>
    </row>
    <row r="1040">
      <c r="A1040" s="5" t="s">
        <v>57</v>
      </c>
      <c r="B1040" s="5" t="s">
        <v>163</v>
      </c>
      <c r="C1040" s="5" t="s">
        <v>70</v>
      </c>
      <c r="D1040" s="6">
        <v>16.0</v>
      </c>
      <c r="E1040" s="6">
        <v>26451.0</v>
      </c>
      <c r="F1040" s="6">
        <v>30890.0</v>
      </c>
      <c r="G1040" s="6">
        <v>69810.0</v>
      </c>
      <c r="H1040" s="6">
        <v>0.3789</v>
      </c>
      <c r="I1040" s="6">
        <v>0.4425</v>
      </c>
      <c r="J1040" s="6">
        <v>-0.0636</v>
      </c>
    </row>
    <row r="1041">
      <c r="A1041" s="5" t="s">
        <v>57</v>
      </c>
      <c r="B1041" s="5" t="s">
        <v>163</v>
      </c>
      <c r="C1041" s="5" t="s">
        <v>70</v>
      </c>
      <c r="D1041" s="6">
        <v>17.0</v>
      </c>
      <c r="E1041" s="6">
        <v>42775.0</v>
      </c>
      <c r="F1041" s="6">
        <v>38509.0</v>
      </c>
      <c r="G1041" s="6">
        <v>69810.0</v>
      </c>
      <c r="H1041" s="6">
        <v>0.6127</v>
      </c>
      <c r="I1041" s="6">
        <v>0.5516</v>
      </c>
      <c r="J1041" s="6">
        <v>0.0611</v>
      </c>
    </row>
    <row r="1042">
      <c r="A1042" s="5" t="s">
        <v>57</v>
      </c>
      <c r="B1042" s="5" t="s">
        <v>163</v>
      </c>
      <c r="C1042" s="5" t="s">
        <v>70</v>
      </c>
      <c r="D1042" s="6">
        <v>18.0</v>
      </c>
      <c r="E1042" s="6">
        <v>31305.0</v>
      </c>
      <c r="F1042" s="6">
        <v>34199.0</v>
      </c>
      <c r="G1042" s="6">
        <v>69810.0</v>
      </c>
      <c r="H1042" s="6">
        <v>0.4484</v>
      </c>
      <c r="I1042" s="6">
        <v>0.4899</v>
      </c>
      <c r="J1042" s="6">
        <v>-0.0415</v>
      </c>
    </row>
    <row r="1043">
      <c r="A1043" s="5" t="s">
        <v>57</v>
      </c>
      <c r="B1043" s="5" t="s">
        <v>163</v>
      </c>
      <c r="C1043" s="5" t="s">
        <v>70</v>
      </c>
      <c r="D1043" s="6">
        <v>19.0</v>
      </c>
      <c r="E1043" s="6">
        <v>29458.0</v>
      </c>
      <c r="F1043" s="6">
        <v>33670.0</v>
      </c>
      <c r="G1043" s="6">
        <v>69810.0</v>
      </c>
      <c r="H1043" s="6">
        <v>0.422</v>
      </c>
      <c r="I1043" s="6">
        <v>0.4823</v>
      </c>
      <c r="J1043" s="6">
        <v>-0.0603</v>
      </c>
    </row>
    <row r="1044">
      <c r="A1044" s="5" t="s">
        <v>57</v>
      </c>
      <c r="B1044" s="5" t="s">
        <v>163</v>
      </c>
      <c r="C1044" s="5" t="s">
        <v>70</v>
      </c>
      <c r="D1044" s="6">
        <v>20.0</v>
      </c>
      <c r="E1044" s="6">
        <v>46528.0</v>
      </c>
      <c r="F1044" s="6">
        <v>41947.0</v>
      </c>
      <c r="G1044" s="6">
        <v>69810.0</v>
      </c>
      <c r="H1044" s="6">
        <v>0.6665</v>
      </c>
      <c r="I1044" s="6">
        <v>0.6009</v>
      </c>
      <c r="J1044" s="6">
        <v>0.0656</v>
      </c>
    </row>
    <row r="1045">
      <c r="A1045" s="5" t="s">
        <v>57</v>
      </c>
      <c r="B1045" s="5" t="s">
        <v>163</v>
      </c>
      <c r="C1045" s="5" t="s">
        <v>70</v>
      </c>
      <c r="D1045" s="6">
        <v>21.0</v>
      </c>
      <c r="E1045" s="6">
        <v>84846.0</v>
      </c>
      <c r="F1045" s="6">
        <v>53428.0</v>
      </c>
      <c r="G1045" s="6">
        <v>69810.0</v>
      </c>
      <c r="H1045" s="6">
        <v>1.2154</v>
      </c>
      <c r="I1045" s="6">
        <v>0.7653</v>
      </c>
      <c r="J1045" s="6">
        <v>0.4501</v>
      </c>
    </row>
    <row r="1046">
      <c r="A1046" s="5" t="s">
        <v>57</v>
      </c>
      <c r="B1046" s="5" t="s">
        <v>163</v>
      </c>
      <c r="C1046" s="5" t="s">
        <v>70</v>
      </c>
      <c r="D1046" s="6">
        <v>22.0</v>
      </c>
      <c r="E1046" s="6">
        <v>50007.0</v>
      </c>
      <c r="F1046" s="6">
        <v>47829.0</v>
      </c>
      <c r="G1046" s="6">
        <v>69810.0</v>
      </c>
      <c r="H1046" s="6">
        <v>0.7163</v>
      </c>
      <c r="I1046" s="6">
        <v>0.6851</v>
      </c>
      <c r="J1046" s="6">
        <v>0.0312</v>
      </c>
    </row>
    <row r="1047">
      <c r="A1047" s="5" t="s">
        <v>57</v>
      </c>
      <c r="B1047" s="5" t="s">
        <v>163</v>
      </c>
      <c r="C1047" s="5" t="s">
        <v>70</v>
      </c>
      <c r="D1047" s="6">
        <v>23.0</v>
      </c>
      <c r="E1047" s="6">
        <v>34767.0</v>
      </c>
      <c r="F1047" s="6">
        <v>38120.0</v>
      </c>
      <c r="G1047" s="6">
        <v>69810.0</v>
      </c>
      <c r="H1047" s="6">
        <v>0.498</v>
      </c>
      <c r="I1047" s="6">
        <v>0.5461</v>
      </c>
      <c r="J1047" s="6">
        <v>-0.048</v>
      </c>
    </row>
    <row r="1048">
      <c r="A1048" s="5" t="s">
        <v>57</v>
      </c>
      <c r="B1048" s="5" t="s">
        <v>163</v>
      </c>
      <c r="C1048" s="5" t="s">
        <v>70</v>
      </c>
      <c r="D1048" s="6">
        <v>24.0</v>
      </c>
      <c r="E1048" s="6">
        <v>51479.0</v>
      </c>
      <c r="F1048" s="6">
        <v>44140.0</v>
      </c>
      <c r="G1048" s="6">
        <v>69810.0</v>
      </c>
      <c r="H1048" s="6">
        <v>0.7374</v>
      </c>
      <c r="I1048" s="6">
        <v>0.6323</v>
      </c>
      <c r="J1048" s="6">
        <v>0.1051</v>
      </c>
    </row>
    <row r="1049">
      <c r="A1049" s="5" t="s">
        <v>57</v>
      </c>
      <c r="B1049" s="5" t="s">
        <v>163</v>
      </c>
      <c r="C1049" s="5" t="s">
        <v>70</v>
      </c>
      <c r="D1049" s="6">
        <v>25.0</v>
      </c>
      <c r="E1049" s="6">
        <v>36710.0</v>
      </c>
      <c r="F1049" s="6">
        <v>37980.0</v>
      </c>
      <c r="G1049" s="6">
        <v>69810.0</v>
      </c>
      <c r="H1049" s="6">
        <v>0.5259</v>
      </c>
      <c r="I1049" s="6">
        <v>0.544</v>
      </c>
      <c r="J1049" s="6">
        <v>-0.0182</v>
      </c>
    </row>
    <row r="1050">
      <c r="A1050" s="5" t="s">
        <v>57</v>
      </c>
      <c r="B1050" s="5" t="s">
        <v>163</v>
      </c>
      <c r="C1050" s="5" t="s">
        <v>70</v>
      </c>
      <c r="D1050" s="6">
        <v>26.0</v>
      </c>
      <c r="E1050" s="6">
        <v>34405.0</v>
      </c>
      <c r="F1050" s="6">
        <v>38361.0</v>
      </c>
      <c r="G1050" s="6">
        <v>69810.0</v>
      </c>
      <c r="H1050" s="6">
        <v>0.4928</v>
      </c>
      <c r="I1050" s="6">
        <v>0.5495</v>
      </c>
      <c r="J1050" s="6">
        <v>-0.0567</v>
      </c>
    </row>
    <row r="1051">
      <c r="A1051" s="5" t="s">
        <v>57</v>
      </c>
      <c r="B1051" s="5" t="s">
        <v>163</v>
      </c>
      <c r="C1051" s="5" t="s">
        <v>70</v>
      </c>
      <c r="D1051" s="6">
        <v>27.0</v>
      </c>
      <c r="E1051" s="6">
        <v>46022.0</v>
      </c>
      <c r="F1051" s="6">
        <v>41443.0</v>
      </c>
      <c r="G1051" s="6">
        <v>69810.0</v>
      </c>
      <c r="H1051" s="6">
        <v>0.6592</v>
      </c>
      <c r="I1051" s="6">
        <v>0.5937</v>
      </c>
      <c r="J1051" s="6">
        <v>0.0656</v>
      </c>
    </row>
    <row r="1052">
      <c r="A1052" s="5" t="s">
        <v>57</v>
      </c>
      <c r="B1052" s="5" t="s">
        <v>163</v>
      </c>
      <c r="C1052" s="5" t="s">
        <v>70</v>
      </c>
      <c r="D1052" s="6">
        <v>28.0</v>
      </c>
      <c r="E1052" s="6">
        <v>32351.0</v>
      </c>
      <c r="F1052" s="6">
        <v>35774.0</v>
      </c>
      <c r="G1052" s="6">
        <v>69810.0</v>
      </c>
      <c r="H1052" s="6">
        <v>0.4634</v>
      </c>
      <c r="I1052" s="6">
        <v>0.5124</v>
      </c>
      <c r="J1052" s="6">
        <v>-0.049</v>
      </c>
    </row>
    <row r="1053">
      <c r="A1053" s="5" t="s">
        <v>57</v>
      </c>
      <c r="B1053" s="5" t="s">
        <v>163</v>
      </c>
      <c r="C1053" s="5" t="s">
        <v>70</v>
      </c>
      <c r="D1053" s="6">
        <v>29.0</v>
      </c>
      <c r="E1053" s="6">
        <v>28714.0</v>
      </c>
      <c r="F1053" s="6">
        <v>33860.0</v>
      </c>
      <c r="G1053" s="6">
        <v>69810.0</v>
      </c>
      <c r="H1053" s="6">
        <v>0.4113</v>
      </c>
      <c r="I1053" s="6">
        <v>0.485</v>
      </c>
      <c r="J1053" s="6">
        <v>-0.0737</v>
      </c>
    </row>
    <row r="1054">
      <c r="A1054" s="5" t="s">
        <v>57</v>
      </c>
      <c r="B1054" s="5" t="s">
        <v>163</v>
      </c>
      <c r="C1054" s="5" t="s">
        <v>70</v>
      </c>
      <c r="D1054" s="6">
        <v>30.0</v>
      </c>
      <c r="E1054" s="6">
        <v>27808.0</v>
      </c>
      <c r="F1054" s="6">
        <v>30626.0</v>
      </c>
      <c r="G1054" s="6">
        <v>69810.0</v>
      </c>
      <c r="H1054" s="6">
        <v>0.3983</v>
      </c>
      <c r="I1054" s="6">
        <v>0.4387</v>
      </c>
      <c r="J1054" s="6">
        <v>-0.0404</v>
      </c>
    </row>
    <row r="1055">
      <c r="A1055" s="5" t="s">
        <v>57</v>
      </c>
      <c r="B1055" s="5" t="s">
        <v>163</v>
      </c>
      <c r="C1055" s="5" t="s">
        <v>70</v>
      </c>
      <c r="D1055" s="6">
        <v>31.0</v>
      </c>
      <c r="E1055" s="6">
        <v>42828.0</v>
      </c>
      <c r="F1055" s="6">
        <v>36419.0</v>
      </c>
      <c r="G1055" s="6">
        <v>69810.0</v>
      </c>
      <c r="H1055" s="6">
        <v>0.6135</v>
      </c>
      <c r="I1055" s="6">
        <v>0.5217</v>
      </c>
      <c r="J1055" s="6">
        <v>0.0918</v>
      </c>
    </row>
    <row r="1056">
      <c r="A1056" s="5" t="s">
        <v>57</v>
      </c>
      <c r="B1056" s="5" t="s">
        <v>163</v>
      </c>
      <c r="C1056" s="5" t="s">
        <v>70</v>
      </c>
      <c r="D1056" s="6">
        <v>32.0</v>
      </c>
      <c r="E1056" s="6">
        <v>32598.0</v>
      </c>
      <c r="F1056" s="6">
        <v>32937.0</v>
      </c>
      <c r="G1056" s="6">
        <v>69810.0</v>
      </c>
      <c r="H1056" s="6">
        <v>0.467</v>
      </c>
      <c r="I1056" s="6">
        <v>0.4718</v>
      </c>
      <c r="J1056" s="6">
        <v>-0.0049</v>
      </c>
    </row>
    <row r="1057">
      <c r="A1057" s="5" t="s">
        <v>57</v>
      </c>
      <c r="B1057" s="5" t="s">
        <v>163</v>
      </c>
      <c r="C1057" s="5" t="s">
        <v>70</v>
      </c>
      <c r="D1057" s="6">
        <v>33.0</v>
      </c>
      <c r="E1057" s="6">
        <v>31868.0</v>
      </c>
      <c r="F1057" s="6">
        <v>34641.0</v>
      </c>
      <c r="G1057" s="6">
        <v>69810.0</v>
      </c>
      <c r="H1057" s="6">
        <v>0.4565</v>
      </c>
      <c r="I1057" s="6">
        <v>0.4962</v>
      </c>
      <c r="J1057" s="6">
        <v>-0.0397</v>
      </c>
    </row>
    <row r="1058">
      <c r="A1058" s="5" t="s">
        <v>57</v>
      </c>
      <c r="B1058" s="5" t="s">
        <v>163</v>
      </c>
      <c r="C1058" s="5" t="s">
        <v>71</v>
      </c>
      <c r="D1058" s="6">
        <v>1.0</v>
      </c>
      <c r="E1058" s="6">
        <v>15241.0</v>
      </c>
      <c r="F1058" s="6">
        <v>16674.0</v>
      </c>
      <c r="G1058" s="6">
        <v>64828.0</v>
      </c>
      <c r="H1058" s="6">
        <v>0.2351</v>
      </c>
      <c r="I1058" s="6">
        <v>0.2572</v>
      </c>
      <c r="J1058" s="6">
        <v>-0.0221</v>
      </c>
    </row>
    <row r="1059">
      <c r="A1059" s="5" t="s">
        <v>57</v>
      </c>
      <c r="B1059" s="5" t="s">
        <v>163</v>
      </c>
      <c r="C1059" s="5" t="s">
        <v>71</v>
      </c>
      <c r="D1059" s="6">
        <v>2.0</v>
      </c>
      <c r="E1059" s="6">
        <v>15153.0</v>
      </c>
      <c r="F1059" s="6">
        <v>15647.0</v>
      </c>
      <c r="G1059" s="6">
        <v>64828.0</v>
      </c>
      <c r="H1059" s="6">
        <v>0.2337</v>
      </c>
      <c r="I1059" s="6">
        <v>0.2414</v>
      </c>
      <c r="J1059" s="6">
        <v>-0.0076</v>
      </c>
    </row>
    <row r="1060">
      <c r="A1060" s="5" t="s">
        <v>57</v>
      </c>
      <c r="B1060" s="5" t="s">
        <v>163</v>
      </c>
      <c r="C1060" s="5" t="s">
        <v>71</v>
      </c>
      <c r="D1060" s="6">
        <v>3.0</v>
      </c>
      <c r="E1060" s="6">
        <v>25624.0</v>
      </c>
      <c r="F1060" s="6">
        <v>20647.0</v>
      </c>
      <c r="G1060" s="6">
        <v>64828.0</v>
      </c>
      <c r="H1060" s="6">
        <v>0.3953</v>
      </c>
      <c r="I1060" s="6">
        <v>0.3185</v>
      </c>
      <c r="J1060" s="6">
        <v>0.0768</v>
      </c>
    </row>
    <row r="1061">
      <c r="A1061" s="5" t="s">
        <v>57</v>
      </c>
      <c r="B1061" s="5" t="s">
        <v>163</v>
      </c>
      <c r="C1061" s="5" t="s">
        <v>71</v>
      </c>
      <c r="D1061" s="6">
        <v>4.0</v>
      </c>
      <c r="E1061" s="6">
        <v>19538.0</v>
      </c>
      <c r="F1061" s="6">
        <v>18929.0</v>
      </c>
      <c r="G1061" s="6">
        <v>64828.0</v>
      </c>
      <c r="H1061" s="6">
        <v>0.3014</v>
      </c>
      <c r="I1061" s="6">
        <v>0.292</v>
      </c>
      <c r="J1061" s="6">
        <v>0.0094</v>
      </c>
    </row>
    <row r="1062">
      <c r="A1062" s="5" t="s">
        <v>57</v>
      </c>
      <c r="B1062" s="5" t="s">
        <v>163</v>
      </c>
      <c r="C1062" s="5" t="s">
        <v>71</v>
      </c>
      <c r="D1062" s="6">
        <v>5.0</v>
      </c>
      <c r="E1062" s="6">
        <v>20370.0</v>
      </c>
      <c r="F1062" s="6">
        <v>20535.0</v>
      </c>
      <c r="G1062" s="6">
        <v>64828.0</v>
      </c>
      <c r="H1062" s="6">
        <v>0.3142</v>
      </c>
      <c r="I1062" s="6">
        <v>0.3168</v>
      </c>
      <c r="J1062" s="6">
        <v>-0.0025</v>
      </c>
    </row>
    <row r="1063">
      <c r="A1063" s="5" t="s">
        <v>57</v>
      </c>
      <c r="B1063" s="5" t="s">
        <v>163</v>
      </c>
      <c r="C1063" s="5" t="s">
        <v>71</v>
      </c>
      <c r="D1063" s="6">
        <v>6.0</v>
      </c>
      <c r="E1063" s="6">
        <v>29232.0</v>
      </c>
      <c r="F1063" s="6">
        <v>23100.0</v>
      </c>
      <c r="G1063" s="6">
        <v>64828.0</v>
      </c>
      <c r="H1063" s="6">
        <v>0.4509</v>
      </c>
      <c r="I1063" s="6">
        <v>0.3563</v>
      </c>
      <c r="J1063" s="6">
        <v>0.0946</v>
      </c>
    </row>
    <row r="1064">
      <c r="A1064" s="5" t="s">
        <v>57</v>
      </c>
      <c r="B1064" s="5" t="s">
        <v>163</v>
      </c>
      <c r="C1064" s="5" t="s">
        <v>71</v>
      </c>
      <c r="D1064" s="6">
        <v>7.0</v>
      </c>
      <c r="E1064" s="6">
        <v>17509.0</v>
      </c>
      <c r="F1064" s="6">
        <v>19600.0</v>
      </c>
      <c r="G1064" s="6">
        <v>64828.0</v>
      </c>
      <c r="H1064" s="6">
        <v>0.2701</v>
      </c>
      <c r="I1064" s="6">
        <v>0.3023</v>
      </c>
      <c r="J1064" s="6">
        <v>-0.0323</v>
      </c>
    </row>
    <row r="1065">
      <c r="A1065" s="5" t="s">
        <v>57</v>
      </c>
      <c r="B1065" s="5" t="s">
        <v>163</v>
      </c>
      <c r="C1065" s="5" t="s">
        <v>71</v>
      </c>
      <c r="D1065" s="6">
        <v>8.0</v>
      </c>
      <c r="E1065" s="6">
        <v>15704.0</v>
      </c>
      <c r="F1065" s="6">
        <v>18778.0</v>
      </c>
      <c r="G1065" s="6">
        <v>64828.0</v>
      </c>
      <c r="H1065" s="6">
        <v>0.2422</v>
      </c>
      <c r="I1065" s="6">
        <v>0.2897</v>
      </c>
      <c r="J1065" s="6">
        <v>-0.0474</v>
      </c>
    </row>
    <row r="1066">
      <c r="A1066" s="5" t="s">
        <v>57</v>
      </c>
      <c r="B1066" s="5" t="s">
        <v>163</v>
      </c>
      <c r="C1066" s="5" t="s">
        <v>71</v>
      </c>
      <c r="D1066" s="6">
        <v>9.0</v>
      </c>
      <c r="E1066" s="6">
        <v>13595.0</v>
      </c>
      <c r="F1066" s="6">
        <v>16635.0</v>
      </c>
      <c r="G1066" s="6">
        <v>64828.0</v>
      </c>
      <c r="H1066" s="6">
        <v>0.2097</v>
      </c>
      <c r="I1066" s="6">
        <v>0.2566</v>
      </c>
      <c r="J1066" s="6">
        <v>-0.0469</v>
      </c>
    </row>
    <row r="1067">
      <c r="A1067" s="5" t="s">
        <v>57</v>
      </c>
      <c r="B1067" s="5" t="s">
        <v>163</v>
      </c>
      <c r="C1067" s="5" t="s">
        <v>71</v>
      </c>
      <c r="D1067" s="6">
        <v>10.0</v>
      </c>
      <c r="E1067" s="6">
        <v>27641.0</v>
      </c>
      <c r="F1067" s="6">
        <v>22585.0</v>
      </c>
      <c r="G1067" s="6">
        <v>64828.0</v>
      </c>
      <c r="H1067" s="6">
        <v>0.4264</v>
      </c>
      <c r="I1067" s="6">
        <v>0.3484</v>
      </c>
      <c r="J1067" s="6">
        <v>0.078</v>
      </c>
    </row>
    <row r="1068">
      <c r="A1068" s="5" t="s">
        <v>57</v>
      </c>
      <c r="B1068" s="5" t="s">
        <v>163</v>
      </c>
      <c r="C1068" s="5" t="s">
        <v>71</v>
      </c>
      <c r="D1068" s="6">
        <v>11.0</v>
      </c>
      <c r="E1068" s="6">
        <v>19129.0</v>
      </c>
      <c r="F1068" s="6">
        <v>19127.0</v>
      </c>
      <c r="G1068" s="6">
        <v>64828.0</v>
      </c>
      <c r="H1068" s="6">
        <v>0.2951</v>
      </c>
      <c r="I1068" s="6">
        <v>0.295</v>
      </c>
      <c r="J1068" s="6">
        <v>0.0</v>
      </c>
    </row>
    <row r="1069">
      <c r="A1069" s="5" t="s">
        <v>57</v>
      </c>
      <c r="B1069" s="5" t="s">
        <v>163</v>
      </c>
      <c r="C1069" s="5" t="s">
        <v>71</v>
      </c>
      <c r="D1069" s="6">
        <v>12.0</v>
      </c>
      <c r="E1069" s="6">
        <v>19243.0</v>
      </c>
      <c r="F1069" s="6">
        <v>19619.0</v>
      </c>
      <c r="G1069" s="6">
        <v>64828.0</v>
      </c>
      <c r="H1069" s="6">
        <v>0.2968</v>
      </c>
      <c r="I1069" s="6">
        <v>0.3026</v>
      </c>
      <c r="J1069" s="6">
        <v>-0.0058</v>
      </c>
    </row>
    <row r="1070">
      <c r="A1070" s="5" t="s">
        <v>57</v>
      </c>
      <c r="B1070" s="5" t="s">
        <v>163</v>
      </c>
      <c r="C1070" s="5" t="s">
        <v>71</v>
      </c>
      <c r="D1070" s="6">
        <v>13.0</v>
      </c>
      <c r="E1070" s="6">
        <v>28833.0</v>
      </c>
      <c r="F1070" s="6">
        <v>22962.0</v>
      </c>
      <c r="G1070" s="6">
        <v>64828.0</v>
      </c>
      <c r="H1070" s="6">
        <v>0.4448</v>
      </c>
      <c r="I1070" s="6">
        <v>0.3542</v>
      </c>
      <c r="J1070" s="6">
        <v>0.0906</v>
      </c>
    </row>
    <row r="1071">
      <c r="A1071" s="5" t="s">
        <v>57</v>
      </c>
      <c r="B1071" s="5" t="s">
        <v>163</v>
      </c>
      <c r="C1071" s="5" t="s">
        <v>71</v>
      </c>
      <c r="D1071" s="6">
        <v>14.0</v>
      </c>
      <c r="E1071" s="6">
        <v>16995.0</v>
      </c>
      <c r="F1071" s="6">
        <v>19297.0</v>
      </c>
      <c r="G1071" s="6">
        <v>64828.0</v>
      </c>
      <c r="H1071" s="6">
        <v>0.2622</v>
      </c>
      <c r="I1071" s="6">
        <v>0.2977</v>
      </c>
      <c r="J1071" s="6">
        <v>-0.0355</v>
      </c>
    </row>
    <row r="1072">
      <c r="A1072" s="5" t="s">
        <v>57</v>
      </c>
      <c r="B1072" s="5" t="s">
        <v>163</v>
      </c>
      <c r="C1072" s="5" t="s">
        <v>71</v>
      </c>
      <c r="D1072" s="6">
        <v>15.0</v>
      </c>
      <c r="E1072" s="6">
        <v>15280.0</v>
      </c>
      <c r="F1072" s="6">
        <v>18603.0</v>
      </c>
      <c r="G1072" s="6">
        <v>64828.0</v>
      </c>
      <c r="H1072" s="6">
        <v>0.2357</v>
      </c>
      <c r="I1072" s="6">
        <v>0.287</v>
      </c>
      <c r="J1072" s="6">
        <v>-0.0513</v>
      </c>
    </row>
    <row r="1073">
      <c r="A1073" s="5" t="s">
        <v>57</v>
      </c>
      <c r="B1073" s="5" t="s">
        <v>163</v>
      </c>
      <c r="C1073" s="5" t="s">
        <v>71</v>
      </c>
      <c r="D1073" s="6">
        <v>16.0</v>
      </c>
      <c r="E1073" s="6">
        <v>14341.0</v>
      </c>
      <c r="F1073" s="6">
        <v>16489.0</v>
      </c>
      <c r="G1073" s="6">
        <v>64828.0</v>
      </c>
      <c r="H1073" s="6">
        <v>0.2212</v>
      </c>
      <c r="I1073" s="6">
        <v>0.2543</v>
      </c>
      <c r="J1073" s="6">
        <v>-0.0331</v>
      </c>
    </row>
    <row r="1074">
      <c r="A1074" s="5" t="s">
        <v>57</v>
      </c>
      <c r="B1074" s="5" t="s">
        <v>163</v>
      </c>
      <c r="C1074" s="5" t="s">
        <v>71</v>
      </c>
      <c r="D1074" s="6">
        <v>17.0</v>
      </c>
      <c r="E1074" s="6">
        <v>26060.0</v>
      </c>
      <c r="F1074" s="6">
        <v>22178.0</v>
      </c>
      <c r="G1074" s="6">
        <v>64828.0</v>
      </c>
      <c r="H1074" s="6">
        <v>0.402</v>
      </c>
      <c r="I1074" s="6">
        <v>0.3421</v>
      </c>
      <c r="J1074" s="6">
        <v>0.0599</v>
      </c>
    </row>
    <row r="1075">
      <c r="A1075" s="5" t="s">
        <v>57</v>
      </c>
      <c r="B1075" s="5" t="s">
        <v>163</v>
      </c>
      <c r="C1075" s="5" t="s">
        <v>71</v>
      </c>
      <c r="D1075" s="6">
        <v>18.0</v>
      </c>
      <c r="E1075" s="6">
        <v>18217.0</v>
      </c>
      <c r="F1075" s="6">
        <v>18855.0</v>
      </c>
      <c r="G1075" s="6">
        <v>64828.0</v>
      </c>
      <c r="H1075" s="6">
        <v>0.281</v>
      </c>
      <c r="I1075" s="6">
        <v>0.2908</v>
      </c>
      <c r="J1075" s="6">
        <v>-0.0098</v>
      </c>
    </row>
    <row r="1076">
      <c r="A1076" s="5" t="s">
        <v>57</v>
      </c>
      <c r="B1076" s="5" t="s">
        <v>163</v>
      </c>
      <c r="C1076" s="5" t="s">
        <v>71</v>
      </c>
      <c r="D1076" s="6">
        <v>19.0</v>
      </c>
      <c r="E1076" s="6">
        <v>17973.0</v>
      </c>
      <c r="F1076" s="6">
        <v>18375.0</v>
      </c>
      <c r="G1076" s="6">
        <v>64828.0</v>
      </c>
      <c r="H1076" s="6">
        <v>0.2772</v>
      </c>
      <c r="I1076" s="6">
        <v>0.2834</v>
      </c>
      <c r="J1076" s="6">
        <v>-0.0062</v>
      </c>
    </row>
    <row r="1077">
      <c r="A1077" s="5" t="s">
        <v>57</v>
      </c>
      <c r="B1077" s="5" t="s">
        <v>163</v>
      </c>
      <c r="C1077" s="5" t="s">
        <v>71</v>
      </c>
      <c r="D1077" s="6">
        <v>20.0</v>
      </c>
      <c r="E1077" s="6">
        <v>27688.0</v>
      </c>
      <c r="F1077" s="6">
        <v>22426.0</v>
      </c>
      <c r="G1077" s="6">
        <v>64828.0</v>
      </c>
      <c r="H1077" s="6">
        <v>0.4271</v>
      </c>
      <c r="I1077" s="6">
        <v>0.3459</v>
      </c>
      <c r="J1077" s="6">
        <v>0.0812</v>
      </c>
    </row>
    <row r="1078">
      <c r="A1078" s="5" t="s">
        <v>57</v>
      </c>
      <c r="B1078" s="5" t="s">
        <v>163</v>
      </c>
      <c r="C1078" s="5" t="s">
        <v>71</v>
      </c>
      <c r="D1078" s="6">
        <v>21.0</v>
      </c>
      <c r="E1078" s="6">
        <v>31237.0</v>
      </c>
      <c r="F1078" s="6">
        <v>20625.0</v>
      </c>
      <c r="G1078" s="6">
        <v>64828.0</v>
      </c>
      <c r="H1078" s="6">
        <v>0.4818</v>
      </c>
      <c r="I1078" s="6">
        <v>0.3181</v>
      </c>
      <c r="J1078" s="6">
        <v>0.1637</v>
      </c>
    </row>
    <row r="1079">
      <c r="A1079" s="5" t="s">
        <v>57</v>
      </c>
      <c r="B1079" s="5" t="s">
        <v>163</v>
      </c>
      <c r="C1079" s="5" t="s">
        <v>71</v>
      </c>
      <c r="D1079" s="6">
        <v>22.0</v>
      </c>
      <c r="E1079" s="6">
        <v>18194.0</v>
      </c>
      <c r="F1079" s="6">
        <v>18324.0</v>
      </c>
      <c r="G1079" s="6">
        <v>64828.0</v>
      </c>
      <c r="H1079" s="6">
        <v>0.2807</v>
      </c>
      <c r="I1079" s="6">
        <v>0.2827</v>
      </c>
      <c r="J1079" s="6">
        <v>-0.002</v>
      </c>
    </row>
    <row r="1080">
      <c r="A1080" s="5" t="s">
        <v>57</v>
      </c>
      <c r="B1080" s="5" t="s">
        <v>163</v>
      </c>
      <c r="C1080" s="5" t="s">
        <v>71</v>
      </c>
      <c r="D1080" s="6">
        <v>23.0</v>
      </c>
      <c r="E1080" s="6">
        <v>12932.0</v>
      </c>
      <c r="F1080" s="6">
        <v>16449.0</v>
      </c>
      <c r="G1080" s="6">
        <v>64828.0</v>
      </c>
      <c r="H1080" s="6">
        <v>0.1995</v>
      </c>
      <c r="I1080" s="6">
        <v>0.2537</v>
      </c>
      <c r="J1080" s="6">
        <v>-0.0543</v>
      </c>
    </row>
    <row r="1081">
      <c r="A1081" s="5" t="s">
        <v>57</v>
      </c>
      <c r="B1081" s="5" t="s">
        <v>163</v>
      </c>
      <c r="C1081" s="5" t="s">
        <v>71</v>
      </c>
      <c r="D1081" s="6">
        <v>24.0</v>
      </c>
      <c r="E1081" s="6">
        <v>24736.0</v>
      </c>
      <c r="F1081" s="6">
        <v>20861.0</v>
      </c>
      <c r="G1081" s="6">
        <v>64828.0</v>
      </c>
      <c r="H1081" s="6">
        <v>0.3816</v>
      </c>
      <c r="I1081" s="6">
        <v>0.3218</v>
      </c>
      <c r="J1081" s="6">
        <v>0.0598</v>
      </c>
    </row>
    <row r="1082">
      <c r="A1082" s="5" t="s">
        <v>57</v>
      </c>
      <c r="B1082" s="5" t="s">
        <v>163</v>
      </c>
      <c r="C1082" s="5" t="s">
        <v>71</v>
      </c>
      <c r="D1082" s="6">
        <v>25.0</v>
      </c>
      <c r="E1082" s="6">
        <v>17519.0</v>
      </c>
      <c r="F1082" s="6">
        <v>17895.0</v>
      </c>
      <c r="G1082" s="6">
        <v>64828.0</v>
      </c>
      <c r="H1082" s="6">
        <v>0.2702</v>
      </c>
      <c r="I1082" s="6">
        <v>0.276</v>
      </c>
      <c r="J1082" s="6">
        <v>-0.0058</v>
      </c>
    </row>
    <row r="1083">
      <c r="A1083" s="5" t="s">
        <v>57</v>
      </c>
      <c r="B1083" s="5" t="s">
        <v>163</v>
      </c>
      <c r="C1083" s="5" t="s">
        <v>71</v>
      </c>
      <c r="D1083" s="6">
        <v>26.0</v>
      </c>
      <c r="E1083" s="6">
        <v>18087.0</v>
      </c>
      <c r="F1083" s="6">
        <v>18991.0</v>
      </c>
      <c r="G1083" s="6">
        <v>64828.0</v>
      </c>
      <c r="H1083" s="6">
        <v>0.279</v>
      </c>
      <c r="I1083" s="6">
        <v>0.2929</v>
      </c>
      <c r="J1083" s="6">
        <v>-0.0139</v>
      </c>
    </row>
    <row r="1084">
      <c r="A1084" s="5" t="s">
        <v>57</v>
      </c>
      <c r="B1084" s="5" t="s">
        <v>163</v>
      </c>
      <c r="C1084" s="5" t="s">
        <v>71</v>
      </c>
      <c r="D1084" s="6">
        <v>27.0</v>
      </c>
      <c r="E1084" s="6">
        <v>29145.0</v>
      </c>
      <c r="F1084" s="6">
        <v>22810.0</v>
      </c>
      <c r="G1084" s="6">
        <v>64828.0</v>
      </c>
      <c r="H1084" s="6">
        <v>0.4496</v>
      </c>
      <c r="I1084" s="6">
        <v>0.3519</v>
      </c>
      <c r="J1084" s="6">
        <v>0.0977</v>
      </c>
    </row>
    <row r="1085">
      <c r="A1085" s="5" t="s">
        <v>57</v>
      </c>
      <c r="B1085" s="5" t="s">
        <v>163</v>
      </c>
      <c r="C1085" s="5" t="s">
        <v>71</v>
      </c>
      <c r="D1085" s="6">
        <v>28.0</v>
      </c>
      <c r="E1085" s="6">
        <v>15464.0</v>
      </c>
      <c r="F1085" s="6">
        <v>17888.0</v>
      </c>
      <c r="G1085" s="6">
        <v>64828.0</v>
      </c>
      <c r="H1085" s="6">
        <v>0.2385</v>
      </c>
      <c r="I1085" s="6">
        <v>0.2759</v>
      </c>
      <c r="J1085" s="6">
        <v>-0.0374</v>
      </c>
    </row>
    <row r="1086">
      <c r="A1086" s="5" t="s">
        <v>57</v>
      </c>
      <c r="B1086" s="5" t="s">
        <v>163</v>
      </c>
      <c r="C1086" s="5" t="s">
        <v>71</v>
      </c>
      <c r="D1086" s="6">
        <v>29.0</v>
      </c>
      <c r="E1086" s="6">
        <v>14039.0</v>
      </c>
      <c r="F1086" s="6">
        <v>16721.0</v>
      </c>
      <c r="G1086" s="6">
        <v>64828.0</v>
      </c>
      <c r="H1086" s="6">
        <v>0.2166</v>
      </c>
      <c r="I1086" s="6">
        <v>0.2579</v>
      </c>
      <c r="J1086" s="6">
        <v>-0.0414</v>
      </c>
    </row>
    <row r="1087">
      <c r="A1087" s="5" t="s">
        <v>57</v>
      </c>
      <c r="B1087" s="5" t="s">
        <v>163</v>
      </c>
      <c r="C1087" s="5" t="s">
        <v>71</v>
      </c>
      <c r="D1087" s="6">
        <v>30.0</v>
      </c>
      <c r="E1087" s="6">
        <v>14091.0</v>
      </c>
      <c r="F1087" s="6">
        <v>15010.0</v>
      </c>
      <c r="G1087" s="6">
        <v>64828.0</v>
      </c>
      <c r="H1087" s="6">
        <v>0.2174</v>
      </c>
      <c r="I1087" s="6">
        <v>0.2315</v>
      </c>
      <c r="J1087" s="6">
        <v>-0.0142</v>
      </c>
    </row>
    <row r="1088">
      <c r="A1088" s="5" t="s">
        <v>57</v>
      </c>
      <c r="B1088" s="5" t="s">
        <v>163</v>
      </c>
      <c r="C1088" s="5" t="s">
        <v>71</v>
      </c>
      <c r="D1088" s="6">
        <v>31.0</v>
      </c>
      <c r="E1088" s="6">
        <v>27201.0</v>
      </c>
      <c r="F1088" s="6">
        <v>20848.0</v>
      </c>
      <c r="G1088" s="6">
        <v>64828.0</v>
      </c>
      <c r="H1088" s="6">
        <v>0.4196</v>
      </c>
      <c r="I1088" s="6">
        <v>0.3216</v>
      </c>
      <c r="J1088" s="6">
        <v>0.098</v>
      </c>
    </row>
    <row r="1089">
      <c r="A1089" s="5" t="s">
        <v>57</v>
      </c>
      <c r="B1089" s="5" t="s">
        <v>163</v>
      </c>
      <c r="C1089" s="5" t="s">
        <v>71</v>
      </c>
      <c r="D1089" s="6">
        <v>32.0</v>
      </c>
      <c r="E1089" s="6">
        <v>18782.0</v>
      </c>
      <c r="F1089" s="6">
        <v>18140.0</v>
      </c>
      <c r="G1089" s="6">
        <v>64828.0</v>
      </c>
      <c r="H1089" s="6">
        <v>0.2897</v>
      </c>
      <c r="I1089" s="6">
        <v>0.2798</v>
      </c>
      <c r="J1089" s="6">
        <v>0.0099</v>
      </c>
    </row>
    <row r="1090">
      <c r="A1090" s="5" t="s">
        <v>57</v>
      </c>
      <c r="B1090" s="5" t="s">
        <v>163</v>
      </c>
      <c r="C1090" s="5" t="s">
        <v>71</v>
      </c>
      <c r="D1090" s="6">
        <v>33.0</v>
      </c>
      <c r="E1090" s="6">
        <v>18454.0</v>
      </c>
      <c r="F1090" s="6">
        <v>19092.0</v>
      </c>
      <c r="G1090" s="6">
        <v>64828.0</v>
      </c>
      <c r="H1090" s="6">
        <v>0.2847</v>
      </c>
      <c r="I1090" s="6">
        <v>0.2945</v>
      </c>
      <c r="J1090" s="6">
        <v>-0.0098</v>
      </c>
    </row>
    <row r="1091">
      <c r="A1091" s="5" t="s">
        <v>57</v>
      </c>
      <c r="B1091" s="5" t="s">
        <v>163</v>
      </c>
      <c r="C1091" s="5" t="s">
        <v>1883</v>
      </c>
      <c r="D1091" s="6">
        <v>1.0</v>
      </c>
      <c r="E1091" s="6">
        <v>14885.0</v>
      </c>
      <c r="F1091" s="6">
        <v>6184.0</v>
      </c>
      <c r="G1091" s="6">
        <v>26886.0</v>
      </c>
      <c r="H1091" s="6">
        <v>0.5536</v>
      </c>
      <c r="I1091" s="6">
        <v>0.23</v>
      </c>
      <c r="J1091" s="6">
        <v>0.3236</v>
      </c>
    </row>
    <row r="1092">
      <c r="A1092" s="5" t="s">
        <v>57</v>
      </c>
      <c r="B1092" s="5" t="s">
        <v>163</v>
      </c>
      <c r="C1092" s="5" t="s">
        <v>1883</v>
      </c>
      <c r="D1092" s="6">
        <v>2.0</v>
      </c>
      <c r="E1092" s="6">
        <v>25190.0</v>
      </c>
      <c r="F1092" s="6">
        <v>11223.0</v>
      </c>
      <c r="G1092" s="6">
        <v>26886.0</v>
      </c>
      <c r="H1092" s="6">
        <v>0.9369</v>
      </c>
      <c r="I1092" s="6">
        <v>0.4174</v>
      </c>
      <c r="J1092" s="6">
        <v>0.5195</v>
      </c>
    </row>
    <row r="1093">
      <c r="A1093" s="5" t="s">
        <v>57</v>
      </c>
      <c r="B1093" s="5" t="s">
        <v>163</v>
      </c>
      <c r="C1093" s="5" t="s">
        <v>1883</v>
      </c>
      <c r="D1093" s="6">
        <v>3.0</v>
      </c>
      <c r="E1093" s="6">
        <v>30585.0</v>
      </c>
      <c r="F1093" s="6">
        <v>13333.0</v>
      </c>
      <c r="G1093" s="6">
        <v>26886.0</v>
      </c>
      <c r="H1093" s="6">
        <v>1.1376</v>
      </c>
      <c r="I1093" s="6">
        <v>0.4959</v>
      </c>
      <c r="J1093" s="6">
        <v>0.6417</v>
      </c>
    </row>
    <row r="1094">
      <c r="A1094" s="5" t="s">
        <v>57</v>
      </c>
      <c r="B1094" s="5" t="s">
        <v>163</v>
      </c>
      <c r="C1094" s="5" t="s">
        <v>1883</v>
      </c>
      <c r="D1094" s="6">
        <v>4.0</v>
      </c>
      <c r="E1094" s="6">
        <v>32820.0</v>
      </c>
      <c r="F1094" s="6">
        <v>14122.0</v>
      </c>
      <c r="G1094" s="6">
        <v>26886.0</v>
      </c>
      <c r="H1094" s="6">
        <v>1.2207</v>
      </c>
      <c r="I1094" s="6">
        <v>0.5253</v>
      </c>
      <c r="J1094" s="6">
        <v>0.6955</v>
      </c>
    </row>
    <row r="1095">
      <c r="A1095" s="5" t="s">
        <v>57</v>
      </c>
      <c r="B1095" s="5" t="s">
        <v>163</v>
      </c>
      <c r="C1095" s="5" t="s">
        <v>1883</v>
      </c>
      <c r="D1095" s="6">
        <v>5.0</v>
      </c>
      <c r="E1095" s="6">
        <v>27810.0</v>
      </c>
      <c r="F1095" s="6">
        <v>11530.0</v>
      </c>
      <c r="G1095" s="6">
        <v>26886.0</v>
      </c>
      <c r="H1095" s="6">
        <v>1.0344</v>
      </c>
      <c r="I1095" s="6">
        <v>0.4288</v>
      </c>
      <c r="J1095" s="6">
        <v>0.6055</v>
      </c>
    </row>
    <row r="1096">
      <c r="A1096" s="5" t="s">
        <v>57</v>
      </c>
      <c r="B1096" s="5" t="s">
        <v>163</v>
      </c>
      <c r="C1096" s="5" t="s">
        <v>1883</v>
      </c>
      <c r="D1096" s="6">
        <v>6.0</v>
      </c>
      <c r="E1096" s="6">
        <v>28715.0</v>
      </c>
      <c r="F1096" s="6">
        <v>13111.0</v>
      </c>
      <c r="G1096" s="6">
        <v>26886.0</v>
      </c>
      <c r="H1096" s="6">
        <v>1.068</v>
      </c>
      <c r="I1096" s="6">
        <v>0.4877</v>
      </c>
      <c r="J1096" s="6">
        <v>0.5804</v>
      </c>
    </row>
    <row r="1097">
      <c r="A1097" s="5" t="s">
        <v>57</v>
      </c>
      <c r="B1097" s="5" t="s">
        <v>163</v>
      </c>
      <c r="C1097" s="5" t="s">
        <v>1883</v>
      </c>
      <c r="D1097" s="6">
        <v>7.0</v>
      </c>
      <c r="E1097" s="6">
        <v>33125.0</v>
      </c>
      <c r="F1097" s="6">
        <v>16120.0</v>
      </c>
      <c r="G1097" s="6">
        <v>26886.0</v>
      </c>
      <c r="H1097" s="6">
        <v>1.2321</v>
      </c>
      <c r="I1097" s="6">
        <v>0.5996</v>
      </c>
      <c r="J1097" s="6">
        <v>0.6325</v>
      </c>
    </row>
    <row r="1098">
      <c r="A1098" s="5" t="s">
        <v>57</v>
      </c>
      <c r="B1098" s="5" t="s">
        <v>163</v>
      </c>
      <c r="C1098" s="5" t="s">
        <v>1883</v>
      </c>
      <c r="D1098" s="6">
        <v>8.0</v>
      </c>
      <c r="E1098" s="6">
        <v>40450.0</v>
      </c>
      <c r="F1098" s="6">
        <v>19720.0</v>
      </c>
      <c r="G1098" s="6">
        <v>26886.0</v>
      </c>
      <c r="H1098" s="6">
        <v>1.5045</v>
      </c>
      <c r="I1098" s="6">
        <v>0.7335</v>
      </c>
      <c r="J1098" s="6">
        <v>0.771</v>
      </c>
    </row>
    <row r="1099">
      <c r="A1099" s="5" t="s">
        <v>57</v>
      </c>
      <c r="B1099" s="5" t="s">
        <v>163</v>
      </c>
      <c r="C1099" s="5" t="s">
        <v>1883</v>
      </c>
      <c r="D1099" s="6">
        <v>9.0</v>
      </c>
      <c r="E1099" s="6">
        <v>36700.0</v>
      </c>
      <c r="F1099" s="6">
        <v>17679.0</v>
      </c>
      <c r="G1099" s="6">
        <v>26886.0</v>
      </c>
      <c r="H1099" s="6">
        <v>1.365</v>
      </c>
      <c r="I1099" s="6">
        <v>0.6576</v>
      </c>
      <c r="J1099" s="6">
        <v>0.7075</v>
      </c>
    </row>
    <row r="1100">
      <c r="A1100" s="5" t="s">
        <v>57</v>
      </c>
      <c r="B1100" s="5" t="s">
        <v>163</v>
      </c>
      <c r="C1100" s="5" t="s">
        <v>1883</v>
      </c>
      <c r="D1100" s="6">
        <v>10.0</v>
      </c>
      <c r="E1100" s="6">
        <v>44540.0</v>
      </c>
      <c r="F1100" s="6">
        <v>17061.0</v>
      </c>
      <c r="G1100" s="6">
        <v>26886.0</v>
      </c>
      <c r="H1100" s="6">
        <v>1.6566</v>
      </c>
      <c r="I1100" s="6">
        <v>0.6346</v>
      </c>
      <c r="J1100" s="6">
        <v>1.0221</v>
      </c>
    </row>
    <row r="1101">
      <c r="A1101" s="5" t="s">
        <v>57</v>
      </c>
      <c r="B1101" s="5" t="s">
        <v>163</v>
      </c>
      <c r="C1101" s="5" t="s">
        <v>1883</v>
      </c>
      <c r="D1101" s="6">
        <v>11.0</v>
      </c>
      <c r="E1101" s="6">
        <v>21940.0</v>
      </c>
      <c r="F1101" s="6">
        <v>8581.0</v>
      </c>
      <c r="G1101" s="6">
        <v>26886.0</v>
      </c>
      <c r="H1101" s="6">
        <v>0.816</v>
      </c>
      <c r="I1101" s="6">
        <v>0.3192</v>
      </c>
      <c r="J1101" s="6">
        <v>0.4969</v>
      </c>
    </row>
    <row r="1102">
      <c r="A1102" s="5" t="s">
        <v>57</v>
      </c>
      <c r="B1102" s="5" t="s">
        <v>163</v>
      </c>
      <c r="C1102" s="5" t="s">
        <v>1883</v>
      </c>
      <c r="D1102" s="6">
        <v>12.0</v>
      </c>
      <c r="E1102" s="6">
        <v>18730.0</v>
      </c>
      <c r="F1102" s="6">
        <v>7377.0</v>
      </c>
      <c r="G1102" s="6">
        <v>26886.0</v>
      </c>
      <c r="H1102" s="6">
        <v>0.6966</v>
      </c>
      <c r="I1102" s="6">
        <v>0.2744</v>
      </c>
      <c r="J1102" s="6">
        <v>0.4223</v>
      </c>
    </row>
    <row r="1103">
      <c r="A1103" s="5" t="s">
        <v>57</v>
      </c>
      <c r="B1103" s="5" t="s">
        <v>163</v>
      </c>
      <c r="C1103" s="5" t="s">
        <v>1883</v>
      </c>
      <c r="D1103" s="6">
        <v>13.0</v>
      </c>
      <c r="E1103" s="6">
        <v>20485.0</v>
      </c>
      <c r="F1103" s="6">
        <v>8965.0</v>
      </c>
      <c r="G1103" s="6">
        <v>26886.0</v>
      </c>
      <c r="H1103" s="6">
        <v>0.7619</v>
      </c>
      <c r="I1103" s="6">
        <v>0.3334</v>
      </c>
      <c r="J1103" s="6">
        <v>0.4285</v>
      </c>
    </row>
    <row r="1104">
      <c r="A1104" s="5" t="s">
        <v>57</v>
      </c>
      <c r="B1104" s="5" t="s">
        <v>163</v>
      </c>
      <c r="C1104" s="5" t="s">
        <v>1883</v>
      </c>
      <c r="D1104" s="6">
        <v>14.0</v>
      </c>
      <c r="E1104" s="6">
        <v>27010.0</v>
      </c>
      <c r="F1104" s="6">
        <v>12698.0</v>
      </c>
      <c r="G1104" s="6">
        <v>26886.0</v>
      </c>
      <c r="H1104" s="6">
        <v>1.0046</v>
      </c>
      <c r="I1104" s="6">
        <v>0.4723</v>
      </c>
      <c r="J1104" s="6">
        <v>0.5323</v>
      </c>
    </row>
    <row r="1105">
      <c r="A1105" s="5" t="s">
        <v>57</v>
      </c>
      <c r="B1105" s="5" t="s">
        <v>163</v>
      </c>
      <c r="C1105" s="5" t="s">
        <v>1883</v>
      </c>
      <c r="D1105" s="6">
        <v>15.0</v>
      </c>
      <c r="E1105" s="6">
        <v>34860.0</v>
      </c>
      <c r="F1105" s="6">
        <v>17061.0</v>
      </c>
      <c r="G1105" s="6">
        <v>26886.0</v>
      </c>
      <c r="H1105" s="6">
        <v>1.2966</v>
      </c>
      <c r="I1105" s="6">
        <v>0.6346</v>
      </c>
      <c r="J1105" s="6">
        <v>0.662</v>
      </c>
    </row>
    <row r="1106">
      <c r="A1106" s="5" t="s">
        <v>57</v>
      </c>
      <c r="B1106" s="5" t="s">
        <v>163</v>
      </c>
      <c r="C1106" s="5" t="s">
        <v>1883</v>
      </c>
      <c r="D1106" s="6">
        <v>16.0</v>
      </c>
      <c r="E1106" s="6">
        <v>45590.0</v>
      </c>
      <c r="F1106" s="6">
        <v>21281.0</v>
      </c>
      <c r="G1106" s="6">
        <v>26886.0</v>
      </c>
      <c r="H1106" s="6">
        <v>1.6957</v>
      </c>
      <c r="I1106" s="6">
        <v>0.7915</v>
      </c>
      <c r="J1106" s="6">
        <v>0.9042</v>
      </c>
    </row>
    <row r="1107">
      <c r="A1107" s="5" t="s">
        <v>57</v>
      </c>
      <c r="B1107" s="5" t="s">
        <v>163</v>
      </c>
      <c r="C1107" s="5" t="s">
        <v>1883</v>
      </c>
      <c r="D1107" s="6">
        <v>17.0</v>
      </c>
      <c r="E1107" s="6">
        <v>42655.0</v>
      </c>
      <c r="F1107" s="6">
        <v>19121.0</v>
      </c>
      <c r="G1107" s="6">
        <v>26886.0</v>
      </c>
      <c r="H1107" s="6">
        <v>1.5865</v>
      </c>
      <c r="I1107" s="6">
        <v>0.7112</v>
      </c>
      <c r="J1107" s="6">
        <v>0.8753</v>
      </c>
    </row>
    <row r="1108">
      <c r="A1108" s="5" t="s">
        <v>57</v>
      </c>
      <c r="B1108" s="5" t="s">
        <v>163</v>
      </c>
      <c r="C1108" s="5" t="s">
        <v>1883</v>
      </c>
      <c r="D1108" s="6">
        <v>18.0</v>
      </c>
      <c r="E1108" s="6">
        <v>32120.0</v>
      </c>
      <c r="F1108" s="6">
        <v>13856.0</v>
      </c>
      <c r="G1108" s="6">
        <v>26886.0</v>
      </c>
      <c r="H1108" s="6">
        <v>1.1947</v>
      </c>
      <c r="I1108" s="6">
        <v>0.5154</v>
      </c>
      <c r="J1108" s="6">
        <v>0.6793</v>
      </c>
    </row>
    <row r="1109">
      <c r="A1109" s="5" t="s">
        <v>57</v>
      </c>
      <c r="B1109" s="5" t="s">
        <v>163</v>
      </c>
      <c r="C1109" s="5" t="s">
        <v>1883</v>
      </c>
      <c r="D1109" s="6">
        <v>19.0</v>
      </c>
      <c r="E1109" s="6">
        <v>27270.0</v>
      </c>
      <c r="F1109" s="6">
        <v>11365.0</v>
      </c>
      <c r="G1109" s="6">
        <v>26886.0</v>
      </c>
      <c r="H1109" s="6">
        <v>1.0143</v>
      </c>
      <c r="I1109" s="6">
        <v>0.4227</v>
      </c>
      <c r="J1109" s="6">
        <v>0.5916</v>
      </c>
    </row>
    <row r="1110">
      <c r="A1110" s="5" t="s">
        <v>57</v>
      </c>
      <c r="B1110" s="5" t="s">
        <v>163</v>
      </c>
      <c r="C1110" s="5" t="s">
        <v>1883</v>
      </c>
      <c r="D1110" s="6">
        <v>20.0</v>
      </c>
      <c r="E1110" s="6">
        <v>28140.0</v>
      </c>
      <c r="F1110" s="6">
        <v>12941.0</v>
      </c>
      <c r="G1110" s="6">
        <v>26886.0</v>
      </c>
      <c r="H1110" s="6">
        <v>1.0466</v>
      </c>
      <c r="I1110" s="6">
        <v>0.4813</v>
      </c>
      <c r="J1110" s="6">
        <v>0.5653</v>
      </c>
    </row>
    <row r="1111">
      <c r="A1111" s="5" t="s">
        <v>57</v>
      </c>
      <c r="B1111" s="5" t="s">
        <v>163</v>
      </c>
      <c r="C1111" s="5" t="s">
        <v>1883</v>
      </c>
      <c r="D1111" s="6">
        <v>21.0</v>
      </c>
      <c r="E1111" s="6">
        <v>35550.0</v>
      </c>
      <c r="F1111" s="6">
        <v>17762.0</v>
      </c>
      <c r="G1111" s="6">
        <v>26886.0</v>
      </c>
      <c r="H1111" s="6">
        <v>1.3222</v>
      </c>
      <c r="I1111" s="6">
        <v>0.6606</v>
      </c>
      <c r="J1111" s="6">
        <v>0.6616</v>
      </c>
    </row>
    <row r="1112">
      <c r="A1112" s="5" t="s">
        <v>57</v>
      </c>
      <c r="B1112" s="5" t="s">
        <v>163</v>
      </c>
      <c r="C1112" s="5" t="s">
        <v>1883</v>
      </c>
      <c r="D1112" s="6">
        <v>22.0</v>
      </c>
      <c r="E1112" s="6">
        <v>40205.0</v>
      </c>
      <c r="F1112" s="6">
        <v>19092.0</v>
      </c>
      <c r="G1112" s="6">
        <v>26886.0</v>
      </c>
      <c r="H1112" s="6">
        <v>1.4954</v>
      </c>
      <c r="I1112" s="6">
        <v>0.7101</v>
      </c>
      <c r="J1112" s="6">
        <v>0.7853</v>
      </c>
    </row>
    <row r="1113">
      <c r="A1113" s="5" t="s">
        <v>57</v>
      </c>
      <c r="B1113" s="5" t="s">
        <v>163</v>
      </c>
      <c r="C1113" s="5" t="s">
        <v>1883</v>
      </c>
      <c r="D1113" s="6">
        <v>23.0</v>
      </c>
      <c r="E1113" s="6">
        <v>37720.0</v>
      </c>
      <c r="F1113" s="6">
        <v>18319.0</v>
      </c>
      <c r="G1113" s="6">
        <v>26886.0</v>
      </c>
      <c r="H1113" s="6">
        <v>1.403</v>
      </c>
      <c r="I1113" s="6">
        <v>0.6814</v>
      </c>
      <c r="J1113" s="6">
        <v>0.7216</v>
      </c>
    </row>
    <row r="1114">
      <c r="A1114" s="5" t="s">
        <v>57</v>
      </c>
      <c r="B1114" s="5" t="s">
        <v>163</v>
      </c>
      <c r="C1114" s="5" t="s">
        <v>1883</v>
      </c>
      <c r="D1114" s="6">
        <v>24.0</v>
      </c>
      <c r="E1114" s="6">
        <v>45510.0</v>
      </c>
      <c r="F1114" s="6">
        <v>17121.0</v>
      </c>
      <c r="G1114" s="6">
        <v>26886.0</v>
      </c>
      <c r="H1114" s="6">
        <v>1.6927</v>
      </c>
      <c r="I1114" s="6">
        <v>0.6368</v>
      </c>
      <c r="J1114" s="6">
        <v>1.0559</v>
      </c>
    </row>
    <row r="1115">
      <c r="A1115" s="5" t="s">
        <v>57</v>
      </c>
      <c r="B1115" s="5" t="s">
        <v>163</v>
      </c>
      <c r="C1115" s="5" t="s">
        <v>1883</v>
      </c>
      <c r="D1115" s="6">
        <v>25.0</v>
      </c>
      <c r="E1115" s="6">
        <v>21160.0</v>
      </c>
      <c r="F1115" s="6">
        <v>8022.0</v>
      </c>
      <c r="G1115" s="6">
        <v>26886.0</v>
      </c>
      <c r="H1115" s="6">
        <v>0.787</v>
      </c>
      <c r="I1115" s="6">
        <v>0.2984</v>
      </c>
      <c r="J1115" s="6">
        <v>0.4887</v>
      </c>
    </row>
    <row r="1116">
      <c r="A1116" s="5" t="s">
        <v>57</v>
      </c>
      <c r="B1116" s="5" t="s">
        <v>163</v>
      </c>
      <c r="C1116" s="5" t="s">
        <v>1883</v>
      </c>
      <c r="D1116" s="6">
        <v>26.0</v>
      </c>
      <c r="E1116" s="6">
        <v>16880.0</v>
      </c>
      <c r="F1116" s="6">
        <v>6676.0</v>
      </c>
      <c r="G1116" s="6">
        <v>26886.0</v>
      </c>
      <c r="H1116" s="6">
        <v>0.6278</v>
      </c>
      <c r="I1116" s="6">
        <v>0.2483</v>
      </c>
      <c r="J1116" s="6">
        <v>0.3795</v>
      </c>
    </row>
    <row r="1117">
      <c r="A1117" s="5" t="s">
        <v>57</v>
      </c>
      <c r="B1117" s="5" t="s">
        <v>163</v>
      </c>
      <c r="C1117" s="5" t="s">
        <v>1883</v>
      </c>
      <c r="D1117" s="6">
        <v>27.0</v>
      </c>
      <c r="E1117" s="6">
        <v>14425.0</v>
      </c>
      <c r="F1117" s="6">
        <v>5353.0</v>
      </c>
      <c r="G1117" s="6">
        <v>26886.0</v>
      </c>
      <c r="H1117" s="6">
        <v>0.5365</v>
      </c>
      <c r="I1117" s="6">
        <v>0.1991</v>
      </c>
      <c r="J1117" s="6">
        <v>0.3374</v>
      </c>
    </row>
    <row r="1118">
      <c r="A1118" s="5" t="s">
        <v>57</v>
      </c>
      <c r="B1118" s="5" t="s">
        <v>163</v>
      </c>
      <c r="C1118" s="5" t="s">
        <v>1883</v>
      </c>
      <c r="D1118" s="6">
        <v>28.0</v>
      </c>
      <c r="E1118" s="6">
        <v>14630.0</v>
      </c>
      <c r="F1118" s="6">
        <v>6074.0</v>
      </c>
      <c r="G1118" s="6">
        <v>26886.0</v>
      </c>
      <c r="H1118" s="6">
        <v>0.5441</v>
      </c>
      <c r="I1118" s="6">
        <v>0.2259</v>
      </c>
      <c r="J1118" s="6">
        <v>0.3182</v>
      </c>
    </row>
    <row r="1119">
      <c r="A1119" s="5" t="s">
        <v>57</v>
      </c>
      <c r="B1119" s="5" t="s">
        <v>163</v>
      </c>
      <c r="C1119" s="5" t="s">
        <v>1883</v>
      </c>
      <c r="D1119" s="6">
        <v>29.0</v>
      </c>
      <c r="E1119" s="6">
        <v>14795.0</v>
      </c>
      <c r="F1119" s="6">
        <v>5971.0</v>
      </c>
      <c r="G1119" s="6">
        <v>26886.0</v>
      </c>
      <c r="H1119" s="6">
        <v>0.5503</v>
      </c>
      <c r="I1119" s="6">
        <v>0.2221</v>
      </c>
      <c r="J1119" s="6">
        <v>0.3282</v>
      </c>
    </row>
    <row r="1120">
      <c r="A1120" s="5" t="s">
        <v>57</v>
      </c>
      <c r="B1120" s="5" t="s">
        <v>163</v>
      </c>
      <c r="C1120" s="5" t="s">
        <v>1883</v>
      </c>
      <c r="D1120" s="6">
        <v>30.0</v>
      </c>
      <c r="E1120" s="6">
        <v>23830.0</v>
      </c>
      <c r="F1120" s="6">
        <v>10733.0</v>
      </c>
      <c r="G1120" s="6">
        <v>26886.0</v>
      </c>
      <c r="H1120" s="6">
        <v>0.8863</v>
      </c>
      <c r="I1120" s="6">
        <v>0.3992</v>
      </c>
      <c r="J1120" s="6">
        <v>0.4871</v>
      </c>
    </row>
    <row r="1121">
      <c r="A1121" s="5" t="s">
        <v>57</v>
      </c>
      <c r="B1121" s="5" t="s">
        <v>163</v>
      </c>
      <c r="C1121" s="5" t="s">
        <v>1883</v>
      </c>
      <c r="D1121" s="6">
        <v>31.0</v>
      </c>
      <c r="E1121" s="6">
        <v>27890.0</v>
      </c>
      <c r="F1121" s="6">
        <v>11938.0</v>
      </c>
      <c r="G1121" s="6">
        <v>26886.0</v>
      </c>
      <c r="H1121" s="6">
        <v>1.0373</v>
      </c>
      <c r="I1121" s="6">
        <v>0.444</v>
      </c>
      <c r="J1121" s="6">
        <v>0.5933</v>
      </c>
    </row>
    <row r="1122">
      <c r="A1122" s="5" t="s">
        <v>57</v>
      </c>
      <c r="B1122" s="5" t="s">
        <v>163</v>
      </c>
      <c r="C1122" s="5" t="s">
        <v>1883</v>
      </c>
      <c r="D1122" s="6">
        <v>32.0</v>
      </c>
      <c r="E1122" s="6">
        <v>27350.0</v>
      </c>
      <c r="F1122" s="6">
        <v>11482.0</v>
      </c>
      <c r="G1122" s="6">
        <v>26886.0</v>
      </c>
      <c r="H1122" s="6">
        <v>1.0173</v>
      </c>
      <c r="I1122" s="6">
        <v>0.4271</v>
      </c>
      <c r="J1122" s="6">
        <v>0.5902</v>
      </c>
    </row>
    <row r="1123">
      <c r="A1123" s="5" t="s">
        <v>57</v>
      </c>
      <c r="B1123" s="5" t="s">
        <v>163</v>
      </c>
      <c r="C1123" s="5" t="s">
        <v>1883</v>
      </c>
      <c r="D1123" s="6">
        <v>33.0</v>
      </c>
      <c r="E1123" s="6">
        <v>25355.0</v>
      </c>
      <c r="F1123" s="6">
        <v>10741.0</v>
      </c>
      <c r="G1123" s="6">
        <v>26886.0</v>
      </c>
      <c r="H1123" s="6">
        <v>0.9431</v>
      </c>
      <c r="I1123" s="6">
        <v>0.3995</v>
      </c>
      <c r="J1123" s="6">
        <v>0.5436</v>
      </c>
    </row>
    <row r="1124">
      <c r="A1124" s="5" t="s">
        <v>57</v>
      </c>
      <c r="B1124" s="5" t="s">
        <v>163</v>
      </c>
      <c r="C1124" s="5" t="s">
        <v>1884</v>
      </c>
      <c r="D1124" s="6">
        <v>1.0</v>
      </c>
      <c r="E1124" s="6">
        <v>54555.0</v>
      </c>
      <c r="F1124" s="6">
        <v>19875.0</v>
      </c>
      <c r="G1124" s="6">
        <v>59239.0</v>
      </c>
      <c r="H1124" s="6">
        <v>0.9209</v>
      </c>
      <c r="I1124" s="6">
        <v>0.3355</v>
      </c>
      <c r="J1124" s="6">
        <v>0.5854</v>
      </c>
    </row>
    <row r="1125">
      <c r="A1125" s="5" t="s">
        <v>57</v>
      </c>
      <c r="B1125" s="5" t="s">
        <v>163</v>
      </c>
      <c r="C1125" s="5" t="s">
        <v>1884</v>
      </c>
      <c r="D1125" s="6">
        <v>2.0</v>
      </c>
      <c r="E1125" s="6">
        <v>74720.0</v>
      </c>
      <c r="F1125" s="6">
        <v>29516.0</v>
      </c>
      <c r="G1125" s="6">
        <v>59239.0</v>
      </c>
      <c r="H1125" s="6">
        <v>1.2613</v>
      </c>
      <c r="I1125" s="6">
        <v>0.4983</v>
      </c>
      <c r="J1125" s="6">
        <v>0.7631</v>
      </c>
    </row>
    <row r="1126">
      <c r="A1126" s="5" t="s">
        <v>57</v>
      </c>
      <c r="B1126" s="5" t="s">
        <v>163</v>
      </c>
      <c r="C1126" s="5" t="s">
        <v>1884</v>
      </c>
      <c r="D1126" s="6">
        <v>3.0</v>
      </c>
      <c r="E1126" s="6">
        <v>63725.0</v>
      </c>
      <c r="F1126" s="6">
        <v>23730.0</v>
      </c>
      <c r="G1126" s="6">
        <v>59239.0</v>
      </c>
      <c r="H1126" s="6">
        <v>1.0757</v>
      </c>
      <c r="I1126" s="6">
        <v>0.4006</v>
      </c>
      <c r="J1126" s="6">
        <v>0.6751</v>
      </c>
    </row>
    <row r="1127">
      <c r="A1127" s="5" t="s">
        <v>57</v>
      </c>
      <c r="B1127" s="5" t="s">
        <v>163</v>
      </c>
      <c r="C1127" s="5" t="s">
        <v>1884</v>
      </c>
      <c r="D1127" s="6">
        <v>4.0</v>
      </c>
      <c r="E1127" s="6">
        <v>70985.0</v>
      </c>
      <c r="F1127" s="6">
        <v>25602.0</v>
      </c>
      <c r="G1127" s="6">
        <v>59239.0</v>
      </c>
      <c r="H1127" s="6">
        <v>1.1983</v>
      </c>
      <c r="I1127" s="6">
        <v>0.4322</v>
      </c>
      <c r="J1127" s="6">
        <v>0.7661</v>
      </c>
    </row>
    <row r="1128">
      <c r="A1128" s="5" t="s">
        <v>57</v>
      </c>
      <c r="B1128" s="5" t="s">
        <v>163</v>
      </c>
      <c r="C1128" s="5" t="s">
        <v>1884</v>
      </c>
      <c r="D1128" s="6">
        <v>5.0</v>
      </c>
      <c r="E1128" s="6">
        <v>67895.0</v>
      </c>
      <c r="F1128" s="6">
        <v>24589.0</v>
      </c>
      <c r="G1128" s="6">
        <v>59239.0</v>
      </c>
      <c r="H1128" s="6">
        <v>1.1461</v>
      </c>
      <c r="I1128" s="6">
        <v>0.4151</v>
      </c>
      <c r="J1128" s="6">
        <v>0.731</v>
      </c>
    </row>
    <row r="1129">
      <c r="A1129" s="5" t="s">
        <v>57</v>
      </c>
      <c r="B1129" s="5" t="s">
        <v>163</v>
      </c>
      <c r="C1129" s="5" t="s">
        <v>1884</v>
      </c>
      <c r="D1129" s="6">
        <v>6.0</v>
      </c>
      <c r="E1129" s="6">
        <v>109970.0</v>
      </c>
      <c r="F1129" s="6">
        <v>45949.0</v>
      </c>
      <c r="G1129" s="6">
        <v>59239.0</v>
      </c>
      <c r="H1129" s="6">
        <v>1.8564</v>
      </c>
      <c r="I1129" s="6">
        <v>0.7757</v>
      </c>
      <c r="J1129" s="6">
        <v>1.0807</v>
      </c>
    </row>
    <row r="1130">
      <c r="A1130" s="5" t="s">
        <v>57</v>
      </c>
      <c r="B1130" s="5" t="s">
        <v>163</v>
      </c>
      <c r="C1130" s="5" t="s">
        <v>1884</v>
      </c>
      <c r="D1130" s="6">
        <v>7.0</v>
      </c>
      <c r="E1130" s="6">
        <v>115400.0</v>
      </c>
      <c r="F1130" s="6">
        <v>48485.0</v>
      </c>
      <c r="G1130" s="6">
        <v>59239.0</v>
      </c>
      <c r="H1130" s="6">
        <v>1.948</v>
      </c>
      <c r="I1130" s="6">
        <v>0.8185</v>
      </c>
      <c r="J1130" s="6">
        <v>1.1296</v>
      </c>
    </row>
    <row r="1131">
      <c r="A1131" s="5" t="s">
        <v>57</v>
      </c>
      <c r="B1131" s="5" t="s">
        <v>163</v>
      </c>
      <c r="C1131" s="5" t="s">
        <v>1884</v>
      </c>
      <c r="D1131" s="6">
        <v>8.0</v>
      </c>
      <c r="E1131" s="6">
        <v>98155.0</v>
      </c>
      <c r="F1131" s="6">
        <v>40839.0</v>
      </c>
      <c r="G1131" s="6">
        <v>59239.0</v>
      </c>
      <c r="H1131" s="6">
        <v>1.6569</v>
      </c>
      <c r="I1131" s="6">
        <v>0.6894</v>
      </c>
      <c r="J1131" s="6">
        <v>0.9675</v>
      </c>
    </row>
    <row r="1132">
      <c r="A1132" s="5" t="s">
        <v>57</v>
      </c>
      <c r="B1132" s="5" t="s">
        <v>163</v>
      </c>
      <c r="C1132" s="5" t="s">
        <v>1884</v>
      </c>
      <c r="D1132" s="6">
        <v>9.0</v>
      </c>
      <c r="E1132" s="6">
        <v>78090.0</v>
      </c>
      <c r="F1132" s="6">
        <v>30470.0</v>
      </c>
      <c r="G1132" s="6">
        <v>59239.0</v>
      </c>
      <c r="H1132" s="6">
        <v>1.3182</v>
      </c>
      <c r="I1132" s="6">
        <v>0.5144</v>
      </c>
      <c r="J1132" s="6">
        <v>0.8039</v>
      </c>
    </row>
    <row r="1133">
      <c r="A1133" s="5" t="s">
        <v>57</v>
      </c>
      <c r="B1133" s="5" t="s">
        <v>163</v>
      </c>
      <c r="C1133" s="5" t="s">
        <v>1884</v>
      </c>
      <c r="D1133" s="6">
        <v>10.0</v>
      </c>
      <c r="E1133" s="6">
        <v>123190.0</v>
      </c>
      <c r="F1133" s="6">
        <v>44212.0</v>
      </c>
      <c r="G1133" s="6">
        <v>59239.0</v>
      </c>
      <c r="H1133" s="6">
        <v>2.0795</v>
      </c>
      <c r="I1133" s="6">
        <v>0.7463</v>
      </c>
      <c r="J1133" s="6">
        <v>1.3332</v>
      </c>
    </row>
    <row r="1134">
      <c r="A1134" s="5" t="s">
        <v>57</v>
      </c>
      <c r="B1134" s="5" t="s">
        <v>163</v>
      </c>
      <c r="C1134" s="5" t="s">
        <v>1884</v>
      </c>
      <c r="D1134" s="6">
        <v>11.0</v>
      </c>
      <c r="E1134" s="6">
        <v>66905.0</v>
      </c>
      <c r="F1134" s="6">
        <v>22185.0</v>
      </c>
      <c r="G1134" s="6">
        <v>59239.0</v>
      </c>
      <c r="H1134" s="6">
        <v>1.1294</v>
      </c>
      <c r="I1134" s="6">
        <v>0.3745</v>
      </c>
      <c r="J1134" s="6">
        <v>0.7549</v>
      </c>
    </row>
    <row r="1135">
      <c r="A1135" s="5" t="s">
        <v>57</v>
      </c>
      <c r="B1135" s="5" t="s">
        <v>163</v>
      </c>
      <c r="C1135" s="5" t="s">
        <v>1884</v>
      </c>
      <c r="D1135" s="6">
        <v>12.0</v>
      </c>
      <c r="E1135" s="6">
        <v>54920.0</v>
      </c>
      <c r="F1135" s="6">
        <v>18988.0</v>
      </c>
      <c r="G1135" s="6">
        <v>59239.0</v>
      </c>
      <c r="H1135" s="6">
        <v>0.9271</v>
      </c>
      <c r="I1135" s="6">
        <v>0.3205</v>
      </c>
      <c r="J1135" s="6">
        <v>0.6066</v>
      </c>
    </row>
    <row r="1136">
      <c r="A1136" s="5" t="s">
        <v>57</v>
      </c>
      <c r="B1136" s="5" t="s">
        <v>163</v>
      </c>
      <c r="C1136" s="5" t="s">
        <v>1884</v>
      </c>
      <c r="D1136" s="6">
        <v>13.0</v>
      </c>
      <c r="E1136" s="6">
        <v>100330.0</v>
      </c>
      <c r="F1136" s="6">
        <v>40372.0</v>
      </c>
      <c r="G1136" s="6">
        <v>59239.0</v>
      </c>
      <c r="H1136" s="6">
        <v>1.6936</v>
      </c>
      <c r="I1136" s="6">
        <v>0.6815</v>
      </c>
      <c r="J1136" s="6">
        <v>1.0121</v>
      </c>
    </row>
    <row r="1137">
      <c r="A1137" s="5" t="s">
        <v>57</v>
      </c>
      <c r="B1137" s="5" t="s">
        <v>163</v>
      </c>
      <c r="C1137" s="5" t="s">
        <v>1884</v>
      </c>
      <c r="D1137" s="6">
        <v>14.0</v>
      </c>
      <c r="E1137" s="6">
        <v>104365.0</v>
      </c>
      <c r="F1137" s="6">
        <v>43274.0</v>
      </c>
      <c r="G1137" s="6">
        <v>59239.0</v>
      </c>
      <c r="H1137" s="6">
        <v>1.7618</v>
      </c>
      <c r="I1137" s="6">
        <v>0.7305</v>
      </c>
      <c r="J1137" s="6">
        <v>1.0313</v>
      </c>
    </row>
    <row r="1138">
      <c r="A1138" s="5" t="s">
        <v>57</v>
      </c>
      <c r="B1138" s="5" t="s">
        <v>163</v>
      </c>
      <c r="C1138" s="5" t="s">
        <v>1884</v>
      </c>
      <c r="D1138" s="6">
        <v>15.0</v>
      </c>
      <c r="E1138" s="6">
        <v>87270.0</v>
      </c>
      <c r="F1138" s="6">
        <v>36041.0</v>
      </c>
      <c r="G1138" s="6">
        <v>59239.0</v>
      </c>
      <c r="H1138" s="6">
        <v>1.4732</v>
      </c>
      <c r="I1138" s="6">
        <v>0.6084</v>
      </c>
      <c r="J1138" s="6">
        <v>0.8648</v>
      </c>
    </row>
    <row r="1139">
      <c r="A1139" s="5" t="s">
        <v>57</v>
      </c>
      <c r="B1139" s="5" t="s">
        <v>163</v>
      </c>
      <c r="C1139" s="5" t="s">
        <v>1884</v>
      </c>
      <c r="D1139" s="6">
        <v>16.0</v>
      </c>
      <c r="E1139" s="6">
        <v>91455.0</v>
      </c>
      <c r="F1139" s="6">
        <v>37450.0</v>
      </c>
      <c r="G1139" s="6">
        <v>59239.0</v>
      </c>
      <c r="H1139" s="6">
        <v>1.5438</v>
      </c>
      <c r="I1139" s="6">
        <v>0.6322</v>
      </c>
      <c r="J1139" s="6">
        <v>0.9116</v>
      </c>
    </row>
    <row r="1140">
      <c r="A1140" s="5" t="s">
        <v>57</v>
      </c>
      <c r="B1140" s="5" t="s">
        <v>163</v>
      </c>
      <c r="C1140" s="5" t="s">
        <v>1884</v>
      </c>
      <c r="D1140" s="6">
        <v>17.0</v>
      </c>
      <c r="E1140" s="6">
        <v>101880.0</v>
      </c>
      <c r="F1140" s="6">
        <v>42030.0</v>
      </c>
      <c r="G1140" s="6">
        <v>59239.0</v>
      </c>
      <c r="H1140" s="6">
        <v>1.7198</v>
      </c>
      <c r="I1140" s="6">
        <v>0.7095</v>
      </c>
      <c r="J1140" s="6">
        <v>1.0103</v>
      </c>
    </row>
    <row r="1141">
      <c r="A1141" s="5" t="s">
        <v>57</v>
      </c>
      <c r="B1141" s="5" t="s">
        <v>163</v>
      </c>
      <c r="C1141" s="5" t="s">
        <v>1884</v>
      </c>
      <c r="D1141" s="6">
        <v>18.0</v>
      </c>
      <c r="E1141" s="6">
        <v>70775.0</v>
      </c>
      <c r="F1141" s="6">
        <v>26345.0</v>
      </c>
      <c r="G1141" s="6">
        <v>59239.0</v>
      </c>
      <c r="H1141" s="6">
        <v>1.1947</v>
      </c>
      <c r="I1141" s="6">
        <v>0.4447</v>
      </c>
      <c r="J1141" s="6">
        <v>0.75</v>
      </c>
    </row>
    <row r="1142">
      <c r="A1142" s="5" t="s">
        <v>57</v>
      </c>
      <c r="B1142" s="5" t="s">
        <v>163</v>
      </c>
      <c r="C1142" s="5" t="s">
        <v>1884</v>
      </c>
      <c r="D1142" s="6">
        <v>19.0</v>
      </c>
      <c r="E1142" s="6">
        <v>60120.0</v>
      </c>
      <c r="F1142" s="6">
        <v>21421.0</v>
      </c>
      <c r="G1142" s="6">
        <v>59239.0</v>
      </c>
      <c r="H1142" s="6">
        <v>1.0149</v>
      </c>
      <c r="I1142" s="6">
        <v>0.3616</v>
      </c>
      <c r="J1142" s="6">
        <v>0.6533</v>
      </c>
    </row>
    <row r="1143">
      <c r="A1143" s="5" t="s">
        <v>57</v>
      </c>
      <c r="B1143" s="5" t="s">
        <v>163</v>
      </c>
      <c r="C1143" s="5" t="s">
        <v>1884</v>
      </c>
      <c r="D1143" s="6">
        <v>20.0</v>
      </c>
      <c r="E1143" s="6">
        <v>100285.0</v>
      </c>
      <c r="F1143" s="6">
        <v>41938.0</v>
      </c>
      <c r="G1143" s="6">
        <v>59239.0</v>
      </c>
      <c r="H1143" s="6">
        <v>1.6929</v>
      </c>
      <c r="I1143" s="6">
        <v>0.7079</v>
      </c>
      <c r="J1143" s="6">
        <v>0.9849</v>
      </c>
    </row>
    <row r="1144">
      <c r="A1144" s="5" t="s">
        <v>57</v>
      </c>
      <c r="B1144" s="5" t="s">
        <v>163</v>
      </c>
      <c r="C1144" s="5" t="s">
        <v>1884</v>
      </c>
      <c r="D1144" s="6">
        <v>21.0</v>
      </c>
      <c r="E1144" s="6">
        <v>375750.0</v>
      </c>
      <c r="F1144" s="6">
        <v>141346.0</v>
      </c>
      <c r="G1144" s="6">
        <v>59239.0</v>
      </c>
      <c r="H1144" s="6">
        <v>6.3429</v>
      </c>
      <c r="I1144" s="6">
        <v>2.386</v>
      </c>
      <c r="J1144" s="6">
        <v>3.9569</v>
      </c>
    </row>
    <row r="1145">
      <c r="A1145" s="5" t="s">
        <v>57</v>
      </c>
      <c r="B1145" s="5" t="s">
        <v>163</v>
      </c>
      <c r="C1145" s="5" t="s">
        <v>1884</v>
      </c>
      <c r="D1145" s="6">
        <v>22.0</v>
      </c>
      <c r="E1145" s="6">
        <v>239750.0</v>
      </c>
      <c r="F1145" s="6">
        <v>97439.0</v>
      </c>
      <c r="G1145" s="6">
        <v>59239.0</v>
      </c>
      <c r="H1145" s="6">
        <v>4.0472</v>
      </c>
      <c r="I1145" s="6">
        <v>1.6448</v>
      </c>
      <c r="J1145" s="6">
        <v>2.4023</v>
      </c>
    </row>
    <row r="1146">
      <c r="A1146" s="5" t="s">
        <v>57</v>
      </c>
      <c r="B1146" s="5" t="s">
        <v>163</v>
      </c>
      <c r="C1146" s="5" t="s">
        <v>1884</v>
      </c>
      <c r="D1146" s="6">
        <v>23.0</v>
      </c>
      <c r="E1146" s="6">
        <v>144320.0</v>
      </c>
      <c r="F1146" s="6">
        <v>58555.0</v>
      </c>
      <c r="G1146" s="6">
        <v>59239.0</v>
      </c>
      <c r="H1146" s="6">
        <v>2.4362</v>
      </c>
      <c r="I1146" s="6">
        <v>0.9885</v>
      </c>
      <c r="J1146" s="6">
        <v>1.4478</v>
      </c>
    </row>
    <row r="1147">
      <c r="A1147" s="5" t="s">
        <v>57</v>
      </c>
      <c r="B1147" s="5" t="s">
        <v>163</v>
      </c>
      <c r="C1147" s="5" t="s">
        <v>1884</v>
      </c>
      <c r="D1147" s="6">
        <v>24.0</v>
      </c>
      <c r="E1147" s="6">
        <v>173835.0</v>
      </c>
      <c r="F1147" s="6">
        <v>64813.0</v>
      </c>
      <c r="G1147" s="6">
        <v>59239.0</v>
      </c>
      <c r="H1147" s="6">
        <v>2.9345</v>
      </c>
      <c r="I1147" s="6">
        <v>1.0941</v>
      </c>
      <c r="J1147" s="6">
        <v>1.8404</v>
      </c>
    </row>
    <row r="1148">
      <c r="A1148" s="5" t="s">
        <v>57</v>
      </c>
      <c r="B1148" s="5" t="s">
        <v>163</v>
      </c>
      <c r="C1148" s="5" t="s">
        <v>1884</v>
      </c>
      <c r="D1148" s="6">
        <v>25.0</v>
      </c>
      <c r="E1148" s="6">
        <v>102865.0</v>
      </c>
      <c r="F1148" s="6">
        <v>38112.0</v>
      </c>
      <c r="G1148" s="6">
        <v>59239.0</v>
      </c>
      <c r="H1148" s="6">
        <v>1.7364</v>
      </c>
      <c r="I1148" s="6">
        <v>0.6434</v>
      </c>
      <c r="J1148" s="6">
        <v>1.0931</v>
      </c>
    </row>
    <row r="1149">
      <c r="A1149" s="5" t="s">
        <v>57</v>
      </c>
      <c r="B1149" s="5" t="s">
        <v>163</v>
      </c>
      <c r="C1149" s="5" t="s">
        <v>1884</v>
      </c>
      <c r="D1149" s="6">
        <v>26.0</v>
      </c>
      <c r="E1149" s="6">
        <v>83470.0</v>
      </c>
      <c r="F1149" s="6">
        <v>31358.0</v>
      </c>
      <c r="G1149" s="6">
        <v>59239.0</v>
      </c>
      <c r="H1149" s="6">
        <v>1.409</v>
      </c>
      <c r="I1149" s="6">
        <v>0.5293</v>
      </c>
      <c r="J1149" s="6">
        <v>0.8797</v>
      </c>
    </row>
    <row r="1150">
      <c r="A1150" s="5" t="s">
        <v>57</v>
      </c>
      <c r="B1150" s="5" t="s">
        <v>163</v>
      </c>
      <c r="C1150" s="5" t="s">
        <v>1884</v>
      </c>
      <c r="D1150" s="6">
        <v>27.0</v>
      </c>
      <c r="E1150" s="6">
        <v>68870.0</v>
      </c>
      <c r="F1150" s="6">
        <v>25950.0</v>
      </c>
      <c r="G1150" s="6">
        <v>59239.0</v>
      </c>
      <c r="H1150" s="6">
        <v>1.1626</v>
      </c>
      <c r="I1150" s="6">
        <v>0.4381</v>
      </c>
      <c r="J1150" s="6">
        <v>0.7245</v>
      </c>
    </row>
    <row r="1151">
      <c r="A1151" s="5" t="s">
        <v>57</v>
      </c>
      <c r="B1151" s="5" t="s">
        <v>163</v>
      </c>
      <c r="C1151" s="5" t="s">
        <v>1884</v>
      </c>
      <c r="D1151" s="6">
        <v>28.0</v>
      </c>
      <c r="E1151" s="6">
        <v>60470.0</v>
      </c>
      <c r="F1151" s="6">
        <v>22440.0</v>
      </c>
      <c r="G1151" s="6">
        <v>59239.0</v>
      </c>
      <c r="H1151" s="6">
        <v>1.0208</v>
      </c>
      <c r="I1151" s="6">
        <v>0.3788</v>
      </c>
      <c r="J1151" s="6">
        <v>0.642</v>
      </c>
    </row>
    <row r="1152">
      <c r="A1152" s="5" t="s">
        <v>57</v>
      </c>
      <c r="B1152" s="5" t="s">
        <v>163</v>
      </c>
      <c r="C1152" s="5" t="s">
        <v>1884</v>
      </c>
      <c r="D1152" s="6">
        <v>29.0</v>
      </c>
      <c r="E1152" s="6">
        <v>53195.0</v>
      </c>
      <c r="F1152" s="6">
        <v>18730.0</v>
      </c>
      <c r="G1152" s="6">
        <v>59239.0</v>
      </c>
      <c r="H1152" s="6">
        <v>0.898</v>
      </c>
      <c r="I1152" s="6">
        <v>0.3162</v>
      </c>
      <c r="J1152" s="6">
        <v>0.5818</v>
      </c>
    </row>
    <row r="1153">
      <c r="A1153" s="5" t="s">
        <v>57</v>
      </c>
      <c r="B1153" s="5" t="s">
        <v>163</v>
      </c>
      <c r="C1153" s="5" t="s">
        <v>1884</v>
      </c>
      <c r="D1153" s="6">
        <v>30.0</v>
      </c>
      <c r="E1153" s="6">
        <v>70770.0</v>
      </c>
      <c r="F1153" s="6">
        <v>27488.0</v>
      </c>
      <c r="G1153" s="6">
        <v>59239.0</v>
      </c>
      <c r="H1153" s="6">
        <v>1.1947</v>
      </c>
      <c r="I1153" s="6">
        <v>0.464</v>
      </c>
      <c r="J1153" s="6">
        <v>0.7306</v>
      </c>
    </row>
    <row r="1154">
      <c r="A1154" s="5" t="s">
        <v>57</v>
      </c>
      <c r="B1154" s="5" t="s">
        <v>163</v>
      </c>
      <c r="C1154" s="5" t="s">
        <v>1884</v>
      </c>
      <c r="D1154" s="6">
        <v>31.0</v>
      </c>
      <c r="E1154" s="6">
        <v>62340.0</v>
      </c>
      <c r="F1154" s="6">
        <v>23295.0</v>
      </c>
      <c r="G1154" s="6">
        <v>59239.0</v>
      </c>
      <c r="H1154" s="6">
        <v>1.0523</v>
      </c>
      <c r="I1154" s="6">
        <v>0.3932</v>
      </c>
      <c r="J1154" s="6">
        <v>0.6591</v>
      </c>
    </row>
    <row r="1155">
      <c r="A1155" s="5" t="s">
        <v>57</v>
      </c>
      <c r="B1155" s="5" t="s">
        <v>163</v>
      </c>
      <c r="C1155" s="5" t="s">
        <v>1884</v>
      </c>
      <c r="D1155" s="6">
        <v>32.0</v>
      </c>
      <c r="E1155" s="6">
        <v>63295.0</v>
      </c>
      <c r="F1155" s="6">
        <v>22464.0</v>
      </c>
      <c r="G1155" s="6">
        <v>59239.0</v>
      </c>
      <c r="H1155" s="6">
        <v>1.0685</v>
      </c>
      <c r="I1155" s="6">
        <v>0.3792</v>
      </c>
      <c r="J1155" s="6">
        <v>0.6893</v>
      </c>
    </row>
    <row r="1156">
      <c r="A1156" s="5" t="s">
        <v>57</v>
      </c>
      <c r="B1156" s="5" t="s">
        <v>163</v>
      </c>
      <c r="C1156" s="5" t="s">
        <v>1884</v>
      </c>
      <c r="D1156" s="6">
        <v>33.0</v>
      </c>
      <c r="E1156" s="6">
        <v>61180.0</v>
      </c>
      <c r="F1156" s="6">
        <v>22572.0</v>
      </c>
      <c r="G1156" s="6">
        <v>59239.0</v>
      </c>
      <c r="H1156" s="6">
        <v>1.0328</v>
      </c>
      <c r="I1156" s="6">
        <v>0.381</v>
      </c>
      <c r="J1156" s="6">
        <v>0.6517</v>
      </c>
    </row>
    <row r="1157">
      <c r="A1157" s="5" t="s">
        <v>57</v>
      </c>
      <c r="B1157" s="5" t="s">
        <v>163</v>
      </c>
      <c r="C1157" s="5" t="s">
        <v>1885</v>
      </c>
      <c r="D1157" s="6">
        <v>1.0</v>
      </c>
      <c r="E1157" s="6">
        <v>91950.0</v>
      </c>
      <c r="F1157" s="6">
        <v>34166.0</v>
      </c>
      <c r="G1157" s="6">
        <v>62678.0</v>
      </c>
      <c r="H1157" s="6">
        <v>1.467</v>
      </c>
      <c r="I1157" s="6">
        <v>0.5451</v>
      </c>
      <c r="J1157" s="6">
        <v>0.9219</v>
      </c>
    </row>
    <row r="1158">
      <c r="A1158" s="5" t="s">
        <v>57</v>
      </c>
      <c r="B1158" s="5" t="s">
        <v>163</v>
      </c>
      <c r="C1158" s="5" t="s">
        <v>1885</v>
      </c>
      <c r="D1158" s="6">
        <v>2.0</v>
      </c>
      <c r="E1158" s="6">
        <v>105095.0</v>
      </c>
      <c r="F1158" s="6">
        <v>38984.0</v>
      </c>
      <c r="G1158" s="6">
        <v>62678.0</v>
      </c>
      <c r="H1158" s="6">
        <v>1.6767</v>
      </c>
      <c r="I1158" s="6">
        <v>0.622</v>
      </c>
      <c r="J1158" s="6">
        <v>1.0548</v>
      </c>
    </row>
    <row r="1159">
      <c r="A1159" s="5" t="s">
        <v>57</v>
      </c>
      <c r="B1159" s="5" t="s">
        <v>163</v>
      </c>
      <c r="C1159" s="5" t="s">
        <v>1885</v>
      </c>
      <c r="D1159" s="6">
        <v>3.0</v>
      </c>
      <c r="E1159" s="6">
        <v>96635.0</v>
      </c>
      <c r="F1159" s="6">
        <v>35163.0</v>
      </c>
      <c r="G1159" s="6">
        <v>62678.0</v>
      </c>
      <c r="H1159" s="6">
        <v>1.5418</v>
      </c>
      <c r="I1159" s="6">
        <v>0.561</v>
      </c>
      <c r="J1159" s="6">
        <v>0.9808</v>
      </c>
    </row>
    <row r="1160">
      <c r="A1160" s="5" t="s">
        <v>57</v>
      </c>
      <c r="B1160" s="5" t="s">
        <v>163</v>
      </c>
      <c r="C1160" s="5" t="s">
        <v>1885</v>
      </c>
      <c r="D1160" s="6">
        <v>4.0</v>
      </c>
      <c r="E1160" s="6">
        <v>94310.0</v>
      </c>
      <c r="F1160" s="6">
        <v>35148.0</v>
      </c>
      <c r="G1160" s="6">
        <v>62678.0</v>
      </c>
      <c r="H1160" s="6">
        <v>1.5047</v>
      </c>
      <c r="I1160" s="6">
        <v>0.5608</v>
      </c>
      <c r="J1160" s="6">
        <v>0.9439</v>
      </c>
    </row>
    <row r="1161">
      <c r="A1161" s="5" t="s">
        <v>57</v>
      </c>
      <c r="B1161" s="5" t="s">
        <v>163</v>
      </c>
      <c r="C1161" s="5" t="s">
        <v>1885</v>
      </c>
      <c r="D1161" s="6">
        <v>5.0</v>
      </c>
      <c r="E1161" s="6">
        <v>91560.0</v>
      </c>
      <c r="F1161" s="6">
        <v>34476.0</v>
      </c>
      <c r="G1161" s="6">
        <v>62678.0</v>
      </c>
      <c r="H1161" s="6">
        <v>1.4608</v>
      </c>
      <c r="I1161" s="6">
        <v>0.55</v>
      </c>
      <c r="J1161" s="6">
        <v>0.9108</v>
      </c>
    </row>
    <row r="1162">
      <c r="A1162" s="5" t="s">
        <v>57</v>
      </c>
      <c r="B1162" s="5" t="s">
        <v>163</v>
      </c>
      <c r="C1162" s="5" t="s">
        <v>1885</v>
      </c>
      <c r="D1162" s="6">
        <v>6.0</v>
      </c>
      <c r="E1162" s="6">
        <v>179955.0</v>
      </c>
      <c r="F1162" s="6">
        <v>73064.0</v>
      </c>
      <c r="G1162" s="6">
        <v>62678.0</v>
      </c>
      <c r="H1162" s="6">
        <v>2.8711</v>
      </c>
      <c r="I1162" s="6">
        <v>1.1657</v>
      </c>
      <c r="J1162" s="6">
        <v>1.7054</v>
      </c>
    </row>
    <row r="1163">
      <c r="A1163" s="5" t="s">
        <v>57</v>
      </c>
      <c r="B1163" s="5" t="s">
        <v>163</v>
      </c>
      <c r="C1163" s="5" t="s">
        <v>1885</v>
      </c>
      <c r="D1163" s="6">
        <v>7.0</v>
      </c>
      <c r="E1163" s="6">
        <v>152350.0</v>
      </c>
      <c r="F1163" s="6">
        <v>61724.0</v>
      </c>
      <c r="G1163" s="6">
        <v>62678.0</v>
      </c>
      <c r="H1163" s="6">
        <v>2.4307</v>
      </c>
      <c r="I1163" s="6">
        <v>0.9848</v>
      </c>
      <c r="J1163" s="6">
        <v>1.4459</v>
      </c>
    </row>
    <row r="1164">
      <c r="A1164" s="5" t="s">
        <v>57</v>
      </c>
      <c r="B1164" s="5" t="s">
        <v>163</v>
      </c>
      <c r="C1164" s="5" t="s">
        <v>1885</v>
      </c>
      <c r="D1164" s="6">
        <v>8.0</v>
      </c>
      <c r="E1164" s="6">
        <v>118030.0</v>
      </c>
      <c r="F1164" s="6">
        <v>46101.0</v>
      </c>
      <c r="G1164" s="6">
        <v>62678.0</v>
      </c>
      <c r="H1164" s="6">
        <v>1.8831</v>
      </c>
      <c r="I1164" s="6">
        <v>0.7355</v>
      </c>
      <c r="J1164" s="6">
        <v>1.1476</v>
      </c>
    </row>
    <row r="1165">
      <c r="A1165" s="5" t="s">
        <v>57</v>
      </c>
      <c r="B1165" s="5" t="s">
        <v>163</v>
      </c>
      <c r="C1165" s="5" t="s">
        <v>1885</v>
      </c>
      <c r="D1165" s="6">
        <v>9.0</v>
      </c>
      <c r="E1165" s="6">
        <v>95695.0</v>
      </c>
      <c r="F1165" s="6">
        <v>37159.0</v>
      </c>
      <c r="G1165" s="6">
        <v>62678.0</v>
      </c>
      <c r="H1165" s="6">
        <v>1.5268</v>
      </c>
      <c r="I1165" s="6">
        <v>0.5929</v>
      </c>
      <c r="J1165" s="6">
        <v>0.9339</v>
      </c>
    </row>
    <row r="1166">
      <c r="A1166" s="5" t="s">
        <v>57</v>
      </c>
      <c r="B1166" s="5" t="s">
        <v>163</v>
      </c>
      <c r="C1166" s="5" t="s">
        <v>1885</v>
      </c>
      <c r="D1166" s="6">
        <v>10.0</v>
      </c>
      <c r="E1166" s="6">
        <v>154225.0</v>
      </c>
      <c r="F1166" s="6">
        <v>55528.0</v>
      </c>
      <c r="G1166" s="6">
        <v>62678.0</v>
      </c>
      <c r="H1166" s="6">
        <v>2.4606</v>
      </c>
      <c r="I1166" s="6">
        <v>0.8859</v>
      </c>
      <c r="J1166" s="6">
        <v>1.5747</v>
      </c>
    </row>
    <row r="1167">
      <c r="A1167" s="5" t="s">
        <v>57</v>
      </c>
      <c r="B1167" s="5" t="s">
        <v>163</v>
      </c>
      <c r="C1167" s="5" t="s">
        <v>1885</v>
      </c>
      <c r="D1167" s="6">
        <v>11.0</v>
      </c>
      <c r="E1167" s="6">
        <v>90140.0</v>
      </c>
      <c r="F1167" s="6">
        <v>31599.0</v>
      </c>
      <c r="G1167" s="6">
        <v>62678.0</v>
      </c>
      <c r="H1167" s="6">
        <v>1.4381</v>
      </c>
      <c r="I1167" s="6">
        <v>0.5041</v>
      </c>
      <c r="J1167" s="6">
        <v>0.934</v>
      </c>
    </row>
    <row r="1168">
      <c r="A1168" s="5" t="s">
        <v>57</v>
      </c>
      <c r="B1168" s="5" t="s">
        <v>163</v>
      </c>
      <c r="C1168" s="5" t="s">
        <v>1885</v>
      </c>
      <c r="D1168" s="6">
        <v>12.0</v>
      </c>
      <c r="E1168" s="6">
        <v>82600.0</v>
      </c>
      <c r="F1168" s="6">
        <v>29701.0</v>
      </c>
      <c r="G1168" s="6">
        <v>62678.0</v>
      </c>
      <c r="H1168" s="6">
        <v>1.3178</v>
      </c>
      <c r="I1168" s="6">
        <v>0.4739</v>
      </c>
      <c r="J1168" s="6">
        <v>0.844</v>
      </c>
    </row>
    <row r="1169">
      <c r="A1169" s="5" t="s">
        <v>57</v>
      </c>
      <c r="B1169" s="5" t="s">
        <v>163</v>
      </c>
      <c r="C1169" s="5" t="s">
        <v>1885</v>
      </c>
      <c r="D1169" s="6">
        <v>13.0</v>
      </c>
      <c r="E1169" s="6">
        <v>156345.0</v>
      </c>
      <c r="F1169" s="6">
        <v>63812.0</v>
      </c>
      <c r="G1169" s="6">
        <v>62678.0</v>
      </c>
      <c r="H1169" s="6">
        <v>2.4944</v>
      </c>
      <c r="I1169" s="6">
        <v>1.0181</v>
      </c>
      <c r="J1169" s="6">
        <v>1.4763</v>
      </c>
    </row>
    <row r="1170">
      <c r="A1170" s="5" t="s">
        <v>57</v>
      </c>
      <c r="B1170" s="5" t="s">
        <v>163</v>
      </c>
      <c r="C1170" s="5" t="s">
        <v>1885</v>
      </c>
      <c r="D1170" s="6">
        <v>14.0</v>
      </c>
      <c r="E1170" s="6">
        <v>129265.0</v>
      </c>
      <c r="F1170" s="6">
        <v>51863.0</v>
      </c>
      <c r="G1170" s="6">
        <v>62678.0</v>
      </c>
      <c r="H1170" s="6">
        <v>2.0624</v>
      </c>
      <c r="I1170" s="6">
        <v>0.8275</v>
      </c>
      <c r="J1170" s="6">
        <v>1.2349</v>
      </c>
    </row>
    <row r="1171">
      <c r="A1171" s="5" t="s">
        <v>57</v>
      </c>
      <c r="B1171" s="5" t="s">
        <v>163</v>
      </c>
      <c r="C1171" s="5" t="s">
        <v>1885</v>
      </c>
      <c r="D1171" s="6">
        <v>15.0</v>
      </c>
      <c r="E1171" s="6">
        <v>104285.0</v>
      </c>
      <c r="F1171" s="6">
        <v>40661.0</v>
      </c>
      <c r="G1171" s="6">
        <v>62678.0</v>
      </c>
      <c r="H1171" s="6">
        <v>1.6638</v>
      </c>
      <c r="I1171" s="6">
        <v>0.6487</v>
      </c>
      <c r="J1171" s="6">
        <v>1.0151</v>
      </c>
    </row>
    <row r="1172">
      <c r="A1172" s="5" t="s">
        <v>57</v>
      </c>
      <c r="B1172" s="5" t="s">
        <v>163</v>
      </c>
      <c r="C1172" s="5" t="s">
        <v>1885</v>
      </c>
      <c r="D1172" s="6">
        <v>16.0</v>
      </c>
      <c r="E1172" s="6">
        <v>100210.0</v>
      </c>
      <c r="F1172" s="6">
        <v>38541.0</v>
      </c>
      <c r="G1172" s="6">
        <v>62678.0</v>
      </c>
      <c r="H1172" s="6">
        <v>1.5988</v>
      </c>
      <c r="I1172" s="6">
        <v>0.6149</v>
      </c>
      <c r="J1172" s="6">
        <v>0.9839</v>
      </c>
    </row>
    <row r="1173">
      <c r="A1173" s="5" t="s">
        <v>57</v>
      </c>
      <c r="B1173" s="5" t="s">
        <v>163</v>
      </c>
      <c r="C1173" s="5" t="s">
        <v>1885</v>
      </c>
      <c r="D1173" s="6">
        <v>17.0</v>
      </c>
      <c r="E1173" s="6">
        <v>120270.0</v>
      </c>
      <c r="F1173" s="6">
        <v>48764.0</v>
      </c>
      <c r="G1173" s="6">
        <v>62678.0</v>
      </c>
      <c r="H1173" s="6">
        <v>1.9189</v>
      </c>
      <c r="I1173" s="6">
        <v>0.778</v>
      </c>
      <c r="J1173" s="6">
        <v>1.1408</v>
      </c>
    </row>
    <row r="1174">
      <c r="A1174" s="5" t="s">
        <v>57</v>
      </c>
      <c r="B1174" s="5" t="s">
        <v>163</v>
      </c>
      <c r="C1174" s="5" t="s">
        <v>1885</v>
      </c>
      <c r="D1174" s="6">
        <v>18.0</v>
      </c>
      <c r="E1174" s="6">
        <v>85455.0</v>
      </c>
      <c r="F1174" s="6">
        <v>31850.0</v>
      </c>
      <c r="G1174" s="6">
        <v>62678.0</v>
      </c>
      <c r="H1174" s="6">
        <v>1.3634</v>
      </c>
      <c r="I1174" s="6">
        <v>0.5082</v>
      </c>
      <c r="J1174" s="6">
        <v>0.8552</v>
      </c>
    </row>
    <row r="1175">
      <c r="A1175" s="5" t="s">
        <v>57</v>
      </c>
      <c r="B1175" s="5" t="s">
        <v>163</v>
      </c>
      <c r="C1175" s="5" t="s">
        <v>1885</v>
      </c>
      <c r="D1175" s="6">
        <v>19.0</v>
      </c>
      <c r="E1175" s="6">
        <v>77535.0</v>
      </c>
      <c r="F1175" s="6">
        <v>28208.0</v>
      </c>
      <c r="G1175" s="6">
        <v>62678.0</v>
      </c>
      <c r="H1175" s="6">
        <v>1.237</v>
      </c>
      <c r="I1175" s="6">
        <v>0.45</v>
      </c>
      <c r="J1175" s="6">
        <v>0.787</v>
      </c>
    </row>
    <row r="1176">
      <c r="A1176" s="5" t="s">
        <v>57</v>
      </c>
      <c r="B1176" s="5" t="s">
        <v>163</v>
      </c>
      <c r="C1176" s="5" t="s">
        <v>1885</v>
      </c>
      <c r="D1176" s="6">
        <v>20.0</v>
      </c>
      <c r="E1176" s="6">
        <v>153200.0</v>
      </c>
      <c r="F1176" s="6">
        <v>61809.0</v>
      </c>
      <c r="G1176" s="6">
        <v>62678.0</v>
      </c>
      <c r="H1176" s="6">
        <v>2.4442</v>
      </c>
      <c r="I1176" s="6">
        <v>0.9861</v>
      </c>
      <c r="J1176" s="6">
        <v>1.4581</v>
      </c>
    </row>
    <row r="1177">
      <c r="A1177" s="5" t="s">
        <v>57</v>
      </c>
      <c r="B1177" s="5" t="s">
        <v>163</v>
      </c>
      <c r="C1177" s="5" t="s">
        <v>1885</v>
      </c>
      <c r="D1177" s="6">
        <v>21.0</v>
      </c>
      <c r="E1177" s="6">
        <v>571235.0</v>
      </c>
      <c r="F1177" s="6">
        <v>177068.0</v>
      </c>
      <c r="G1177" s="6">
        <v>62678.0</v>
      </c>
      <c r="H1177" s="6">
        <v>9.1138</v>
      </c>
      <c r="I1177" s="6">
        <v>2.825</v>
      </c>
      <c r="J1177" s="6">
        <v>6.2888</v>
      </c>
    </row>
    <row r="1178">
      <c r="A1178" s="5" t="s">
        <v>57</v>
      </c>
      <c r="B1178" s="5" t="s">
        <v>163</v>
      </c>
      <c r="C1178" s="5" t="s">
        <v>1885</v>
      </c>
      <c r="D1178" s="6">
        <v>22.0</v>
      </c>
      <c r="E1178" s="6">
        <v>272545.0</v>
      </c>
      <c r="F1178" s="6">
        <v>102620.0</v>
      </c>
      <c r="G1178" s="6">
        <v>62678.0</v>
      </c>
      <c r="H1178" s="6">
        <v>4.3483</v>
      </c>
      <c r="I1178" s="6">
        <v>1.6373</v>
      </c>
      <c r="J1178" s="6">
        <v>2.7111</v>
      </c>
    </row>
    <row r="1179">
      <c r="A1179" s="5" t="s">
        <v>57</v>
      </c>
      <c r="B1179" s="5" t="s">
        <v>163</v>
      </c>
      <c r="C1179" s="5" t="s">
        <v>1885</v>
      </c>
      <c r="D1179" s="6">
        <v>23.0</v>
      </c>
      <c r="E1179" s="6">
        <v>177170.0</v>
      </c>
      <c r="F1179" s="6">
        <v>69921.0</v>
      </c>
      <c r="G1179" s="6">
        <v>62678.0</v>
      </c>
      <c r="H1179" s="6">
        <v>2.8267</v>
      </c>
      <c r="I1179" s="6">
        <v>1.1156</v>
      </c>
      <c r="J1179" s="6">
        <v>1.7111</v>
      </c>
    </row>
    <row r="1180">
      <c r="A1180" s="5" t="s">
        <v>57</v>
      </c>
      <c r="B1180" s="5" t="s">
        <v>163</v>
      </c>
      <c r="C1180" s="5" t="s">
        <v>1885</v>
      </c>
      <c r="D1180" s="6">
        <v>24.0</v>
      </c>
      <c r="E1180" s="6">
        <v>212570.0</v>
      </c>
      <c r="F1180" s="6">
        <v>79601.0</v>
      </c>
      <c r="G1180" s="6">
        <v>62678.0</v>
      </c>
      <c r="H1180" s="6">
        <v>3.3915</v>
      </c>
      <c r="I1180" s="6">
        <v>1.27</v>
      </c>
      <c r="J1180" s="6">
        <v>2.1215</v>
      </c>
    </row>
    <row r="1181">
      <c r="A1181" s="5" t="s">
        <v>57</v>
      </c>
      <c r="B1181" s="5" t="s">
        <v>163</v>
      </c>
      <c r="C1181" s="5" t="s">
        <v>1885</v>
      </c>
      <c r="D1181" s="6">
        <v>25.0</v>
      </c>
      <c r="E1181" s="6">
        <v>130205.0</v>
      </c>
      <c r="F1181" s="6">
        <v>49591.0</v>
      </c>
      <c r="G1181" s="6">
        <v>62678.0</v>
      </c>
      <c r="H1181" s="6">
        <v>2.0774</v>
      </c>
      <c r="I1181" s="6">
        <v>0.7912</v>
      </c>
      <c r="J1181" s="6">
        <v>1.2862</v>
      </c>
    </row>
    <row r="1182">
      <c r="A1182" s="5" t="s">
        <v>57</v>
      </c>
      <c r="B1182" s="5" t="s">
        <v>163</v>
      </c>
      <c r="C1182" s="5" t="s">
        <v>1885</v>
      </c>
      <c r="D1182" s="6">
        <v>26.0</v>
      </c>
      <c r="E1182" s="6">
        <v>111345.0</v>
      </c>
      <c r="F1182" s="6">
        <v>42524.0</v>
      </c>
      <c r="G1182" s="6">
        <v>62678.0</v>
      </c>
      <c r="H1182" s="6">
        <v>1.7765</v>
      </c>
      <c r="I1182" s="6">
        <v>0.6785</v>
      </c>
      <c r="J1182" s="6">
        <v>1.098</v>
      </c>
    </row>
    <row r="1183">
      <c r="A1183" s="5" t="s">
        <v>57</v>
      </c>
      <c r="B1183" s="5" t="s">
        <v>163</v>
      </c>
      <c r="C1183" s="5" t="s">
        <v>1885</v>
      </c>
      <c r="D1183" s="6">
        <v>27.0</v>
      </c>
      <c r="E1183" s="6">
        <v>106905.0</v>
      </c>
      <c r="F1183" s="6">
        <v>40846.0</v>
      </c>
      <c r="G1183" s="6">
        <v>62678.0</v>
      </c>
      <c r="H1183" s="6">
        <v>1.7056</v>
      </c>
      <c r="I1183" s="6">
        <v>0.6517</v>
      </c>
      <c r="J1183" s="6">
        <v>1.0539</v>
      </c>
    </row>
    <row r="1184">
      <c r="A1184" s="5" t="s">
        <v>57</v>
      </c>
      <c r="B1184" s="5" t="s">
        <v>163</v>
      </c>
      <c r="C1184" s="5" t="s">
        <v>1885</v>
      </c>
      <c r="D1184" s="6">
        <v>28.0</v>
      </c>
      <c r="E1184" s="6">
        <v>93390.0</v>
      </c>
      <c r="F1184" s="6">
        <v>35160.0</v>
      </c>
      <c r="G1184" s="6">
        <v>62678.0</v>
      </c>
      <c r="H1184" s="6">
        <v>1.49</v>
      </c>
      <c r="I1184" s="6">
        <v>0.561</v>
      </c>
      <c r="J1184" s="6">
        <v>0.929</v>
      </c>
    </row>
    <row r="1185">
      <c r="A1185" s="5" t="s">
        <v>57</v>
      </c>
      <c r="B1185" s="5" t="s">
        <v>163</v>
      </c>
      <c r="C1185" s="5" t="s">
        <v>1885</v>
      </c>
      <c r="D1185" s="6">
        <v>29.0</v>
      </c>
      <c r="E1185" s="6">
        <v>86355.0</v>
      </c>
      <c r="F1185" s="6">
        <v>31723.0</v>
      </c>
      <c r="G1185" s="6">
        <v>62678.0</v>
      </c>
      <c r="H1185" s="6">
        <v>1.3778</v>
      </c>
      <c r="I1185" s="6">
        <v>0.5061</v>
      </c>
      <c r="J1185" s="6">
        <v>0.8716</v>
      </c>
    </row>
    <row r="1186">
      <c r="A1186" s="5" t="s">
        <v>57</v>
      </c>
      <c r="B1186" s="5" t="s">
        <v>163</v>
      </c>
      <c r="C1186" s="5" t="s">
        <v>1885</v>
      </c>
      <c r="D1186" s="6">
        <v>30.0</v>
      </c>
      <c r="E1186" s="6">
        <v>96335.0</v>
      </c>
      <c r="F1186" s="6">
        <v>36020.0</v>
      </c>
      <c r="G1186" s="6">
        <v>62678.0</v>
      </c>
      <c r="H1186" s="6">
        <v>1.537</v>
      </c>
      <c r="I1186" s="6">
        <v>0.5747</v>
      </c>
      <c r="J1186" s="6">
        <v>0.9623</v>
      </c>
    </row>
    <row r="1187">
      <c r="A1187" s="5" t="s">
        <v>57</v>
      </c>
      <c r="B1187" s="5" t="s">
        <v>163</v>
      </c>
      <c r="C1187" s="5" t="s">
        <v>1885</v>
      </c>
      <c r="D1187" s="6">
        <v>31.0</v>
      </c>
      <c r="E1187" s="6">
        <v>95185.0</v>
      </c>
      <c r="F1187" s="6">
        <v>35342.0</v>
      </c>
      <c r="G1187" s="6">
        <v>62678.0</v>
      </c>
      <c r="H1187" s="6">
        <v>1.5186</v>
      </c>
      <c r="I1187" s="6">
        <v>0.5639</v>
      </c>
      <c r="J1187" s="6">
        <v>0.9548</v>
      </c>
    </row>
    <row r="1188">
      <c r="A1188" s="5" t="s">
        <v>57</v>
      </c>
      <c r="B1188" s="5" t="s">
        <v>163</v>
      </c>
      <c r="C1188" s="5" t="s">
        <v>1885</v>
      </c>
      <c r="D1188" s="6">
        <v>32.0</v>
      </c>
      <c r="E1188" s="6">
        <v>88405.0</v>
      </c>
      <c r="F1188" s="6">
        <v>32763.0</v>
      </c>
      <c r="G1188" s="6">
        <v>62678.0</v>
      </c>
      <c r="H1188" s="6">
        <v>1.4105</v>
      </c>
      <c r="I1188" s="6">
        <v>0.5227</v>
      </c>
      <c r="J1188" s="6">
        <v>0.8877</v>
      </c>
    </row>
    <row r="1189">
      <c r="A1189" s="5" t="s">
        <v>57</v>
      </c>
      <c r="B1189" s="5" t="s">
        <v>163</v>
      </c>
      <c r="C1189" s="5" t="s">
        <v>1885</v>
      </c>
      <c r="D1189" s="6">
        <v>33.0</v>
      </c>
      <c r="E1189" s="6">
        <v>94525.0</v>
      </c>
      <c r="F1189" s="6">
        <v>35295.0</v>
      </c>
      <c r="G1189" s="6">
        <v>62678.0</v>
      </c>
      <c r="H1189" s="6">
        <v>1.5081</v>
      </c>
      <c r="I1189" s="6">
        <v>0.5631</v>
      </c>
      <c r="J1189" s="6">
        <v>0.945</v>
      </c>
    </row>
    <row r="1190">
      <c r="A1190" s="5" t="s">
        <v>57</v>
      </c>
      <c r="B1190" s="5" t="s">
        <v>163</v>
      </c>
      <c r="C1190" s="5" t="s">
        <v>75</v>
      </c>
      <c r="D1190" s="6">
        <v>1.0</v>
      </c>
      <c r="E1190" s="6">
        <v>3348584.0</v>
      </c>
      <c r="F1190" s="6">
        <v>1.0</v>
      </c>
      <c r="G1190" s="6">
        <v>71572.0</v>
      </c>
      <c r="H1190" s="6">
        <v>46.7862</v>
      </c>
      <c r="I1190" s="6">
        <v>0.0</v>
      </c>
      <c r="J1190" s="6">
        <v>46.7862</v>
      </c>
    </row>
    <row r="1191">
      <c r="A1191" s="5" t="s">
        <v>57</v>
      </c>
      <c r="B1191" s="5" t="s">
        <v>163</v>
      </c>
      <c r="C1191" s="5" t="s">
        <v>75</v>
      </c>
      <c r="D1191" s="6">
        <v>2.0</v>
      </c>
      <c r="E1191" s="6">
        <v>1855807.0</v>
      </c>
      <c r="F1191" s="6">
        <v>52.0</v>
      </c>
      <c r="G1191" s="6">
        <v>71572.0</v>
      </c>
      <c r="H1191" s="6">
        <v>25.9292</v>
      </c>
      <c r="I1191" s="6">
        <v>7.0E-4</v>
      </c>
      <c r="J1191" s="6">
        <v>25.9285</v>
      </c>
    </row>
    <row r="1192">
      <c r="A1192" s="5" t="s">
        <v>57</v>
      </c>
      <c r="B1192" s="5" t="s">
        <v>163</v>
      </c>
      <c r="C1192" s="5" t="s">
        <v>75</v>
      </c>
      <c r="D1192" s="6">
        <v>3.0</v>
      </c>
      <c r="E1192" s="6">
        <v>3054703.0</v>
      </c>
      <c r="F1192" s="6">
        <v>15.0</v>
      </c>
      <c r="G1192" s="6">
        <v>71572.0</v>
      </c>
      <c r="H1192" s="6">
        <v>42.6801</v>
      </c>
      <c r="I1192" s="6">
        <v>2.0E-4</v>
      </c>
      <c r="J1192" s="6">
        <v>42.6799</v>
      </c>
    </row>
    <row r="1193">
      <c r="A1193" s="5" t="s">
        <v>57</v>
      </c>
      <c r="B1193" s="5" t="s">
        <v>163</v>
      </c>
      <c r="C1193" s="5" t="s">
        <v>75</v>
      </c>
      <c r="D1193" s="6">
        <v>4.0</v>
      </c>
      <c r="E1193" s="6">
        <v>2179928.0</v>
      </c>
      <c r="F1193" s="6">
        <v>0.0</v>
      </c>
      <c r="G1193" s="6">
        <v>71572.0</v>
      </c>
      <c r="H1193" s="6">
        <v>30.4578</v>
      </c>
      <c r="I1193" s="6">
        <v>0.0</v>
      </c>
      <c r="J1193" s="6">
        <v>30.4578</v>
      </c>
    </row>
    <row r="1194">
      <c r="A1194" s="5" t="s">
        <v>57</v>
      </c>
      <c r="B1194" s="5" t="s">
        <v>163</v>
      </c>
      <c r="C1194" s="5" t="s">
        <v>75</v>
      </c>
      <c r="D1194" s="6">
        <v>5.0</v>
      </c>
      <c r="E1194" s="6">
        <v>3075043.0</v>
      </c>
      <c r="F1194" s="6">
        <v>0.0</v>
      </c>
      <c r="G1194" s="6">
        <v>71572.0</v>
      </c>
      <c r="H1194" s="6">
        <v>42.9643</v>
      </c>
      <c r="I1194" s="6">
        <v>0.0</v>
      </c>
      <c r="J1194" s="6">
        <v>42.9643</v>
      </c>
    </row>
    <row r="1195">
      <c r="A1195" s="5" t="s">
        <v>57</v>
      </c>
      <c r="B1195" s="5" t="s">
        <v>163</v>
      </c>
      <c r="C1195" s="5" t="s">
        <v>75</v>
      </c>
      <c r="D1195" s="6">
        <v>6.0</v>
      </c>
      <c r="E1195" s="6">
        <v>3593889.0</v>
      </c>
      <c r="F1195" s="6">
        <v>13.0</v>
      </c>
      <c r="G1195" s="6">
        <v>71572.0</v>
      </c>
      <c r="H1195" s="6">
        <v>50.2136</v>
      </c>
      <c r="I1195" s="6">
        <v>2.0E-4</v>
      </c>
      <c r="J1195" s="6">
        <v>50.2134</v>
      </c>
    </row>
    <row r="1196">
      <c r="A1196" s="5" t="s">
        <v>57</v>
      </c>
      <c r="B1196" s="5" t="s">
        <v>163</v>
      </c>
      <c r="C1196" s="5" t="s">
        <v>75</v>
      </c>
      <c r="D1196" s="6">
        <v>7.0</v>
      </c>
      <c r="E1196" s="6">
        <v>2050904.0</v>
      </c>
      <c r="F1196" s="6">
        <v>39.0</v>
      </c>
      <c r="G1196" s="6">
        <v>71572.0</v>
      </c>
      <c r="H1196" s="6">
        <v>28.6551</v>
      </c>
      <c r="I1196" s="6">
        <v>5.0E-4</v>
      </c>
      <c r="J1196" s="6">
        <v>28.6546</v>
      </c>
    </row>
    <row r="1197">
      <c r="A1197" s="5" t="s">
        <v>57</v>
      </c>
      <c r="B1197" s="5" t="s">
        <v>163</v>
      </c>
      <c r="C1197" s="5" t="s">
        <v>75</v>
      </c>
      <c r="D1197" s="6">
        <v>8.0</v>
      </c>
      <c r="E1197" s="6">
        <v>3462673.0</v>
      </c>
      <c r="F1197" s="6">
        <v>17.0</v>
      </c>
      <c r="G1197" s="6">
        <v>71572.0</v>
      </c>
      <c r="H1197" s="6">
        <v>48.3803</v>
      </c>
      <c r="I1197" s="6">
        <v>2.0E-4</v>
      </c>
      <c r="J1197" s="6">
        <v>48.38</v>
      </c>
    </row>
    <row r="1198">
      <c r="A1198" s="5" t="s">
        <v>57</v>
      </c>
      <c r="B1198" s="5" t="s">
        <v>163</v>
      </c>
      <c r="C1198" s="5" t="s">
        <v>75</v>
      </c>
      <c r="D1198" s="6">
        <v>9.0</v>
      </c>
      <c r="E1198" s="6">
        <v>2001319.0</v>
      </c>
      <c r="F1198" s="6">
        <v>1.0</v>
      </c>
      <c r="G1198" s="6">
        <v>71572.0</v>
      </c>
      <c r="H1198" s="6">
        <v>27.9623</v>
      </c>
      <c r="I1198" s="6">
        <v>0.0</v>
      </c>
      <c r="J1198" s="6">
        <v>27.9623</v>
      </c>
    </row>
    <row r="1199">
      <c r="A1199" s="5" t="s">
        <v>57</v>
      </c>
      <c r="B1199" s="5" t="s">
        <v>163</v>
      </c>
      <c r="C1199" s="5" t="s">
        <v>75</v>
      </c>
      <c r="D1199" s="6">
        <v>10.0</v>
      </c>
      <c r="E1199" s="6">
        <v>3409098.0</v>
      </c>
      <c r="F1199" s="6">
        <v>6.0</v>
      </c>
      <c r="G1199" s="6">
        <v>71572.0</v>
      </c>
      <c r="H1199" s="6">
        <v>47.6317</v>
      </c>
      <c r="I1199" s="6">
        <v>1.0E-4</v>
      </c>
      <c r="J1199" s="6">
        <v>47.6316</v>
      </c>
    </row>
    <row r="1200">
      <c r="A1200" s="5" t="s">
        <v>57</v>
      </c>
      <c r="B1200" s="5" t="s">
        <v>163</v>
      </c>
      <c r="C1200" s="5" t="s">
        <v>75</v>
      </c>
      <c r="D1200" s="6">
        <v>11.0</v>
      </c>
      <c r="E1200" s="6">
        <v>2254968.0</v>
      </c>
      <c r="F1200" s="6">
        <v>1.0</v>
      </c>
      <c r="G1200" s="6">
        <v>71572.0</v>
      </c>
      <c r="H1200" s="6">
        <v>31.5063</v>
      </c>
      <c r="I1200" s="6">
        <v>0.0</v>
      </c>
      <c r="J1200" s="6">
        <v>31.5063</v>
      </c>
    </row>
    <row r="1201">
      <c r="A1201" s="5" t="s">
        <v>57</v>
      </c>
      <c r="B1201" s="5" t="s">
        <v>163</v>
      </c>
      <c r="C1201" s="5" t="s">
        <v>75</v>
      </c>
      <c r="D1201" s="6">
        <v>12.0</v>
      </c>
      <c r="E1201" s="6">
        <v>3076937.0</v>
      </c>
      <c r="F1201" s="6">
        <v>2.0</v>
      </c>
      <c r="G1201" s="6">
        <v>71572.0</v>
      </c>
      <c r="H1201" s="6">
        <v>42.9908</v>
      </c>
      <c r="I1201" s="6">
        <v>0.0</v>
      </c>
      <c r="J1201" s="6">
        <v>42.9908</v>
      </c>
    </row>
    <row r="1202">
      <c r="A1202" s="5" t="s">
        <v>57</v>
      </c>
      <c r="B1202" s="5" t="s">
        <v>163</v>
      </c>
      <c r="C1202" s="5" t="s">
        <v>75</v>
      </c>
      <c r="D1202" s="6">
        <v>13.0</v>
      </c>
      <c r="E1202" s="6">
        <v>3566326.0</v>
      </c>
      <c r="F1202" s="6">
        <v>8.0</v>
      </c>
      <c r="G1202" s="6">
        <v>71572.0</v>
      </c>
      <c r="H1202" s="6">
        <v>49.8285</v>
      </c>
      <c r="I1202" s="6">
        <v>1.0E-4</v>
      </c>
      <c r="J1202" s="6">
        <v>49.8284</v>
      </c>
    </row>
    <row r="1203">
      <c r="A1203" s="5" t="s">
        <v>57</v>
      </c>
      <c r="B1203" s="5" t="s">
        <v>163</v>
      </c>
      <c r="C1203" s="5" t="s">
        <v>75</v>
      </c>
      <c r="D1203" s="6">
        <v>14.0</v>
      </c>
      <c r="E1203" s="6">
        <v>2037920.0</v>
      </c>
      <c r="F1203" s="6">
        <v>0.0</v>
      </c>
      <c r="G1203" s="6">
        <v>71572.0</v>
      </c>
      <c r="H1203" s="6">
        <v>28.4737</v>
      </c>
      <c r="I1203" s="6">
        <v>0.0</v>
      </c>
      <c r="J1203" s="6">
        <v>28.4737</v>
      </c>
    </row>
    <row r="1204">
      <c r="A1204" s="5" t="s">
        <v>57</v>
      </c>
      <c r="B1204" s="5" t="s">
        <v>163</v>
      </c>
      <c r="C1204" s="5" t="s">
        <v>75</v>
      </c>
      <c r="D1204" s="6">
        <v>15.0</v>
      </c>
      <c r="E1204" s="6">
        <v>3435422.0</v>
      </c>
      <c r="F1204" s="6">
        <v>15.0</v>
      </c>
      <c r="G1204" s="6">
        <v>71572.0</v>
      </c>
      <c r="H1204" s="6">
        <v>47.9995</v>
      </c>
      <c r="I1204" s="6">
        <v>2.0E-4</v>
      </c>
      <c r="J1204" s="6">
        <v>47.9993</v>
      </c>
    </row>
    <row r="1205">
      <c r="A1205" s="5" t="s">
        <v>57</v>
      </c>
      <c r="B1205" s="5" t="s">
        <v>163</v>
      </c>
      <c r="C1205" s="5" t="s">
        <v>75</v>
      </c>
      <c r="D1205" s="6">
        <v>16.0</v>
      </c>
      <c r="E1205" s="6">
        <v>1786043.0</v>
      </c>
      <c r="F1205" s="6">
        <v>18.0</v>
      </c>
      <c r="G1205" s="6">
        <v>71572.0</v>
      </c>
      <c r="H1205" s="6">
        <v>24.9545</v>
      </c>
      <c r="I1205" s="6">
        <v>3.0E-4</v>
      </c>
      <c r="J1205" s="6">
        <v>24.9542</v>
      </c>
    </row>
    <row r="1206">
      <c r="A1206" s="5" t="s">
        <v>57</v>
      </c>
      <c r="B1206" s="5" t="s">
        <v>163</v>
      </c>
      <c r="C1206" s="5" t="s">
        <v>75</v>
      </c>
      <c r="D1206" s="6">
        <v>17.0</v>
      </c>
      <c r="E1206" s="6">
        <v>3025809.0</v>
      </c>
      <c r="F1206" s="6">
        <v>3.0</v>
      </c>
      <c r="G1206" s="6">
        <v>71572.0</v>
      </c>
      <c r="H1206" s="6">
        <v>42.2764</v>
      </c>
      <c r="I1206" s="6">
        <v>0.0</v>
      </c>
      <c r="J1206" s="6">
        <v>42.2764</v>
      </c>
    </row>
    <row r="1207">
      <c r="A1207" s="5" t="s">
        <v>57</v>
      </c>
      <c r="B1207" s="5" t="s">
        <v>163</v>
      </c>
      <c r="C1207" s="5" t="s">
        <v>75</v>
      </c>
      <c r="D1207" s="6">
        <v>18.0</v>
      </c>
      <c r="E1207" s="6">
        <v>2082961.0</v>
      </c>
      <c r="F1207" s="6">
        <v>38.0</v>
      </c>
      <c r="G1207" s="6">
        <v>71572.0</v>
      </c>
      <c r="H1207" s="6">
        <v>29.103</v>
      </c>
      <c r="I1207" s="6">
        <v>5.0E-4</v>
      </c>
      <c r="J1207" s="6">
        <v>29.1025</v>
      </c>
    </row>
    <row r="1208">
      <c r="A1208" s="5" t="s">
        <v>57</v>
      </c>
      <c r="B1208" s="5" t="s">
        <v>163</v>
      </c>
      <c r="C1208" s="5" t="s">
        <v>75</v>
      </c>
      <c r="D1208" s="6">
        <v>19.0</v>
      </c>
      <c r="E1208" s="6">
        <v>2898209.0</v>
      </c>
      <c r="F1208" s="6">
        <v>27.0</v>
      </c>
      <c r="G1208" s="6">
        <v>71572.0</v>
      </c>
      <c r="H1208" s="6">
        <v>40.4936</v>
      </c>
      <c r="I1208" s="6">
        <v>4.0E-4</v>
      </c>
      <c r="J1208" s="6">
        <v>40.4932</v>
      </c>
    </row>
    <row r="1209">
      <c r="A1209" s="5" t="s">
        <v>57</v>
      </c>
      <c r="B1209" s="5" t="s">
        <v>163</v>
      </c>
      <c r="C1209" s="5" t="s">
        <v>75</v>
      </c>
      <c r="D1209" s="6">
        <v>20.0</v>
      </c>
      <c r="E1209" s="6">
        <v>3398338.0</v>
      </c>
      <c r="F1209" s="6">
        <v>16.0</v>
      </c>
      <c r="G1209" s="6">
        <v>71572.0</v>
      </c>
      <c r="H1209" s="6">
        <v>47.4814</v>
      </c>
      <c r="I1209" s="6">
        <v>2.0E-4</v>
      </c>
      <c r="J1209" s="6">
        <v>47.4812</v>
      </c>
    </row>
    <row r="1210">
      <c r="A1210" s="5" t="s">
        <v>57</v>
      </c>
      <c r="B1210" s="5" t="s">
        <v>163</v>
      </c>
      <c r="C1210" s="5" t="s">
        <v>75</v>
      </c>
      <c r="D1210" s="6">
        <v>21.0</v>
      </c>
      <c r="E1210" s="6">
        <v>4793757.0</v>
      </c>
      <c r="F1210" s="6">
        <v>14.0</v>
      </c>
      <c r="G1210" s="6">
        <v>71572.0</v>
      </c>
      <c r="H1210" s="6">
        <v>66.9781</v>
      </c>
      <c r="I1210" s="6">
        <v>2.0E-4</v>
      </c>
      <c r="J1210" s="6">
        <v>66.9779</v>
      </c>
    </row>
    <row r="1211">
      <c r="A1211" s="5" t="s">
        <v>57</v>
      </c>
      <c r="B1211" s="5" t="s">
        <v>163</v>
      </c>
      <c r="C1211" s="5" t="s">
        <v>75</v>
      </c>
      <c r="D1211" s="6">
        <v>22.0</v>
      </c>
      <c r="E1211" s="6">
        <v>3846974.0</v>
      </c>
      <c r="F1211" s="6">
        <v>3.0</v>
      </c>
      <c r="G1211" s="6">
        <v>71572.0</v>
      </c>
      <c r="H1211" s="6">
        <v>53.7497</v>
      </c>
      <c r="I1211" s="6">
        <v>0.0</v>
      </c>
      <c r="J1211" s="6">
        <v>53.7497</v>
      </c>
    </row>
    <row r="1212">
      <c r="A1212" s="5" t="s">
        <v>57</v>
      </c>
      <c r="B1212" s="5" t="s">
        <v>163</v>
      </c>
      <c r="C1212" s="5" t="s">
        <v>75</v>
      </c>
      <c r="D1212" s="6">
        <v>23.0</v>
      </c>
      <c r="E1212" s="6">
        <v>2383116.0</v>
      </c>
      <c r="F1212" s="6">
        <v>0.0</v>
      </c>
      <c r="G1212" s="6">
        <v>71572.0</v>
      </c>
      <c r="H1212" s="6">
        <v>33.2968</v>
      </c>
      <c r="I1212" s="6">
        <v>0.0</v>
      </c>
      <c r="J1212" s="6">
        <v>33.2968</v>
      </c>
    </row>
    <row r="1213">
      <c r="A1213" s="5" t="s">
        <v>57</v>
      </c>
      <c r="B1213" s="5" t="s">
        <v>163</v>
      </c>
      <c r="C1213" s="5" t="s">
        <v>75</v>
      </c>
      <c r="D1213" s="6">
        <v>24.0</v>
      </c>
      <c r="E1213" s="6">
        <v>3600746.0</v>
      </c>
      <c r="F1213" s="6">
        <v>0.0</v>
      </c>
      <c r="G1213" s="6">
        <v>71572.0</v>
      </c>
      <c r="H1213" s="6">
        <v>50.3094</v>
      </c>
      <c r="I1213" s="6">
        <v>0.0</v>
      </c>
      <c r="J1213" s="6">
        <v>50.3094</v>
      </c>
    </row>
    <row r="1214">
      <c r="A1214" s="5" t="s">
        <v>57</v>
      </c>
      <c r="B1214" s="5" t="s">
        <v>163</v>
      </c>
      <c r="C1214" s="5" t="s">
        <v>75</v>
      </c>
      <c r="D1214" s="6">
        <v>25.0</v>
      </c>
      <c r="E1214" s="6">
        <v>2386231.0</v>
      </c>
      <c r="F1214" s="6">
        <v>14.0</v>
      </c>
      <c r="G1214" s="6">
        <v>71572.0</v>
      </c>
      <c r="H1214" s="6">
        <v>33.3403</v>
      </c>
      <c r="I1214" s="6">
        <v>2.0E-4</v>
      </c>
      <c r="J1214" s="6">
        <v>33.3401</v>
      </c>
    </row>
    <row r="1215">
      <c r="A1215" s="5" t="s">
        <v>57</v>
      </c>
      <c r="B1215" s="5" t="s">
        <v>163</v>
      </c>
      <c r="C1215" s="5" t="s">
        <v>75</v>
      </c>
      <c r="D1215" s="6">
        <v>26.0</v>
      </c>
      <c r="E1215" s="6">
        <v>3147426.0</v>
      </c>
      <c r="F1215" s="6">
        <v>28.0</v>
      </c>
      <c r="G1215" s="6">
        <v>71572.0</v>
      </c>
      <c r="H1215" s="6">
        <v>43.9757</v>
      </c>
      <c r="I1215" s="6">
        <v>4.0E-4</v>
      </c>
      <c r="J1215" s="6">
        <v>43.9753</v>
      </c>
    </row>
    <row r="1216">
      <c r="A1216" s="5" t="s">
        <v>57</v>
      </c>
      <c r="B1216" s="5" t="s">
        <v>163</v>
      </c>
      <c r="C1216" s="5" t="s">
        <v>75</v>
      </c>
      <c r="D1216" s="6">
        <v>27.0</v>
      </c>
      <c r="E1216" s="6">
        <v>3623676.0</v>
      </c>
      <c r="F1216" s="6">
        <v>0.0</v>
      </c>
      <c r="G1216" s="6">
        <v>71572.0</v>
      </c>
      <c r="H1216" s="6">
        <v>50.6298</v>
      </c>
      <c r="I1216" s="6">
        <v>0.0</v>
      </c>
      <c r="J1216" s="6">
        <v>50.6298</v>
      </c>
    </row>
    <row r="1217">
      <c r="A1217" s="5" t="s">
        <v>57</v>
      </c>
      <c r="B1217" s="5" t="s">
        <v>163</v>
      </c>
      <c r="C1217" s="5" t="s">
        <v>75</v>
      </c>
      <c r="D1217" s="6">
        <v>28.0</v>
      </c>
      <c r="E1217" s="6">
        <v>1991091.0</v>
      </c>
      <c r="F1217" s="6">
        <v>0.0</v>
      </c>
      <c r="G1217" s="6">
        <v>71572.0</v>
      </c>
      <c r="H1217" s="6">
        <v>27.8194</v>
      </c>
      <c r="I1217" s="6">
        <v>0.0</v>
      </c>
      <c r="J1217" s="6">
        <v>27.8194</v>
      </c>
    </row>
    <row r="1218">
      <c r="A1218" s="5" t="s">
        <v>57</v>
      </c>
      <c r="B1218" s="5" t="s">
        <v>163</v>
      </c>
      <c r="C1218" s="5" t="s">
        <v>75</v>
      </c>
      <c r="D1218" s="6">
        <v>29.0</v>
      </c>
      <c r="E1218" s="6">
        <v>3354869.0</v>
      </c>
      <c r="F1218" s="6">
        <v>7.0</v>
      </c>
      <c r="G1218" s="6">
        <v>71572.0</v>
      </c>
      <c r="H1218" s="6">
        <v>46.874</v>
      </c>
      <c r="I1218" s="6">
        <v>1.0E-4</v>
      </c>
      <c r="J1218" s="6">
        <v>46.8739</v>
      </c>
    </row>
    <row r="1219">
      <c r="A1219" s="5" t="s">
        <v>57</v>
      </c>
      <c r="B1219" s="5" t="s">
        <v>163</v>
      </c>
      <c r="C1219" s="5" t="s">
        <v>75</v>
      </c>
      <c r="D1219" s="6">
        <v>30.0</v>
      </c>
      <c r="E1219" s="6">
        <v>1753927.0</v>
      </c>
      <c r="F1219" s="6">
        <v>0.0</v>
      </c>
      <c r="G1219" s="6">
        <v>71572.0</v>
      </c>
      <c r="H1219" s="6">
        <v>24.5058</v>
      </c>
      <c r="I1219" s="6">
        <v>0.0</v>
      </c>
      <c r="J1219" s="6">
        <v>24.5058</v>
      </c>
    </row>
    <row r="1220">
      <c r="A1220" s="5" t="s">
        <v>57</v>
      </c>
      <c r="B1220" s="5" t="s">
        <v>163</v>
      </c>
      <c r="C1220" s="5" t="s">
        <v>75</v>
      </c>
      <c r="D1220" s="6">
        <v>31.0</v>
      </c>
      <c r="E1220" s="6">
        <v>2910032.0</v>
      </c>
      <c r="F1220" s="6">
        <v>24.0</v>
      </c>
      <c r="G1220" s="6">
        <v>71572.0</v>
      </c>
      <c r="H1220" s="6">
        <v>40.6588</v>
      </c>
      <c r="I1220" s="6">
        <v>3.0E-4</v>
      </c>
      <c r="J1220" s="6">
        <v>40.6585</v>
      </c>
    </row>
    <row r="1221">
      <c r="A1221" s="5" t="s">
        <v>57</v>
      </c>
      <c r="B1221" s="5" t="s">
        <v>163</v>
      </c>
      <c r="C1221" s="5" t="s">
        <v>75</v>
      </c>
      <c r="D1221" s="6">
        <v>32.0</v>
      </c>
      <c r="E1221" s="6">
        <v>2034455.0</v>
      </c>
      <c r="F1221" s="6">
        <v>5.0</v>
      </c>
      <c r="G1221" s="6">
        <v>71572.0</v>
      </c>
      <c r="H1221" s="6">
        <v>28.4253</v>
      </c>
      <c r="I1221" s="6">
        <v>1.0E-4</v>
      </c>
      <c r="J1221" s="6">
        <v>28.4252</v>
      </c>
    </row>
    <row r="1222">
      <c r="A1222" s="5" t="s">
        <v>57</v>
      </c>
      <c r="B1222" s="5" t="s">
        <v>163</v>
      </c>
      <c r="C1222" s="5" t="s">
        <v>75</v>
      </c>
      <c r="D1222" s="6">
        <v>33.0</v>
      </c>
      <c r="E1222" s="6">
        <v>2878851.0</v>
      </c>
      <c r="F1222" s="6">
        <v>2.0</v>
      </c>
      <c r="G1222" s="6">
        <v>71572.0</v>
      </c>
      <c r="H1222" s="6">
        <v>40.2231</v>
      </c>
      <c r="I1222" s="6">
        <v>0.0</v>
      </c>
      <c r="J1222" s="6">
        <v>40.2231</v>
      </c>
    </row>
    <row r="1223">
      <c r="A1223" s="5" t="s">
        <v>57</v>
      </c>
      <c r="B1223" s="5" t="s">
        <v>163</v>
      </c>
      <c r="C1223" s="5" t="s">
        <v>68</v>
      </c>
      <c r="D1223" s="6">
        <v>1.0</v>
      </c>
      <c r="E1223" s="6">
        <v>346959.0</v>
      </c>
      <c r="F1223" s="6">
        <v>0.0</v>
      </c>
      <c r="G1223" s="6">
        <v>61078.0</v>
      </c>
      <c r="H1223" s="6">
        <v>5.6806</v>
      </c>
      <c r="I1223" s="6">
        <v>0.0</v>
      </c>
      <c r="J1223" s="6">
        <v>5.6806</v>
      </c>
    </row>
    <row r="1224">
      <c r="A1224" s="5" t="s">
        <v>57</v>
      </c>
      <c r="B1224" s="5" t="s">
        <v>163</v>
      </c>
      <c r="C1224" s="5" t="s">
        <v>68</v>
      </c>
      <c r="D1224" s="6">
        <v>2.0</v>
      </c>
      <c r="E1224" s="6">
        <v>930697.0</v>
      </c>
      <c r="F1224" s="6">
        <v>0.0</v>
      </c>
      <c r="G1224" s="6">
        <v>61078.0</v>
      </c>
      <c r="H1224" s="6">
        <v>15.2378</v>
      </c>
      <c r="I1224" s="6">
        <v>0.0</v>
      </c>
      <c r="J1224" s="6">
        <v>15.2378</v>
      </c>
    </row>
    <row r="1225">
      <c r="A1225" s="5" t="s">
        <v>57</v>
      </c>
      <c r="B1225" s="5" t="s">
        <v>163</v>
      </c>
      <c r="C1225" s="5" t="s">
        <v>68</v>
      </c>
      <c r="D1225" s="6">
        <v>3.0</v>
      </c>
      <c r="E1225" s="6">
        <v>800367.0</v>
      </c>
      <c r="F1225" s="6">
        <v>0.0</v>
      </c>
      <c r="G1225" s="6">
        <v>61078.0</v>
      </c>
      <c r="H1225" s="6">
        <v>13.104</v>
      </c>
      <c r="I1225" s="6">
        <v>0.0</v>
      </c>
      <c r="J1225" s="6">
        <v>13.104</v>
      </c>
    </row>
    <row r="1226">
      <c r="A1226" s="5" t="s">
        <v>57</v>
      </c>
      <c r="B1226" s="5" t="s">
        <v>163</v>
      </c>
      <c r="C1226" s="5" t="s">
        <v>68</v>
      </c>
      <c r="D1226" s="6">
        <v>4.0</v>
      </c>
      <c r="E1226" s="6">
        <v>592578.0</v>
      </c>
      <c r="F1226" s="6">
        <v>0.0</v>
      </c>
      <c r="G1226" s="6">
        <v>61078.0</v>
      </c>
      <c r="H1226" s="6">
        <v>9.702</v>
      </c>
      <c r="I1226" s="6">
        <v>0.0</v>
      </c>
      <c r="J1226" s="6">
        <v>9.702</v>
      </c>
    </row>
    <row r="1227">
      <c r="A1227" s="5" t="s">
        <v>57</v>
      </c>
      <c r="B1227" s="5" t="s">
        <v>163</v>
      </c>
      <c r="C1227" s="5" t="s">
        <v>68</v>
      </c>
      <c r="D1227" s="6">
        <v>5.0</v>
      </c>
      <c r="E1227" s="6">
        <v>424417.0</v>
      </c>
      <c r="F1227" s="6">
        <v>0.0</v>
      </c>
      <c r="G1227" s="6">
        <v>61078.0</v>
      </c>
      <c r="H1227" s="6">
        <v>6.9488</v>
      </c>
      <c r="I1227" s="6">
        <v>0.0</v>
      </c>
      <c r="J1227" s="6">
        <v>6.9488</v>
      </c>
    </row>
    <row r="1228">
      <c r="A1228" s="5" t="s">
        <v>57</v>
      </c>
      <c r="B1228" s="5" t="s">
        <v>163</v>
      </c>
      <c r="C1228" s="5" t="s">
        <v>68</v>
      </c>
      <c r="D1228" s="6">
        <v>6.0</v>
      </c>
      <c r="E1228" s="6">
        <v>241319.0</v>
      </c>
      <c r="F1228" s="6">
        <v>0.0</v>
      </c>
      <c r="G1228" s="6">
        <v>61078.0</v>
      </c>
      <c r="H1228" s="6">
        <v>3.951</v>
      </c>
      <c r="I1228" s="6">
        <v>0.0</v>
      </c>
      <c r="J1228" s="6">
        <v>3.951</v>
      </c>
    </row>
    <row r="1229">
      <c r="A1229" s="5" t="s">
        <v>57</v>
      </c>
      <c r="B1229" s="5" t="s">
        <v>163</v>
      </c>
      <c r="C1229" s="5" t="s">
        <v>68</v>
      </c>
      <c r="D1229" s="6">
        <v>7.0</v>
      </c>
      <c r="E1229" s="6">
        <v>493292.0</v>
      </c>
      <c r="F1229" s="6">
        <v>0.0</v>
      </c>
      <c r="G1229" s="6">
        <v>61078.0</v>
      </c>
      <c r="H1229" s="6">
        <v>8.0764</v>
      </c>
      <c r="I1229" s="6">
        <v>0.0</v>
      </c>
      <c r="J1229" s="6">
        <v>8.0764</v>
      </c>
    </row>
    <row r="1230">
      <c r="A1230" s="5" t="s">
        <v>57</v>
      </c>
      <c r="B1230" s="5" t="s">
        <v>163</v>
      </c>
      <c r="C1230" s="5" t="s">
        <v>68</v>
      </c>
      <c r="D1230" s="6">
        <v>8.0</v>
      </c>
      <c r="E1230" s="6">
        <v>357620.0</v>
      </c>
      <c r="F1230" s="6">
        <v>0.0</v>
      </c>
      <c r="G1230" s="6">
        <v>61078.0</v>
      </c>
      <c r="H1230" s="6">
        <v>5.8551</v>
      </c>
      <c r="I1230" s="6">
        <v>0.0</v>
      </c>
      <c r="J1230" s="6">
        <v>5.8551</v>
      </c>
    </row>
    <row r="1231">
      <c r="A1231" s="5" t="s">
        <v>57</v>
      </c>
      <c r="B1231" s="5" t="s">
        <v>163</v>
      </c>
      <c r="C1231" s="5" t="s">
        <v>68</v>
      </c>
      <c r="D1231" s="6">
        <v>9.0</v>
      </c>
      <c r="E1231" s="6">
        <v>416455.0</v>
      </c>
      <c r="F1231" s="6">
        <v>0.0</v>
      </c>
      <c r="G1231" s="6">
        <v>61078.0</v>
      </c>
      <c r="H1231" s="6">
        <v>6.8184</v>
      </c>
      <c r="I1231" s="6">
        <v>0.0</v>
      </c>
      <c r="J1231" s="6">
        <v>6.8184</v>
      </c>
    </row>
    <row r="1232">
      <c r="A1232" s="5" t="s">
        <v>57</v>
      </c>
      <c r="B1232" s="5" t="s">
        <v>163</v>
      </c>
      <c r="C1232" s="5" t="s">
        <v>68</v>
      </c>
      <c r="D1232" s="6">
        <v>10.0</v>
      </c>
      <c r="E1232" s="6">
        <v>815013.0</v>
      </c>
      <c r="F1232" s="6">
        <v>0.0</v>
      </c>
      <c r="G1232" s="6">
        <v>61078.0</v>
      </c>
      <c r="H1232" s="6">
        <v>13.3438</v>
      </c>
      <c r="I1232" s="6">
        <v>0.0</v>
      </c>
      <c r="J1232" s="6">
        <v>13.3438</v>
      </c>
    </row>
    <row r="1233">
      <c r="A1233" s="5" t="s">
        <v>57</v>
      </c>
      <c r="B1233" s="5" t="s">
        <v>163</v>
      </c>
      <c r="C1233" s="5" t="s">
        <v>68</v>
      </c>
      <c r="D1233" s="6">
        <v>11.0</v>
      </c>
      <c r="E1233" s="6">
        <v>572307.0</v>
      </c>
      <c r="F1233" s="6">
        <v>0.0</v>
      </c>
      <c r="G1233" s="6">
        <v>61078.0</v>
      </c>
      <c r="H1233" s="6">
        <v>9.3701</v>
      </c>
      <c r="I1233" s="6">
        <v>0.0</v>
      </c>
      <c r="J1233" s="6">
        <v>9.3701</v>
      </c>
    </row>
    <row r="1234">
      <c r="A1234" s="5" t="s">
        <v>57</v>
      </c>
      <c r="B1234" s="5" t="s">
        <v>163</v>
      </c>
      <c r="C1234" s="5" t="s">
        <v>68</v>
      </c>
      <c r="D1234" s="6">
        <v>12.0</v>
      </c>
      <c r="E1234" s="6">
        <v>376034.0</v>
      </c>
      <c r="F1234" s="6">
        <v>0.0</v>
      </c>
      <c r="G1234" s="6">
        <v>61078.0</v>
      </c>
      <c r="H1234" s="6">
        <v>6.1566</v>
      </c>
      <c r="I1234" s="6">
        <v>0.0</v>
      </c>
      <c r="J1234" s="6">
        <v>6.1566</v>
      </c>
    </row>
    <row r="1235">
      <c r="A1235" s="5" t="s">
        <v>57</v>
      </c>
      <c r="B1235" s="5" t="s">
        <v>163</v>
      </c>
      <c r="C1235" s="5" t="s">
        <v>68</v>
      </c>
      <c r="D1235" s="6">
        <v>13.0</v>
      </c>
      <c r="E1235" s="6">
        <v>208677.0</v>
      </c>
      <c r="F1235" s="6">
        <v>0.0</v>
      </c>
      <c r="G1235" s="6">
        <v>61078.0</v>
      </c>
      <c r="H1235" s="6">
        <v>3.4166</v>
      </c>
      <c r="I1235" s="6">
        <v>0.0</v>
      </c>
      <c r="J1235" s="6">
        <v>3.4166</v>
      </c>
    </row>
    <row r="1236">
      <c r="A1236" s="5" t="s">
        <v>57</v>
      </c>
      <c r="B1236" s="5" t="s">
        <v>163</v>
      </c>
      <c r="C1236" s="5" t="s">
        <v>68</v>
      </c>
      <c r="D1236" s="6">
        <v>14.0</v>
      </c>
      <c r="E1236" s="6">
        <v>457962.0</v>
      </c>
      <c r="F1236" s="6">
        <v>0.0</v>
      </c>
      <c r="G1236" s="6">
        <v>61078.0</v>
      </c>
      <c r="H1236" s="6">
        <v>7.498</v>
      </c>
      <c r="I1236" s="6">
        <v>0.0</v>
      </c>
      <c r="J1236" s="6">
        <v>7.498</v>
      </c>
    </row>
    <row r="1237">
      <c r="A1237" s="5" t="s">
        <v>57</v>
      </c>
      <c r="B1237" s="5" t="s">
        <v>163</v>
      </c>
      <c r="C1237" s="5" t="s">
        <v>68</v>
      </c>
      <c r="D1237" s="6">
        <v>15.0</v>
      </c>
      <c r="E1237" s="6">
        <v>326002.0</v>
      </c>
      <c r="F1237" s="6">
        <v>0.0</v>
      </c>
      <c r="G1237" s="6">
        <v>61078.0</v>
      </c>
      <c r="H1237" s="6">
        <v>5.3375</v>
      </c>
      <c r="I1237" s="6">
        <v>0.0</v>
      </c>
      <c r="J1237" s="6">
        <v>5.3375</v>
      </c>
    </row>
    <row r="1238">
      <c r="A1238" s="5" t="s">
        <v>57</v>
      </c>
      <c r="B1238" s="5" t="s">
        <v>163</v>
      </c>
      <c r="C1238" s="5" t="s">
        <v>68</v>
      </c>
      <c r="D1238" s="6">
        <v>16.0</v>
      </c>
      <c r="E1238" s="6">
        <v>782565.0</v>
      </c>
      <c r="F1238" s="6">
        <v>0.0</v>
      </c>
      <c r="G1238" s="6">
        <v>61078.0</v>
      </c>
      <c r="H1238" s="6">
        <v>12.8126</v>
      </c>
      <c r="I1238" s="6">
        <v>0.0</v>
      </c>
      <c r="J1238" s="6">
        <v>12.8126</v>
      </c>
    </row>
    <row r="1239">
      <c r="A1239" s="5" t="s">
        <v>57</v>
      </c>
      <c r="B1239" s="5" t="s">
        <v>163</v>
      </c>
      <c r="C1239" s="5" t="s">
        <v>68</v>
      </c>
      <c r="D1239" s="6">
        <v>17.0</v>
      </c>
      <c r="E1239" s="6">
        <v>758845.0</v>
      </c>
      <c r="F1239" s="6">
        <v>0.0</v>
      </c>
      <c r="G1239" s="6">
        <v>61078.0</v>
      </c>
      <c r="H1239" s="6">
        <v>12.4242</v>
      </c>
      <c r="I1239" s="6">
        <v>0.0</v>
      </c>
      <c r="J1239" s="6">
        <v>12.4242</v>
      </c>
    </row>
    <row r="1240">
      <c r="A1240" s="5" t="s">
        <v>57</v>
      </c>
      <c r="B1240" s="5" t="s">
        <v>163</v>
      </c>
      <c r="C1240" s="5" t="s">
        <v>68</v>
      </c>
      <c r="D1240" s="6">
        <v>18.0</v>
      </c>
      <c r="E1240" s="6">
        <v>522390.0</v>
      </c>
      <c r="F1240" s="6">
        <v>0.0</v>
      </c>
      <c r="G1240" s="6">
        <v>61078.0</v>
      </c>
      <c r="H1240" s="6">
        <v>8.5528</v>
      </c>
      <c r="I1240" s="6">
        <v>0.0</v>
      </c>
      <c r="J1240" s="6">
        <v>8.5528</v>
      </c>
    </row>
    <row r="1241">
      <c r="A1241" s="5" t="s">
        <v>57</v>
      </c>
      <c r="B1241" s="5" t="s">
        <v>163</v>
      </c>
      <c r="C1241" s="5" t="s">
        <v>68</v>
      </c>
      <c r="D1241" s="6">
        <v>19.0</v>
      </c>
      <c r="E1241" s="6">
        <v>357840.0</v>
      </c>
      <c r="F1241" s="6">
        <v>0.0</v>
      </c>
      <c r="G1241" s="6">
        <v>61078.0</v>
      </c>
      <c r="H1241" s="6">
        <v>5.8587</v>
      </c>
      <c r="I1241" s="6">
        <v>0.0</v>
      </c>
      <c r="J1241" s="6">
        <v>5.8587</v>
      </c>
    </row>
    <row r="1242">
      <c r="A1242" s="5" t="s">
        <v>57</v>
      </c>
      <c r="B1242" s="5" t="s">
        <v>163</v>
      </c>
      <c r="C1242" s="5" t="s">
        <v>68</v>
      </c>
      <c r="D1242" s="6">
        <v>20.0</v>
      </c>
      <c r="E1242" s="6">
        <v>195732.0</v>
      </c>
      <c r="F1242" s="6">
        <v>0.0</v>
      </c>
      <c r="G1242" s="6">
        <v>61078.0</v>
      </c>
      <c r="H1242" s="6">
        <v>3.2046</v>
      </c>
      <c r="I1242" s="6">
        <v>0.0</v>
      </c>
      <c r="J1242" s="6">
        <v>3.2046</v>
      </c>
    </row>
    <row r="1243">
      <c r="A1243" s="5" t="s">
        <v>57</v>
      </c>
      <c r="B1243" s="5" t="s">
        <v>163</v>
      </c>
      <c r="C1243" s="5" t="s">
        <v>68</v>
      </c>
      <c r="D1243" s="6">
        <v>21.0</v>
      </c>
      <c r="E1243" s="6">
        <v>476828.0</v>
      </c>
      <c r="F1243" s="6">
        <v>0.0</v>
      </c>
      <c r="G1243" s="6">
        <v>61078.0</v>
      </c>
      <c r="H1243" s="6">
        <v>7.8069</v>
      </c>
      <c r="I1243" s="6">
        <v>0.0</v>
      </c>
      <c r="J1243" s="6">
        <v>7.8069</v>
      </c>
    </row>
    <row r="1244">
      <c r="A1244" s="5" t="s">
        <v>57</v>
      </c>
      <c r="B1244" s="5" t="s">
        <v>163</v>
      </c>
      <c r="C1244" s="5" t="s">
        <v>68</v>
      </c>
      <c r="D1244" s="6">
        <v>22.0</v>
      </c>
      <c r="E1244" s="6">
        <v>346955.0</v>
      </c>
      <c r="F1244" s="6">
        <v>0.0</v>
      </c>
      <c r="G1244" s="6">
        <v>61078.0</v>
      </c>
      <c r="H1244" s="6">
        <v>5.6805</v>
      </c>
      <c r="I1244" s="6">
        <v>0.0</v>
      </c>
      <c r="J1244" s="6">
        <v>5.6805</v>
      </c>
    </row>
    <row r="1245">
      <c r="A1245" s="5" t="s">
        <v>57</v>
      </c>
      <c r="B1245" s="5" t="s">
        <v>163</v>
      </c>
      <c r="C1245" s="5" t="s">
        <v>68</v>
      </c>
      <c r="D1245" s="6">
        <v>23.0</v>
      </c>
      <c r="E1245" s="6">
        <v>380262.0</v>
      </c>
      <c r="F1245" s="6">
        <v>0.0</v>
      </c>
      <c r="G1245" s="6">
        <v>61078.0</v>
      </c>
      <c r="H1245" s="6">
        <v>6.2258</v>
      </c>
      <c r="I1245" s="6">
        <v>0.0</v>
      </c>
      <c r="J1245" s="6">
        <v>6.2258</v>
      </c>
    </row>
    <row r="1246">
      <c r="A1246" s="5" t="s">
        <v>57</v>
      </c>
      <c r="B1246" s="5" t="s">
        <v>163</v>
      </c>
      <c r="C1246" s="5" t="s">
        <v>68</v>
      </c>
      <c r="D1246" s="6">
        <v>24.0</v>
      </c>
      <c r="E1246" s="6">
        <v>731968.0</v>
      </c>
      <c r="F1246" s="6">
        <v>0.0</v>
      </c>
      <c r="G1246" s="6">
        <v>61078.0</v>
      </c>
      <c r="H1246" s="6">
        <v>11.9842</v>
      </c>
      <c r="I1246" s="6">
        <v>0.0</v>
      </c>
      <c r="J1246" s="6">
        <v>11.9842</v>
      </c>
    </row>
    <row r="1247">
      <c r="A1247" s="5" t="s">
        <v>57</v>
      </c>
      <c r="B1247" s="5" t="s">
        <v>163</v>
      </c>
      <c r="C1247" s="5" t="s">
        <v>68</v>
      </c>
      <c r="D1247" s="6">
        <v>25.0</v>
      </c>
      <c r="E1247" s="6">
        <v>529397.0</v>
      </c>
      <c r="F1247" s="6">
        <v>0.0</v>
      </c>
      <c r="G1247" s="6">
        <v>61078.0</v>
      </c>
      <c r="H1247" s="6">
        <v>8.6676</v>
      </c>
      <c r="I1247" s="6">
        <v>0.0</v>
      </c>
      <c r="J1247" s="6">
        <v>8.6676</v>
      </c>
    </row>
    <row r="1248">
      <c r="A1248" s="5" t="s">
        <v>57</v>
      </c>
      <c r="B1248" s="5" t="s">
        <v>163</v>
      </c>
      <c r="C1248" s="5" t="s">
        <v>68</v>
      </c>
      <c r="D1248" s="6">
        <v>26.0</v>
      </c>
      <c r="E1248" s="6">
        <v>355383.0</v>
      </c>
      <c r="F1248" s="6">
        <v>0.0</v>
      </c>
      <c r="G1248" s="6">
        <v>61078.0</v>
      </c>
      <c r="H1248" s="6">
        <v>5.8185</v>
      </c>
      <c r="I1248" s="6">
        <v>0.0</v>
      </c>
      <c r="J1248" s="6">
        <v>5.8185</v>
      </c>
    </row>
    <row r="1249">
      <c r="A1249" s="5" t="s">
        <v>57</v>
      </c>
      <c r="B1249" s="5" t="s">
        <v>163</v>
      </c>
      <c r="C1249" s="5" t="s">
        <v>68</v>
      </c>
      <c r="D1249" s="6">
        <v>27.0</v>
      </c>
      <c r="E1249" s="6">
        <v>185734.0</v>
      </c>
      <c r="F1249" s="6">
        <v>0.0</v>
      </c>
      <c r="G1249" s="6">
        <v>61078.0</v>
      </c>
      <c r="H1249" s="6">
        <v>3.0409</v>
      </c>
      <c r="I1249" s="6">
        <v>0.0</v>
      </c>
      <c r="J1249" s="6">
        <v>3.0409</v>
      </c>
    </row>
    <row r="1250">
      <c r="A1250" s="5" t="s">
        <v>57</v>
      </c>
      <c r="B1250" s="5" t="s">
        <v>163</v>
      </c>
      <c r="C1250" s="5" t="s">
        <v>68</v>
      </c>
      <c r="D1250" s="6">
        <v>28.0</v>
      </c>
      <c r="E1250" s="6">
        <v>396542.0</v>
      </c>
      <c r="F1250" s="6">
        <v>0.0</v>
      </c>
      <c r="G1250" s="6">
        <v>61078.0</v>
      </c>
      <c r="H1250" s="6">
        <v>6.4924</v>
      </c>
      <c r="I1250" s="6">
        <v>0.0</v>
      </c>
      <c r="J1250" s="6">
        <v>6.4924</v>
      </c>
    </row>
    <row r="1251">
      <c r="A1251" s="5" t="s">
        <v>57</v>
      </c>
      <c r="B1251" s="5" t="s">
        <v>163</v>
      </c>
      <c r="C1251" s="5" t="s">
        <v>68</v>
      </c>
      <c r="D1251" s="6">
        <v>29.0</v>
      </c>
      <c r="E1251" s="6">
        <v>288327.0</v>
      </c>
      <c r="F1251" s="6">
        <v>0.0</v>
      </c>
      <c r="G1251" s="6">
        <v>61078.0</v>
      </c>
      <c r="H1251" s="6">
        <v>4.7206</v>
      </c>
      <c r="I1251" s="6">
        <v>0.0</v>
      </c>
      <c r="J1251" s="6">
        <v>4.7206</v>
      </c>
    </row>
    <row r="1252">
      <c r="A1252" s="5" t="s">
        <v>57</v>
      </c>
      <c r="B1252" s="5" t="s">
        <v>163</v>
      </c>
      <c r="C1252" s="5" t="s">
        <v>68</v>
      </c>
      <c r="D1252" s="6">
        <v>30.0</v>
      </c>
      <c r="E1252" s="6">
        <v>765385.0</v>
      </c>
      <c r="F1252" s="6">
        <v>0.0</v>
      </c>
      <c r="G1252" s="6">
        <v>61078.0</v>
      </c>
      <c r="H1252" s="6">
        <v>12.5313</v>
      </c>
      <c r="I1252" s="6">
        <v>0.0</v>
      </c>
      <c r="J1252" s="6">
        <v>12.5313</v>
      </c>
    </row>
    <row r="1253">
      <c r="A1253" s="5" t="s">
        <v>57</v>
      </c>
      <c r="B1253" s="5" t="s">
        <v>163</v>
      </c>
      <c r="C1253" s="5" t="s">
        <v>68</v>
      </c>
      <c r="D1253" s="6">
        <v>31.0</v>
      </c>
      <c r="E1253" s="6">
        <v>803828.0</v>
      </c>
      <c r="F1253" s="6">
        <v>0.0</v>
      </c>
      <c r="G1253" s="6">
        <v>61078.0</v>
      </c>
      <c r="H1253" s="6">
        <v>13.1607</v>
      </c>
      <c r="I1253" s="6">
        <v>0.0</v>
      </c>
      <c r="J1253" s="6">
        <v>13.1607</v>
      </c>
    </row>
    <row r="1254">
      <c r="A1254" s="5" t="s">
        <v>57</v>
      </c>
      <c r="B1254" s="5" t="s">
        <v>163</v>
      </c>
      <c r="C1254" s="5" t="s">
        <v>68</v>
      </c>
      <c r="D1254" s="6">
        <v>32.0</v>
      </c>
      <c r="E1254" s="6">
        <v>516771.0</v>
      </c>
      <c r="F1254" s="6">
        <v>0.0</v>
      </c>
      <c r="G1254" s="6">
        <v>61078.0</v>
      </c>
      <c r="H1254" s="6">
        <v>8.4608</v>
      </c>
      <c r="I1254" s="6">
        <v>0.0</v>
      </c>
      <c r="J1254" s="6">
        <v>8.4608</v>
      </c>
    </row>
    <row r="1255">
      <c r="A1255" s="5" t="s">
        <v>57</v>
      </c>
      <c r="B1255" s="5" t="s">
        <v>163</v>
      </c>
      <c r="C1255" s="5" t="s">
        <v>68</v>
      </c>
      <c r="D1255" s="6">
        <v>33.0</v>
      </c>
      <c r="E1255" s="6">
        <v>347277.0</v>
      </c>
      <c r="F1255" s="6">
        <v>0.0</v>
      </c>
      <c r="G1255" s="6">
        <v>61078.0</v>
      </c>
      <c r="H1255" s="6">
        <v>5.6858</v>
      </c>
      <c r="I1255" s="6">
        <v>0.0</v>
      </c>
      <c r="J1255" s="6">
        <v>5.6858</v>
      </c>
    </row>
    <row r="1256">
      <c r="A1256" s="5" t="s">
        <v>57</v>
      </c>
      <c r="B1256" s="5" t="s">
        <v>163</v>
      </c>
      <c r="C1256" s="5" t="s">
        <v>2035</v>
      </c>
      <c r="D1256" s="6">
        <v>1.0</v>
      </c>
      <c r="E1256" s="6">
        <v>15.0</v>
      </c>
      <c r="F1256" s="6">
        <v>0.0</v>
      </c>
      <c r="G1256" s="6">
        <v>6080.0</v>
      </c>
      <c r="H1256" s="6">
        <v>0.0025</v>
      </c>
      <c r="I1256" s="6">
        <v>0.0</v>
      </c>
      <c r="J1256" s="6">
        <v>0.0025</v>
      </c>
    </row>
    <row r="1257">
      <c r="A1257" s="5" t="s">
        <v>57</v>
      </c>
      <c r="B1257" s="5" t="s">
        <v>163</v>
      </c>
      <c r="C1257" s="5" t="s">
        <v>2035</v>
      </c>
      <c r="D1257" s="6">
        <v>2.0</v>
      </c>
      <c r="E1257" s="6">
        <v>7360.0</v>
      </c>
      <c r="F1257" s="6">
        <v>0.0</v>
      </c>
      <c r="G1257" s="6">
        <v>6080.0</v>
      </c>
      <c r="H1257" s="6">
        <v>1.2105</v>
      </c>
      <c r="I1257" s="6">
        <v>0.0</v>
      </c>
      <c r="J1257" s="6">
        <v>1.2105</v>
      </c>
    </row>
    <row r="1258">
      <c r="A1258" s="5" t="s">
        <v>57</v>
      </c>
      <c r="B1258" s="5" t="s">
        <v>163</v>
      </c>
      <c r="C1258" s="5" t="s">
        <v>2035</v>
      </c>
      <c r="D1258" s="6">
        <v>3.0</v>
      </c>
      <c r="E1258" s="6">
        <v>5610.0</v>
      </c>
      <c r="F1258" s="6">
        <v>0.0</v>
      </c>
      <c r="G1258" s="6">
        <v>6080.0</v>
      </c>
      <c r="H1258" s="6">
        <v>0.9227</v>
      </c>
      <c r="I1258" s="6">
        <v>0.0</v>
      </c>
      <c r="J1258" s="6">
        <v>0.9227</v>
      </c>
    </row>
    <row r="1259">
      <c r="A1259" s="5" t="s">
        <v>57</v>
      </c>
      <c r="B1259" s="5" t="s">
        <v>163</v>
      </c>
      <c r="C1259" s="5" t="s">
        <v>2035</v>
      </c>
      <c r="D1259" s="6">
        <v>4.0</v>
      </c>
      <c r="E1259" s="6">
        <v>4770.0</v>
      </c>
      <c r="F1259" s="6">
        <v>0.0</v>
      </c>
      <c r="G1259" s="6">
        <v>6080.0</v>
      </c>
      <c r="H1259" s="6">
        <v>0.7845</v>
      </c>
      <c r="I1259" s="6">
        <v>0.0</v>
      </c>
      <c r="J1259" s="6">
        <v>0.7845</v>
      </c>
    </row>
    <row r="1260">
      <c r="A1260" s="5" t="s">
        <v>57</v>
      </c>
      <c r="B1260" s="5" t="s">
        <v>163</v>
      </c>
      <c r="C1260" s="5" t="s">
        <v>2035</v>
      </c>
      <c r="D1260" s="6">
        <v>5.0</v>
      </c>
      <c r="E1260" s="6">
        <v>4960.0</v>
      </c>
      <c r="F1260" s="6">
        <v>0.0</v>
      </c>
      <c r="G1260" s="6">
        <v>6080.0</v>
      </c>
      <c r="H1260" s="6">
        <v>0.8158</v>
      </c>
      <c r="I1260" s="6">
        <v>0.0</v>
      </c>
      <c r="J1260" s="6">
        <v>0.8158</v>
      </c>
    </row>
    <row r="1261">
      <c r="A1261" s="5" t="s">
        <v>57</v>
      </c>
      <c r="B1261" s="5" t="s">
        <v>163</v>
      </c>
      <c r="C1261" s="5" t="s">
        <v>2035</v>
      </c>
      <c r="D1261" s="6">
        <v>6.0</v>
      </c>
      <c r="E1261" s="6">
        <v>4995.0</v>
      </c>
      <c r="F1261" s="6">
        <v>0.0</v>
      </c>
      <c r="G1261" s="6">
        <v>6080.0</v>
      </c>
      <c r="H1261" s="6">
        <v>0.8215</v>
      </c>
      <c r="I1261" s="6">
        <v>0.0</v>
      </c>
      <c r="J1261" s="6">
        <v>0.8215</v>
      </c>
    </row>
    <row r="1262">
      <c r="A1262" s="5" t="s">
        <v>57</v>
      </c>
      <c r="B1262" s="5" t="s">
        <v>163</v>
      </c>
      <c r="C1262" s="5" t="s">
        <v>2035</v>
      </c>
      <c r="D1262" s="6">
        <v>7.0</v>
      </c>
      <c r="E1262" s="6">
        <v>4595.0</v>
      </c>
      <c r="F1262" s="6">
        <v>0.0</v>
      </c>
      <c r="G1262" s="6">
        <v>6080.0</v>
      </c>
      <c r="H1262" s="6">
        <v>0.7558</v>
      </c>
      <c r="I1262" s="6">
        <v>0.0</v>
      </c>
      <c r="J1262" s="6">
        <v>0.7558</v>
      </c>
    </row>
    <row r="1263">
      <c r="A1263" s="5" t="s">
        <v>57</v>
      </c>
      <c r="B1263" s="5" t="s">
        <v>163</v>
      </c>
      <c r="C1263" s="5" t="s">
        <v>2035</v>
      </c>
      <c r="D1263" s="6">
        <v>8.0</v>
      </c>
      <c r="E1263" s="6">
        <v>4160.0</v>
      </c>
      <c r="F1263" s="6">
        <v>0.0</v>
      </c>
      <c r="G1263" s="6">
        <v>6080.0</v>
      </c>
      <c r="H1263" s="6">
        <v>0.6842</v>
      </c>
      <c r="I1263" s="6">
        <v>0.0</v>
      </c>
      <c r="J1263" s="6">
        <v>0.6842</v>
      </c>
    </row>
    <row r="1264">
      <c r="A1264" s="5" t="s">
        <v>57</v>
      </c>
      <c r="B1264" s="5" t="s">
        <v>163</v>
      </c>
      <c r="C1264" s="5" t="s">
        <v>2035</v>
      </c>
      <c r="D1264" s="6">
        <v>9.0</v>
      </c>
      <c r="E1264" s="6">
        <v>265.0</v>
      </c>
      <c r="F1264" s="6">
        <v>0.0</v>
      </c>
      <c r="G1264" s="6">
        <v>6080.0</v>
      </c>
      <c r="H1264" s="6">
        <v>0.0436</v>
      </c>
      <c r="I1264" s="6">
        <v>0.0</v>
      </c>
      <c r="J1264" s="6">
        <v>0.0436</v>
      </c>
    </row>
    <row r="1265">
      <c r="A1265" s="5" t="s">
        <v>57</v>
      </c>
      <c r="B1265" s="5" t="s">
        <v>163</v>
      </c>
      <c r="C1265" s="5" t="s">
        <v>2035</v>
      </c>
      <c r="D1265" s="6">
        <v>10.0</v>
      </c>
      <c r="E1265" s="6">
        <v>75.0</v>
      </c>
      <c r="F1265" s="6">
        <v>0.0</v>
      </c>
      <c r="G1265" s="6">
        <v>6080.0</v>
      </c>
      <c r="H1265" s="6">
        <v>0.0123</v>
      </c>
      <c r="I1265" s="6">
        <v>0.0</v>
      </c>
      <c r="J1265" s="6">
        <v>0.0123</v>
      </c>
    </row>
    <row r="1266">
      <c r="A1266" s="5" t="s">
        <v>57</v>
      </c>
      <c r="B1266" s="5" t="s">
        <v>163</v>
      </c>
      <c r="C1266" s="5" t="s">
        <v>2035</v>
      </c>
      <c r="D1266" s="6">
        <v>11.0</v>
      </c>
      <c r="E1266" s="6">
        <v>135.0</v>
      </c>
      <c r="F1266" s="6">
        <v>0.0</v>
      </c>
      <c r="G1266" s="6">
        <v>6080.0</v>
      </c>
      <c r="H1266" s="6">
        <v>0.0222</v>
      </c>
      <c r="I1266" s="6">
        <v>0.0</v>
      </c>
      <c r="J1266" s="6">
        <v>0.0222</v>
      </c>
    </row>
    <row r="1267">
      <c r="A1267" s="5" t="s">
        <v>57</v>
      </c>
      <c r="B1267" s="5" t="s">
        <v>163</v>
      </c>
      <c r="C1267" s="5" t="s">
        <v>2035</v>
      </c>
      <c r="D1267" s="6">
        <v>12.0</v>
      </c>
      <c r="E1267" s="6">
        <v>210.0</v>
      </c>
      <c r="F1267" s="6">
        <v>0.0</v>
      </c>
      <c r="G1267" s="6">
        <v>6080.0</v>
      </c>
      <c r="H1267" s="6">
        <v>0.0345</v>
      </c>
      <c r="I1267" s="6">
        <v>0.0</v>
      </c>
      <c r="J1267" s="6">
        <v>0.0345</v>
      </c>
    </row>
    <row r="1268">
      <c r="A1268" s="5" t="s">
        <v>57</v>
      </c>
      <c r="B1268" s="5" t="s">
        <v>163</v>
      </c>
      <c r="C1268" s="5" t="s">
        <v>2035</v>
      </c>
      <c r="D1268" s="6">
        <v>13.0</v>
      </c>
      <c r="E1268" s="6">
        <v>90.0</v>
      </c>
      <c r="F1268" s="6">
        <v>0.0</v>
      </c>
      <c r="G1268" s="6">
        <v>6080.0</v>
      </c>
      <c r="H1268" s="6">
        <v>0.0148</v>
      </c>
      <c r="I1268" s="6">
        <v>0.0</v>
      </c>
      <c r="J1268" s="6">
        <v>0.0148</v>
      </c>
    </row>
    <row r="1269">
      <c r="A1269" s="5" t="s">
        <v>57</v>
      </c>
      <c r="B1269" s="5" t="s">
        <v>163</v>
      </c>
      <c r="C1269" s="5" t="s">
        <v>2035</v>
      </c>
      <c r="D1269" s="6">
        <v>14.0</v>
      </c>
      <c r="E1269" s="6">
        <v>115.0</v>
      </c>
      <c r="F1269" s="6">
        <v>0.0</v>
      </c>
      <c r="G1269" s="6">
        <v>6080.0</v>
      </c>
      <c r="H1269" s="6">
        <v>0.0189</v>
      </c>
      <c r="I1269" s="6">
        <v>0.0</v>
      </c>
      <c r="J1269" s="6">
        <v>0.0189</v>
      </c>
    </row>
    <row r="1270">
      <c r="A1270" s="5" t="s">
        <v>57</v>
      </c>
      <c r="B1270" s="5" t="s">
        <v>163</v>
      </c>
      <c r="C1270" s="5" t="s">
        <v>2035</v>
      </c>
      <c r="D1270" s="6">
        <v>15.0</v>
      </c>
      <c r="E1270" s="6">
        <v>60.0</v>
      </c>
      <c r="F1270" s="6">
        <v>0.0</v>
      </c>
      <c r="G1270" s="6">
        <v>6080.0</v>
      </c>
      <c r="H1270" s="6">
        <v>0.0099</v>
      </c>
      <c r="I1270" s="6">
        <v>0.0</v>
      </c>
      <c r="J1270" s="6">
        <v>0.0099</v>
      </c>
    </row>
    <row r="1271">
      <c r="A1271" s="5" t="s">
        <v>57</v>
      </c>
      <c r="B1271" s="5" t="s">
        <v>163</v>
      </c>
      <c r="C1271" s="5" t="s">
        <v>2035</v>
      </c>
      <c r="D1271" s="6">
        <v>16.0</v>
      </c>
      <c r="E1271" s="6">
        <v>6000.0</v>
      </c>
      <c r="F1271" s="6">
        <v>0.0</v>
      </c>
      <c r="G1271" s="6">
        <v>6080.0</v>
      </c>
      <c r="H1271" s="6">
        <v>0.9868</v>
      </c>
      <c r="I1271" s="6">
        <v>0.0</v>
      </c>
      <c r="J1271" s="6">
        <v>0.9868</v>
      </c>
    </row>
    <row r="1272">
      <c r="A1272" s="5" t="s">
        <v>57</v>
      </c>
      <c r="B1272" s="5" t="s">
        <v>163</v>
      </c>
      <c r="C1272" s="5" t="s">
        <v>2035</v>
      </c>
      <c r="D1272" s="6">
        <v>17.0</v>
      </c>
      <c r="E1272" s="6">
        <v>4770.0</v>
      </c>
      <c r="F1272" s="6">
        <v>0.0</v>
      </c>
      <c r="G1272" s="6">
        <v>6080.0</v>
      </c>
      <c r="H1272" s="6">
        <v>0.7845</v>
      </c>
      <c r="I1272" s="6">
        <v>0.0</v>
      </c>
      <c r="J1272" s="6">
        <v>0.7845</v>
      </c>
    </row>
    <row r="1273">
      <c r="A1273" s="5" t="s">
        <v>57</v>
      </c>
      <c r="B1273" s="5" t="s">
        <v>163</v>
      </c>
      <c r="C1273" s="5" t="s">
        <v>2035</v>
      </c>
      <c r="D1273" s="6">
        <v>18.0</v>
      </c>
      <c r="E1273" s="6">
        <v>3820.0</v>
      </c>
      <c r="F1273" s="6">
        <v>0.0</v>
      </c>
      <c r="G1273" s="6">
        <v>6080.0</v>
      </c>
      <c r="H1273" s="6">
        <v>0.6283</v>
      </c>
      <c r="I1273" s="6">
        <v>0.0</v>
      </c>
      <c r="J1273" s="6">
        <v>0.6283</v>
      </c>
    </row>
    <row r="1274">
      <c r="A1274" s="5" t="s">
        <v>57</v>
      </c>
      <c r="B1274" s="5" t="s">
        <v>163</v>
      </c>
      <c r="C1274" s="5" t="s">
        <v>2035</v>
      </c>
      <c r="D1274" s="6">
        <v>19.0</v>
      </c>
      <c r="E1274" s="6">
        <v>4140.0</v>
      </c>
      <c r="F1274" s="6">
        <v>0.0</v>
      </c>
      <c r="G1274" s="6">
        <v>6080.0</v>
      </c>
      <c r="H1274" s="6">
        <v>0.6809</v>
      </c>
      <c r="I1274" s="6">
        <v>0.0</v>
      </c>
      <c r="J1274" s="6">
        <v>0.6809</v>
      </c>
    </row>
    <row r="1275">
      <c r="A1275" s="5" t="s">
        <v>57</v>
      </c>
      <c r="B1275" s="5" t="s">
        <v>163</v>
      </c>
      <c r="C1275" s="5" t="s">
        <v>2035</v>
      </c>
      <c r="D1275" s="6">
        <v>20.0</v>
      </c>
      <c r="E1275" s="6">
        <v>5135.0</v>
      </c>
      <c r="F1275" s="6">
        <v>0.0</v>
      </c>
      <c r="G1275" s="6">
        <v>6080.0</v>
      </c>
      <c r="H1275" s="6">
        <v>0.8446</v>
      </c>
      <c r="I1275" s="6">
        <v>0.0</v>
      </c>
      <c r="J1275" s="6">
        <v>0.8446</v>
      </c>
    </row>
    <row r="1276">
      <c r="A1276" s="5" t="s">
        <v>57</v>
      </c>
      <c r="B1276" s="5" t="s">
        <v>163</v>
      </c>
      <c r="C1276" s="5" t="s">
        <v>2035</v>
      </c>
      <c r="D1276" s="6">
        <v>21.0</v>
      </c>
      <c r="E1276" s="6">
        <v>5175.0</v>
      </c>
      <c r="F1276" s="6">
        <v>0.0</v>
      </c>
      <c r="G1276" s="6">
        <v>6080.0</v>
      </c>
      <c r="H1276" s="6">
        <v>0.8512</v>
      </c>
      <c r="I1276" s="6">
        <v>0.0</v>
      </c>
      <c r="J1276" s="6">
        <v>0.8512</v>
      </c>
    </row>
    <row r="1277">
      <c r="A1277" s="5" t="s">
        <v>57</v>
      </c>
      <c r="B1277" s="5" t="s">
        <v>163</v>
      </c>
      <c r="C1277" s="5" t="s">
        <v>2035</v>
      </c>
      <c r="D1277" s="6">
        <v>22.0</v>
      </c>
      <c r="E1277" s="6">
        <v>3790.0</v>
      </c>
      <c r="F1277" s="6">
        <v>0.0</v>
      </c>
      <c r="G1277" s="6">
        <v>6080.0</v>
      </c>
      <c r="H1277" s="6">
        <v>0.6234</v>
      </c>
      <c r="I1277" s="6">
        <v>0.0</v>
      </c>
      <c r="J1277" s="6">
        <v>0.6234</v>
      </c>
    </row>
    <row r="1278">
      <c r="A1278" s="5" t="s">
        <v>57</v>
      </c>
      <c r="B1278" s="5" t="s">
        <v>163</v>
      </c>
      <c r="C1278" s="5" t="s">
        <v>2035</v>
      </c>
      <c r="D1278" s="6">
        <v>23.0</v>
      </c>
      <c r="E1278" s="6">
        <v>195.0</v>
      </c>
      <c r="F1278" s="6">
        <v>0.0</v>
      </c>
      <c r="G1278" s="6">
        <v>6080.0</v>
      </c>
      <c r="H1278" s="6">
        <v>0.0321</v>
      </c>
      <c r="I1278" s="6">
        <v>0.0</v>
      </c>
      <c r="J1278" s="6">
        <v>0.0321</v>
      </c>
    </row>
    <row r="1279">
      <c r="A1279" s="5" t="s">
        <v>57</v>
      </c>
      <c r="B1279" s="5" t="s">
        <v>163</v>
      </c>
      <c r="C1279" s="5" t="s">
        <v>2035</v>
      </c>
      <c r="D1279" s="6">
        <v>24.0</v>
      </c>
      <c r="E1279" s="6">
        <v>15.0</v>
      </c>
      <c r="F1279" s="6">
        <v>0.0</v>
      </c>
      <c r="G1279" s="6">
        <v>6080.0</v>
      </c>
      <c r="H1279" s="6">
        <v>0.0025</v>
      </c>
      <c r="I1279" s="6">
        <v>0.0</v>
      </c>
      <c r="J1279" s="6">
        <v>0.0025</v>
      </c>
    </row>
    <row r="1280">
      <c r="A1280" s="5" t="s">
        <v>57</v>
      </c>
      <c r="B1280" s="5" t="s">
        <v>163</v>
      </c>
      <c r="C1280" s="5" t="s">
        <v>2035</v>
      </c>
      <c r="D1280" s="6">
        <v>25.0</v>
      </c>
      <c r="E1280" s="6">
        <v>125.0</v>
      </c>
      <c r="F1280" s="6">
        <v>0.0</v>
      </c>
      <c r="G1280" s="6">
        <v>6080.0</v>
      </c>
      <c r="H1280" s="6">
        <v>0.0206</v>
      </c>
      <c r="I1280" s="6">
        <v>0.0</v>
      </c>
      <c r="J1280" s="6">
        <v>0.0206</v>
      </c>
    </row>
    <row r="1281">
      <c r="A1281" s="5" t="s">
        <v>57</v>
      </c>
      <c r="B1281" s="5" t="s">
        <v>163</v>
      </c>
      <c r="C1281" s="5" t="s">
        <v>2035</v>
      </c>
      <c r="D1281" s="6">
        <v>26.0</v>
      </c>
      <c r="E1281" s="6">
        <v>105.0</v>
      </c>
      <c r="F1281" s="6">
        <v>0.0</v>
      </c>
      <c r="G1281" s="6">
        <v>6080.0</v>
      </c>
      <c r="H1281" s="6">
        <v>0.0173</v>
      </c>
      <c r="I1281" s="6">
        <v>0.0</v>
      </c>
      <c r="J1281" s="6">
        <v>0.0173</v>
      </c>
    </row>
    <row r="1282">
      <c r="A1282" s="5" t="s">
        <v>57</v>
      </c>
      <c r="B1282" s="5" t="s">
        <v>163</v>
      </c>
      <c r="C1282" s="5" t="s">
        <v>2035</v>
      </c>
      <c r="D1282" s="6">
        <v>27.0</v>
      </c>
      <c r="E1282" s="6">
        <v>90.0</v>
      </c>
      <c r="F1282" s="6">
        <v>0.0</v>
      </c>
      <c r="G1282" s="6">
        <v>6080.0</v>
      </c>
      <c r="H1282" s="6">
        <v>0.0148</v>
      </c>
      <c r="I1282" s="6">
        <v>0.0</v>
      </c>
      <c r="J1282" s="6">
        <v>0.0148</v>
      </c>
    </row>
    <row r="1283">
      <c r="A1283" s="5" t="s">
        <v>57</v>
      </c>
      <c r="B1283" s="5" t="s">
        <v>163</v>
      </c>
      <c r="C1283" s="5" t="s">
        <v>2035</v>
      </c>
      <c r="D1283" s="6">
        <v>28.0</v>
      </c>
      <c r="E1283" s="6">
        <v>60.0</v>
      </c>
      <c r="F1283" s="6">
        <v>0.0</v>
      </c>
      <c r="G1283" s="6">
        <v>6080.0</v>
      </c>
      <c r="H1283" s="6">
        <v>0.0099</v>
      </c>
      <c r="I1283" s="6">
        <v>0.0</v>
      </c>
      <c r="J1283" s="6">
        <v>0.0099</v>
      </c>
    </row>
    <row r="1284">
      <c r="A1284" s="5" t="s">
        <v>57</v>
      </c>
      <c r="B1284" s="5" t="s">
        <v>163</v>
      </c>
      <c r="C1284" s="5" t="s">
        <v>2035</v>
      </c>
      <c r="D1284" s="6">
        <v>29.0</v>
      </c>
      <c r="E1284" s="6">
        <v>75.0</v>
      </c>
      <c r="F1284" s="6">
        <v>0.0</v>
      </c>
      <c r="G1284" s="6">
        <v>6080.0</v>
      </c>
      <c r="H1284" s="6">
        <v>0.0123</v>
      </c>
      <c r="I1284" s="6">
        <v>0.0</v>
      </c>
      <c r="J1284" s="6">
        <v>0.0123</v>
      </c>
    </row>
    <row r="1285">
      <c r="A1285" s="5" t="s">
        <v>57</v>
      </c>
      <c r="B1285" s="5" t="s">
        <v>163</v>
      </c>
      <c r="C1285" s="5" t="s">
        <v>2035</v>
      </c>
      <c r="D1285" s="6">
        <v>30.0</v>
      </c>
      <c r="E1285" s="6">
        <v>6060.0</v>
      </c>
      <c r="F1285" s="6">
        <v>0.0</v>
      </c>
      <c r="G1285" s="6">
        <v>6080.0</v>
      </c>
      <c r="H1285" s="6">
        <v>0.9967</v>
      </c>
      <c r="I1285" s="6">
        <v>0.0</v>
      </c>
      <c r="J1285" s="6">
        <v>0.9967</v>
      </c>
    </row>
    <row r="1286">
      <c r="A1286" s="5" t="s">
        <v>57</v>
      </c>
      <c r="B1286" s="5" t="s">
        <v>163</v>
      </c>
      <c r="C1286" s="5" t="s">
        <v>2035</v>
      </c>
      <c r="D1286" s="6">
        <v>31.0</v>
      </c>
      <c r="E1286" s="6">
        <v>5055.0</v>
      </c>
      <c r="F1286" s="6">
        <v>0.0</v>
      </c>
      <c r="G1286" s="6">
        <v>6080.0</v>
      </c>
      <c r="H1286" s="6">
        <v>0.8314</v>
      </c>
      <c r="I1286" s="6">
        <v>0.0</v>
      </c>
      <c r="J1286" s="6">
        <v>0.8314</v>
      </c>
    </row>
    <row r="1287">
      <c r="A1287" s="5" t="s">
        <v>57</v>
      </c>
      <c r="B1287" s="5" t="s">
        <v>163</v>
      </c>
      <c r="C1287" s="5" t="s">
        <v>2035</v>
      </c>
      <c r="D1287" s="6">
        <v>32.0</v>
      </c>
      <c r="E1287" s="6">
        <v>3965.0</v>
      </c>
      <c r="F1287" s="6">
        <v>0.0</v>
      </c>
      <c r="G1287" s="6">
        <v>6080.0</v>
      </c>
      <c r="H1287" s="6">
        <v>0.6521</v>
      </c>
      <c r="I1287" s="6">
        <v>0.0</v>
      </c>
      <c r="J1287" s="6">
        <v>0.6521</v>
      </c>
    </row>
    <row r="1288">
      <c r="A1288" s="5" t="s">
        <v>57</v>
      </c>
      <c r="B1288" s="5" t="s">
        <v>163</v>
      </c>
      <c r="C1288" s="5" t="s">
        <v>2035</v>
      </c>
      <c r="D1288" s="6">
        <v>33.0</v>
      </c>
      <c r="E1288" s="6">
        <v>3725.0</v>
      </c>
      <c r="F1288" s="6">
        <v>0.0</v>
      </c>
      <c r="G1288" s="6">
        <v>6080.0</v>
      </c>
      <c r="H1288" s="6">
        <v>0.6127</v>
      </c>
      <c r="I1288" s="6">
        <v>0.0</v>
      </c>
      <c r="J1288" s="6">
        <v>0.6127</v>
      </c>
    </row>
    <row r="1289">
      <c r="A1289" s="5" t="s">
        <v>57</v>
      </c>
      <c r="B1289" s="5" t="s">
        <v>1867</v>
      </c>
      <c r="C1289" s="5" t="s">
        <v>1882</v>
      </c>
      <c r="D1289" s="6">
        <v>1.0</v>
      </c>
      <c r="E1289" s="6">
        <v>2489702.0</v>
      </c>
      <c r="F1289" s="6">
        <v>2684900.0</v>
      </c>
      <c r="G1289" s="6">
        <v>38566.0</v>
      </c>
      <c r="H1289" s="6">
        <v>64.5569</v>
      </c>
      <c r="I1289" s="6">
        <v>69.6183</v>
      </c>
      <c r="J1289" s="6">
        <v>-5.0614</v>
      </c>
    </row>
    <row r="1290">
      <c r="A1290" s="5" t="s">
        <v>57</v>
      </c>
      <c r="B1290" s="5" t="s">
        <v>1867</v>
      </c>
      <c r="C1290" s="5" t="s">
        <v>1882</v>
      </c>
      <c r="D1290" s="6">
        <v>2.0</v>
      </c>
      <c r="E1290" s="6">
        <v>2615621.0</v>
      </c>
      <c r="F1290" s="6">
        <v>2622850.0</v>
      </c>
      <c r="G1290" s="6">
        <v>38566.0</v>
      </c>
      <c r="H1290" s="6">
        <v>67.8219</v>
      </c>
      <c r="I1290" s="6">
        <v>68.0094</v>
      </c>
      <c r="J1290" s="6">
        <v>-0.1874</v>
      </c>
    </row>
    <row r="1291">
      <c r="A1291" s="5" t="s">
        <v>57</v>
      </c>
      <c r="B1291" s="5" t="s">
        <v>1867</v>
      </c>
      <c r="C1291" s="5" t="s">
        <v>1882</v>
      </c>
      <c r="D1291" s="6">
        <v>3.0</v>
      </c>
      <c r="E1291" s="6">
        <v>2874070.0</v>
      </c>
      <c r="F1291" s="6">
        <v>2716350.0</v>
      </c>
      <c r="G1291" s="6">
        <v>38566.0</v>
      </c>
      <c r="H1291" s="6">
        <v>74.5234</v>
      </c>
      <c r="I1291" s="6">
        <v>70.4338</v>
      </c>
      <c r="J1291" s="6">
        <v>4.0896</v>
      </c>
    </row>
    <row r="1292">
      <c r="A1292" s="5" t="s">
        <v>57</v>
      </c>
      <c r="B1292" s="5" t="s">
        <v>1867</v>
      </c>
      <c r="C1292" s="5" t="s">
        <v>1882</v>
      </c>
      <c r="D1292" s="6">
        <v>4.0</v>
      </c>
      <c r="E1292" s="6">
        <v>2581328.0</v>
      </c>
      <c r="F1292" s="6">
        <v>2596850.0</v>
      </c>
      <c r="G1292" s="6">
        <v>38566.0</v>
      </c>
      <c r="H1292" s="6">
        <v>66.9327</v>
      </c>
      <c r="I1292" s="6">
        <v>67.3352</v>
      </c>
      <c r="J1292" s="6">
        <v>-0.4025</v>
      </c>
    </row>
    <row r="1293">
      <c r="A1293" s="5" t="s">
        <v>57</v>
      </c>
      <c r="B1293" s="5" t="s">
        <v>1867</v>
      </c>
      <c r="C1293" s="5" t="s">
        <v>1882</v>
      </c>
      <c r="D1293" s="6">
        <v>5.0</v>
      </c>
      <c r="E1293" s="6">
        <v>2333980.0</v>
      </c>
      <c r="F1293" s="6">
        <v>2505450.0</v>
      </c>
      <c r="G1293" s="6">
        <v>38566.0</v>
      </c>
      <c r="H1293" s="6">
        <v>60.5191</v>
      </c>
      <c r="I1293" s="6">
        <v>64.9653</v>
      </c>
      <c r="J1293" s="6">
        <v>-4.4461</v>
      </c>
    </row>
    <row r="1294">
      <c r="A1294" s="5" t="s">
        <v>57</v>
      </c>
      <c r="B1294" s="5" t="s">
        <v>1867</v>
      </c>
      <c r="C1294" s="5" t="s">
        <v>1882</v>
      </c>
      <c r="D1294" s="6">
        <v>6.0</v>
      </c>
      <c r="E1294" s="6">
        <v>3471791.0</v>
      </c>
      <c r="F1294" s="6">
        <v>3323750.0</v>
      </c>
      <c r="G1294" s="6">
        <v>38566.0</v>
      </c>
      <c r="H1294" s="6">
        <v>90.0221</v>
      </c>
      <c r="I1294" s="6">
        <v>86.1834</v>
      </c>
      <c r="J1294" s="6">
        <v>3.8386</v>
      </c>
    </row>
    <row r="1295">
      <c r="A1295" s="5" t="s">
        <v>57</v>
      </c>
      <c r="B1295" s="5" t="s">
        <v>1867</v>
      </c>
      <c r="C1295" s="5" t="s">
        <v>1882</v>
      </c>
      <c r="D1295" s="6">
        <v>7.0</v>
      </c>
      <c r="E1295" s="6">
        <v>2804704.0</v>
      </c>
      <c r="F1295" s="6">
        <v>2884250.0</v>
      </c>
      <c r="G1295" s="6">
        <v>38566.0</v>
      </c>
      <c r="H1295" s="6">
        <v>72.7248</v>
      </c>
      <c r="I1295" s="6">
        <v>74.7874</v>
      </c>
      <c r="J1295" s="6">
        <v>-2.0626</v>
      </c>
    </row>
    <row r="1296">
      <c r="A1296" s="5" t="s">
        <v>57</v>
      </c>
      <c r="B1296" s="5" t="s">
        <v>1867</v>
      </c>
      <c r="C1296" s="5" t="s">
        <v>1882</v>
      </c>
      <c r="D1296" s="6">
        <v>8.0</v>
      </c>
      <c r="E1296" s="6">
        <v>2369986.0</v>
      </c>
      <c r="F1296" s="6">
        <v>2559900.0</v>
      </c>
      <c r="G1296" s="6">
        <v>38566.0</v>
      </c>
      <c r="H1296" s="6">
        <v>61.4527</v>
      </c>
      <c r="I1296" s="6">
        <v>66.3771</v>
      </c>
      <c r="J1296" s="6">
        <v>-4.9244</v>
      </c>
    </row>
    <row r="1297">
      <c r="A1297" s="5" t="s">
        <v>57</v>
      </c>
      <c r="B1297" s="5" t="s">
        <v>1867</v>
      </c>
      <c r="C1297" s="5" t="s">
        <v>1882</v>
      </c>
      <c r="D1297" s="6">
        <v>9.0</v>
      </c>
      <c r="E1297" s="6">
        <v>2392834.0</v>
      </c>
      <c r="F1297" s="6">
        <v>2445700.0</v>
      </c>
      <c r="G1297" s="6">
        <v>38566.0</v>
      </c>
      <c r="H1297" s="6">
        <v>62.0452</v>
      </c>
      <c r="I1297" s="6">
        <v>63.416</v>
      </c>
      <c r="J1297" s="6">
        <v>-1.3708</v>
      </c>
    </row>
    <row r="1298">
      <c r="A1298" s="5" t="s">
        <v>57</v>
      </c>
      <c r="B1298" s="5" t="s">
        <v>1867</v>
      </c>
      <c r="C1298" s="5" t="s">
        <v>1882</v>
      </c>
      <c r="D1298" s="6">
        <v>10.0</v>
      </c>
      <c r="E1298" s="6">
        <v>2777021.0</v>
      </c>
      <c r="F1298" s="6">
        <v>2615100.0</v>
      </c>
      <c r="G1298" s="6">
        <v>38566.0</v>
      </c>
      <c r="H1298" s="6">
        <v>72.007</v>
      </c>
      <c r="I1298" s="6">
        <v>67.8084</v>
      </c>
      <c r="J1298" s="6">
        <v>4.1985</v>
      </c>
    </row>
    <row r="1299">
      <c r="A1299" s="5" t="s">
        <v>57</v>
      </c>
      <c r="B1299" s="5" t="s">
        <v>1867</v>
      </c>
      <c r="C1299" s="5" t="s">
        <v>1882</v>
      </c>
      <c r="D1299" s="6">
        <v>11.0</v>
      </c>
      <c r="E1299" s="6">
        <v>2450853.0</v>
      </c>
      <c r="F1299" s="6">
        <v>2514300.0</v>
      </c>
      <c r="G1299" s="6">
        <v>38566.0</v>
      </c>
      <c r="H1299" s="6">
        <v>63.5496</v>
      </c>
      <c r="I1299" s="6">
        <v>65.1947</v>
      </c>
      <c r="J1299" s="6">
        <v>-1.6452</v>
      </c>
    </row>
    <row r="1300">
      <c r="A1300" s="5" t="s">
        <v>57</v>
      </c>
      <c r="B1300" s="5" t="s">
        <v>1867</v>
      </c>
      <c r="C1300" s="5" t="s">
        <v>1882</v>
      </c>
      <c r="D1300" s="6">
        <v>12.0</v>
      </c>
      <c r="E1300" s="6">
        <v>2155568.0</v>
      </c>
      <c r="F1300" s="6">
        <v>2368100.0</v>
      </c>
      <c r="G1300" s="6">
        <v>38566.0</v>
      </c>
      <c r="H1300" s="6">
        <v>55.893</v>
      </c>
      <c r="I1300" s="6">
        <v>61.4038</v>
      </c>
      <c r="J1300" s="6">
        <v>-5.5109</v>
      </c>
    </row>
    <row r="1301">
      <c r="A1301" s="5" t="s">
        <v>57</v>
      </c>
      <c r="B1301" s="5" t="s">
        <v>1867</v>
      </c>
      <c r="C1301" s="5" t="s">
        <v>1882</v>
      </c>
      <c r="D1301" s="6">
        <v>13.0</v>
      </c>
      <c r="E1301" s="6">
        <v>3300950.0</v>
      </c>
      <c r="F1301" s="6">
        <v>3146800.0</v>
      </c>
      <c r="G1301" s="6">
        <v>38566.0</v>
      </c>
      <c r="H1301" s="6">
        <v>85.5922</v>
      </c>
      <c r="I1301" s="6">
        <v>81.5952</v>
      </c>
      <c r="J1301" s="6">
        <v>3.997</v>
      </c>
    </row>
    <row r="1302">
      <c r="A1302" s="5" t="s">
        <v>57</v>
      </c>
      <c r="B1302" s="5" t="s">
        <v>1867</v>
      </c>
      <c r="C1302" s="5" t="s">
        <v>1882</v>
      </c>
      <c r="D1302" s="6">
        <v>14.0</v>
      </c>
      <c r="E1302" s="6">
        <v>2680794.0</v>
      </c>
      <c r="F1302" s="6">
        <v>2793050.0</v>
      </c>
      <c r="G1302" s="6">
        <v>38566.0</v>
      </c>
      <c r="H1302" s="6">
        <v>69.5118</v>
      </c>
      <c r="I1302" s="6">
        <v>72.4226</v>
      </c>
      <c r="J1302" s="6">
        <v>-2.9108</v>
      </c>
    </row>
    <row r="1303">
      <c r="A1303" s="5" t="s">
        <v>57</v>
      </c>
      <c r="B1303" s="5" t="s">
        <v>1867</v>
      </c>
      <c r="C1303" s="5" t="s">
        <v>1882</v>
      </c>
      <c r="D1303" s="6">
        <v>15.0</v>
      </c>
      <c r="E1303" s="6">
        <v>2249682.0</v>
      </c>
      <c r="F1303" s="6">
        <v>2437050.0</v>
      </c>
      <c r="G1303" s="6">
        <v>38566.0</v>
      </c>
      <c r="H1303" s="6">
        <v>58.3333</v>
      </c>
      <c r="I1303" s="6">
        <v>63.1917</v>
      </c>
      <c r="J1303" s="6">
        <v>-4.8584</v>
      </c>
    </row>
    <row r="1304">
      <c r="A1304" s="5" t="s">
        <v>57</v>
      </c>
      <c r="B1304" s="5" t="s">
        <v>1867</v>
      </c>
      <c r="C1304" s="5" t="s">
        <v>1882</v>
      </c>
      <c r="D1304" s="6">
        <v>16.0</v>
      </c>
      <c r="E1304" s="6">
        <v>2385822.0</v>
      </c>
      <c r="F1304" s="6">
        <v>2395000.0</v>
      </c>
      <c r="G1304" s="6">
        <v>38566.0</v>
      </c>
      <c r="H1304" s="6">
        <v>61.8634</v>
      </c>
      <c r="I1304" s="6">
        <v>62.1013</v>
      </c>
      <c r="J1304" s="6">
        <v>-0.238</v>
      </c>
    </row>
    <row r="1305">
      <c r="A1305" s="5" t="s">
        <v>57</v>
      </c>
      <c r="B1305" s="5" t="s">
        <v>1867</v>
      </c>
      <c r="C1305" s="5" t="s">
        <v>1882</v>
      </c>
      <c r="D1305" s="6">
        <v>17.0</v>
      </c>
      <c r="E1305" s="6">
        <v>2694707.0</v>
      </c>
      <c r="F1305" s="6">
        <v>2562250.0</v>
      </c>
      <c r="G1305" s="6">
        <v>38566.0</v>
      </c>
      <c r="H1305" s="6">
        <v>69.8726</v>
      </c>
      <c r="I1305" s="6">
        <v>66.4381</v>
      </c>
      <c r="J1305" s="6">
        <v>3.4346</v>
      </c>
    </row>
    <row r="1306">
      <c r="A1306" s="5" t="s">
        <v>57</v>
      </c>
      <c r="B1306" s="5" t="s">
        <v>1867</v>
      </c>
      <c r="C1306" s="5" t="s">
        <v>1882</v>
      </c>
      <c r="D1306" s="6">
        <v>18.0</v>
      </c>
      <c r="E1306" s="6">
        <v>2342259.0</v>
      </c>
      <c r="F1306" s="6">
        <v>2374300.0</v>
      </c>
      <c r="G1306" s="6">
        <v>38566.0</v>
      </c>
      <c r="H1306" s="6">
        <v>60.7338</v>
      </c>
      <c r="I1306" s="6">
        <v>61.5646</v>
      </c>
      <c r="J1306" s="6">
        <v>-0.8308</v>
      </c>
    </row>
    <row r="1307">
      <c r="A1307" s="5" t="s">
        <v>57</v>
      </c>
      <c r="B1307" s="5" t="s">
        <v>1867</v>
      </c>
      <c r="C1307" s="5" t="s">
        <v>1882</v>
      </c>
      <c r="D1307" s="6">
        <v>19.0</v>
      </c>
      <c r="E1307" s="6">
        <v>2058351.0</v>
      </c>
      <c r="F1307" s="6">
        <v>2265400.0</v>
      </c>
      <c r="G1307" s="6">
        <v>38566.0</v>
      </c>
      <c r="H1307" s="6">
        <v>53.3722</v>
      </c>
      <c r="I1307" s="6">
        <v>58.7409</v>
      </c>
      <c r="J1307" s="6">
        <v>-5.3687</v>
      </c>
    </row>
    <row r="1308">
      <c r="A1308" s="5" t="s">
        <v>57</v>
      </c>
      <c r="B1308" s="5" t="s">
        <v>1867</v>
      </c>
      <c r="C1308" s="5" t="s">
        <v>1882</v>
      </c>
      <c r="D1308" s="6">
        <v>20.0</v>
      </c>
      <c r="E1308" s="6">
        <v>3151963.0</v>
      </c>
      <c r="F1308" s="6">
        <v>3063450.0</v>
      </c>
      <c r="G1308" s="6">
        <v>38566.0</v>
      </c>
      <c r="H1308" s="6">
        <v>81.7291</v>
      </c>
      <c r="I1308" s="6">
        <v>79.434</v>
      </c>
      <c r="J1308" s="6">
        <v>2.2951</v>
      </c>
    </row>
    <row r="1309">
      <c r="A1309" s="5" t="s">
        <v>57</v>
      </c>
      <c r="B1309" s="5" t="s">
        <v>1867</v>
      </c>
      <c r="C1309" s="5" t="s">
        <v>1882</v>
      </c>
      <c r="D1309" s="6">
        <v>21.0</v>
      </c>
      <c r="E1309" s="6">
        <v>3384427.0</v>
      </c>
      <c r="F1309" s="6">
        <v>3172800.0</v>
      </c>
      <c r="G1309" s="6">
        <v>38566.0</v>
      </c>
      <c r="H1309" s="6">
        <v>87.7568</v>
      </c>
      <c r="I1309" s="6">
        <v>82.2694</v>
      </c>
      <c r="J1309" s="6">
        <v>5.4874</v>
      </c>
    </row>
    <row r="1310">
      <c r="A1310" s="5" t="s">
        <v>57</v>
      </c>
      <c r="B1310" s="5" t="s">
        <v>1867</v>
      </c>
      <c r="C1310" s="5" t="s">
        <v>1882</v>
      </c>
      <c r="D1310" s="6">
        <v>22.0</v>
      </c>
      <c r="E1310" s="6">
        <v>2470160.0</v>
      </c>
      <c r="F1310" s="6">
        <v>2643000.0</v>
      </c>
      <c r="G1310" s="6">
        <v>38566.0</v>
      </c>
      <c r="H1310" s="6">
        <v>64.0502</v>
      </c>
      <c r="I1310" s="6">
        <v>68.5319</v>
      </c>
      <c r="J1310" s="6">
        <v>-4.4817</v>
      </c>
    </row>
    <row r="1311">
      <c r="A1311" s="5" t="s">
        <v>57</v>
      </c>
      <c r="B1311" s="5" t="s">
        <v>1867</v>
      </c>
      <c r="C1311" s="5" t="s">
        <v>1882</v>
      </c>
      <c r="D1311" s="6">
        <v>23.0</v>
      </c>
      <c r="E1311" s="6">
        <v>2273750.0</v>
      </c>
      <c r="F1311" s="6">
        <v>2295650.0</v>
      </c>
      <c r="G1311" s="6">
        <v>38566.0</v>
      </c>
      <c r="H1311" s="6">
        <v>58.9574</v>
      </c>
      <c r="I1311" s="6">
        <v>59.5252</v>
      </c>
      <c r="J1311" s="6">
        <v>-0.5679</v>
      </c>
    </row>
    <row r="1312">
      <c r="A1312" s="5" t="s">
        <v>57</v>
      </c>
      <c r="B1312" s="5" t="s">
        <v>1867</v>
      </c>
      <c r="C1312" s="5" t="s">
        <v>1882</v>
      </c>
      <c r="D1312" s="6">
        <v>24.0</v>
      </c>
      <c r="E1312" s="6">
        <v>2688943.0</v>
      </c>
      <c r="F1312" s="6">
        <v>2508400.0</v>
      </c>
      <c r="G1312" s="6">
        <v>38566.0</v>
      </c>
      <c r="H1312" s="6">
        <v>69.7231</v>
      </c>
      <c r="I1312" s="6">
        <v>65.0417</v>
      </c>
      <c r="J1312" s="6">
        <v>4.6814</v>
      </c>
    </row>
    <row r="1313">
      <c r="A1313" s="5" t="s">
        <v>57</v>
      </c>
      <c r="B1313" s="5" t="s">
        <v>1867</v>
      </c>
      <c r="C1313" s="5" t="s">
        <v>1882</v>
      </c>
      <c r="D1313" s="6">
        <v>25.0</v>
      </c>
      <c r="E1313" s="6">
        <v>2344015.0</v>
      </c>
      <c r="F1313" s="6">
        <v>2395300.0</v>
      </c>
      <c r="G1313" s="6">
        <v>38566.0</v>
      </c>
      <c r="H1313" s="6">
        <v>60.7793</v>
      </c>
      <c r="I1313" s="6">
        <v>62.1091</v>
      </c>
      <c r="J1313" s="6">
        <v>-1.3298</v>
      </c>
    </row>
    <row r="1314">
      <c r="A1314" s="5" t="s">
        <v>57</v>
      </c>
      <c r="B1314" s="5" t="s">
        <v>1867</v>
      </c>
      <c r="C1314" s="5" t="s">
        <v>1882</v>
      </c>
      <c r="D1314" s="6">
        <v>26.0</v>
      </c>
      <c r="E1314" s="6">
        <v>2035924.0</v>
      </c>
      <c r="F1314" s="6">
        <v>2242550.0</v>
      </c>
      <c r="G1314" s="6">
        <v>38566.0</v>
      </c>
      <c r="H1314" s="6">
        <v>52.7906</v>
      </c>
      <c r="I1314" s="6">
        <v>58.1484</v>
      </c>
      <c r="J1314" s="6">
        <v>-5.3577</v>
      </c>
    </row>
    <row r="1315">
      <c r="A1315" s="5" t="s">
        <v>57</v>
      </c>
      <c r="B1315" s="5" t="s">
        <v>1867</v>
      </c>
      <c r="C1315" s="5" t="s">
        <v>1882</v>
      </c>
      <c r="D1315" s="6">
        <v>27.0</v>
      </c>
      <c r="E1315" s="6">
        <v>3271291.0</v>
      </c>
      <c r="F1315" s="6">
        <v>3146100.0</v>
      </c>
      <c r="G1315" s="6">
        <v>38566.0</v>
      </c>
      <c r="H1315" s="6">
        <v>84.8232</v>
      </c>
      <c r="I1315" s="6">
        <v>81.577</v>
      </c>
      <c r="J1315" s="6">
        <v>3.2461</v>
      </c>
    </row>
    <row r="1316">
      <c r="A1316" s="5" t="s">
        <v>57</v>
      </c>
      <c r="B1316" s="5" t="s">
        <v>1867</v>
      </c>
      <c r="C1316" s="5" t="s">
        <v>1882</v>
      </c>
      <c r="D1316" s="6">
        <v>28.0</v>
      </c>
      <c r="E1316" s="6">
        <v>2543106.0</v>
      </c>
      <c r="F1316" s="6">
        <v>2654450.0</v>
      </c>
      <c r="G1316" s="6">
        <v>38566.0</v>
      </c>
      <c r="H1316" s="6">
        <v>65.9417</v>
      </c>
      <c r="I1316" s="6">
        <v>68.8288</v>
      </c>
      <c r="J1316" s="6">
        <v>-2.8871</v>
      </c>
    </row>
    <row r="1317">
      <c r="A1317" s="5" t="s">
        <v>57</v>
      </c>
      <c r="B1317" s="5" t="s">
        <v>1867</v>
      </c>
      <c r="C1317" s="5" t="s">
        <v>1882</v>
      </c>
      <c r="D1317" s="6">
        <v>29.0</v>
      </c>
      <c r="E1317" s="6">
        <v>2247799.0</v>
      </c>
      <c r="F1317" s="6">
        <v>2422950.0</v>
      </c>
      <c r="G1317" s="6">
        <v>38566.0</v>
      </c>
      <c r="H1317" s="6">
        <v>58.2845</v>
      </c>
      <c r="I1317" s="6">
        <v>62.8261</v>
      </c>
      <c r="J1317" s="6">
        <v>-4.5416</v>
      </c>
    </row>
    <row r="1318">
      <c r="A1318" s="5" t="s">
        <v>57</v>
      </c>
      <c r="B1318" s="5" t="s">
        <v>1867</v>
      </c>
      <c r="C1318" s="5" t="s">
        <v>1882</v>
      </c>
      <c r="D1318" s="6">
        <v>30.0</v>
      </c>
      <c r="E1318" s="6">
        <v>2397710.0</v>
      </c>
      <c r="F1318" s="6">
        <v>2347550.0</v>
      </c>
      <c r="G1318" s="6">
        <v>38566.0</v>
      </c>
      <c r="H1318" s="6">
        <v>62.1716</v>
      </c>
      <c r="I1318" s="6">
        <v>60.871</v>
      </c>
      <c r="J1318" s="6">
        <v>1.3006</v>
      </c>
    </row>
    <row r="1319">
      <c r="A1319" s="5" t="s">
        <v>57</v>
      </c>
      <c r="B1319" s="5" t="s">
        <v>1867</v>
      </c>
      <c r="C1319" s="5" t="s">
        <v>1882</v>
      </c>
      <c r="D1319" s="6">
        <v>31.0</v>
      </c>
      <c r="E1319" s="6">
        <v>2718021.0</v>
      </c>
      <c r="F1319" s="6">
        <v>2553250.0</v>
      </c>
      <c r="G1319" s="6">
        <v>38566.0</v>
      </c>
      <c r="H1319" s="6">
        <v>70.4771</v>
      </c>
      <c r="I1319" s="6">
        <v>66.2047</v>
      </c>
      <c r="J1319" s="6">
        <v>4.2724</v>
      </c>
    </row>
    <row r="1320">
      <c r="A1320" s="5" t="s">
        <v>57</v>
      </c>
      <c r="B1320" s="5" t="s">
        <v>1867</v>
      </c>
      <c r="C1320" s="5" t="s">
        <v>1882</v>
      </c>
      <c r="D1320" s="6">
        <v>32.0</v>
      </c>
      <c r="E1320" s="6">
        <v>2329138.0</v>
      </c>
      <c r="F1320" s="6">
        <v>2348200.0</v>
      </c>
      <c r="G1320" s="6">
        <v>38566.0</v>
      </c>
      <c r="H1320" s="6">
        <v>60.3936</v>
      </c>
      <c r="I1320" s="6">
        <v>60.8878</v>
      </c>
      <c r="J1320" s="6">
        <v>-0.4943</v>
      </c>
    </row>
    <row r="1321">
      <c r="A1321" s="5" t="s">
        <v>57</v>
      </c>
      <c r="B1321" s="5" t="s">
        <v>1867</v>
      </c>
      <c r="C1321" s="5" t="s">
        <v>1882</v>
      </c>
      <c r="D1321" s="6">
        <v>33.0</v>
      </c>
      <c r="E1321" s="6">
        <v>2071014.0</v>
      </c>
      <c r="F1321" s="6">
        <v>2259500.0</v>
      </c>
      <c r="G1321" s="6">
        <v>38566.0</v>
      </c>
      <c r="H1321" s="6">
        <v>53.7005</v>
      </c>
      <c r="I1321" s="6">
        <v>58.5879</v>
      </c>
      <c r="J1321" s="6">
        <v>-4.8874</v>
      </c>
    </row>
    <row r="1322">
      <c r="A1322" s="5" t="s">
        <v>57</v>
      </c>
      <c r="B1322" s="5" t="s">
        <v>1867</v>
      </c>
      <c r="C1322" s="5" t="s">
        <v>72</v>
      </c>
      <c r="D1322" s="6">
        <v>1.0</v>
      </c>
      <c r="E1322" s="6">
        <v>15760.0</v>
      </c>
      <c r="F1322" s="6">
        <v>21562.0</v>
      </c>
      <c r="G1322" s="6">
        <v>33515.0</v>
      </c>
      <c r="H1322" s="6">
        <v>0.4702</v>
      </c>
      <c r="I1322" s="6">
        <v>0.6434</v>
      </c>
      <c r="J1322" s="6">
        <v>-0.1731</v>
      </c>
    </row>
    <row r="1323">
      <c r="A1323" s="5" t="s">
        <v>57</v>
      </c>
      <c r="B1323" s="5" t="s">
        <v>1867</v>
      </c>
      <c r="C1323" s="5" t="s">
        <v>72</v>
      </c>
      <c r="D1323" s="6">
        <v>2.0</v>
      </c>
      <c r="E1323" s="6">
        <v>18287.0</v>
      </c>
      <c r="F1323" s="6">
        <v>21040.0</v>
      </c>
      <c r="G1323" s="6">
        <v>33515.0</v>
      </c>
      <c r="H1323" s="6">
        <v>0.5456</v>
      </c>
      <c r="I1323" s="6">
        <v>0.6278</v>
      </c>
      <c r="J1323" s="6">
        <v>-0.0821</v>
      </c>
    </row>
    <row r="1324">
      <c r="A1324" s="5" t="s">
        <v>57</v>
      </c>
      <c r="B1324" s="5" t="s">
        <v>1867</v>
      </c>
      <c r="C1324" s="5" t="s">
        <v>72</v>
      </c>
      <c r="D1324" s="6">
        <v>3.0</v>
      </c>
      <c r="E1324" s="6">
        <v>21748.0</v>
      </c>
      <c r="F1324" s="6">
        <v>22800.0</v>
      </c>
      <c r="G1324" s="6">
        <v>33515.0</v>
      </c>
      <c r="H1324" s="6">
        <v>0.6489</v>
      </c>
      <c r="I1324" s="6">
        <v>0.6803</v>
      </c>
      <c r="J1324" s="6">
        <v>-0.0314</v>
      </c>
    </row>
    <row r="1325">
      <c r="A1325" s="5" t="s">
        <v>57</v>
      </c>
      <c r="B1325" s="5" t="s">
        <v>1867</v>
      </c>
      <c r="C1325" s="5" t="s">
        <v>72</v>
      </c>
      <c r="D1325" s="6">
        <v>4.0</v>
      </c>
      <c r="E1325" s="6">
        <v>18387.0</v>
      </c>
      <c r="F1325" s="6">
        <v>21608.0</v>
      </c>
      <c r="G1325" s="6">
        <v>33515.0</v>
      </c>
      <c r="H1325" s="6">
        <v>0.5486</v>
      </c>
      <c r="I1325" s="6">
        <v>0.6447</v>
      </c>
      <c r="J1325" s="6">
        <v>-0.0961</v>
      </c>
    </row>
    <row r="1326">
      <c r="A1326" s="5" t="s">
        <v>57</v>
      </c>
      <c r="B1326" s="5" t="s">
        <v>1867</v>
      </c>
      <c r="C1326" s="5" t="s">
        <v>72</v>
      </c>
      <c r="D1326" s="6">
        <v>5.0</v>
      </c>
      <c r="E1326" s="6">
        <v>15853.0</v>
      </c>
      <c r="F1326" s="6">
        <v>20678.0</v>
      </c>
      <c r="G1326" s="6">
        <v>33515.0</v>
      </c>
      <c r="H1326" s="6">
        <v>0.473</v>
      </c>
      <c r="I1326" s="6">
        <v>0.617</v>
      </c>
      <c r="J1326" s="6">
        <v>-0.144</v>
      </c>
    </row>
    <row r="1327">
      <c r="A1327" s="5" t="s">
        <v>57</v>
      </c>
      <c r="B1327" s="5" t="s">
        <v>1867</v>
      </c>
      <c r="C1327" s="5" t="s">
        <v>72</v>
      </c>
      <c r="D1327" s="6">
        <v>6.0</v>
      </c>
      <c r="E1327" s="6">
        <v>25834.0</v>
      </c>
      <c r="F1327" s="6">
        <v>26766.0</v>
      </c>
      <c r="G1327" s="6">
        <v>33515.0</v>
      </c>
      <c r="H1327" s="6">
        <v>0.7708</v>
      </c>
      <c r="I1327" s="6">
        <v>0.7986</v>
      </c>
      <c r="J1327" s="6">
        <v>-0.0278</v>
      </c>
    </row>
    <row r="1328">
      <c r="A1328" s="5" t="s">
        <v>57</v>
      </c>
      <c r="B1328" s="5" t="s">
        <v>1867</v>
      </c>
      <c r="C1328" s="5" t="s">
        <v>72</v>
      </c>
      <c r="D1328" s="6">
        <v>7.0</v>
      </c>
      <c r="E1328" s="6">
        <v>20664.0</v>
      </c>
      <c r="F1328" s="6">
        <v>23335.0</v>
      </c>
      <c r="G1328" s="6">
        <v>33515.0</v>
      </c>
      <c r="H1328" s="6">
        <v>0.6166</v>
      </c>
      <c r="I1328" s="6">
        <v>0.6963</v>
      </c>
      <c r="J1328" s="6">
        <v>-0.0797</v>
      </c>
    </row>
    <row r="1329">
      <c r="A1329" s="5" t="s">
        <v>57</v>
      </c>
      <c r="B1329" s="5" t="s">
        <v>1867</v>
      </c>
      <c r="C1329" s="5" t="s">
        <v>72</v>
      </c>
      <c r="D1329" s="6">
        <v>8.0</v>
      </c>
      <c r="E1329" s="6">
        <v>15555.0</v>
      </c>
      <c r="F1329" s="6">
        <v>21239.0</v>
      </c>
      <c r="G1329" s="6">
        <v>33515.0</v>
      </c>
      <c r="H1329" s="6">
        <v>0.4641</v>
      </c>
      <c r="I1329" s="6">
        <v>0.6337</v>
      </c>
      <c r="J1329" s="6">
        <v>-0.1696</v>
      </c>
    </row>
    <row r="1330">
      <c r="A1330" s="5" t="s">
        <v>57</v>
      </c>
      <c r="B1330" s="5" t="s">
        <v>1867</v>
      </c>
      <c r="C1330" s="5" t="s">
        <v>72</v>
      </c>
      <c r="D1330" s="6">
        <v>9.0</v>
      </c>
      <c r="E1330" s="6">
        <v>17136.0</v>
      </c>
      <c r="F1330" s="6">
        <v>19602.0</v>
      </c>
      <c r="G1330" s="6">
        <v>33515.0</v>
      </c>
      <c r="H1330" s="6">
        <v>0.5113</v>
      </c>
      <c r="I1330" s="6">
        <v>0.5849</v>
      </c>
      <c r="J1330" s="6">
        <v>-0.0736</v>
      </c>
    </row>
    <row r="1331">
      <c r="A1331" s="5" t="s">
        <v>57</v>
      </c>
      <c r="B1331" s="5" t="s">
        <v>1867</v>
      </c>
      <c r="C1331" s="5" t="s">
        <v>72</v>
      </c>
      <c r="D1331" s="6">
        <v>10.0</v>
      </c>
      <c r="E1331" s="6">
        <v>21358.0</v>
      </c>
      <c r="F1331" s="6">
        <v>22908.0</v>
      </c>
      <c r="G1331" s="6">
        <v>33515.0</v>
      </c>
      <c r="H1331" s="6">
        <v>0.6373</v>
      </c>
      <c r="I1331" s="6">
        <v>0.6835</v>
      </c>
      <c r="J1331" s="6">
        <v>-0.0462</v>
      </c>
    </row>
    <row r="1332">
      <c r="A1332" s="5" t="s">
        <v>57</v>
      </c>
      <c r="B1332" s="5" t="s">
        <v>1867</v>
      </c>
      <c r="C1332" s="5" t="s">
        <v>72</v>
      </c>
      <c r="D1332" s="6">
        <v>11.0</v>
      </c>
      <c r="E1332" s="6">
        <v>17090.0</v>
      </c>
      <c r="F1332" s="6">
        <v>20867.0</v>
      </c>
      <c r="G1332" s="6">
        <v>33515.0</v>
      </c>
      <c r="H1332" s="6">
        <v>0.5099</v>
      </c>
      <c r="I1332" s="6">
        <v>0.6226</v>
      </c>
      <c r="J1332" s="6">
        <v>-0.1127</v>
      </c>
    </row>
    <row r="1333">
      <c r="A1333" s="5" t="s">
        <v>57</v>
      </c>
      <c r="B1333" s="5" t="s">
        <v>1867</v>
      </c>
      <c r="C1333" s="5" t="s">
        <v>72</v>
      </c>
      <c r="D1333" s="6">
        <v>12.0</v>
      </c>
      <c r="E1333" s="6">
        <v>14638.0</v>
      </c>
      <c r="F1333" s="6">
        <v>19664.0</v>
      </c>
      <c r="G1333" s="6">
        <v>33515.0</v>
      </c>
      <c r="H1333" s="6">
        <v>0.4368</v>
      </c>
      <c r="I1333" s="6">
        <v>0.5867</v>
      </c>
      <c r="J1333" s="6">
        <v>-0.15</v>
      </c>
    </row>
    <row r="1334">
      <c r="A1334" s="5" t="s">
        <v>57</v>
      </c>
      <c r="B1334" s="5" t="s">
        <v>1867</v>
      </c>
      <c r="C1334" s="5" t="s">
        <v>72</v>
      </c>
      <c r="D1334" s="6">
        <v>13.0</v>
      </c>
      <c r="E1334" s="6">
        <v>24631.0</v>
      </c>
      <c r="F1334" s="6">
        <v>25517.0</v>
      </c>
      <c r="G1334" s="6">
        <v>33515.0</v>
      </c>
      <c r="H1334" s="6">
        <v>0.7349</v>
      </c>
      <c r="I1334" s="6">
        <v>0.7614</v>
      </c>
      <c r="J1334" s="6">
        <v>-0.0264</v>
      </c>
    </row>
    <row r="1335">
      <c r="A1335" s="5" t="s">
        <v>57</v>
      </c>
      <c r="B1335" s="5" t="s">
        <v>1867</v>
      </c>
      <c r="C1335" s="5" t="s">
        <v>72</v>
      </c>
      <c r="D1335" s="6">
        <v>14.0</v>
      </c>
      <c r="E1335" s="6">
        <v>19648.0</v>
      </c>
      <c r="F1335" s="6">
        <v>22851.0</v>
      </c>
      <c r="G1335" s="6">
        <v>33515.0</v>
      </c>
      <c r="H1335" s="6">
        <v>0.5862</v>
      </c>
      <c r="I1335" s="6">
        <v>0.6818</v>
      </c>
      <c r="J1335" s="6">
        <v>-0.0956</v>
      </c>
    </row>
    <row r="1336">
      <c r="A1336" s="5" t="s">
        <v>57</v>
      </c>
      <c r="B1336" s="5" t="s">
        <v>1867</v>
      </c>
      <c r="C1336" s="5" t="s">
        <v>72</v>
      </c>
      <c r="D1336" s="6">
        <v>15.0</v>
      </c>
      <c r="E1336" s="6">
        <v>14531.0</v>
      </c>
      <c r="F1336" s="6">
        <v>20102.0</v>
      </c>
      <c r="G1336" s="6">
        <v>33515.0</v>
      </c>
      <c r="H1336" s="6">
        <v>0.4336</v>
      </c>
      <c r="I1336" s="6">
        <v>0.5998</v>
      </c>
      <c r="J1336" s="6">
        <v>-0.1662</v>
      </c>
    </row>
    <row r="1337">
      <c r="A1337" s="5" t="s">
        <v>57</v>
      </c>
      <c r="B1337" s="5" t="s">
        <v>1867</v>
      </c>
      <c r="C1337" s="5" t="s">
        <v>72</v>
      </c>
      <c r="D1337" s="6">
        <v>16.0</v>
      </c>
      <c r="E1337" s="6">
        <v>16561.0</v>
      </c>
      <c r="F1337" s="6">
        <v>19333.0</v>
      </c>
      <c r="G1337" s="6">
        <v>33515.0</v>
      </c>
      <c r="H1337" s="6">
        <v>0.4941</v>
      </c>
      <c r="I1337" s="6">
        <v>0.5768</v>
      </c>
      <c r="J1337" s="6">
        <v>-0.0827</v>
      </c>
    </row>
    <row r="1338">
      <c r="A1338" s="5" t="s">
        <v>57</v>
      </c>
      <c r="B1338" s="5" t="s">
        <v>1867</v>
      </c>
      <c r="C1338" s="5" t="s">
        <v>72</v>
      </c>
      <c r="D1338" s="6">
        <v>17.0</v>
      </c>
      <c r="E1338" s="6">
        <v>20126.0</v>
      </c>
      <c r="F1338" s="6">
        <v>21658.0</v>
      </c>
      <c r="G1338" s="6">
        <v>33515.0</v>
      </c>
      <c r="H1338" s="6">
        <v>0.6005</v>
      </c>
      <c r="I1338" s="6">
        <v>0.6462</v>
      </c>
      <c r="J1338" s="6">
        <v>-0.0457</v>
      </c>
    </row>
    <row r="1339">
      <c r="A1339" s="5" t="s">
        <v>57</v>
      </c>
      <c r="B1339" s="5" t="s">
        <v>1867</v>
      </c>
      <c r="C1339" s="5" t="s">
        <v>72</v>
      </c>
      <c r="D1339" s="6">
        <v>18.0</v>
      </c>
      <c r="E1339" s="6">
        <v>15972.0</v>
      </c>
      <c r="F1339" s="6">
        <v>19378.0</v>
      </c>
      <c r="G1339" s="6">
        <v>33515.0</v>
      </c>
      <c r="H1339" s="6">
        <v>0.4766</v>
      </c>
      <c r="I1339" s="6">
        <v>0.5782</v>
      </c>
      <c r="J1339" s="6">
        <v>-0.1016</v>
      </c>
    </row>
    <row r="1340">
      <c r="A1340" s="5" t="s">
        <v>57</v>
      </c>
      <c r="B1340" s="5" t="s">
        <v>1867</v>
      </c>
      <c r="C1340" s="5" t="s">
        <v>72</v>
      </c>
      <c r="D1340" s="6">
        <v>19.0</v>
      </c>
      <c r="E1340" s="6">
        <v>13080.0</v>
      </c>
      <c r="F1340" s="6">
        <v>17781.0</v>
      </c>
      <c r="G1340" s="6">
        <v>33515.0</v>
      </c>
      <c r="H1340" s="6">
        <v>0.3903</v>
      </c>
      <c r="I1340" s="6">
        <v>0.5305</v>
      </c>
      <c r="J1340" s="6">
        <v>-0.1403</v>
      </c>
    </row>
    <row r="1341">
      <c r="A1341" s="5" t="s">
        <v>57</v>
      </c>
      <c r="B1341" s="5" t="s">
        <v>1867</v>
      </c>
      <c r="C1341" s="5" t="s">
        <v>72</v>
      </c>
      <c r="D1341" s="6">
        <v>20.0</v>
      </c>
      <c r="E1341" s="6">
        <v>23697.0</v>
      </c>
      <c r="F1341" s="6">
        <v>24369.0</v>
      </c>
      <c r="G1341" s="6">
        <v>33515.0</v>
      </c>
      <c r="H1341" s="6">
        <v>0.7071</v>
      </c>
      <c r="I1341" s="6">
        <v>0.7271</v>
      </c>
      <c r="J1341" s="6">
        <v>-0.0201</v>
      </c>
    </row>
    <row r="1342">
      <c r="A1342" s="5" t="s">
        <v>57</v>
      </c>
      <c r="B1342" s="5" t="s">
        <v>1867</v>
      </c>
      <c r="C1342" s="5" t="s">
        <v>72</v>
      </c>
      <c r="D1342" s="6">
        <v>21.0</v>
      </c>
      <c r="E1342" s="6">
        <v>25021.0</v>
      </c>
      <c r="F1342" s="6">
        <v>25685.0</v>
      </c>
      <c r="G1342" s="6">
        <v>33515.0</v>
      </c>
      <c r="H1342" s="6">
        <v>0.7466</v>
      </c>
      <c r="I1342" s="6">
        <v>0.7664</v>
      </c>
      <c r="J1342" s="6">
        <v>-0.0198</v>
      </c>
    </row>
    <row r="1343">
      <c r="A1343" s="5" t="s">
        <v>57</v>
      </c>
      <c r="B1343" s="5" t="s">
        <v>1867</v>
      </c>
      <c r="C1343" s="5" t="s">
        <v>72</v>
      </c>
      <c r="D1343" s="6">
        <v>22.0</v>
      </c>
      <c r="E1343" s="6">
        <v>16196.0</v>
      </c>
      <c r="F1343" s="6">
        <v>21114.0</v>
      </c>
      <c r="G1343" s="6">
        <v>33515.0</v>
      </c>
      <c r="H1343" s="6">
        <v>0.4832</v>
      </c>
      <c r="I1343" s="6">
        <v>0.63</v>
      </c>
      <c r="J1343" s="6">
        <v>-0.1467</v>
      </c>
    </row>
    <row r="1344">
      <c r="A1344" s="5" t="s">
        <v>57</v>
      </c>
      <c r="B1344" s="5" t="s">
        <v>1867</v>
      </c>
      <c r="C1344" s="5" t="s">
        <v>72</v>
      </c>
      <c r="D1344" s="6">
        <v>23.0</v>
      </c>
      <c r="E1344" s="6">
        <v>15833.0</v>
      </c>
      <c r="F1344" s="6">
        <v>18392.0</v>
      </c>
      <c r="G1344" s="6">
        <v>33515.0</v>
      </c>
      <c r="H1344" s="6">
        <v>0.4724</v>
      </c>
      <c r="I1344" s="6">
        <v>0.5488</v>
      </c>
      <c r="J1344" s="6">
        <v>-0.0764</v>
      </c>
    </row>
    <row r="1345">
      <c r="A1345" s="5" t="s">
        <v>57</v>
      </c>
      <c r="B1345" s="5" t="s">
        <v>1867</v>
      </c>
      <c r="C1345" s="5" t="s">
        <v>72</v>
      </c>
      <c r="D1345" s="6">
        <v>24.0</v>
      </c>
      <c r="E1345" s="6">
        <v>20144.0</v>
      </c>
      <c r="F1345" s="6">
        <v>21159.0</v>
      </c>
      <c r="G1345" s="6">
        <v>33515.0</v>
      </c>
      <c r="H1345" s="6">
        <v>0.601</v>
      </c>
      <c r="I1345" s="6">
        <v>0.6313</v>
      </c>
      <c r="J1345" s="6">
        <v>-0.0303</v>
      </c>
    </row>
    <row r="1346">
      <c r="A1346" s="5" t="s">
        <v>57</v>
      </c>
      <c r="B1346" s="5" t="s">
        <v>1867</v>
      </c>
      <c r="C1346" s="5" t="s">
        <v>72</v>
      </c>
      <c r="D1346" s="6">
        <v>25.0</v>
      </c>
      <c r="E1346" s="6">
        <v>16637.0</v>
      </c>
      <c r="F1346" s="6">
        <v>19812.0</v>
      </c>
      <c r="G1346" s="6">
        <v>33515.0</v>
      </c>
      <c r="H1346" s="6">
        <v>0.4964</v>
      </c>
      <c r="I1346" s="6">
        <v>0.5911</v>
      </c>
      <c r="J1346" s="6">
        <v>-0.0947</v>
      </c>
    </row>
    <row r="1347">
      <c r="A1347" s="5" t="s">
        <v>57</v>
      </c>
      <c r="B1347" s="5" t="s">
        <v>1867</v>
      </c>
      <c r="C1347" s="5" t="s">
        <v>72</v>
      </c>
      <c r="D1347" s="6">
        <v>26.0</v>
      </c>
      <c r="E1347" s="6">
        <v>13699.0</v>
      </c>
      <c r="F1347" s="6">
        <v>18543.0</v>
      </c>
      <c r="G1347" s="6">
        <v>33515.0</v>
      </c>
      <c r="H1347" s="6">
        <v>0.4087</v>
      </c>
      <c r="I1347" s="6">
        <v>0.5533</v>
      </c>
      <c r="J1347" s="6">
        <v>-0.1445</v>
      </c>
    </row>
    <row r="1348">
      <c r="A1348" s="5" t="s">
        <v>57</v>
      </c>
      <c r="B1348" s="5" t="s">
        <v>1867</v>
      </c>
      <c r="C1348" s="5" t="s">
        <v>72</v>
      </c>
      <c r="D1348" s="6">
        <v>27.0</v>
      </c>
      <c r="E1348" s="6">
        <v>24676.0</v>
      </c>
      <c r="F1348" s="6">
        <v>25092.0</v>
      </c>
      <c r="G1348" s="6">
        <v>33515.0</v>
      </c>
      <c r="H1348" s="6">
        <v>0.7363</v>
      </c>
      <c r="I1348" s="6">
        <v>0.7487</v>
      </c>
      <c r="J1348" s="6">
        <v>-0.0124</v>
      </c>
    </row>
    <row r="1349">
      <c r="A1349" s="5" t="s">
        <v>57</v>
      </c>
      <c r="B1349" s="5" t="s">
        <v>1867</v>
      </c>
      <c r="C1349" s="5" t="s">
        <v>72</v>
      </c>
      <c r="D1349" s="6">
        <v>28.0</v>
      </c>
      <c r="E1349" s="6">
        <v>18943.0</v>
      </c>
      <c r="F1349" s="6">
        <v>21740.0</v>
      </c>
      <c r="G1349" s="6">
        <v>33515.0</v>
      </c>
      <c r="H1349" s="6">
        <v>0.5652</v>
      </c>
      <c r="I1349" s="6">
        <v>0.6487</v>
      </c>
      <c r="J1349" s="6">
        <v>-0.0835</v>
      </c>
    </row>
    <row r="1350">
      <c r="A1350" s="5" t="s">
        <v>57</v>
      </c>
      <c r="B1350" s="5" t="s">
        <v>1867</v>
      </c>
      <c r="C1350" s="5" t="s">
        <v>72</v>
      </c>
      <c r="D1350" s="6">
        <v>29.0</v>
      </c>
      <c r="E1350" s="6">
        <v>14133.0</v>
      </c>
      <c r="F1350" s="6">
        <v>19555.0</v>
      </c>
      <c r="G1350" s="6">
        <v>33515.0</v>
      </c>
      <c r="H1350" s="6">
        <v>0.4217</v>
      </c>
      <c r="I1350" s="6">
        <v>0.5835</v>
      </c>
      <c r="J1350" s="6">
        <v>-0.1618</v>
      </c>
    </row>
    <row r="1351">
      <c r="A1351" s="5" t="s">
        <v>57</v>
      </c>
      <c r="B1351" s="5" t="s">
        <v>1867</v>
      </c>
      <c r="C1351" s="5" t="s">
        <v>72</v>
      </c>
      <c r="D1351" s="6">
        <v>30.0</v>
      </c>
      <c r="E1351" s="6">
        <v>16244.0</v>
      </c>
      <c r="F1351" s="6">
        <v>18686.0</v>
      </c>
      <c r="G1351" s="6">
        <v>33515.0</v>
      </c>
      <c r="H1351" s="6">
        <v>0.4847</v>
      </c>
      <c r="I1351" s="6">
        <v>0.5575</v>
      </c>
      <c r="J1351" s="6">
        <v>-0.0729</v>
      </c>
    </row>
    <row r="1352">
      <c r="A1352" s="5" t="s">
        <v>57</v>
      </c>
      <c r="B1352" s="5" t="s">
        <v>1867</v>
      </c>
      <c r="C1352" s="5" t="s">
        <v>72</v>
      </c>
      <c r="D1352" s="6">
        <v>31.0</v>
      </c>
      <c r="E1352" s="6">
        <v>20409.0</v>
      </c>
      <c r="F1352" s="6">
        <v>21182.0</v>
      </c>
      <c r="G1352" s="6">
        <v>33515.0</v>
      </c>
      <c r="H1352" s="6">
        <v>0.609</v>
      </c>
      <c r="I1352" s="6">
        <v>0.632</v>
      </c>
      <c r="J1352" s="6">
        <v>-0.0231</v>
      </c>
    </row>
    <row r="1353">
      <c r="A1353" s="5" t="s">
        <v>57</v>
      </c>
      <c r="B1353" s="5" t="s">
        <v>1867</v>
      </c>
      <c r="C1353" s="5" t="s">
        <v>72</v>
      </c>
      <c r="D1353" s="6">
        <v>32.0</v>
      </c>
      <c r="E1353" s="6">
        <v>16139.0</v>
      </c>
      <c r="F1353" s="6">
        <v>19574.0</v>
      </c>
      <c r="G1353" s="6">
        <v>33515.0</v>
      </c>
      <c r="H1353" s="6">
        <v>0.4815</v>
      </c>
      <c r="I1353" s="6">
        <v>0.584</v>
      </c>
      <c r="J1353" s="6">
        <v>-0.1025</v>
      </c>
    </row>
    <row r="1354">
      <c r="A1354" s="5" t="s">
        <v>57</v>
      </c>
      <c r="B1354" s="5" t="s">
        <v>1867</v>
      </c>
      <c r="C1354" s="5" t="s">
        <v>72</v>
      </c>
      <c r="D1354" s="6">
        <v>33.0</v>
      </c>
      <c r="E1354" s="6">
        <v>13595.0</v>
      </c>
      <c r="F1354" s="6">
        <v>18004.0</v>
      </c>
      <c r="G1354" s="6">
        <v>33515.0</v>
      </c>
      <c r="H1354" s="6">
        <v>0.4056</v>
      </c>
      <c r="I1354" s="6">
        <v>0.5372</v>
      </c>
      <c r="J1354" s="6">
        <v>-0.1316</v>
      </c>
    </row>
    <row r="1355">
      <c r="A1355" s="5" t="s">
        <v>57</v>
      </c>
      <c r="B1355" s="5" t="s">
        <v>1867</v>
      </c>
      <c r="C1355" s="5" t="s">
        <v>73</v>
      </c>
      <c r="D1355" s="6">
        <v>1.0</v>
      </c>
      <c r="E1355" s="6">
        <v>13646.0</v>
      </c>
      <c r="F1355" s="6">
        <v>19979.0</v>
      </c>
      <c r="G1355" s="6">
        <v>33587.0</v>
      </c>
      <c r="H1355" s="6">
        <v>0.4063</v>
      </c>
      <c r="I1355" s="6">
        <v>0.5948</v>
      </c>
      <c r="J1355" s="6">
        <v>-0.1886</v>
      </c>
    </row>
    <row r="1356">
      <c r="A1356" s="5" t="s">
        <v>57</v>
      </c>
      <c r="B1356" s="5" t="s">
        <v>1867</v>
      </c>
      <c r="C1356" s="5" t="s">
        <v>73</v>
      </c>
      <c r="D1356" s="6">
        <v>2.0</v>
      </c>
      <c r="E1356" s="6">
        <v>16995.0</v>
      </c>
      <c r="F1356" s="6">
        <v>19103.0</v>
      </c>
      <c r="G1356" s="6">
        <v>33587.0</v>
      </c>
      <c r="H1356" s="6">
        <v>0.506</v>
      </c>
      <c r="I1356" s="6">
        <v>0.5688</v>
      </c>
      <c r="J1356" s="6">
        <v>-0.0628</v>
      </c>
    </row>
    <row r="1357">
      <c r="A1357" s="5" t="s">
        <v>57</v>
      </c>
      <c r="B1357" s="5" t="s">
        <v>1867</v>
      </c>
      <c r="C1357" s="5" t="s">
        <v>73</v>
      </c>
      <c r="D1357" s="6">
        <v>3.0</v>
      </c>
      <c r="E1357" s="6">
        <v>16609.0</v>
      </c>
      <c r="F1357" s="6">
        <v>19562.0</v>
      </c>
      <c r="G1357" s="6">
        <v>33587.0</v>
      </c>
      <c r="H1357" s="6">
        <v>0.4945</v>
      </c>
      <c r="I1357" s="6">
        <v>0.5824</v>
      </c>
      <c r="J1357" s="6">
        <v>-0.0879</v>
      </c>
    </row>
    <row r="1358">
      <c r="A1358" s="5" t="s">
        <v>57</v>
      </c>
      <c r="B1358" s="5" t="s">
        <v>1867</v>
      </c>
      <c r="C1358" s="5" t="s">
        <v>73</v>
      </c>
      <c r="D1358" s="6">
        <v>4.0</v>
      </c>
      <c r="E1358" s="6">
        <v>16924.0</v>
      </c>
      <c r="F1358" s="6">
        <v>19226.0</v>
      </c>
      <c r="G1358" s="6">
        <v>33587.0</v>
      </c>
      <c r="H1358" s="6">
        <v>0.5039</v>
      </c>
      <c r="I1358" s="6">
        <v>0.5724</v>
      </c>
      <c r="J1358" s="6">
        <v>-0.0685</v>
      </c>
    </row>
    <row r="1359">
      <c r="A1359" s="5" t="s">
        <v>57</v>
      </c>
      <c r="B1359" s="5" t="s">
        <v>1867</v>
      </c>
      <c r="C1359" s="5" t="s">
        <v>73</v>
      </c>
      <c r="D1359" s="6">
        <v>5.0</v>
      </c>
      <c r="E1359" s="6">
        <v>15188.0</v>
      </c>
      <c r="F1359" s="6">
        <v>19470.0</v>
      </c>
      <c r="G1359" s="6">
        <v>33587.0</v>
      </c>
      <c r="H1359" s="6">
        <v>0.4522</v>
      </c>
      <c r="I1359" s="6">
        <v>0.5797</v>
      </c>
      <c r="J1359" s="6">
        <v>-0.1275</v>
      </c>
    </row>
    <row r="1360">
      <c r="A1360" s="5" t="s">
        <v>57</v>
      </c>
      <c r="B1360" s="5" t="s">
        <v>1867</v>
      </c>
      <c r="C1360" s="5" t="s">
        <v>73</v>
      </c>
      <c r="D1360" s="6">
        <v>6.0</v>
      </c>
      <c r="E1360" s="6">
        <v>25730.0</v>
      </c>
      <c r="F1360" s="6">
        <v>24774.0</v>
      </c>
      <c r="G1360" s="6">
        <v>33587.0</v>
      </c>
      <c r="H1360" s="6">
        <v>0.7661</v>
      </c>
      <c r="I1360" s="6">
        <v>0.7376</v>
      </c>
      <c r="J1360" s="6">
        <v>0.0285</v>
      </c>
    </row>
    <row r="1361">
      <c r="A1361" s="5" t="s">
        <v>57</v>
      </c>
      <c r="B1361" s="5" t="s">
        <v>1867</v>
      </c>
      <c r="C1361" s="5" t="s">
        <v>73</v>
      </c>
      <c r="D1361" s="6">
        <v>7.0</v>
      </c>
      <c r="E1361" s="6">
        <v>18476.0</v>
      </c>
      <c r="F1361" s="6">
        <v>21662.0</v>
      </c>
      <c r="G1361" s="6">
        <v>33587.0</v>
      </c>
      <c r="H1361" s="6">
        <v>0.5501</v>
      </c>
      <c r="I1361" s="6">
        <v>0.645</v>
      </c>
      <c r="J1361" s="6">
        <v>-0.0949</v>
      </c>
    </row>
    <row r="1362">
      <c r="A1362" s="5" t="s">
        <v>57</v>
      </c>
      <c r="B1362" s="5" t="s">
        <v>1867</v>
      </c>
      <c r="C1362" s="5" t="s">
        <v>73</v>
      </c>
      <c r="D1362" s="6">
        <v>8.0</v>
      </c>
      <c r="E1362" s="6">
        <v>13607.0</v>
      </c>
      <c r="F1362" s="6">
        <v>19730.0</v>
      </c>
      <c r="G1362" s="6">
        <v>33587.0</v>
      </c>
      <c r="H1362" s="6">
        <v>0.4051</v>
      </c>
      <c r="I1362" s="6">
        <v>0.5874</v>
      </c>
      <c r="J1362" s="6">
        <v>-0.1823</v>
      </c>
    </row>
    <row r="1363">
      <c r="A1363" s="5" t="s">
        <v>57</v>
      </c>
      <c r="B1363" s="5" t="s">
        <v>1867</v>
      </c>
      <c r="C1363" s="5" t="s">
        <v>73</v>
      </c>
      <c r="D1363" s="6">
        <v>9.0</v>
      </c>
      <c r="E1363" s="6">
        <v>14798.0</v>
      </c>
      <c r="F1363" s="6">
        <v>17782.0</v>
      </c>
      <c r="G1363" s="6">
        <v>33587.0</v>
      </c>
      <c r="H1363" s="6">
        <v>0.4406</v>
      </c>
      <c r="I1363" s="6">
        <v>0.5294</v>
      </c>
      <c r="J1363" s="6">
        <v>-0.0888</v>
      </c>
    </row>
    <row r="1364">
      <c r="A1364" s="5" t="s">
        <v>57</v>
      </c>
      <c r="B1364" s="5" t="s">
        <v>1867</v>
      </c>
      <c r="C1364" s="5" t="s">
        <v>73</v>
      </c>
      <c r="D1364" s="6">
        <v>10.0</v>
      </c>
      <c r="E1364" s="6">
        <v>15760.0</v>
      </c>
      <c r="F1364" s="6">
        <v>18935.0</v>
      </c>
      <c r="G1364" s="6">
        <v>33587.0</v>
      </c>
      <c r="H1364" s="6">
        <v>0.4692</v>
      </c>
      <c r="I1364" s="6">
        <v>0.5638</v>
      </c>
      <c r="J1364" s="6">
        <v>-0.0945</v>
      </c>
    </row>
    <row r="1365">
      <c r="A1365" s="5" t="s">
        <v>57</v>
      </c>
      <c r="B1365" s="5" t="s">
        <v>1867</v>
      </c>
      <c r="C1365" s="5" t="s">
        <v>73</v>
      </c>
      <c r="D1365" s="6">
        <v>11.0</v>
      </c>
      <c r="E1365" s="6">
        <v>15387.0</v>
      </c>
      <c r="F1365" s="6">
        <v>18321.0</v>
      </c>
      <c r="G1365" s="6">
        <v>33587.0</v>
      </c>
      <c r="H1365" s="6">
        <v>0.4581</v>
      </c>
      <c r="I1365" s="6">
        <v>0.5455</v>
      </c>
      <c r="J1365" s="6">
        <v>-0.0874</v>
      </c>
    </row>
    <row r="1366">
      <c r="A1366" s="5" t="s">
        <v>57</v>
      </c>
      <c r="B1366" s="5" t="s">
        <v>1867</v>
      </c>
      <c r="C1366" s="5" t="s">
        <v>73</v>
      </c>
      <c r="D1366" s="6">
        <v>12.0</v>
      </c>
      <c r="E1366" s="6">
        <v>13911.0</v>
      </c>
      <c r="F1366" s="6">
        <v>18529.0</v>
      </c>
      <c r="G1366" s="6">
        <v>33587.0</v>
      </c>
      <c r="H1366" s="6">
        <v>0.4142</v>
      </c>
      <c r="I1366" s="6">
        <v>0.5517</v>
      </c>
      <c r="J1366" s="6">
        <v>-0.1375</v>
      </c>
    </row>
    <row r="1367">
      <c r="A1367" s="5" t="s">
        <v>57</v>
      </c>
      <c r="B1367" s="5" t="s">
        <v>1867</v>
      </c>
      <c r="C1367" s="5" t="s">
        <v>73</v>
      </c>
      <c r="D1367" s="6">
        <v>13.0</v>
      </c>
      <c r="E1367" s="6">
        <v>24612.0</v>
      </c>
      <c r="F1367" s="6">
        <v>24173.0</v>
      </c>
      <c r="G1367" s="6">
        <v>33587.0</v>
      </c>
      <c r="H1367" s="6">
        <v>0.7328</v>
      </c>
      <c r="I1367" s="6">
        <v>0.7197</v>
      </c>
      <c r="J1367" s="6">
        <v>0.0131</v>
      </c>
    </row>
    <row r="1368">
      <c r="A1368" s="5" t="s">
        <v>57</v>
      </c>
      <c r="B1368" s="5" t="s">
        <v>1867</v>
      </c>
      <c r="C1368" s="5" t="s">
        <v>73</v>
      </c>
      <c r="D1368" s="6">
        <v>14.0</v>
      </c>
      <c r="E1368" s="6">
        <v>17471.0</v>
      </c>
      <c r="F1368" s="6">
        <v>21126.0</v>
      </c>
      <c r="G1368" s="6">
        <v>33587.0</v>
      </c>
      <c r="H1368" s="6">
        <v>0.5202</v>
      </c>
      <c r="I1368" s="6">
        <v>0.629</v>
      </c>
      <c r="J1368" s="6">
        <v>-0.1088</v>
      </c>
    </row>
    <row r="1369">
      <c r="A1369" s="5" t="s">
        <v>57</v>
      </c>
      <c r="B1369" s="5" t="s">
        <v>1867</v>
      </c>
      <c r="C1369" s="5" t="s">
        <v>73</v>
      </c>
      <c r="D1369" s="6">
        <v>15.0</v>
      </c>
      <c r="E1369" s="6">
        <v>12477.0</v>
      </c>
      <c r="F1369" s="6">
        <v>18257.0</v>
      </c>
      <c r="G1369" s="6">
        <v>33587.0</v>
      </c>
      <c r="H1369" s="6">
        <v>0.3715</v>
      </c>
      <c r="I1369" s="6">
        <v>0.5436</v>
      </c>
      <c r="J1369" s="6">
        <v>-0.1721</v>
      </c>
    </row>
    <row r="1370">
      <c r="A1370" s="5" t="s">
        <v>57</v>
      </c>
      <c r="B1370" s="5" t="s">
        <v>1867</v>
      </c>
      <c r="C1370" s="5" t="s">
        <v>73</v>
      </c>
      <c r="D1370" s="6">
        <v>16.0</v>
      </c>
      <c r="E1370" s="6">
        <v>15443.0</v>
      </c>
      <c r="F1370" s="6">
        <v>17198.0</v>
      </c>
      <c r="G1370" s="6">
        <v>33587.0</v>
      </c>
      <c r="H1370" s="6">
        <v>0.4598</v>
      </c>
      <c r="I1370" s="6">
        <v>0.512</v>
      </c>
      <c r="J1370" s="6">
        <v>-0.0523</v>
      </c>
    </row>
    <row r="1371">
      <c r="A1371" s="5" t="s">
        <v>57</v>
      </c>
      <c r="B1371" s="5" t="s">
        <v>1867</v>
      </c>
      <c r="C1371" s="5" t="s">
        <v>73</v>
      </c>
      <c r="D1371" s="6">
        <v>17.0</v>
      </c>
      <c r="E1371" s="6">
        <v>15505.0</v>
      </c>
      <c r="F1371" s="6">
        <v>18498.0</v>
      </c>
      <c r="G1371" s="6">
        <v>33587.0</v>
      </c>
      <c r="H1371" s="6">
        <v>0.4616</v>
      </c>
      <c r="I1371" s="6">
        <v>0.5507</v>
      </c>
      <c r="J1371" s="6">
        <v>-0.0891</v>
      </c>
    </row>
    <row r="1372">
      <c r="A1372" s="5" t="s">
        <v>57</v>
      </c>
      <c r="B1372" s="5" t="s">
        <v>1867</v>
      </c>
      <c r="C1372" s="5" t="s">
        <v>73</v>
      </c>
      <c r="D1372" s="6">
        <v>18.0</v>
      </c>
      <c r="E1372" s="6">
        <v>14755.0</v>
      </c>
      <c r="F1372" s="6">
        <v>17360.0</v>
      </c>
      <c r="G1372" s="6">
        <v>33587.0</v>
      </c>
      <c r="H1372" s="6">
        <v>0.4393</v>
      </c>
      <c r="I1372" s="6">
        <v>0.5169</v>
      </c>
      <c r="J1372" s="6">
        <v>-0.0776</v>
      </c>
    </row>
    <row r="1373">
      <c r="A1373" s="5" t="s">
        <v>57</v>
      </c>
      <c r="B1373" s="5" t="s">
        <v>1867</v>
      </c>
      <c r="C1373" s="5" t="s">
        <v>73</v>
      </c>
      <c r="D1373" s="6">
        <v>19.0</v>
      </c>
      <c r="E1373" s="6">
        <v>13093.0</v>
      </c>
      <c r="F1373" s="6">
        <v>17033.0</v>
      </c>
      <c r="G1373" s="6">
        <v>33587.0</v>
      </c>
      <c r="H1373" s="6">
        <v>0.3898</v>
      </c>
      <c r="I1373" s="6">
        <v>0.5071</v>
      </c>
      <c r="J1373" s="6">
        <v>-0.1173</v>
      </c>
    </row>
    <row r="1374">
      <c r="A1374" s="5" t="s">
        <v>57</v>
      </c>
      <c r="B1374" s="5" t="s">
        <v>1867</v>
      </c>
      <c r="C1374" s="5" t="s">
        <v>73</v>
      </c>
      <c r="D1374" s="6">
        <v>20.0</v>
      </c>
      <c r="E1374" s="6">
        <v>23534.0</v>
      </c>
      <c r="F1374" s="6">
        <v>22185.0</v>
      </c>
      <c r="G1374" s="6">
        <v>33587.0</v>
      </c>
      <c r="H1374" s="6">
        <v>0.7007</v>
      </c>
      <c r="I1374" s="6">
        <v>0.6605</v>
      </c>
      <c r="J1374" s="6">
        <v>0.0402</v>
      </c>
    </row>
    <row r="1375">
      <c r="A1375" s="5" t="s">
        <v>57</v>
      </c>
      <c r="B1375" s="5" t="s">
        <v>1867</v>
      </c>
      <c r="C1375" s="5" t="s">
        <v>73</v>
      </c>
      <c r="D1375" s="6">
        <v>21.0</v>
      </c>
      <c r="E1375" s="6">
        <v>25481.0</v>
      </c>
      <c r="F1375" s="6">
        <v>24144.0</v>
      </c>
      <c r="G1375" s="6">
        <v>33587.0</v>
      </c>
      <c r="H1375" s="6">
        <v>0.7587</v>
      </c>
      <c r="I1375" s="6">
        <v>0.7188</v>
      </c>
      <c r="J1375" s="6">
        <v>0.0398</v>
      </c>
    </row>
    <row r="1376">
      <c r="A1376" s="5" t="s">
        <v>57</v>
      </c>
      <c r="B1376" s="5" t="s">
        <v>1867</v>
      </c>
      <c r="C1376" s="5" t="s">
        <v>73</v>
      </c>
      <c r="D1376" s="6">
        <v>22.0</v>
      </c>
      <c r="E1376" s="6">
        <v>16578.0</v>
      </c>
      <c r="F1376" s="6">
        <v>20187.0</v>
      </c>
      <c r="G1376" s="6">
        <v>33587.0</v>
      </c>
      <c r="H1376" s="6">
        <v>0.4936</v>
      </c>
      <c r="I1376" s="6">
        <v>0.601</v>
      </c>
      <c r="J1376" s="6">
        <v>-0.1075</v>
      </c>
    </row>
    <row r="1377">
      <c r="A1377" s="5" t="s">
        <v>57</v>
      </c>
      <c r="B1377" s="5" t="s">
        <v>1867</v>
      </c>
      <c r="C1377" s="5" t="s">
        <v>73</v>
      </c>
      <c r="D1377" s="6">
        <v>23.0</v>
      </c>
      <c r="E1377" s="6">
        <v>15380.0</v>
      </c>
      <c r="F1377" s="6">
        <v>18017.0</v>
      </c>
      <c r="G1377" s="6">
        <v>33587.0</v>
      </c>
      <c r="H1377" s="6">
        <v>0.4579</v>
      </c>
      <c r="I1377" s="6">
        <v>0.5364</v>
      </c>
      <c r="J1377" s="6">
        <v>-0.0785</v>
      </c>
    </row>
    <row r="1378">
      <c r="A1378" s="5" t="s">
        <v>57</v>
      </c>
      <c r="B1378" s="5" t="s">
        <v>1867</v>
      </c>
      <c r="C1378" s="5" t="s">
        <v>73</v>
      </c>
      <c r="D1378" s="6">
        <v>24.0</v>
      </c>
      <c r="E1378" s="6">
        <v>16454.0</v>
      </c>
      <c r="F1378" s="6">
        <v>18671.0</v>
      </c>
      <c r="G1378" s="6">
        <v>33587.0</v>
      </c>
      <c r="H1378" s="6">
        <v>0.4899</v>
      </c>
      <c r="I1378" s="6">
        <v>0.5559</v>
      </c>
      <c r="J1378" s="6">
        <v>-0.066</v>
      </c>
    </row>
    <row r="1379">
      <c r="A1379" s="5" t="s">
        <v>57</v>
      </c>
      <c r="B1379" s="5" t="s">
        <v>1867</v>
      </c>
      <c r="C1379" s="5" t="s">
        <v>73</v>
      </c>
      <c r="D1379" s="6">
        <v>25.0</v>
      </c>
      <c r="E1379" s="6">
        <v>15723.0</v>
      </c>
      <c r="F1379" s="6">
        <v>18447.0</v>
      </c>
      <c r="G1379" s="6">
        <v>33587.0</v>
      </c>
      <c r="H1379" s="6">
        <v>0.4681</v>
      </c>
      <c r="I1379" s="6">
        <v>0.5492</v>
      </c>
      <c r="J1379" s="6">
        <v>-0.0811</v>
      </c>
    </row>
    <row r="1380">
      <c r="A1380" s="5" t="s">
        <v>57</v>
      </c>
      <c r="B1380" s="5" t="s">
        <v>1867</v>
      </c>
      <c r="C1380" s="5" t="s">
        <v>73</v>
      </c>
      <c r="D1380" s="6">
        <v>26.0</v>
      </c>
      <c r="E1380" s="6">
        <v>13938.0</v>
      </c>
      <c r="F1380" s="6">
        <v>18015.0</v>
      </c>
      <c r="G1380" s="6">
        <v>33587.0</v>
      </c>
      <c r="H1380" s="6">
        <v>0.415</v>
      </c>
      <c r="I1380" s="6">
        <v>0.5364</v>
      </c>
      <c r="J1380" s="6">
        <v>-0.1214</v>
      </c>
    </row>
    <row r="1381">
      <c r="A1381" s="5" t="s">
        <v>57</v>
      </c>
      <c r="B1381" s="5" t="s">
        <v>1867</v>
      </c>
      <c r="C1381" s="5" t="s">
        <v>73</v>
      </c>
      <c r="D1381" s="6">
        <v>27.0</v>
      </c>
      <c r="E1381" s="6">
        <v>25093.0</v>
      </c>
      <c r="F1381" s="6">
        <v>23623.0</v>
      </c>
      <c r="G1381" s="6">
        <v>33587.0</v>
      </c>
      <c r="H1381" s="6">
        <v>0.7471</v>
      </c>
      <c r="I1381" s="6">
        <v>0.7033</v>
      </c>
      <c r="J1381" s="6">
        <v>0.0438</v>
      </c>
    </row>
    <row r="1382">
      <c r="A1382" s="5" t="s">
        <v>57</v>
      </c>
      <c r="B1382" s="5" t="s">
        <v>1867</v>
      </c>
      <c r="C1382" s="5" t="s">
        <v>73</v>
      </c>
      <c r="D1382" s="6">
        <v>28.0</v>
      </c>
      <c r="E1382" s="6">
        <v>16766.0</v>
      </c>
      <c r="F1382" s="6">
        <v>19929.0</v>
      </c>
      <c r="G1382" s="6">
        <v>33587.0</v>
      </c>
      <c r="H1382" s="6">
        <v>0.4992</v>
      </c>
      <c r="I1382" s="6">
        <v>0.5934</v>
      </c>
      <c r="J1382" s="6">
        <v>-0.0942</v>
      </c>
    </row>
    <row r="1383">
      <c r="A1383" s="5" t="s">
        <v>57</v>
      </c>
      <c r="B1383" s="5" t="s">
        <v>1867</v>
      </c>
      <c r="C1383" s="5" t="s">
        <v>73</v>
      </c>
      <c r="D1383" s="6">
        <v>29.0</v>
      </c>
      <c r="E1383" s="6">
        <v>12625.0</v>
      </c>
      <c r="F1383" s="6">
        <v>18113.0</v>
      </c>
      <c r="G1383" s="6">
        <v>33587.0</v>
      </c>
      <c r="H1383" s="6">
        <v>0.3759</v>
      </c>
      <c r="I1383" s="6">
        <v>0.5393</v>
      </c>
      <c r="J1383" s="6">
        <v>-0.1634</v>
      </c>
    </row>
    <row r="1384">
      <c r="A1384" s="5" t="s">
        <v>57</v>
      </c>
      <c r="B1384" s="5" t="s">
        <v>1867</v>
      </c>
      <c r="C1384" s="5" t="s">
        <v>73</v>
      </c>
      <c r="D1384" s="6">
        <v>30.0</v>
      </c>
      <c r="E1384" s="6">
        <v>15301.0</v>
      </c>
      <c r="F1384" s="6">
        <v>17504.0</v>
      </c>
      <c r="G1384" s="6">
        <v>33587.0</v>
      </c>
      <c r="H1384" s="6">
        <v>0.4556</v>
      </c>
      <c r="I1384" s="6">
        <v>0.5212</v>
      </c>
      <c r="J1384" s="6">
        <v>-0.0656</v>
      </c>
    </row>
    <row r="1385">
      <c r="A1385" s="5" t="s">
        <v>57</v>
      </c>
      <c r="B1385" s="5" t="s">
        <v>1867</v>
      </c>
      <c r="C1385" s="5" t="s">
        <v>73</v>
      </c>
      <c r="D1385" s="6">
        <v>31.0</v>
      </c>
      <c r="E1385" s="6">
        <v>16086.0</v>
      </c>
      <c r="F1385" s="6">
        <v>18571.0</v>
      </c>
      <c r="G1385" s="6">
        <v>33587.0</v>
      </c>
      <c r="H1385" s="6">
        <v>0.4789</v>
      </c>
      <c r="I1385" s="6">
        <v>0.5529</v>
      </c>
      <c r="J1385" s="6">
        <v>-0.074</v>
      </c>
    </row>
    <row r="1386">
      <c r="A1386" s="5" t="s">
        <v>57</v>
      </c>
      <c r="B1386" s="5" t="s">
        <v>1867</v>
      </c>
      <c r="C1386" s="5" t="s">
        <v>73</v>
      </c>
      <c r="D1386" s="6">
        <v>32.0</v>
      </c>
      <c r="E1386" s="6">
        <v>14455.0</v>
      </c>
      <c r="F1386" s="6">
        <v>17097.0</v>
      </c>
      <c r="G1386" s="6">
        <v>33587.0</v>
      </c>
      <c r="H1386" s="6">
        <v>0.4304</v>
      </c>
      <c r="I1386" s="6">
        <v>0.509</v>
      </c>
      <c r="J1386" s="6">
        <v>-0.0787</v>
      </c>
    </row>
    <row r="1387">
      <c r="A1387" s="5" t="s">
        <v>57</v>
      </c>
      <c r="B1387" s="5" t="s">
        <v>1867</v>
      </c>
      <c r="C1387" s="5" t="s">
        <v>73</v>
      </c>
      <c r="D1387" s="6">
        <v>33.0</v>
      </c>
      <c r="E1387" s="6">
        <v>13169.0</v>
      </c>
      <c r="F1387" s="6">
        <v>16990.0</v>
      </c>
      <c r="G1387" s="6">
        <v>33587.0</v>
      </c>
      <c r="H1387" s="6">
        <v>0.3921</v>
      </c>
      <c r="I1387" s="6">
        <v>0.5059</v>
      </c>
      <c r="J1387" s="6">
        <v>-0.1138</v>
      </c>
    </row>
    <row r="1388">
      <c r="A1388" s="5" t="s">
        <v>57</v>
      </c>
      <c r="B1388" s="5" t="s">
        <v>1867</v>
      </c>
      <c r="C1388" s="5" t="s">
        <v>74</v>
      </c>
      <c r="D1388" s="6">
        <v>1.0</v>
      </c>
      <c r="E1388" s="6">
        <v>7498.0</v>
      </c>
      <c r="F1388" s="6">
        <v>11510.0</v>
      </c>
      <c r="G1388" s="6">
        <v>31582.0</v>
      </c>
      <c r="H1388" s="6">
        <v>0.2374</v>
      </c>
      <c r="I1388" s="6">
        <v>0.3644</v>
      </c>
      <c r="J1388" s="6">
        <v>-0.127</v>
      </c>
    </row>
    <row r="1389">
      <c r="A1389" s="5" t="s">
        <v>57</v>
      </c>
      <c r="B1389" s="5" t="s">
        <v>1867</v>
      </c>
      <c r="C1389" s="5" t="s">
        <v>74</v>
      </c>
      <c r="D1389" s="6">
        <v>2.0</v>
      </c>
      <c r="E1389" s="6">
        <v>9079.0</v>
      </c>
      <c r="F1389" s="6">
        <v>10907.0</v>
      </c>
      <c r="G1389" s="6">
        <v>31582.0</v>
      </c>
      <c r="H1389" s="6">
        <v>0.2875</v>
      </c>
      <c r="I1389" s="6">
        <v>0.3454</v>
      </c>
      <c r="J1389" s="6">
        <v>-0.0579</v>
      </c>
    </row>
    <row r="1390">
      <c r="A1390" s="5" t="s">
        <v>57</v>
      </c>
      <c r="B1390" s="5" t="s">
        <v>1867</v>
      </c>
      <c r="C1390" s="5" t="s">
        <v>74</v>
      </c>
      <c r="D1390" s="6">
        <v>3.0</v>
      </c>
      <c r="E1390" s="6">
        <v>9256.0</v>
      </c>
      <c r="F1390" s="6">
        <v>11084.0</v>
      </c>
      <c r="G1390" s="6">
        <v>31582.0</v>
      </c>
      <c r="H1390" s="6">
        <v>0.2931</v>
      </c>
      <c r="I1390" s="6">
        <v>0.351</v>
      </c>
      <c r="J1390" s="6">
        <v>-0.0579</v>
      </c>
    </row>
    <row r="1391">
      <c r="A1391" s="5" t="s">
        <v>57</v>
      </c>
      <c r="B1391" s="5" t="s">
        <v>1867</v>
      </c>
      <c r="C1391" s="5" t="s">
        <v>74</v>
      </c>
      <c r="D1391" s="6">
        <v>4.0</v>
      </c>
      <c r="E1391" s="6">
        <v>8955.0</v>
      </c>
      <c r="F1391" s="6">
        <v>10929.0</v>
      </c>
      <c r="G1391" s="6">
        <v>31582.0</v>
      </c>
      <c r="H1391" s="6">
        <v>0.2835</v>
      </c>
      <c r="I1391" s="6">
        <v>0.3461</v>
      </c>
      <c r="J1391" s="6">
        <v>-0.0625</v>
      </c>
    </row>
    <row r="1392">
      <c r="A1392" s="5" t="s">
        <v>57</v>
      </c>
      <c r="B1392" s="5" t="s">
        <v>1867</v>
      </c>
      <c r="C1392" s="5" t="s">
        <v>74</v>
      </c>
      <c r="D1392" s="6">
        <v>5.0</v>
      </c>
      <c r="E1392" s="6">
        <v>8053.0</v>
      </c>
      <c r="F1392" s="6">
        <v>10799.0</v>
      </c>
      <c r="G1392" s="6">
        <v>31582.0</v>
      </c>
      <c r="H1392" s="6">
        <v>0.255</v>
      </c>
      <c r="I1392" s="6">
        <v>0.3419</v>
      </c>
      <c r="J1392" s="6">
        <v>-0.0869</v>
      </c>
    </row>
    <row r="1393">
      <c r="A1393" s="5" t="s">
        <v>57</v>
      </c>
      <c r="B1393" s="5" t="s">
        <v>1867</v>
      </c>
      <c r="C1393" s="5" t="s">
        <v>74</v>
      </c>
      <c r="D1393" s="6">
        <v>6.0</v>
      </c>
      <c r="E1393" s="6">
        <v>19174.0</v>
      </c>
      <c r="F1393" s="6">
        <v>18170.0</v>
      </c>
      <c r="G1393" s="6">
        <v>31582.0</v>
      </c>
      <c r="H1393" s="6">
        <v>0.6071</v>
      </c>
      <c r="I1393" s="6">
        <v>0.5753</v>
      </c>
      <c r="J1393" s="6">
        <v>0.0318</v>
      </c>
    </row>
    <row r="1394">
      <c r="A1394" s="5" t="s">
        <v>57</v>
      </c>
      <c r="B1394" s="5" t="s">
        <v>1867</v>
      </c>
      <c r="C1394" s="5" t="s">
        <v>74</v>
      </c>
      <c r="D1394" s="6">
        <v>7.0</v>
      </c>
      <c r="E1394" s="6">
        <v>10864.0</v>
      </c>
      <c r="F1394" s="6">
        <v>13737.0</v>
      </c>
      <c r="G1394" s="6">
        <v>31582.0</v>
      </c>
      <c r="H1394" s="6">
        <v>0.344</v>
      </c>
      <c r="I1394" s="6">
        <v>0.435</v>
      </c>
      <c r="J1394" s="6">
        <v>-0.091</v>
      </c>
    </row>
    <row r="1395">
      <c r="A1395" s="5" t="s">
        <v>57</v>
      </c>
      <c r="B1395" s="5" t="s">
        <v>1867</v>
      </c>
      <c r="C1395" s="5" t="s">
        <v>74</v>
      </c>
      <c r="D1395" s="6">
        <v>8.0</v>
      </c>
      <c r="E1395" s="6">
        <v>8003.0</v>
      </c>
      <c r="F1395" s="6">
        <v>11632.0</v>
      </c>
      <c r="G1395" s="6">
        <v>31582.0</v>
      </c>
      <c r="H1395" s="6">
        <v>0.2534</v>
      </c>
      <c r="I1395" s="6">
        <v>0.3683</v>
      </c>
      <c r="J1395" s="6">
        <v>-0.1149</v>
      </c>
    </row>
    <row r="1396">
      <c r="A1396" s="5" t="s">
        <v>57</v>
      </c>
      <c r="B1396" s="5" t="s">
        <v>1867</v>
      </c>
      <c r="C1396" s="5" t="s">
        <v>74</v>
      </c>
      <c r="D1396" s="6">
        <v>9.0</v>
      </c>
      <c r="E1396" s="6">
        <v>7482.0</v>
      </c>
      <c r="F1396" s="6">
        <v>10163.0</v>
      </c>
      <c r="G1396" s="6">
        <v>31582.0</v>
      </c>
      <c r="H1396" s="6">
        <v>0.2369</v>
      </c>
      <c r="I1396" s="6">
        <v>0.3218</v>
      </c>
      <c r="J1396" s="6">
        <v>-0.0849</v>
      </c>
    </row>
    <row r="1397">
      <c r="A1397" s="5" t="s">
        <v>57</v>
      </c>
      <c r="B1397" s="5" t="s">
        <v>1867</v>
      </c>
      <c r="C1397" s="5" t="s">
        <v>74</v>
      </c>
      <c r="D1397" s="6">
        <v>10.0</v>
      </c>
      <c r="E1397" s="6">
        <v>8329.0</v>
      </c>
      <c r="F1397" s="6">
        <v>10589.0</v>
      </c>
      <c r="G1397" s="6">
        <v>31582.0</v>
      </c>
      <c r="H1397" s="6">
        <v>0.2637</v>
      </c>
      <c r="I1397" s="6">
        <v>0.3353</v>
      </c>
      <c r="J1397" s="6">
        <v>-0.0716</v>
      </c>
    </row>
    <row r="1398">
      <c r="A1398" s="5" t="s">
        <v>57</v>
      </c>
      <c r="B1398" s="5" t="s">
        <v>1867</v>
      </c>
      <c r="C1398" s="5" t="s">
        <v>74</v>
      </c>
      <c r="D1398" s="6">
        <v>11.0</v>
      </c>
      <c r="E1398" s="6">
        <v>7695.0</v>
      </c>
      <c r="F1398" s="6">
        <v>10171.0</v>
      </c>
      <c r="G1398" s="6">
        <v>31582.0</v>
      </c>
      <c r="H1398" s="6">
        <v>0.2437</v>
      </c>
      <c r="I1398" s="6">
        <v>0.3221</v>
      </c>
      <c r="J1398" s="6">
        <v>-0.0784</v>
      </c>
    </row>
    <row r="1399">
      <c r="A1399" s="5" t="s">
        <v>57</v>
      </c>
      <c r="B1399" s="5" t="s">
        <v>1867</v>
      </c>
      <c r="C1399" s="5" t="s">
        <v>74</v>
      </c>
      <c r="D1399" s="6">
        <v>12.0</v>
      </c>
      <c r="E1399" s="6">
        <v>6706.0</v>
      </c>
      <c r="F1399" s="6">
        <v>9947.0</v>
      </c>
      <c r="G1399" s="6">
        <v>31582.0</v>
      </c>
      <c r="H1399" s="6">
        <v>0.2123</v>
      </c>
      <c r="I1399" s="6">
        <v>0.315</v>
      </c>
      <c r="J1399" s="6">
        <v>-0.1026</v>
      </c>
    </row>
    <row r="1400">
      <c r="A1400" s="5" t="s">
        <v>57</v>
      </c>
      <c r="B1400" s="5" t="s">
        <v>1867</v>
      </c>
      <c r="C1400" s="5" t="s">
        <v>74</v>
      </c>
      <c r="D1400" s="6">
        <v>13.0</v>
      </c>
      <c r="E1400" s="6">
        <v>17263.0</v>
      </c>
      <c r="F1400" s="6">
        <v>16769.0</v>
      </c>
      <c r="G1400" s="6">
        <v>31582.0</v>
      </c>
      <c r="H1400" s="6">
        <v>0.5466</v>
      </c>
      <c r="I1400" s="6">
        <v>0.531</v>
      </c>
      <c r="J1400" s="6">
        <v>0.0156</v>
      </c>
    </row>
    <row r="1401">
      <c r="A1401" s="5" t="s">
        <v>57</v>
      </c>
      <c r="B1401" s="5" t="s">
        <v>1867</v>
      </c>
      <c r="C1401" s="5" t="s">
        <v>74</v>
      </c>
      <c r="D1401" s="6">
        <v>14.0</v>
      </c>
      <c r="E1401" s="6">
        <v>9789.0</v>
      </c>
      <c r="F1401" s="6">
        <v>12948.0</v>
      </c>
      <c r="G1401" s="6">
        <v>31582.0</v>
      </c>
      <c r="H1401" s="6">
        <v>0.31</v>
      </c>
      <c r="I1401" s="6">
        <v>0.41</v>
      </c>
      <c r="J1401" s="6">
        <v>-0.1</v>
      </c>
    </row>
    <row r="1402">
      <c r="A1402" s="5" t="s">
        <v>57</v>
      </c>
      <c r="B1402" s="5" t="s">
        <v>1867</v>
      </c>
      <c r="C1402" s="5" t="s">
        <v>74</v>
      </c>
      <c r="D1402" s="6">
        <v>15.0</v>
      </c>
      <c r="E1402" s="6">
        <v>6960.0</v>
      </c>
      <c r="F1402" s="6">
        <v>10731.0</v>
      </c>
      <c r="G1402" s="6">
        <v>31582.0</v>
      </c>
      <c r="H1402" s="6">
        <v>0.2204</v>
      </c>
      <c r="I1402" s="6">
        <v>0.3398</v>
      </c>
      <c r="J1402" s="6">
        <v>-0.1194</v>
      </c>
    </row>
    <row r="1403">
      <c r="A1403" s="5" t="s">
        <v>57</v>
      </c>
      <c r="B1403" s="5" t="s">
        <v>1867</v>
      </c>
      <c r="C1403" s="5" t="s">
        <v>74</v>
      </c>
      <c r="D1403" s="6">
        <v>16.0</v>
      </c>
      <c r="E1403" s="6">
        <v>8096.0</v>
      </c>
      <c r="F1403" s="6">
        <v>10033.0</v>
      </c>
      <c r="G1403" s="6">
        <v>31582.0</v>
      </c>
      <c r="H1403" s="6">
        <v>0.2563</v>
      </c>
      <c r="I1403" s="6">
        <v>0.3177</v>
      </c>
      <c r="J1403" s="6">
        <v>-0.0613</v>
      </c>
    </row>
    <row r="1404">
      <c r="A1404" s="5" t="s">
        <v>57</v>
      </c>
      <c r="B1404" s="5" t="s">
        <v>1867</v>
      </c>
      <c r="C1404" s="5" t="s">
        <v>74</v>
      </c>
      <c r="D1404" s="6">
        <v>17.0</v>
      </c>
      <c r="E1404" s="6">
        <v>8713.0</v>
      </c>
      <c r="F1404" s="6">
        <v>10559.0</v>
      </c>
      <c r="G1404" s="6">
        <v>31582.0</v>
      </c>
      <c r="H1404" s="6">
        <v>0.2759</v>
      </c>
      <c r="I1404" s="6">
        <v>0.3343</v>
      </c>
      <c r="J1404" s="6">
        <v>-0.0585</v>
      </c>
    </row>
    <row r="1405">
      <c r="A1405" s="5" t="s">
        <v>57</v>
      </c>
      <c r="B1405" s="5" t="s">
        <v>1867</v>
      </c>
      <c r="C1405" s="5" t="s">
        <v>74</v>
      </c>
      <c r="D1405" s="6">
        <v>18.0</v>
      </c>
      <c r="E1405" s="6">
        <v>7924.0</v>
      </c>
      <c r="F1405" s="6">
        <v>9937.0</v>
      </c>
      <c r="G1405" s="6">
        <v>31582.0</v>
      </c>
      <c r="H1405" s="6">
        <v>0.2509</v>
      </c>
      <c r="I1405" s="6">
        <v>0.3146</v>
      </c>
      <c r="J1405" s="6">
        <v>-0.0637</v>
      </c>
    </row>
    <row r="1406">
      <c r="A1406" s="5" t="s">
        <v>57</v>
      </c>
      <c r="B1406" s="5" t="s">
        <v>1867</v>
      </c>
      <c r="C1406" s="5" t="s">
        <v>74</v>
      </c>
      <c r="D1406" s="6">
        <v>19.0</v>
      </c>
      <c r="E1406" s="6">
        <v>6662.0</v>
      </c>
      <c r="F1406" s="6">
        <v>9525.0</v>
      </c>
      <c r="G1406" s="6">
        <v>31582.0</v>
      </c>
      <c r="H1406" s="6">
        <v>0.2109</v>
      </c>
      <c r="I1406" s="6">
        <v>0.3016</v>
      </c>
      <c r="J1406" s="6">
        <v>-0.0907</v>
      </c>
    </row>
    <row r="1407">
      <c r="A1407" s="5" t="s">
        <v>57</v>
      </c>
      <c r="B1407" s="5" t="s">
        <v>1867</v>
      </c>
      <c r="C1407" s="5" t="s">
        <v>74</v>
      </c>
      <c r="D1407" s="6">
        <v>20.0</v>
      </c>
      <c r="E1407" s="6">
        <v>17367.0</v>
      </c>
      <c r="F1407" s="6">
        <v>16472.0</v>
      </c>
      <c r="G1407" s="6">
        <v>31582.0</v>
      </c>
      <c r="H1407" s="6">
        <v>0.5499</v>
      </c>
      <c r="I1407" s="6">
        <v>0.5216</v>
      </c>
      <c r="J1407" s="6">
        <v>0.0283</v>
      </c>
    </row>
    <row r="1408">
      <c r="A1408" s="5" t="s">
        <v>57</v>
      </c>
      <c r="B1408" s="5" t="s">
        <v>1867</v>
      </c>
      <c r="C1408" s="5" t="s">
        <v>74</v>
      </c>
      <c r="D1408" s="6">
        <v>21.0</v>
      </c>
      <c r="E1408" s="6">
        <v>12387.0</v>
      </c>
      <c r="F1408" s="6">
        <v>14494.0</v>
      </c>
      <c r="G1408" s="6">
        <v>31582.0</v>
      </c>
      <c r="H1408" s="6">
        <v>0.3922</v>
      </c>
      <c r="I1408" s="6">
        <v>0.4589</v>
      </c>
      <c r="J1408" s="6">
        <v>-0.0667</v>
      </c>
    </row>
    <row r="1409">
      <c r="A1409" s="5" t="s">
        <v>57</v>
      </c>
      <c r="B1409" s="5" t="s">
        <v>1867</v>
      </c>
      <c r="C1409" s="5" t="s">
        <v>74</v>
      </c>
      <c r="D1409" s="6">
        <v>22.0</v>
      </c>
      <c r="E1409" s="6">
        <v>8277.0</v>
      </c>
      <c r="F1409" s="6">
        <v>11252.0</v>
      </c>
      <c r="G1409" s="6">
        <v>31582.0</v>
      </c>
      <c r="H1409" s="6">
        <v>0.2621</v>
      </c>
      <c r="I1409" s="6">
        <v>0.3563</v>
      </c>
      <c r="J1409" s="6">
        <v>-0.0942</v>
      </c>
    </row>
    <row r="1410">
      <c r="A1410" s="5" t="s">
        <v>57</v>
      </c>
      <c r="B1410" s="5" t="s">
        <v>1867</v>
      </c>
      <c r="C1410" s="5" t="s">
        <v>74</v>
      </c>
      <c r="D1410" s="6">
        <v>23.0</v>
      </c>
      <c r="E1410" s="6">
        <v>7255.0</v>
      </c>
      <c r="F1410" s="6">
        <v>9443.0</v>
      </c>
      <c r="G1410" s="6">
        <v>31582.0</v>
      </c>
      <c r="H1410" s="6">
        <v>0.2297</v>
      </c>
      <c r="I1410" s="6">
        <v>0.299</v>
      </c>
      <c r="J1410" s="6">
        <v>-0.0693</v>
      </c>
    </row>
    <row r="1411">
      <c r="A1411" s="5" t="s">
        <v>57</v>
      </c>
      <c r="B1411" s="5" t="s">
        <v>1867</v>
      </c>
      <c r="C1411" s="5" t="s">
        <v>74</v>
      </c>
      <c r="D1411" s="6">
        <v>24.0</v>
      </c>
      <c r="E1411" s="6">
        <v>8474.0</v>
      </c>
      <c r="F1411" s="6">
        <v>10282.0</v>
      </c>
      <c r="G1411" s="6">
        <v>31582.0</v>
      </c>
      <c r="H1411" s="6">
        <v>0.2683</v>
      </c>
      <c r="I1411" s="6">
        <v>0.3256</v>
      </c>
      <c r="J1411" s="6">
        <v>-0.0572</v>
      </c>
    </row>
    <row r="1412">
      <c r="A1412" s="5" t="s">
        <v>57</v>
      </c>
      <c r="B1412" s="5" t="s">
        <v>1867</v>
      </c>
      <c r="C1412" s="5" t="s">
        <v>74</v>
      </c>
      <c r="D1412" s="6">
        <v>25.0</v>
      </c>
      <c r="E1412" s="6">
        <v>7705.0</v>
      </c>
      <c r="F1412" s="6">
        <v>9963.0</v>
      </c>
      <c r="G1412" s="6">
        <v>31582.0</v>
      </c>
      <c r="H1412" s="6">
        <v>0.244</v>
      </c>
      <c r="I1412" s="6">
        <v>0.3155</v>
      </c>
      <c r="J1412" s="6">
        <v>-0.0715</v>
      </c>
    </row>
    <row r="1413">
      <c r="A1413" s="5" t="s">
        <v>57</v>
      </c>
      <c r="B1413" s="5" t="s">
        <v>1867</v>
      </c>
      <c r="C1413" s="5" t="s">
        <v>74</v>
      </c>
      <c r="D1413" s="6">
        <v>26.0</v>
      </c>
      <c r="E1413" s="6">
        <v>6454.0</v>
      </c>
      <c r="F1413" s="6">
        <v>9472.0</v>
      </c>
      <c r="G1413" s="6">
        <v>31582.0</v>
      </c>
      <c r="H1413" s="6">
        <v>0.2044</v>
      </c>
      <c r="I1413" s="6">
        <v>0.2999</v>
      </c>
      <c r="J1413" s="6">
        <v>-0.0956</v>
      </c>
    </row>
    <row r="1414">
      <c r="A1414" s="5" t="s">
        <v>57</v>
      </c>
      <c r="B1414" s="5" t="s">
        <v>1867</v>
      </c>
      <c r="C1414" s="5" t="s">
        <v>74</v>
      </c>
      <c r="D1414" s="6">
        <v>27.0</v>
      </c>
      <c r="E1414" s="6">
        <v>17933.0</v>
      </c>
      <c r="F1414" s="6">
        <v>16784.0</v>
      </c>
      <c r="G1414" s="6">
        <v>31582.0</v>
      </c>
      <c r="H1414" s="6">
        <v>0.5678</v>
      </c>
      <c r="I1414" s="6">
        <v>0.5314</v>
      </c>
      <c r="J1414" s="6">
        <v>0.0364</v>
      </c>
    </row>
    <row r="1415">
      <c r="A1415" s="5" t="s">
        <v>57</v>
      </c>
      <c r="B1415" s="5" t="s">
        <v>1867</v>
      </c>
      <c r="C1415" s="5" t="s">
        <v>74</v>
      </c>
      <c r="D1415" s="6">
        <v>28.0</v>
      </c>
      <c r="E1415" s="6">
        <v>9387.0</v>
      </c>
      <c r="F1415" s="6">
        <v>12348.0</v>
      </c>
      <c r="G1415" s="6">
        <v>31582.0</v>
      </c>
      <c r="H1415" s="6">
        <v>0.2972</v>
      </c>
      <c r="I1415" s="6">
        <v>0.391</v>
      </c>
      <c r="J1415" s="6">
        <v>-0.0938</v>
      </c>
    </row>
    <row r="1416">
      <c r="A1416" s="5" t="s">
        <v>57</v>
      </c>
      <c r="B1416" s="5" t="s">
        <v>1867</v>
      </c>
      <c r="C1416" s="5" t="s">
        <v>74</v>
      </c>
      <c r="D1416" s="6">
        <v>29.0</v>
      </c>
      <c r="E1416" s="6">
        <v>6602.0</v>
      </c>
      <c r="F1416" s="6">
        <v>10465.0</v>
      </c>
      <c r="G1416" s="6">
        <v>31582.0</v>
      </c>
      <c r="H1416" s="6">
        <v>0.209</v>
      </c>
      <c r="I1416" s="6">
        <v>0.3314</v>
      </c>
      <c r="J1416" s="6">
        <v>-0.1223</v>
      </c>
    </row>
    <row r="1417">
      <c r="A1417" s="5" t="s">
        <v>57</v>
      </c>
      <c r="B1417" s="5" t="s">
        <v>1867</v>
      </c>
      <c r="C1417" s="5" t="s">
        <v>74</v>
      </c>
      <c r="D1417" s="6">
        <v>30.0</v>
      </c>
      <c r="E1417" s="6">
        <v>7846.0</v>
      </c>
      <c r="F1417" s="6">
        <v>9905.0</v>
      </c>
      <c r="G1417" s="6">
        <v>31582.0</v>
      </c>
      <c r="H1417" s="6">
        <v>0.2484</v>
      </c>
      <c r="I1417" s="6">
        <v>0.3136</v>
      </c>
      <c r="J1417" s="6">
        <v>-0.0652</v>
      </c>
    </row>
    <row r="1418">
      <c r="A1418" s="5" t="s">
        <v>57</v>
      </c>
      <c r="B1418" s="5" t="s">
        <v>1867</v>
      </c>
      <c r="C1418" s="5" t="s">
        <v>74</v>
      </c>
      <c r="D1418" s="6">
        <v>31.0</v>
      </c>
      <c r="E1418" s="6">
        <v>8840.0</v>
      </c>
      <c r="F1418" s="6">
        <v>10592.0</v>
      </c>
      <c r="G1418" s="6">
        <v>31582.0</v>
      </c>
      <c r="H1418" s="6">
        <v>0.2799</v>
      </c>
      <c r="I1418" s="6">
        <v>0.3354</v>
      </c>
      <c r="J1418" s="6">
        <v>-0.0555</v>
      </c>
    </row>
    <row r="1419">
      <c r="A1419" s="5" t="s">
        <v>57</v>
      </c>
      <c r="B1419" s="5" t="s">
        <v>1867</v>
      </c>
      <c r="C1419" s="5" t="s">
        <v>74</v>
      </c>
      <c r="D1419" s="6">
        <v>32.0</v>
      </c>
      <c r="E1419" s="6">
        <v>7790.0</v>
      </c>
      <c r="F1419" s="6">
        <v>9755.0</v>
      </c>
      <c r="G1419" s="6">
        <v>31582.0</v>
      </c>
      <c r="H1419" s="6">
        <v>0.2467</v>
      </c>
      <c r="I1419" s="6">
        <v>0.3089</v>
      </c>
      <c r="J1419" s="6">
        <v>-0.0622</v>
      </c>
    </row>
    <row r="1420">
      <c r="A1420" s="5" t="s">
        <v>57</v>
      </c>
      <c r="B1420" s="5" t="s">
        <v>1867</v>
      </c>
      <c r="C1420" s="5" t="s">
        <v>74</v>
      </c>
      <c r="D1420" s="6">
        <v>33.0</v>
      </c>
      <c r="E1420" s="6">
        <v>6944.0</v>
      </c>
      <c r="F1420" s="6">
        <v>9516.0</v>
      </c>
      <c r="G1420" s="6">
        <v>31582.0</v>
      </c>
      <c r="H1420" s="6">
        <v>0.2199</v>
      </c>
      <c r="I1420" s="6">
        <v>0.3013</v>
      </c>
      <c r="J1420" s="6">
        <v>-0.0814</v>
      </c>
    </row>
    <row r="1421">
      <c r="A1421" s="5" t="s">
        <v>57</v>
      </c>
      <c r="B1421" s="5" t="s">
        <v>1867</v>
      </c>
      <c r="C1421" s="5" t="s">
        <v>69</v>
      </c>
      <c r="D1421" s="6">
        <v>1.0</v>
      </c>
      <c r="E1421" s="6">
        <v>19076.0</v>
      </c>
      <c r="F1421" s="6">
        <v>26805.0</v>
      </c>
      <c r="G1421" s="6">
        <v>37127.0</v>
      </c>
      <c r="H1421" s="6">
        <v>0.5138</v>
      </c>
      <c r="I1421" s="6">
        <v>0.722</v>
      </c>
      <c r="J1421" s="6">
        <v>-0.2082</v>
      </c>
    </row>
    <row r="1422">
      <c r="A1422" s="5" t="s">
        <v>57</v>
      </c>
      <c r="B1422" s="5" t="s">
        <v>1867</v>
      </c>
      <c r="C1422" s="5" t="s">
        <v>69</v>
      </c>
      <c r="D1422" s="6">
        <v>2.0</v>
      </c>
      <c r="E1422" s="6">
        <v>18728.0</v>
      </c>
      <c r="F1422" s="6">
        <v>24957.0</v>
      </c>
      <c r="G1422" s="6">
        <v>37127.0</v>
      </c>
      <c r="H1422" s="6">
        <v>0.5044</v>
      </c>
      <c r="I1422" s="6">
        <v>0.6722</v>
      </c>
      <c r="J1422" s="6">
        <v>-0.1678</v>
      </c>
    </row>
    <row r="1423">
      <c r="A1423" s="5" t="s">
        <v>57</v>
      </c>
      <c r="B1423" s="5" t="s">
        <v>1867</v>
      </c>
      <c r="C1423" s="5" t="s">
        <v>69</v>
      </c>
      <c r="D1423" s="6">
        <v>3.0</v>
      </c>
      <c r="E1423" s="6">
        <v>30132.0</v>
      </c>
      <c r="F1423" s="6">
        <v>31007.0</v>
      </c>
      <c r="G1423" s="6">
        <v>37127.0</v>
      </c>
      <c r="H1423" s="6">
        <v>0.8116</v>
      </c>
      <c r="I1423" s="6">
        <v>0.8352</v>
      </c>
      <c r="J1423" s="6">
        <v>-0.0236</v>
      </c>
    </row>
    <row r="1424">
      <c r="A1424" s="5" t="s">
        <v>57</v>
      </c>
      <c r="B1424" s="5" t="s">
        <v>1867</v>
      </c>
      <c r="C1424" s="5" t="s">
        <v>69</v>
      </c>
      <c r="D1424" s="6">
        <v>4.0</v>
      </c>
      <c r="E1424" s="6">
        <v>24065.0</v>
      </c>
      <c r="F1424" s="6">
        <v>29007.0</v>
      </c>
      <c r="G1424" s="6">
        <v>37127.0</v>
      </c>
      <c r="H1424" s="6">
        <v>0.6482</v>
      </c>
      <c r="I1424" s="6">
        <v>0.7813</v>
      </c>
      <c r="J1424" s="6">
        <v>-0.1331</v>
      </c>
    </row>
    <row r="1425">
      <c r="A1425" s="5" t="s">
        <v>57</v>
      </c>
      <c r="B1425" s="5" t="s">
        <v>1867</v>
      </c>
      <c r="C1425" s="5" t="s">
        <v>69</v>
      </c>
      <c r="D1425" s="6">
        <v>5.0</v>
      </c>
      <c r="E1425" s="6">
        <v>22074.0</v>
      </c>
      <c r="F1425" s="6">
        <v>29533.0</v>
      </c>
      <c r="G1425" s="6">
        <v>37127.0</v>
      </c>
      <c r="H1425" s="6">
        <v>0.5946</v>
      </c>
      <c r="I1425" s="6">
        <v>0.7955</v>
      </c>
      <c r="J1425" s="6">
        <v>-0.2009</v>
      </c>
    </row>
    <row r="1426">
      <c r="A1426" s="5" t="s">
        <v>57</v>
      </c>
      <c r="B1426" s="5" t="s">
        <v>1867</v>
      </c>
      <c r="C1426" s="5" t="s">
        <v>69</v>
      </c>
      <c r="D1426" s="6">
        <v>6.0</v>
      </c>
      <c r="E1426" s="6">
        <v>24349.0</v>
      </c>
      <c r="F1426" s="6">
        <v>31339.0</v>
      </c>
      <c r="G1426" s="6">
        <v>37127.0</v>
      </c>
      <c r="H1426" s="6">
        <v>0.6558</v>
      </c>
      <c r="I1426" s="6">
        <v>0.8441</v>
      </c>
      <c r="J1426" s="6">
        <v>-0.1883</v>
      </c>
    </row>
    <row r="1427">
      <c r="A1427" s="5" t="s">
        <v>57</v>
      </c>
      <c r="B1427" s="5" t="s">
        <v>1867</v>
      </c>
      <c r="C1427" s="5" t="s">
        <v>69</v>
      </c>
      <c r="D1427" s="6">
        <v>7.0</v>
      </c>
      <c r="E1427" s="6">
        <v>18995.0</v>
      </c>
      <c r="F1427" s="6">
        <v>27650.0</v>
      </c>
      <c r="G1427" s="6">
        <v>37127.0</v>
      </c>
      <c r="H1427" s="6">
        <v>0.5116</v>
      </c>
      <c r="I1427" s="6">
        <v>0.7447</v>
      </c>
      <c r="J1427" s="6">
        <v>-0.2331</v>
      </c>
    </row>
    <row r="1428">
      <c r="A1428" s="5" t="s">
        <v>57</v>
      </c>
      <c r="B1428" s="5" t="s">
        <v>1867</v>
      </c>
      <c r="C1428" s="5" t="s">
        <v>69</v>
      </c>
      <c r="D1428" s="6">
        <v>8.0</v>
      </c>
      <c r="E1428" s="6">
        <v>18303.0</v>
      </c>
      <c r="F1428" s="6">
        <v>26324.0</v>
      </c>
      <c r="G1428" s="6">
        <v>37127.0</v>
      </c>
      <c r="H1428" s="6">
        <v>0.493</v>
      </c>
      <c r="I1428" s="6">
        <v>0.709</v>
      </c>
      <c r="J1428" s="6">
        <v>-0.216</v>
      </c>
    </row>
    <row r="1429">
      <c r="A1429" s="5" t="s">
        <v>57</v>
      </c>
      <c r="B1429" s="5" t="s">
        <v>1867</v>
      </c>
      <c r="C1429" s="5" t="s">
        <v>69</v>
      </c>
      <c r="D1429" s="6">
        <v>9.0</v>
      </c>
      <c r="E1429" s="6">
        <v>16398.0</v>
      </c>
      <c r="F1429" s="6">
        <v>23633.0</v>
      </c>
      <c r="G1429" s="6">
        <v>37127.0</v>
      </c>
      <c r="H1429" s="6">
        <v>0.4417</v>
      </c>
      <c r="I1429" s="6">
        <v>0.6365</v>
      </c>
      <c r="J1429" s="6">
        <v>-0.1949</v>
      </c>
    </row>
    <row r="1430">
      <c r="A1430" s="5" t="s">
        <v>57</v>
      </c>
      <c r="B1430" s="5" t="s">
        <v>1867</v>
      </c>
      <c r="C1430" s="5" t="s">
        <v>69</v>
      </c>
      <c r="D1430" s="6">
        <v>10.0</v>
      </c>
      <c r="E1430" s="6">
        <v>29467.0</v>
      </c>
      <c r="F1430" s="6">
        <v>30996.0</v>
      </c>
      <c r="G1430" s="6">
        <v>37127.0</v>
      </c>
      <c r="H1430" s="6">
        <v>0.7937</v>
      </c>
      <c r="I1430" s="6">
        <v>0.8349</v>
      </c>
      <c r="J1430" s="6">
        <v>-0.0412</v>
      </c>
    </row>
    <row r="1431">
      <c r="A1431" s="5" t="s">
        <v>57</v>
      </c>
      <c r="B1431" s="5" t="s">
        <v>1867</v>
      </c>
      <c r="C1431" s="5" t="s">
        <v>69</v>
      </c>
      <c r="D1431" s="6">
        <v>11.0</v>
      </c>
      <c r="E1431" s="6">
        <v>21362.0</v>
      </c>
      <c r="F1431" s="6">
        <v>26751.0</v>
      </c>
      <c r="G1431" s="6">
        <v>37127.0</v>
      </c>
      <c r="H1431" s="6">
        <v>0.5754</v>
      </c>
      <c r="I1431" s="6">
        <v>0.7205</v>
      </c>
      <c r="J1431" s="6">
        <v>-0.1452</v>
      </c>
    </row>
    <row r="1432">
      <c r="A1432" s="5" t="s">
        <v>57</v>
      </c>
      <c r="B1432" s="5" t="s">
        <v>1867</v>
      </c>
      <c r="C1432" s="5" t="s">
        <v>69</v>
      </c>
      <c r="D1432" s="6">
        <v>12.0</v>
      </c>
      <c r="E1432" s="6">
        <v>19000.0</v>
      </c>
      <c r="F1432" s="6">
        <v>26526.0</v>
      </c>
      <c r="G1432" s="6">
        <v>37127.0</v>
      </c>
      <c r="H1432" s="6">
        <v>0.5118</v>
      </c>
      <c r="I1432" s="6">
        <v>0.7145</v>
      </c>
      <c r="J1432" s="6">
        <v>-0.2027</v>
      </c>
    </row>
    <row r="1433">
      <c r="A1433" s="5" t="s">
        <v>57</v>
      </c>
      <c r="B1433" s="5" t="s">
        <v>1867</v>
      </c>
      <c r="C1433" s="5" t="s">
        <v>69</v>
      </c>
      <c r="D1433" s="6">
        <v>13.0</v>
      </c>
      <c r="E1433" s="6">
        <v>21684.0</v>
      </c>
      <c r="F1433" s="6">
        <v>27903.0</v>
      </c>
      <c r="G1433" s="6">
        <v>37127.0</v>
      </c>
      <c r="H1433" s="6">
        <v>0.584</v>
      </c>
      <c r="I1433" s="6">
        <v>0.7516</v>
      </c>
      <c r="J1433" s="6">
        <v>-0.1675</v>
      </c>
    </row>
    <row r="1434">
      <c r="A1434" s="5" t="s">
        <v>57</v>
      </c>
      <c r="B1434" s="5" t="s">
        <v>1867</v>
      </c>
      <c r="C1434" s="5" t="s">
        <v>69</v>
      </c>
      <c r="D1434" s="6">
        <v>14.0</v>
      </c>
      <c r="E1434" s="6">
        <v>16249.0</v>
      </c>
      <c r="F1434" s="6">
        <v>24906.0</v>
      </c>
      <c r="G1434" s="6">
        <v>37127.0</v>
      </c>
      <c r="H1434" s="6">
        <v>0.4377</v>
      </c>
      <c r="I1434" s="6">
        <v>0.6708</v>
      </c>
      <c r="J1434" s="6">
        <v>-0.2332</v>
      </c>
    </row>
    <row r="1435">
      <c r="A1435" s="5" t="s">
        <v>57</v>
      </c>
      <c r="B1435" s="5" t="s">
        <v>1867</v>
      </c>
      <c r="C1435" s="5" t="s">
        <v>69</v>
      </c>
      <c r="D1435" s="6">
        <v>15.0</v>
      </c>
      <c r="E1435" s="6">
        <v>15197.0</v>
      </c>
      <c r="F1435" s="6">
        <v>23184.0</v>
      </c>
      <c r="G1435" s="6">
        <v>37127.0</v>
      </c>
      <c r="H1435" s="6">
        <v>0.4093</v>
      </c>
      <c r="I1435" s="6">
        <v>0.6245</v>
      </c>
      <c r="J1435" s="6">
        <v>-0.2151</v>
      </c>
    </row>
    <row r="1436">
      <c r="A1436" s="5" t="s">
        <v>57</v>
      </c>
      <c r="B1436" s="5" t="s">
        <v>1867</v>
      </c>
      <c r="C1436" s="5" t="s">
        <v>69</v>
      </c>
      <c r="D1436" s="6">
        <v>16.0</v>
      </c>
      <c r="E1436" s="6">
        <v>14931.0</v>
      </c>
      <c r="F1436" s="6">
        <v>20997.0</v>
      </c>
      <c r="G1436" s="6">
        <v>37127.0</v>
      </c>
      <c r="H1436" s="6">
        <v>0.4022</v>
      </c>
      <c r="I1436" s="6">
        <v>0.5655</v>
      </c>
      <c r="J1436" s="6">
        <v>-0.1634</v>
      </c>
    </row>
    <row r="1437">
      <c r="A1437" s="5" t="s">
        <v>57</v>
      </c>
      <c r="B1437" s="5" t="s">
        <v>1867</v>
      </c>
      <c r="C1437" s="5" t="s">
        <v>69</v>
      </c>
      <c r="D1437" s="6">
        <v>17.0</v>
      </c>
      <c r="E1437" s="6">
        <v>27105.0</v>
      </c>
      <c r="F1437" s="6">
        <v>27856.0</v>
      </c>
      <c r="G1437" s="6">
        <v>37127.0</v>
      </c>
      <c r="H1437" s="6">
        <v>0.7301</v>
      </c>
      <c r="I1437" s="6">
        <v>0.7503</v>
      </c>
      <c r="J1437" s="6">
        <v>-0.0202</v>
      </c>
    </row>
    <row r="1438">
      <c r="A1438" s="5" t="s">
        <v>57</v>
      </c>
      <c r="B1438" s="5" t="s">
        <v>1867</v>
      </c>
      <c r="C1438" s="5" t="s">
        <v>69</v>
      </c>
      <c r="D1438" s="6">
        <v>18.0</v>
      </c>
      <c r="E1438" s="6">
        <v>20471.0</v>
      </c>
      <c r="F1438" s="6">
        <v>24923.0</v>
      </c>
      <c r="G1438" s="6">
        <v>37127.0</v>
      </c>
      <c r="H1438" s="6">
        <v>0.5514</v>
      </c>
      <c r="I1438" s="6">
        <v>0.6713</v>
      </c>
      <c r="J1438" s="6">
        <v>-0.1199</v>
      </c>
    </row>
    <row r="1439">
      <c r="A1439" s="5" t="s">
        <v>57</v>
      </c>
      <c r="B1439" s="5" t="s">
        <v>1867</v>
      </c>
      <c r="C1439" s="5" t="s">
        <v>69</v>
      </c>
      <c r="D1439" s="6">
        <v>19.0</v>
      </c>
      <c r="E1439" s="6">
        <v>17731.0</v>
      </c>
      <c r="F1439" s="6">
        <v>23874.0</v>
      </c>
      <c r="G1439" s="6">
        <v>37127.0</v>
      </c>
      <c r="H1439" s="6">
        <v>0.4776</v>
      </c>
      <c r="I1439" s="6">
        <v>0.643</v>
      </c>
      <c r="J1439" s="6">
        <v>-0.1655</v>
      </c>
    </row>
    <row r="1440">
      <c r="A1440" s="5" t="s">
        <v>57</v>
      </c>
      <c r="B1440" s="5" t="s">
        <v>1867</v>
      </c>
      <c r="C1440" s="5" t="s">
        <v>69</v>
      </c>
      <c r="D1440" s="6">
        <v>20.0</v>
      </c>
      <c r="E1440" s="6">
        <v>20873.0</v>
      </c>
      <c r="F1440" s="6">
        <v>26472.0</v>
      </c>
      <c r="G1440" s="6">
        <v>37127.0</v>
      </c>
      <c r="H1440" s="6">
        <v>0.5622</v>
      </c>
      <c r="I1440" s="6">
        <v>0.713</v>
      </c>
      <c r="J1440" s="6">
        <v>-0.1508</v>
      </c>
    </row>
    <row r="1441">
      <c r="A1441" s="5" t="s">
        <v>57</v>
      </c>
      <c r="B1441" s="5" t="s">
        <v>1867</v>
      </c>
      <c r="C1441" s="5" t="s">
        <v>69</v>
      </c>
      <c r="D1441" s="6">
        <v>21.0</v>
      </c>
      <c r="E1441" s="6">
        <v>30819.0</v>
      </c>
      <c r="F1441" s="6">
        <v>31048.0</v>
      </c>
      <c r="G1441" s="6">
        <v>37127.0</v>
      </c>
      <c r="H1441" s="6">
        <v>0.8301</v>
      </c>
      <c r="I1441" s="6">
        <v>0.8363</v>
      </c>
      <c r="J1441" s="6">
        <v>-0.0062</v>
      </c>
    </row>
    <row r="1442">
      <c r="A1442" s="5" t="s">
        <v>57</v>
      </c>
      <c r="B1442" s="5" t="s">
        <v>1867</v>
      </c>
      <c r="C1442" s="5" t="s">
        <v>69</v>
      </c>
      <c r="D1442" s="6">
        <v>22.0</v>
      </c>
      <c r="E1442" s="6">
        <v>25899.0</v>
      </c>
      <c r="F1442" s="6">
        <v>30668.0</v>
      </c>
      <c r="G1442" s="6">
        <v>37127.0</v>
      </c>
      <c r="H1442" s="6">
        <v>0.6976</v>
      </c>
      <c r="I1442" s="6">
        <v>0.826</v>
      </c>
      <c r="J1442" s="6">
        <v>-0.1285</v>
      </c>
    </row>
    <row r="1443">
      <c r="A1443" s="5" t="s">
        <v>57</v>
      </c>
      <c r="B1443" s="5" t="s">
        <v>1867</v>
      </c>
      <c r="C1443" s="5" t="s">
        <v>69</v>
      </c>
      <c r="D1443" s="6">
        <v>23.0</v>
      </c>
      <c r="E1443" s="6">
        <v>20664.0</v>
      </c>
      <c r="F1443" s="6">
        <v>26318.0</v>
      </c>
      <c r="G1443" s="6">
        <v>37127.0</v>
      </c>
      <c r="H1443" s="6">
        <v>0.5566</v>
      </c>
      <c r="I1443" s="6">
        <v>0.7089</v>
      </c>
      <c r="J1443" s="6">
        <v>-0.1523</v>
      </c>
    </row>
    <row r="1444">
      <c r="A1444" s="5" t="s">
        <v>57</v>
      </c>
      <c r="B1444" s="5" t="s">
        <v>1867</v>
      </c>
      <c r="C1444" s="5" t="s">
        <v>69</v>
      </c>
      <c r="D1444" s="6">
        <v>24.0</v>
      </c>
      <c r="E1444" s="6">
        <v>33280.0</v>
      </c>
      <c r="F1444" s="6">
        <v>33409.0</v>
      </c>
      <c r="G1444" s="6">
        <v>37127.0</v>
      </c>
      <c r="H1444" s="6">
        <v>0.8964</v>
      </c>
      <c r="I1444" s="6">
        <v>0.8999</v>
      </c>
      <c r="J1444" s="6">
        <v>-0.0035</v>
      </c>
    </row>
    <row r="1445">
      <c r="A1445" s="5" t="s">
        <v>57</v>
      </c>
      <c r="B1445" s="5" t="s">
        <v>1867</v>
      </c>
      <c r="C1445" s="5" t="s">
        <v>69</v>
      </c>
      <c r="D1445" s="6">
        <v>25.0</v>
      </c>
      <c r="E1445" s="6">
        <v>26056.0</v>
      </c>
      <c r="F1445" s="6">
        <v>30544.0</v>
      </c>
      <c r="G1445" s="6">
        <v>37127.0</v>
      </c>
      <c r="H1445" s="6">
        <v>0.7018</v>
      </c>
      <c r="I1445" s="6">
        <v>0.8227</v>
      </c>
      <c r="J1445" s="6">
        <v>-0.1209</v>
      </c>
    </row>
    <row r="1446">
      <c r="A1446" s="5" t="s">
        <v>57</v>
      </c>
      <c r="B1446" s="5" t="s">
        <v>1867</v>
      </c>
      <c r="C1446" s="5" t="s">
        <v>69</v>
      </c>
      <c r="D1446" s="6">
        <v>26.0</v>
      </c>
      <c r="E1446" s="6">
        <v>23047.0</v>
      </c>
      <c r="F1446" s="6">
        <v>29421.0</v>
      </c>
      <c r="G1446" s="6">
        <v>37127.0</v>
      </c>
      <c r="H1446" s="6">
        <v>0.6208</v>
      </c>
      <c r="I1446" s="6">
        <v>0.7924</v>
      </c>
      <c r="J1446" s="6">
        <v>-0.1717</v>
      </c>
    </row>
    <row r="1447">
      <c r="A1447" s="5" t="s">
        <v>57</v>
      </c>
      <c r="B1447" s="5" t="s">
        <v>1867</v>
      </c>
      <c r="C1447" s="5" t="s">
        <v>69</v>
      </c>
      <c r="D1447" s="6">
        <v>27.0</v>
      </c>
      <c r="E1447" s="6">
        <v>27022.0</v>
      </c>
      <c r="F1447" s="6">
        <v>31541.0</v>
      </c>
      <c r="G1447" s="6">
        <v>37127.0</v>
      </c>
      <c r="H1447" s="6">
        <v>0.7278</v>
      </c>
      <c r="I1447" s="6">
        <v>0.8495</v>
      </c>
      <c r="J1447" s="6">
        <v>-0.1217</v>
      </c>
    </row>
    <row r="1448">
      <c r="A1448" s="5" t="s">
        <v>57</v>
      </c>
      <c r="B1448" s="5" t="s">
        <v>1867</v>
      </c>
      <c r="C1448" s="5" t="s">
        <v>69</v>
      </c>
      <c r="D1448" s="6">
        <v>28.0</v>
      </c>
      <c r="E1448" s="6">
        <v>19770.0</v>
      </c>
      <c r="F1448" s="6">
        <v>26552.0</v>
      </c>
      <c r="G1448" s="6">
        <v>37127.0</v>
      </c>
      <c r="H1448" s="6">
        <v>0.5325</v>
      </c>
      <c r="I1448" s="6">
        <v>0.7152</v>
      </c>
      <c r="J1448" s="6">
        <v>-0.1827</v>
      </c>
    </row>
    <row r="1449">
      <c r="A1449" s="5" t="s">
        <v>57</v>
      </c>
      <c r="B1449" s="5" t="s">
        <v>1867</v>
      </c>
      <c r="C1449" s="5" t="s">
        <v>69</v>
      </c>
      <c r="D1449" s="6">
        <v>29.0</v>
      </c>
      <c r="E1449" s="6">
        <v>18425.0</v>
      </c>
      <c r="F1449" s="6">
        <v>25167.0</v>
      </c>
      <c r="G1449" s="6">
        <v>37127.0</v>
      </c>
      <c r="H1449" s="6">
        <v>0.4963</v>
      </c>
      <c r="I1449" s="6">
        <v>0.6779</v>
      </c>
      <c r="J1449" s="6">
        <v>-0.1816</v>
      </c>
    </row>
    <row r="1450">
      <c r="A1450" s="5" t="s">
        <v>57</v>
      </c>
      <c r="B1450" s="5" t="s">
        <v>1867</v>
      </c>
      <c r="C1450" s="5" t="s">
        <v>69</v>
      </c>
      <c r="D1450" s="6">
        <v>30.0</v>
      </c>
      <c r="E1450" s="6">
        <v>16998.0</v>
      </c>
      <c r="F1450" s="6">
        <v>22559.0</v>
      </c>
      <c r="G1450" s="6">
        <v>37127.0</v>
      </c>
      <c r="H1450" s="6">
        <v>0.4578</v>
      </c>
      <c r="I1450" s="6">
        <v>0.6076</v>
      </c>
      <c r="J1450" s="6">
        <v>-0.1498</v>
      </c>
    </row>
    <row r="1451">
      <c r="A1451" s="5" t="s">
        <v>57</v>
      </c>
      <c r="B1451" s="5" t="s">
        <v>1867</v>
      </c>
      <c r="C1451" s="5" t="s">
        <v>69</v>
      </c>
      <c r="D1451" s="6">
        <v>31.0</v>
      </c>
      <c r="E1451" s="6">
        <v>29093.0</v>
      </c>
      <c r="F1451" s="6">
        <v>28982.0</v>
      </c>
      <c r="G1451" s="6">
        <v>37127.0</v>
      </c>
      <c r="H1451" s="6">
        <v>0.7836</v>
      </c>
      <c r="I1451" s="6">
        <v>0.7806</v>
      </c>
      <c r="J1451" s="6">
        <v>0.003</v>
      </c>
    </row>
    <row r="1452">
      <c r="A1452" s="5" t="s">
        <v>57</v>
      </c>
      <c r="B1452" s="5" t="s">
        <v>1867</v>
      </c>
      <c r="C1452" s="5" t="s">
        <v>69</v>
      </c>
      <c r="D1452" s="6">
        <v>32.0</v>
      </c>
      <c r="E1452" s="6">
        <v>21074.0</v>
      </c>
      <c r="F1452" s="6">
        <v>25486.0</v>
      </c>
      <c r="G1452" s="6">
        <v>37127.0</v>
      </c>
      <c r="H1452" s="6">
        <v>0.5676</v>
      </c>
      <c r="I1452" s="6">
        <v>0.6865</v>
      </c>
      <c r="J1452" s="6">
        <v>-0.1188</v>
      </c>
    </row>
    <row r="1453">
      <c r="A1453" s="5" t="s">
        <v>57</v>
      </c>
      <c r="B1453" s="5" t="s">
        <v>1867</v>
      </c>
      <c r="C1453" s="5" t="s">
        <v>69</v>
      </c>
      <c r="D1453" s="6">
        <v>33.0</v>
      </c>
      <c r="E1453" s="6">
        <v>19208.0</v>
      </c>
      <c r="F1453" s="6">
        <v>24952.0</v>
      </c>
      <c r="G1453" s="6">
        <v>37127.0</v>
      </c>
      <c r="H1453" s="6">
        <v>0.5174</v>
      </c>
      <c r="I1453" s="6">
        <v>0.6721</v>
      </c>
      <c r="J1453" s="6">
        <v>-0.1547</v>
      </c>
    </row>
    <row r="1454">
      <c r="A1454" s="5" t="s">
        <v>57</v>
      </c>
      <c r="B1454" s="5" t="s">
        <v>1867</v>
      </c>
      <c r="C1454" s="5" t="s">
        <v>70</v>
      </c>
      <c r="D1454" s="6">
        <v>1.0</v>
      </c>
      <c r="E1454" s="6">
        <v>20464.0</v>
      </c>
      <c r="F1454" s="6">
        <v>27611.0</v>
      </c>
      <c r="G1454" s="6">
        <v>37220.0</v>
      </c>
      <c r="H1454" s="6">
        <v>0.5498</v>
      </c>
      <c r="I1454" s="6">
        <v>0.7418</v>
      </c>
      <c r="J1454" s="6">
        <v>-0.192</v>
      </c>
    </row>
    <row r="1455">
      <c r="A1455" s="5" t="s">
        <v>57</v>
      </c>
      <c r="B1455" s="5" t="s">
        <v>1867</v>
      </c>
      <c r="C1455" s="5" t="s">
        <v>70</v>
      </c>
      <c r="D1455" s="6">
        <v>2.0</v>
      </c>
      <c r="E1455" s="6">
        <v>19604.0</v>
      </c>
      <c r="F1455" s="6">
        <v>25376.0</v>
      </c>
      <c r="G1455" s="6">
        <v>37220.0</v>
      </c>
      <c r="H1455" s="6">
        <v>0.5267</v>
      </c>
      <c r="I1455" s="6">
        <v>0.6818</v>
      </c>
      <c r="J1455" s="6">
        <v>-0.1551</v>
      </c>
    </row>
    <row r="1456">
      <c r="A1456" s="5" t="s">
        <v>57</v>
      </c>
      <c r="B1456" s="5" t="s">
        <v>1867</v>
      </c>
      <c r="C1456" s="5" t="s">
        <v>70</v>
      </c>
      <c r="D1456" s="6">
        <v>3.0</v>
      </c>
      <c r="E1456" s="6">
        <v>28521.0</v>
      </c>
      <c r="F1456" s="6">
        <v>30066.0</v>
      </c>
      <c r="G1456" s="6">
        <v>37220.0</v>
      </c>
      <c r="H1456" s="6">
        <v>0.7663</v>
      </c>
      <c r="I1456" s="6">
        <v>0.8078</v>
      </c>
      <c r="J1456" s="6">
        <v>-0.0415</v>
      </c>
    </row>
    <row r="1457">
      <c r="A1457" s="5" t="s">
        <v>57</v>
      </c>
      <c r="B1457" s="5" t="s">
        <v>1867</v>
      </c>
      <c r="C1457" s="5" t="s">
        <v>70</v>
      </c>
      <c r="D1457" s="6">
        <v>4.0</v>
      </c>
      <c r="E1457" s="6">
        <v>23435.0</v>
      </c>
      <c r="F1457" s="6">
        <v>28346.0</v>
      </c>
      <c r="G1457" s="6">
        <v>37220.0</v>
      </c>
      <c r="H1457" s="6">
        <v>0.6296</v>
      </c>
      <c r="I1457" s="6">
        <v>0.7616</v>
      </c>
      <c r="J1457" s="6">
        <v>-0.1319</v>
      </c>
    </row>
    <row r="1458">
      <c r="A1458" s="5" t="s">
        <v>57</v>
      </c>
      <c r="B1458" s="5" t="s">
        <v>1867</v>
      </c>
      <c r="C1458" s="5" t="s">
        <v>70</v>
      </c>
      <c r="D1458" s="6">
        <v>5.0</v>
      </c>
      <c r="E1458" s="6">
        <v>22072.0</v>
      </c>
      <c r="F1458" s="6">
        <v>28954.0</v>
      </c>
      <c r="G1458" s="6">
        <v>37220.0</v>
      </c>
      <c r="H1458" s="6">
        <v>0.593</v>
      </c>
      <c r="I1458" s="6">
        <v>0.7779</v>
      </c>
      <c r="J1458" s="6">
        <v>-0.1849</v>
      </c>
    </row>
    <row r="1459">
      <c r="A1459" s="5" t="s">
        <v>57</v>
      </c>
      <c r="B1459" s="5" t="s">
        <v>1867</v>
      </c>
      <c r="C1459" s="5" t="s">
        <v>70</v>
      </c>
      <c r="D1459" s="6">
        <v>6.0</v>
      </c>
      <c r="E1459" s="6">
        <v>30835.0</v>
      </c>
      <c r="F1459" s="6">
        <v>33848.0</v>
      </c>
      <c r="G1459" s="6">
        <v>37220.0</v>
      </c>
      <c r="H1459" s="6">
        <v>0.8285</v>
      </c>
      <c r="I1459" s="6">
        <v>0.9094</v>
      </c>
      <c r="J1459" s="6">
        <v>-0.081</v>
      </c>
    </row>
    <row r="1460">
      <c r="A1460" s="5" t="s">
        <v>57</v>
      </c>
      <c r="B1460" s="5" t="s">
        <v>1867</v>
      </c>
      <c r="C1460" s="5" t="s">
        <v>70</v>
      </c>
      <c r="D1460" s="6">
        <v>7.0</v>
      </c>
      <c r="E1460" s="6">
        <v>22210.0</v>
      </c>
      <c r="F1460" s="6">
        <v>29722.0</v>
      </c>
      <c r="G1460" s="6">
        <v>37220.0</v>
      </c>
      <c r="H1460" s="6">
        <v>0.5967</v>
      </c>
      <c r="I1460" s="6">
        <v>0.7985</v>
      </c>
      <c r="J1460" s="6">
        <v>-0.2018</v>
      </c>
    </row>
    <row r="1461">
      <c r="A1461" s="5" t="s">
        <v>57</v>
      </c>
      <c r="B1461" s="5" t="s">
        <v>1867</v>
      </c>
      <c r="C1461" s="5" t="s">
        <v>70</v>
      </c>
      <c r="D1461" s="6">
        <v>8.0</v>
      </c>
      <c r="E1461" s="6">
        <v>18986.0</v>
      </c>
      <c r="F1461" s="6">
        <v>27167.0</v>
      </c>
      <c r="G1461" s="6">
        <v>37220.0</v>
      </c>
      <c r="H1461" s="6">
        <v>0.5101</v>
      </c>
      <c r="I1461" s="6">
        <v>0.7299</v>
      </c>
      <c r="J1461" s="6">
        <v>-0.2198</v>
      </c>
    </row>
    <row r="1462">
      <c r="A1462" s="5" t="s">
        <v>57</v>
      </c>
      <c r="B1462" s="5" t="s">
        <v>1867</v>
      </c>
      <c r="C1462" s="5" t="s">
        <v>70</v>
      </c>
      <c r="D1462" s="6">
        <v>9.0</v>
      </c>
      <c r="E1462" s="6">
        <v>16601.0</v>
      </c>
      <c r="F1462" s="6">
        <v>23686.0</v>
      </c>
      <c r="G1462" s="6">
        <v>37220.0</v>
      </c>
      <c r="H1462" s="6">
        <v>0.446</v>
      </c>
      <c r="I1462" s="6">
        <v>0.6364</v>
      </c>
      <c r="J1462" s="6">
        <v>-0.1904</v>
      </c>
    </row>
    <row r="1463">
      <c r="A1463" s="5" t="s">
        <v>57</v>
      </c>
      <c r="B1463" s="5" t="s">
        <v>1867</v>
      </c>
      <c r="C1463" s="5" t="s">
        <v>70</v>
      </c>
      <c r="D1463" s="6">
        <v>10.0</v>
      </c>
      <c r="E1463" s="6">
        <v>29096.0</v>
      </c>
      <c r="F1463" s="6">
        <v>30294.0</v>
      </c>
      <c r="G1463" s="6">
        <v>37220.0</v>
      </c>
      <c r="H1463" s="6">
        <v>0.7817</v>
      </c>
      <c r="I1463" s="6">
        <v>0.8139</v>
      </c>
      <c r="J1463" s="6">
        <v>-0.0322</v>
      </c>
    </row>
    <row r="1464">
      <c r="A1464" s="5" t="s">
        <v>57</v>
      </c>
      <c r="B1464" s="5" t="s">
        <v>1867</v>
      </c>
      <c r="C1464" s="5" t="s">
        <v>70</v>
      </c>
      <c r="D1464" s="6">
        <v>11.0</v>
      </c>
      <c r="E1464" s="6">
        <v>21107.0</v>
      </c>
      <c r="F1464" s="6">
        <v>26327.0</v>
      </c>
      <c r="G1464" s="6">
        <v>37220.0</v>
      </c>
      <c r="H1464" s="6">
        <v>0.5671</v>
      </c>
      <c r="I1464" s="6">
        <v>0.7073</v>
      </c>
      <c r="J1464" s="6">
        <v>-0.1402</v>
      </c>
    </row>
    <row r="1465">
      <c r="A1465" s="5" t="s">
        <v>57</v>
      </c>
      <c r="B1465" s="5" t="s">
        <v>1867</v>
      </c>
      <c r="C1465" s="5" t="s">
        <v>70</v>
      </c>
      <c r="D1465" s="6">
        <v>12.0</v>
      </c>
      <c r="E1465" s="6">
        <v>19609.0</v>
      </c>
      <c r="F1465" s="6">
        <v>26445.0</v>
      </c>
      <c r="G1465" s="6">
        <v>37220.0</v>
      </c>
      <c r="H1465" s="6">
        <v>0.5268</v>
      </c>
      <c r="I1465" s="6">
        <v>0.7105</v>
      </c>
      <c r="J1465" s="6">
        <v>-0.1837</v>
      </c>
    </row>
    <row r="1466">
      <c r="A1466" s="5" t="s">
        <v>57</v>
      </c>
      <c r="B1466" s="5" t="s">
        <v>1867</v>
      </c>
      <c r="C1466" s="5" t="s">
        <v>70</v>
      </c>
      <c r="D1466" s="6">
        <v>13.0</v>
      </c>
      <c r="E1466" s="6">
        <v>27797.0</v>
      </c>
      <c r="F1466" s="6">
        <v>30523.0</v>
      </c>
      <c r="G1466" s="6">
        <v>37220.0</v>
      </c>
      <c r="H1466" s="6">
        <v>0.7468</v>
      </c>
      <c r="I1466" s="6">
        <v>0.8201</v>
      </c>
      <c r="J1466" s="6">
        <v>-0.0732</v>
      </c>
    </row>
    <row r="1467">
      <c r="A1467" s="5" t="s">
        <v>57</v>
      </c>
      <c r="B1467" s="5" t="s">
        <v>1867</v>
      </c>
      <c r="C1467" s="5" t="s">
        <v>70</v>
      </c>
      <c r="D1467" s="6">
        <v>14.0</v>
      </c>
      <c r="E1467" s="6">
        <v>19788.0</v>
      </c>
      <c r="F1467" s="6">
        <v>26976.0</v>
      </c>
      <c r="G1467" s="6">
        <v>37220.0</v>
      </c>
      <c r="H1467" s="6">
        <v>0.5316</v>
      </c>
      <c r="I1467" s="6">
        <v>0.7248</v>
      </c>
      <c r="J1467" s="6">
        <v>-0.1931</v>
      </c>
    </row>
    <row r="1468">
      <c r="A1468" s="5" t="s">
        <v>57</v>
      </c>
      <c r="B1468" s="5" t="s">
        <v>1867</v>
      </c>
      <c r="C1468" s="5" t="s">
        <v>70</v>
      </c>
      <c r="D1468" s="6">
        <v>15.0</v>
      </c>
      <c r="E1468" s="6">
        <v>16808.0</v>
      </c>
      <c r="F1468" s="6">
        <v>24323.0</v>
      </c>
      <c r="G1468" s="6">
        <v>37220.0</v>
      </c>
      <c r="H1468" s="6">
        <v>0.4516</v>
      </c>
      <c r="I1468" s="6">
        <v>0.6535</v>
      </c>
      <c r="J1468" s="6">
        <v>-0.2019</v>
      </c>
    </row>
    <row r="1469">
      <c r="A1469" s="5" t="s">
        <v>57</v>
      </c>
      <c r="B1469" s="5" t="s">
        <v>1867</v>
      </c>
      <c r="C1469" s="5" t="s">
        <v>70</v>
      </c>
      <c r="D1469" s="6">
        <v>16.0</v>
      </c>
      <c r="E1469" s="6">
        <v>15574.0</v>
      </c>
      <c r="F1469" s="6">
        <v>21906.0</v>
      </c>
      <c r="G1469" s="6">
        <v>37220.0</v>
      </c>
      <c r="H1469" s="6">
        <v>0.4184</v>
      </c>
      <c r="I1469" s="6">
        <v>0.5886</v>
      </c>
      <c r="J1469" s="6">
        <v>-0.1701</v>
      </c>
    </row>
    <row r="1470">
      <c r="A1470" s="5" t="s">
        <v>57</v>
      </c>
      <c r="B1470" s="5" t="s">
        <v>1867</v>
      </c>
      <c r="C1470" s="5" t="s">
        <v>70</v>
      </c>
      <c r="D1470" s="6">
        <v>17.0</v>
      </c>
      <c r="E1470" s="6">
        <v>25585.0</v>
      </c>
      <c r="F1470" s="6">
        <v>27336.0</v>
      </c>
      <c r="G1470" s="6">
        <v>37220.0</v>
      </c>
      <c r="H1470" s="6">
        <v>0.6874</v>
      </c>
      <c r="I1470" s="6">
        <v>0.7344</v>
      </c>
      <c r="J1470" s="6">
        <v>-0.047</v>
      </c>
    </row>
    <row r="1471">
      <c r="A1471" s="5" t="s">
        <v>57</v>
      </c>
      <c r="B1471" s="5" t="s">
        <v>1867</v>
      </c>
      <c r="C1471" s="5" t="s">
        <v>70</v>
      </c>
      <c r="D1471" s="6">
        <v>18.0</v>
      </c>
      <c r="E1471" s="6">
        <v>19362.0</v>
      </c>
      <c r="F1471" s="6">
        <v>24440.0</v>
      </c>
      <c r="G1471" s="6">
        <v>37220.0</v>
      </c>
      <c r="H1471" s="6">
        <v>0.5202</v>
      </c>
      <c r="I1471" s="6">
        <v>0.6566</v>
      </c>
      <c r="J1471" s="6">
        <v>-0.1364</v>
      </c>
    </row>
    <row r="1472">
      <c r="A1472" s="5" t="s">
        <v>57</v>
      </c>
      <c r="B1472" s="5" t="s">
        <v>1867</v>
      </c>
      <c r="C1472" s="5" t="s">
        <v>70</v>
      </c>
      <c r="D1472" s="6">
        <v>19.0</v>
      </c>
      <c r="E1472" s="6">
        <v>17291.0</v>
      </c>
      <c r="F1472" s="6">
        <v>23558.0</v>
      </c>
      <c r="G1472" s="6">
        <v>37220.0</v>
      </c>
      <c r="H1472" s="6">
        <v>0.4646</v>
      </c>
      <c r="I1472" s="6">
        <v>0.6329</v>
      </c>
      <c r="J1472" s="6">
        <v>-0.1684</v>
      </c>
    </row>
    <row r="1473">
      <c r="A1473" s="5" t="s">
        <v>57</v>
      </c>
      <c r="B1473" s="5" t="s">
        <v>1867</v>
      </c>
      <c r="C1473" s="5" t="s">
        <v>70</v>
      </c>
      <c r="D1473" s="6">
        <v>20.0</v>
      </c>
      <c r="E1473" s="6">
        <v>26864.0</v>
      </c>
      <c r="F1473" s="6">
        <v>29175.0</v>
      </c>
      <c r="G1473" s="6">
        <v>37220.0</v>
      </c>
      <c r="H1473" s="6">
        <v>0.7218</v>
      </c>
      <c r="I1473" s="6">
        <v>0.7839</v>
      </c>
      <c r="J1473" s="6">
        <v>-0.0621</v>
      </c>
    </row>
    <row r="1474">
      <c r="A1474" s="5" t="s">
        <v>57</v>
      </c>
      <c r="B1474" s="5" t="s">
        <v>1867</v>
      </c>
      <c r="C1474" s="5" t="s">
        <v>70</v>
      </c>
      <c r="D1474" s="6">
        <v>21.0</v>
      </c>
      <c r="E1474" s="6">
        <v>40689.0</v>
      </c>
      <c r="F1474" s="6">
        <v>34570.0</v>
      </c>
      <c r="G1474" s="6">
        <v>37220.0</v>
      </c>
      <c r="H1474" s="6">
        <v>1.0932</v>
      </c>
      <c r="I1474" s="6">
        <v>0.9288</v>
      </c>
      <c r="J1474" s="6">
        <v>0.1644</v>
      </c>
    </row>
    <row r="1475">
      <c r="A1475" s="5" t="s">
        <v>57</v>
      </c>
      <c r="B1475" s="5" t="s">
        <v>1867</v>
      </c>
      <c r="C1475" s="5" t="s">
        <v>70</v>
      </c>
      <c r="D1475" s="6">
        <v>22.0</v>
      </c>
      <c r="E1475" s="6">
        <v>28612.0</v>
      </c>
      <c r="F1475" s="6">
        <v>32220.0</v>
      </c>
      <c r="G1475" s="6">
        <v>37220.0</v>
      </c>
      <c r="H1475" s="6">
        <v>0.7687</v>
      </c>
      <c r="I1475" s="6">
        <v>0.8657</v>
      </c>
      <c r="J1475" s="6">
        <v>-0.0969</v>
      </c>
    </row>
    <row r="1476">
      <c r="A1476" s="5" t="s">
        <v>57</v>
      </c>
      <c r="B1476" s="5" t="s">
        <v>1867</v>
      </c>
      <c r="C1476" s="5" t="s">
        <v>70</v>
      </c>
      <c r="D1476" s="6">
        <v>23.0</v>
      </c>
      <c r="E1476" s="6">
        <v>20033.0</v>
      </c>
      <c r="F1476" s="6">
        <v>25958.0</v>
      </c>
      <c r="G1476" s="6">
        <v>37220.0</v>
      </c>
      <c r="H1476" s="6">
        <v>0.5382</v>
      </c>
      <c r="I1476" s="6">
        <v>0.6974</v>
      </c>
      <c r="J1476" s="6">
        <v>-0.1592</v>
      </c>
    </row>
    <row r="1477">
      <c r="A1477" s="5" t="s">
        <v>57</v>
      </c>
      <c r="B1477" s="5" t="s">
        <v>1867</v>
      </c>
      <c r="C1477" s="5" t="s">
        <v>70</v>
      </c>
      <c r="D1477" s="6">
        <v>24.0</v>
      </c>
      <c r="E1477" s="6">
        <v>30376.0</v>
      </c>
      <c r="F1477" s="6">
        <v>30757.0</v>
      </c>
      <c r="G1477" s="6">
        <v>37220.0</v>
      </c>
      <c r="H1477" s="6">
        <v>0.8161</v>
      </c>
      <c r="I1477" s="6">
        <v>0.8264</v>
      </c>
      <c r="J1477" s="6">
        <v>-0.0102</v>
      </c>
    </row>
    <row r="1478">
      <c r="A1478" s="5" t="s">
        <v>57</v>
      </c>
      <c r="B1478" s="5" t="s">
        <v>1867</v>
      </c>
      <c r="C1478" s="5" t="s">
        <v>70</v>
      </c>
      <c r="D1478" s="6">
        <v>25.0</v>
      </c>
      <c r="E1478" s="6">
        <v>23540.0</v>
      </c>
      <c r="F1478" s="6">
        <v>28221.0</v>
      </c>
      <c r="G1478" s="6">
        <v>37220.0</v>
      </c>
      <c r="H1478" s="6">
        <v>0.6325</v>
      </c>
      <c r="I1478" s="6">
        <v>0.7582</v>
      </c>
      <c r="J1478" s="6">
        <v>-0.1258</v>
      </c>
    </row>
    <row r="1479">
      <c r="A1479" s="5" t="s">
        <v>57</v>
      </c>
      <c r="B1479" s="5" t="s">
        <v>1867</v>
      </c>
      <c r="C1479" s="5" t="s">
        <v>70</v>
      </c>
      <c r="D1479" s="6">
        <v>26.0</v>
      </c>
      <c r="E1479" s="6">
        <v>20951.0</v>
      </c>
      <c r="F1479" s="6">
        <v>27162.0</v>
      </c>
      <c r="G1479" s="6">
        <v>37220.0</v>
      </c>
      <c r="H1479" s="6">
        <v>0.5629</v>
      </c>
      <c r="I1479" s="6">
        <v>0.7298</v>
      </c>
      <c r="J1479" s="6">
        <v>-0.1669</v>
      </c>
    </row>
    <row r="1480">
      <c r="A1480" s="5" t="s">
        <v>57</v>
      </c>
      <c r="B1480" s="5" t="s">
        <v>1867</v>
      </c>
      <c r="C1480" s="5" t="s">
        <v>70</v>
      </c>
      <c r="D1480" s="6">
        <v>27.0</v>
      </c>
      <c r="E1480" s="6">
        <v>27125.0</v>
      </c>
      <c r="F1480" s="6">
        <v>30191.0</v>
      </c>
      <c r="G1480" s="6">
        <v>37220.0</v>
      </c>
      <c r="H1480" s="6">
        <v>0.7288</v>
      </c>
      <c r="I1480" s="6">
        <v>0.8111</v>
      </c>
      <c r="J1480" s="6">
        <v>-0.0824</v>
      </c>
    </row>
    <row r="1481">
      <c r="A1481" s="5" t="s">
        <v>57</v>
      </c>
      <c r="B1481" s="5" t="s">
        <v>1867</v>
      </c>
      <c r="C1481" s="5" t="s">
        <v>70</v>
      </c>
      <c r="D1481" s="6">
        <v>28.0</v>
      </c>
      <c r="E1481" s="6">
        <v>20466.0</v>
      </c>
      <c r="F1481" s="6">
        <v>26201.0</v>
      </c>
      <c r="G1481" s="6">
        <v>37220.0</v>
      </c>
      <c r="H1481" s="6">
        <v>0.5499</v>
      </c>
      <c r="I1481" s="6">
        <v>0.7039</v>
      </c>
      <c r="J1481" s="6">
        <v>-0.1541</v>
      </c>
    </row>
    <row r="1482">
      <c r="A1482" s="5" t="s">
        <v>57</v>
      </c>
      <c r="B1482" s="5" t="s">
        <v>1867</v>
      </c>
      <c r="C1482" s="5" t="s">
        <v>70</v>
      </c>
      <c r="D1482" s="6">
        <v>29.0</v>
      </c>
      <c r="E1482" s="6">
        <v>18696.0</v>
      </c>
      <c r="F1482" s="6">
        <v>24886.0</v>
      </c>
      <c r="G1482" s="6">
        <v>37220.0</v>
      </c>
      <c r="H1482" s="6">
        <v>0.5023</v>
      </c>
      <c r="I1482" s="6">
        <v>0.6686</v>
      </c>
      <c r="J1482" s="6">
        <v>-0.1663</v>
      </c>
    </row>
    <row r="1483">
      <c r="A1483" s="5" t="s">
        <v>57</v>
      </c>
      <c r="B1483" s="5" t="s">
        <v>1867</v>
      </c>
      <c r="C1483" s="5" t="s">
        <v>70</v>
      </c>
      <c r="D1483" s="6">
        <v>30.0</v>
      </c>
      <c r="E1483" s="6">
        <v>17297.0</v>
      </c>
      <c r="F1483" s="6">
        <v>22375.0</v>
      </c>
      <c r="G1483" s="6">
        <v>37220.0</v>
      </c>
      <c r="H1483" s="6">
        <v>0.4647</v>
      </c>
      <c r="I1483" s="6">
        <v>0.6012</v>
      </c>
      <c r="J1483" s="6">
        <v>-0.1364</v>
      </c>
    </row>
    <row r="1484">
      <c r="A1484" s="5" t="s">
        <v>57</v>
      </c>
      <c r="B1484" s="5" t="s">
        <v>1867</v>
      </c>
      <c r="C1484" s="5" t="s">
        <v>70</v>
      </c>
      <c r="D1484" s="6">
        <v>31.0</v>
      </c>
      <c r="E1484" s="6">
        <v>27770.0</v>
      </c>
      <c r="F1484" s="6">
        <v>28017.0</v>
      </c>
      <c r="G1484" s="6">
        <v>37220.0</v>
      </c>
      <c r="H1484" s="6">
        <v>0.7461</v>
      </c>
      <c r="I1484" s="6">
        <v>0.7527</v>
      </c>
      <c r="J1484" s="6">
        <v>-0.0066</v>
      </c>
    </row>
    <row r="1485">
      <c r="A1485" s="5" t="s">
        <v>57</v>
      </c>
      <c r="B1485" s="5" t="s">
        <v>1867</v>
      </c>
      <c r="C1485" s="5" t="s">
        <v>70</v>
      </c>
      <c r="D1485" s="6">
        <v>32.0</v>
      </c>
      <c r="E1485" s="6">
        <v>20226.0</v>
      </c>
      <c r="F1485" s="6">
        <v>24694.0</v>
      </c>
      <c r="G1485" s="6">
        <v>37220.0</v>
      </c>
      <c r="H1485" s="6">
        <v>0.5434</v>
      </c>
      <c r="I1485" s="6">
        <v>0.6635</v>
      </c>
      <c r="J1485" s="6">
        <v>-0.12</v>
      </c>
    </row>
    <row r="1486">
      <c r="A1486" s="5" t="s">
        <v>57</v>
      </c>
      <c r="B1486" s="5" t="s">
        <v>1867</v>
      </c>
      <c r="C1486" s="5" t="s">
        <v>70</v>
      </c>
      <c r="D1486" s="6">
        <v>33.0</v>
      </c>
      <c r="E1486" s="6">
        <v>19221.0</v>
      </c>
      <c r="F1486" s="6">
        <v>24598.0</v>
      </c>
      <c r="G1486" s="6">
        <v>37220.0</v>
      </c>
      <c r="H1486" s="6">
        <v>0.5164</v>
      </c>
      <c r="I1486" s="6">
        <v>0.6609</v>
      </c>
      <c r="J1486" s="6">
        <v>-0.1445</v>
      </c>
    </row>
    <row r="1487">
      <c r="A1487" s="5" t="s">
        <v>57</v>
      </c>
      <c r="B1487" s="5" t="s">
        <v>1867</v>
      </c>
      <c r="C1487" s="5" t="s">
        <v>71</v>
      </c>
      <c r="D1487" s="6">
        <v>1.0</v>
      </c>
      <c r="E1487" s="6">
        <v>11285.0</v>
      </c>
      <c r="F1487" s="6">
        <v>16106.0</v>
      </c>
      <c r="G1487" s="6">
        <v>35303.0</v>
      </c>
      <c r="H1487" s="6">
        <v>0.3197</v>
      </c>
      <c r="I1487" s="6">
        <v>0.4562</v>
      </c>
      <c r="J1487" s="6">
        <v>-0.1366</v>
      </c>
    </row>
    <row r="1488">
      <c r="A1488" s="5" t="s">
        <v>57</v>
      </c>
      <c r="B1488" s="5" t="s">
        <v>1867</v>
      </c>
      <c r="C1488" s="5" t="s">
        <v>71</v>
      </c>
      <c r="D1488" s="6">
        <v>2.0</v>
      </c>
      <c r="E1488" s="6">
        <v>11171.0</v>
      </c>
      <c r="F1488" s="6">
        <v>15277.0</v>
      </c>
      <c r="G1488" s="6">
        <v>35303.0</v>
      </c>
      <c r="H1488" s="6">
        <v>0.3164</v>
      </c>
      <c r="I1488" s="6">
        <v>0.4327</v>
      </c>
      <c r="J1488" s="6">
        <v>-0.1163</v>
      </c>
    </row>
    <row r="1489">
      <c r="A1489" s="5" t="s">
        <v>57</v>
      </c>
      <c r="B1489" s="5" t="s">
        <v>1867</v>
      </c>
      <c r="C1489" s="5" t="s">
        <v>71</v>
      </c>
      <c r="D1489" s="6">
        <v>3.0</v>
      </c>
      <c r="E1489" s="6">
        <v>19561.0</v>
      </c>
      <c r="F1489" s="6">
        <v>19832.0</v>
      </c>
      <c r="G1489" s="6">
        <v>35303.0</v>
      </c>
      <c r="H1489" s="6">
        <v>0.5541</v>
      </c>
      <c r="I1489" s="6">
        <v>0.5618</v>
      </c>
      <c r="J1489" s="6">
        <v>-0.0077</v>
      </c>
    </row>
    <row r="1490">
      <c r="A1490" s="5" t="s">
        <v>57</v>
      </c>
      <c r="B1490" s="5" t="s">
        <v>1867</v>
      </c>
      <c r="C1490" s="5" t="s">
        <v>71</v>
      </c>
      <c r="D1490" s="6">
        <v>4.0</v>
      </c>
      <c r="E1490" s="6">
        <v>14722.0</v>
      </c>
      <c r="F1490" s="6">
        <v>18164.0</v>
      </c>
      <c r="G1490" s="6">
        <v>35303.0</v>
      </c>
      <c r="H1490" s="6">
        <v>0.417</v>
      </c>
      <c r="I1490" s="6">
        <v>0.5145</v>
      </c>
      <c r="J1490" s="6">
        <v>-0.0975</v>
      </c>
    </row>
    <row r="1491">
      <c r="A1491" s="5" t="s">
        <v>57</v>
      </c>
      <c r="B1491" s="5" t="s">
        <v>1867</v>
      </c>
      <c r="C1491" s="5" t="s">
        <v>71</v>
      </c>
      <c r="D1491" s="6">
        <v>5.0</v>
      </c>
      <c r="E1491" s="6">
        <v>14210.0</v>
      </c>
      <c r="F1491" s="6">
        <v>18749.0</v>
      </c>
      <c r="G1491" s="6">
        <v>35303.0</v>
      </c>
      <c r="H1491" s="6">
        <v>0.4025</v>
      </c>
      <c r="I1491" s="6">
        <v>0.5311</v>
      </c>
      <c r="J1491" s="6">
        <v>-0.1286</v>
      </c>
    </row>
    <row r="1492">
      <c r="A1492" s="5" t="s">
        <v>57</v>
      </c>
      <c r="B1492" s="5" t="s">
        <v>1867</v>
      </c>
      <c r="C1492" s="5" t="s">
        <v>71</v>
      </c>
      <c r="D1492" s="6">
        <v>6.0</v>
      </c>
      <c r="E1492" s="6">
        <v>18375.0</v>
      </c>
      <c r="F1492" s="6">
        <v>20576.0</v>
      </c>
      <c r="G1492" s="6">
        <v>35303.0</v>
      </c>
      <c r="H1492" s="6">
        <v>0.5205</v>
      </c>
      <c r="I1492" s="6">
        <v>0.5828</v>
      </c>
      <c r="J1492" s="6">
        <v>-0.0623</v>
      </c>
    </row>
    <row r="1493">
      <c r="A1493" s="5" t="s">
        <v>57</v>
      </c>
      <c r="B1493" s="5" t="s">
        <v>1867</v>
      </c>
      <c r="C1493" s="5" t="s">
        <v>71</v>
      </c>
      <c r="D1493" s="6">
        <v>7.0</v>
      </c>
      <c r="E1493" s="6">
        <v>11847.0</v>
      </c>
      <c r="F1493" s="6">
        <v>17316.0</v>
      </c>
      <c r="G1493" s="6">
        <v>35303.0</v>
      </c>
      <c r="H1493" s="6">
        <v>0.3356</v>
      </c>
      <c r="I1493" s="6">
        <v>0.4905</v>
      </c>
      <c r="J1493" s="6">
        <v>-0.1549</v>
      </c>
    </row>
    <row r="1494">
      <c r="A1494" s="5" t="s">
        <v>57</v>
      </c>
      <c r="B1494" s="5" t="s">
        <v>1867</v>
      </c>
      <c r="C1494" s="5" t="s">
        <v>71</v>
      </c>
      <c r="D1494" s="6">
        <v>8.0</v>
      </c>
      <c r="E1494" s="6">
        <v>10638.0</v>
      </c>
      <c r="F1494" s="6">
        <v>16417.0</v>
      </c>
      <c r="G1494" s="6">
        <v>35303.0</v>
      </c>
      <c r="H1494" s="6">
        <v>0.3013</v>
      </c>
      <c r="I1494" s="6">
        <v>0.465</v>
      </c>
      <c r="J1494" s="6">
        <v>-0.1637</v>
      </c>
    </row>
    <row r="1495">
      <c r="A1495" s="5" t="s">
        <v>57</v>
      </c>
      <c r="B1495" s="5" t="s">
        <v>1867</v>
      </c>
      <c r="C1495" s="5" t="s">
        <v>71</v>
      </c>
      <c r="D1495" s="6">
        <v>9.0</v>
      </c>
      <c r="E1495" s="6">
        <v>9348.0</v>
      </c>
      <c r="F1495" s="6">
        <v>14715.0</v>
      </c>
      <c r="G1495" s="6">
        <v>35303.0</v>
      </c>
      <c r="H1495" s="6">
        <v>0.2648</v>
      </c>
      <c r="I1495" s="6">
        <v>0.4168</v>
      </c>
      <c r="J1495" s="6">
        <v>-0.152</v>
      </c>
    </row>
    <row r="1496">
      <c r="A1496" s="5" t="s">
        <v>57</v>
      </c>
      <c r="B1496" s="5" t="s">
        <v>1867</v>
      </c>
      <c r="C1496" s="5" t="s">
        <v>71</v>
      </c>
      <c r="D1496" s="6">
        <v>10.0</v>
      </c>
      <c r="E1496" s="6">
        <v>19605.0</v>
      </c>
      <c r="F1496" s="6">
        <v>20057.0</v>
      </c>
      <c r="G1496" s="6">
        <v>35303.0</v>
      </c>
      <c r="H1496" s="6">
        <v>0.5553</v>
      </c>
      <c r="I1496" s="6">
        <v>0.5681</v>
      </c>
      <c r="J1496" s="6">
        <v>-0.0128</v>
      </c>
    </row>
    <row r="1497">
      <c r="A1497" s="5" t="s">
        <v>57</v>
      </c>
      <c r="B1497" s="5" t="s">
        <v>1867</v>
      </c>
      <c r="C1497" s="5" t="s">
        <v>71</v>
      </c>
      <c r="D1497" s="6">
        <v>11.0</v>
      </c>
      <c r="E1497" s="6">
        <v>13198.0</v>
      </c>
      <c r="F1497" s="6">
        <v>17223.0</v>
      </c>
      <c r="G1497" s="6">
        <v>35303.0</v>
      </c>
      <c r="H1497" s="6">
        <v>0.3738</v>
      </c>
      <c r="I1497" s="6">
        <v>0.4879</v>
      </c>
      <c r="J1497" s="6">
        <v>-0.114</v>
      </c>
    </row>
    <row r="1498">
      <c r="A1498" s="5" t="s">
        <v>57</v>
      </c>
      <c r="B1498" s="5" t="s">
        <v>1867</v>
      </c>
      <c r="C1498" s="5" t="s">
        <v>71</v>
      </c>
      <c r="D1498" s="6">
        <v>12.0</v>
      </c>
      <c r="E1498" s="6">
        <v>12954.0</v>
      </c>
      <c r="F1498" s="6">
        <v>17562.0</v>
      </c>
      <c r="G1498" s="6">
        <v>35303.0</v>
      </c>
      <c r="H1498" s="6">
        <v>0.3669</v>
      </c>
      <c r="I1498" s="6">
        <v>0.4975</v>
      </c>
      <c r="J1498" s="6">
        <v>-0.1305</v>
      </c>
    </row>
    <row r="1499">
      <c r="A1499" s="5" t="s">
        <v>57</v>
      </c>
      <c r="B1499" s="5" t="s">
        <v>1867</v>
      </c>
      <c r="C1499" s="5" t="s">
        <v>71</v>
      </c>
      <c r="D1499" s="6">
        <v>13.0</v>
      </c>
      <c r="E1499" s="6">
        <v>17293.0</v>
      </c>
      <c r="F1499" s="6">
        <v>19391.0</v>
      </c>
      <c r="G1499" s="6">
        <v>35303.0</v>
      </c>
      <c r="H1499" s="6">
        <v>0.4898</v>
      </c>
      <c r="I1499" s="6">
        <v>0.5493</v>
      </c>
      <c r="J1499" s="6">
        <v>-0.0594</v>
      </c>
    </row>
    <row r="1500">
      <c r="A1500" s="5" t="s">
        <v>57</v>
      </c>
      <c r="B1500" s="5" t="s">
        <v>1867</v>
      </c>
      <c r="C1500" s="5" t="s">
        <v>71</v>
      </c>
      <c r="D1500" s="6">
        <v>14.0</v>
      </c>
      <c r="E1500" s="6">
        <v>10741.0</v>
      </c>
      <c r="F1500" s="6">
        <v>16335.0</v>
      </c>
      <c r="G1500" s="6">
        <v>35303.0</v>
      </c>
      <c r="H1500" s="6">
        <v>0.3043</v>
      </c>
      <c r="I1500" s="6">
        <v>0.4627</v>
      </c>
      <c r="J1500" s="6">
        <v>-0.1585</v>
      </c>
    </row>
    <row r="1501">
      <c r="A1501" s="5" t="s">
        <v>57</v>
      </c>
      <c r="B1501" s="5" t="s">
        <v>1867</v>
      </c>
      <c r="C1501" s="5" t="s">
        <v>71</v>
      </c>
      <c r="D1501" s="6">
        <v>15.0</v>
      </c>
      <c r="E1501" s="6">
        <v>9538.0</v>
      </c>
      <c r="F1501" s="6">
        <v>14961.0</v>
      </c>
      <c r="G1501" s="6">
        <v>35303.0</v>
      </c>
      <c r="H1501" s="6">
        <v>0.2702</v>
      </c>
      <c r="I1501" s="6">
        <v>0.4238</v>
      </c>
      <c r="J1501" s="6">
        <v>-0.1536</v>
      </c>
    </row>
    <row r="1502">
      <c r="A1502" s="5" t="s">
        <v>57</v>
      </c>
      <c r="B1502" s="5" t="s">
        <v>1867</v>
      </c>
      <c r="C1502" s="5" t="s">
        <v>71</v>
      </c>
      <c r="D1502" s="6">
        <v>16.0</v>
      </c>
      <c r="E1502" s="6">
        <v>9038.0</v>
      </c>
      <c r="F1502" s="6">
        <v>13990.0</v>
      </c>
      <c r="G1502" s="6">
        <v>35303.0</v>
      </c>
      <c r="H1502" s="6">
        <v>0.256</v>
      </c>
      <c r="I1502" s="6">
        <v>0.3963</v>
      </c>
      <c r="J1502" s="6">
        <v>-0.1403</v>
      </c>
    </row>
    <row r="1503">
      <c r="A1503" s="5" t="s">
        <v>57</v>
      </c>
      <c r="B1503" s="5" t="s">
        <v>1867</v>
      </c>
      <c r="C1503" s="5" t="s">
        <v>71</v>
      </c>
      <c r="D1503" s="6">
        <v>17.0</v>
      </c>
      <c r="E1503" s="6">
        <v>17944.0</v>
      </c>
      <c r="F1503" s="6">
        <v>18797.0</v>
      </c>
      <c r="G1503" s="6">
        <v>35303.0</v>
      </c>
      <c r="H1503" s="6">
        <v>0.5083</v>
      </c>
      <c r="I1503" s="6">
        <v>0.5324</v>
      </c>
      <c r="J1503" s="6">
        <v>-0.0242</v>
      </c>
    </row>
    <row r="1504">
      <c r="A1504" s="5" t="s">
        <v>57</v>
      </c>
      <c r="B1504" s="5" t="s">
        <v>1867</v>
      </c>
      <c r="C1504" s="5" t="s">
        <v>71</v>
      </c>
      <c r="D1504" s="6">
        <v>18.0</v>
      </c>
      <c r="E1504" s="6">
        <v>12214.0</v>
      </c>
      <c r="F1504" s="6">
        <v>16152.0</v>
      </c>
      <c r="G1504" s="6">
        <v>35303.0</v>
      </c>
      <c r="H1504" s="6">
        <v>0.346</v>
      </c>
      <c r="I1504" s="6">
        <v>0.4575</v>
      </c>
      <c r="J1504" s="6">
        <v>-0.1115</v>
      </c>
    </row>
    <row r="1505">
      <c r="A1505" s="5" t="s">
        <v>57</v>
      </c>
      <c r="B1505" s="5" t="s">
        <v>1867</v>
      </c>
      <c r="C1505" s="5" t="s">
        <v>71</v>
      </c>
      <c r="D1505" s="6">
        <v>19.0</v>
      </c>
      <c r="E1505" s="6">
        <v>11456.0</v>
      </c>
      <c r="F1505" s="6">
        <v>15845.0</v>
      </c>
      <c r="G1505" s="6">
        <v>35303.0</v>
      </c>
      <c r="H1505" s="6">
        <v>0.3245</v>
      </c>
      <c r="I1505" s="6">
        <v>0.4488</v>
      </c>
      <c r="J1505" s="6">
        <v>-0.1243</v>
      </c>
    </row>
    <row r="1506">
      <c r="A1506" s="5" t="s">
        <v>57</v>
      </c>
      <c r="B1506" s="5" t="s">
        <v>1867</v>
      </c>
      <c r="C1506" s="5" t="s">
        <v>71</v>
      </c>
      <c r="D1506" s="6">
        <v>20.0</v>
      </c>
      <c r="E1506" s="6">
        <v>16251.0</v>
      </c>
      <c r="F1506" s="6">
        <v>18313.0</v>
      </c>
      <c r="G1506" s="6">
        <v>35303.0</v>
      </c>
      <c r="H1506" s="6">
        <v>0.4603</v>
      </c>
      <c r="I1506" s="6">
        <v>0.5187</v>
      </c>
      <c r="J1506" s="6">
        <v>-0.0584</v>
      </c>
    </row>
    <row r="1507">
      <c r="A1507" s="5" t="s">
        <v>57</v>
      </c>
      <c r="B1507" s="5" t="s">
        <v>1867</v>
      </c>
      <c r="C1507" s="5" t="s">
        <v>71</v>
      </c>
      <c r="D1507" s="6">
        <v>21.0</v>
      </c>
      <c r="E1507" s="6">
        <v>16815.0</v>
      </c>
      <c r="F1507" s="6">
        <v>17697.0</v>
      </c>
      <c r="G1507" s="6">
        <v>35303.0</v>
      </c>
      <c r="H1507" s="6">
        <v>0.4763</v>
      </c>
      <c r="I1507" s="6">
        <v>0.5013</v>
      </c>
      <c r="J1507" s="6">
        <v>-0.025</v>
      </c>
    </row>
    <row r="1508">
      <c r="A1508" s="5" t="s">
        <v>57</v>
      </c>
      <c r="B1508" s="5" t="s">
        <v>1867</v>
      </c>
      <c r="C1508" s="5" t="s">
        <v>71</v>
      </c>
      <c r="D1508" s="6">
        <v>22.0</v>
      </c>
      <c r="E1508" s="6">
        <v>11764.0</v>
      </c>
      <c r="F1508" s="6">
        <v>16174.0</v>
      </c>
      <c r="G1508" s="6">
        <v>35303.0</v>
      </c>
      <c r="H1508" s="6">
        <v>0.3332</v>
      </c>
      <c r="I1508" s="6">
        <v>0.4581</v>
      </c>
      <c r="J1508" s="6">
        <v>-0.1249</v>
      </c>
    </row>
    <row r="1509">
      <c r="A1509" s="5" t="s">
        <v>57</v>
      </c>
      <c r="B1509" s="5" t="s">
        <v>1867</v>
      </c>
      <c r="C1509" s="5" t="s">
        <v>71</v>
      </c>
      <c r="D1509" s="6">
        <v>23.0</v>
      </c>
      <c r="E1509" s="6">
        <v>8672.0</v>
      </c>
      <c r="F1509" s="6">
        <v>13790.0</v>
      </c>
      <c r="G1509" s="6">
        <v>35303.0</v>
      </c>
      <c r="H1509" s="6">
        <v>0.2456</v>
      </c>
      <c r="I1509" s="6">
        <v>0.3906</v>
      </c>
      <c r="J1509" s="6">
        <v>-0.145</v>
      </c>
    </row>
    <row r="1510">
      <c r="A1510" s="5" t="s">
        <v>57</v>
      </c>
      <c r="B1510" s="5" t="s">
        <v>1867</v>
      </c>
      <c r="C1510" s="5" t="s">
        <v>71</v>
      </c>
      <c r="D1510" s="6">
        <v>24.0</v>
      </c>
      <c r="E1510" s="6">
        <v>17576.0</v>
      </c>
      <c r="F1510" s="6">
        <v>18423.0</v>
      </c>
      <c r="G1510" s="6">
        <v>35303.0</v>
      </c>
      <c r="H1510" s="6">
        <v>0.4979</v>
      </c>
      <c r="I1510" s="6">
        <v>0.5219</v>
      </c>
      <c r="J1510" s="6">
        <v>-0.024</v>
      </c>
    </row>
    <row r="1511">
      <c r="A1511" s="5" t="s">
        <v>57</v>
      </c>
      <c r="B1511" s="5" t="s">
        <v>1867</v>
      </c>
      <c r="C1511" s="5" t="s">
        <v>71</v>
      </c>
      <c r="D1511" s="6">
        <v>25.0</v>
      </c>
      <c r="E1511" s="6">
        <v>12824.0</v>
      </c>
      <c r="F1511" s="6">
        <v>16230.0</v>
      </c>
      <c r="G1511" s="6">
        <v>35303.0</v>
      </c>
      <c r="H1511" s="6">
        <v>0.3633</v>
      </c>
      <c r="I1511" s="6">
        <v>0.4597</v>
      </c>
      <c r="J1511" s="6">
        <v>-0.0965</v>
      </c>
    </row>
    <row r="1512">
      <c r="A1512" s="5" t="s">
        <v>57</v>
      </c>
      <c r="B1512" s="5" t="s">
        <v>1867</v>
      </c>
      <c r="C1512" s="5" t="s">
        <v>71</v>
      </c>
      <c r="D1512" s="6">
        <v>26.0</v>
      </c>
      <c r="E1512" s="6">
        <v>12249.0</v>
      </c>
      <c r="F1512" s="6">
        <v>16137.0</v>
      </c>
      <c r="G1512" s="6">
        <v>35303.0</v>
      </c>
      <c r="H1512" s="6">
        <v>0.347</v>
      </c>
      <c r="I1512" s="6">
        <v>0.4571</v>
      </c>
      <c r="J1512" s="6">
        <v>-0.1101</v>
      </c>
    </row>
    <row r="1513">
      <c r="A1513" s="5" t="s">
        <v>57</v>
      </c>
      <c r="B1513" s="5" t="s">
        <v>1867</v>
      </c>
      <c r="C1513" s="5" t="s">
        <v>71</v>
      </c>
      <c r="D1513" s="6">
        <v>27.0</v>
      </c>
      <c r="E1513" s="6">
        <v>18261.0</v>
      </c>
      <c r="F1513" s="6">
        <v>19982.0</v>
      </c>
      <c r="G1513" s="6">
        <v>35303.0</v>
      </c>
      <c r="H1513" s="6">
        <v>0.5173</v>
      </c>
      <c r="I1513" s="6">
        <v>0.566</v>
      </c>
      <c r="J1513" s="6">
        <v>-0.0487</v>
      </c>
    </row>
    <row r="1514">
      <c r="A1514" s="5" t="s">
        <v>57</v>
      </c>
      <c r="B1514" s="5" t="s">
        <v>1867</v>
      </c>
      <c r="C1514" s="5" t="s">
        <v>71</v>
      </c>
      <c r="D1514" s="6">
        <v>28.0</v>
      </c>
      <c r="E1514" s="6">
        <v>11381.0</v>
      </c>
      <c r="F1514" s="6">
        <v>15879.0</v>
      </c>
      <c r="G1514" s="6">
        <v>35303.0</v>
      </c>
      <c r="H1514" s="6">
        <v>0.3224</v>
      </c>
      <c r="I1514" s="6">
        <v>0.4498</v>
      </c>
      <c r="J1514" s="6">
        <v>-0.1274</v>
      </c>
    </row>
    <row r="1515">
      <c r="A1515" s="5" t="s">
        <v>57</v>
      </c>
      <c r="B1515" s="5" t="s">
        <v>1867</v>
      </c>
      <c r="C1515" s="5" t="s">
        <v>71</v>
      </c>
      <c r="D1515" s="6">
        <v>29.0</v>
      </c>
      <c r="E1515" s="6">
        <v>10543.0</v>
      </c>
      <c r="F1515" s="6">
        <v>15575.0</v>
      </c>
      <c r="G1515" s="6">
        <v>35303.0</v>
      </c>
      <c r="H1515" s="6">
        <v>0.2986</v>
      </c>
      <c r="I1515" s="6">
        <v>0.4412</v>
      </c>
      <c r="J1515" s="6">
        <v>-0.1425</v>
      </c>
    </row>
    <row r="1516">
      <c r="A1516" s="5" t="s">
        <v>57</v>
      </c>
      <c r="B1516" s="5" t="s">
        <v>1867</v>
      </c>
      <c r="C1516" s="5" t="s">
        <v>71</v>
      </c>
      <c r="D1516" s="6">
        <v>30.0</v>
      </c>
      <c r="E1516" s="6">
        <v>9872.0</v>
      </c>
      <c r="F1516" s="6">
        <v>13748.0</v>
      </c>
      <c r="G1516" s="6">
        <v>35303.0</v>
      </c>
      <c r="H1516" s="6">
        <v>0.2796</v>
      </c>
      <c r="I1516" s="6">
        <v>0.3894</v>
      </c>
      <c r="J1516" s="6">
        <v>-0.1098</v>
      </c>
    </row>
    <row r="1517">
      <c r="A1517" s="5" t="s">
        <v>57</v>
      </c>
      <c r="B1517" s="5" t="s">
        <v>1867</v>
      </c>
      <c r="C1517" s="5" t="s">
        <v>71</v>
      </c>
      <c r="D1517" s="6">
        <v>31.0</v>
      </c>
      <c r="E1517" s="6">
        <v>19641.0</v>
      </c>
      <c r="F1517" s="6">
        <v>19069.0</v>
      </c>
      <c r="G1517" s="6">
        <v>35303.0</v>
      </c>
      <c r="H1517" s="6">
        <v>0.5564</v>
      </c>
      <c r="I1517" s="6">
        <v>0.5402</v>
      </c>
      <c r="J1517" s="6">
        <v>0.0162</v>
      </c>
    </row>
    <row r="1518">
      <c r="A1518" s="5" t="s">
        <v>57</v>
      </c>
      <c r="B1518" s="5" t="s">
        <v>1867</v>
      </c>
      <c r="C1518" s="5" t="s">
        <v>71</v>
      </c>
      <c r="D1518" s="6">
        <v>32.0</v>
      </c>
      <c r="E1518" s="6">
        <v>13040.0</v>
      </c>
      <c r="F1518" s="6">
        <v>16188.0</v>
      </c>
      <c r="G1518" s="6">
        <v>35303.0</v>
      </c>
      <c r="H1518" s="6">
        <v>0.3694</v>
      </c>
      <c r="I1518" s="6">
        <v>0.4585</v>
      </c>
      <c r="J1518" s="6">
        <v>-0.0892</v>
      </c>
    </row>
    <row r="1519">
      <c r="A1519" s="5" t="s">
        <v>57</v>
      </c>
      <c r="B1519" s="5" t="s">
        <v>1867</v>
      </c>
      <c r="C1519" s="5" t="s">
        <v>71</v>
      </c>
      <c r="D1519" s="6">
        <v>33.0</v>
      </c>
      <c r="E1519" s="6">
        <v>12436.0</v>
      </c>
      <c r="F1519" s="6">
        <v>16108.0</v>
      </c>
      <c r="G1519" s="6">
        <v>35303.0</v>
      </c>
      <c r="H1519" s="6">
        <v>0.3523</v>
      </c>
      <c r="I1519" s="6">
        <v>0.4563</v>
      </c>
      <c r="J1519" s="6">
        <v>-0.104</v>
      </c>
    </row>
    <row r="1520">
      <c r="A1520" s="5" t="s">
        <v>57</v>
      </c>
      <c r="B1520" s="5" t="s">
        <v>1867</v>
      </c>
      <c r="C1520" s="5" t="s">
        <v>1883</v>
      </c>
      <c r="D1520" s="6">
        <v>1.0</v>
      </c>
      <c r="E1520" s="6">
        <v>17485.0</v>
      </c>
      <c r="F1520" s="6">
        <v>32606.0</v>
      </c>
      <c r="G1520" s="6">
        <v>17873.0</v>
      </c>
      <c r="H1520" s="6">
        <v>0.9783</v>
      </c>
      <c r="I1520" s="6">
        <v>1.8243</v>
      </c>
      <c r="J1520" s="6">
        <v>-0.846</v>
      </c>
    </row>
    <row r="1521">
      <c r="A1521" s="5" t="s">
        <v>57</v>
      </c>
      <c r="B1521" s="5" t="s">
        <v>1867</v>
      </c>
      <c r="C1521" s="5" t="s">
        <v>1883</v>
      </c>
      <c r="D1521" s="6">
        <v>2.0</v>
      </c>
      <c r="E1521" s="6">
        <v>25280.0</v>
      </c>
      <c r="F1521" s="6">
        <v>35435.0</v>
      </c>
      <c r="G1521" s="6">
        <v>17873.0</v>
      </c>
      <c r="H1521" s="6">
        <v>1.4144</v>
      </c>
      <c r="I1521" s="6">
        <v>1.9826</v>
      </c>
      <c r="J1521" s="6">
        <v>-0.5682</v>
      </c>
    </row>
    <row r="1522">
      <c r="A1522" s="5" t="s">
        <v>57</v>
      </c>
      <c r="B1522" s="5" t="s">
        <v>1867</v>
      </c>
      <c r="C1522" s="5" t="s">
        <v>1883</v>
      </c>
      <c r="D1522" s="6">
        <v>3.0</v>
      </c>
      <c r="E1522" s="6">
        <v>26245.0</v>
      </c>
      <c r="F1522" s="6">
        <v>32814.0</v>
      </c>
      <c r="G1522" s="6">
        <v>17873.0</v>
      </c>
      <c r="H1522" s="6">
        <v>1.4684</v>
      </c>
      <c r="I1522" s="6">
        <v>1.836</v>
      </c>
      <c r="J1522" s="6">
        <v>-0.3675</v>
      </c>
    </row>
    <row r="1523">
      <c r="A1523" s="5" t="s">
        <v>57</v>
      </c>
      <c r="B1523" s="5" t="s">
        <v>1867</v>
      </c>
      <c r="C1523" s="5" t="s">
        <v>1883</v>
      </c>
      <c r="D1523" s="6">
        <v>4.0</v>
      </c>
      <c r="E1523" s="6">
        <v>29990.0</v>
      </c>
      <c r="F1523" s="6">
        <v>36556.0</v>
      </c>
      <c r="G1523" s="6">
        <v>17873.0</v>
      </c>
      <c r="H1523" s="6">
        <v>1.6779</v>
      </c>
      <c r="I1523" s="6">
        <v>2.0453</v>
      </c>
      <c r="J1523" s="6">
        <v>-0.3674</v>
      </c>
    </row>
    <row r="1524">
      <c r="A1524" s="5" t="s">
        <v>57</v>
      </c>
      <c r="B1524" s="5" t="s">
        <v>1867</v>
      </c>
      <c r="C1524" s="5" t="s">
        <v>1883</v>
      </c>
      <c r="D1524" s="6">
        <v>5.0</v>
      </c>
      <c r="E1524" s="6">
        <v>25895.0</v>
      </c>
      <c r="F1524" s="6">
        <v>34782.0</v>
      </c>
      <c r="G1524" s="6">
        <v>17873.0</v>
      </c>
      <c r="H1524" s="6">
        <v>1.4488</v>
      </c>
      <c r="I1524" s="6">
        <v>1.9461</v>
      </c>
      <c r="J1524" s="6">
        <v>-0.4972</v>
      </c>
    </row>
    <row r="1525">
      <c r="A1525" s="5" t="s">
        <v>57</v>
      </c>
      <c r="B1525" s="5" t="s">
        <v>1867</v>
      </c>
      <c r="C1525" s="5" t="s">
        <v>1883</v>
      </c>
      <c r="D1525" s="6">
        <v>6.0</v>
      </c>
      <c r="E1525" s="6">
        <v>25970.0</v>
      </c>
      <c r="F1525" s="6">
        <v>38488.0</v>
      </c>
      <c r="G1525" s="6">
        <v>17873.0</v>
      </c>
      <c r="H1525" s="6">
        <v>1.453</v>
      </c>
      <c r="I1525" s="6">
        <v>2.1534</v>
      </c>
      <c r="J1525" s="6">
        <v>-0.7004</v>
      </c>
    </row>
    <row r="1526">
      <c r="A1526" s="5" t="s">
        <v>57</v>
      </c>
      <c r="B1526" s="5" t="s">
        <v>1867</v>
      </c>
      <c r="C1526" s="5" t="s">
        <v>1883</v>
      </c>
      <c r="D1526" s="6">
        <v>7.0</v>
      </c>
      <c r="E1526" s="6">
        <v>29010.0</v>
      </c>
      <c r="F1526" s="6">
        <v>38883.0</v>
      </c>
      <c r="G1526" s="6">
        <v>17873.0</v>
      </c>
      <c r="H1526" s="6">
        <v>1.6231</v>
      </c>
      <c r="I1526" s="6">
        <v>2.1755</v>
      </c>
      <c r="J1526" s="6">
        <v>-0.5524</v>
      </c>
    </row>
    <row r="1527">
      <c r="A1527" s="5" t="s">
        <v>57</v>
      </c>
      <c r="B1527" s="5" t="s">
        <v>1867</v>
      </c>
      <c r="C1527" s="5" t="s">
        <v>1883</v>
      </c>
      <c r="D1527" s="6">
        <v>8.0</v>
      </c>
      <c r="E1527" s="6">
        <v>32465.0</v>
      </c>
      <c r="F1527" s="6">
        <v>41107.0</v>
      </c>
      <c r="G1527" s="6">
        <v>17873.0</v>
      </c>
      <c r="H1527" s="6">
        <v>1.8164</v>
      </c>
      <c r="I1527" s="6">
        <v>2.2999</v>
      </c>
      <c r="J1527" s="6">
        <v>-0.4835</v>
      </c>
    </row>
    <row r="1528">
      <c r="A1528" s="5" t="s">
        <v>57</v>
      </c>
      <c r="B1528" s="5" t="s">
        <v>1867</v>
      </c>
      <c r="C1528" s="5" t="s">
        <v>1883</v>
      </c>
      <c r="D1528" s="6">
        <v>9.0</v>
      </c>
      <c r="E1528" s="6">
        <v>31455.0</v>
      </c>
      <c r="F1528" s="6">
        <v>39584.0</v>
      </c>
      <c r="G1528" s="6">
        <v>17873.0</v>
      </c>
      <c r="H1528" s="6">
        <v>1.7599</v>
      </c>
      <c r="I1528" s="6">
        <v>2.2147</v>
      </c>
      <c r="J1528" s="6">
        <v>-0.4548</v>
      </c>
    </row>
    <row r="1529">
      <c r="A1529" s="5" t="s">
        <v>57</v>
      </c>
      <c r="B1529" s="5" t="s">
        <v>1867</v>
      </c>
      <c r="C1529" s="5" t="s">
        <v>1883</v>
      </c>
      <c r="D1529" s="6">
        <v>10.0</v>
      </c>
      <c r="E1529" s="6">
        <v>26025.0</v>
      </c>
      <c r="F1529" s="6">
        <v>32381.0</v>
      </c>
      <c r="G1529" s="6">
        <v>17873.0</v>
      </c>
      <c r="H1529" s="6">
        <v>1.4561</v>
      </c>
      <c r="I1529" s="6">
        <v>1.8117</v>
      </c>
      <c r="J1529" s="6">
        <v>-0.3556</v>
      </c>
    </row>
    <row r="1530">
      <c r="A1530" s="5" t="s">
        <v>57</v>
      </c>
      <c r="B1530" s="5" t="s">
        <v>1867</v>
      </c>
      <c r="C1530" s="5" t="s">
        <v>1883</v>
      </c>
      <c r="D1530" s="6">
        <v>11.0</v>
      </c>
      <c r="E1530" s="6">
        <v>20290.0</v>
      </c>
      <c r="F1530" s="6">
        <v>29891.0</v>
      </c>
      <c r="G1530" s="6">
        <v>17873.0</v>
      </c>
      <c r="H1530" s="6">
        <v>1.1352</v>
      </c>
      <c r="I1530" s="6">
        <v>1.6724</v>
      </c>
      <c r="J1530" s="6">
        <v>-0.5372</v>
      </c>
    </row>
    <row r="1531">
      <c r="A1531" s="5" t="s">
        <v>57</v>
      </c>
      <c r="B1531" s="5" t="s">
        <v>1867</v>
      </c>
      <c r="C1531" s="5" t="s">
        <v>1883</v>
      </c>
      <c r="D1531" s="6">
        <v>12.0</v>
      </c>
      <c r="E1531" s="6">
        <v>18025.0</v>
      </c>
      <c r="F1531" s="6">
        <v>29108.0</v>
      </c>
      <c r="G1531" s="6">
        <v>17873.0</v>
      </c>
      <c r="H1531" s="6">
        <v>1.0085</v>
      </c>
      <c r="I1531" s="6">
        <v>1.6286</v>
      </c>
      <c r="J1531" s="6">
        <v>-0.6201</v>
      </c>
    </row>
    <row r="1532">
      <c r="A1532" s="5" t="s">
        <v>57</v>
      </c>
      <c r="B1532" s="5" t="s">
        <v>1867</v>
      </c>
      <c r="C1532" s="5" t="s">
        <v>1883</v>
      </c>
      <c r="D1532" s="6">
        <v>13.0</v>
      </c>
      <c r="E1532" s="6">
        <v>18755.0</v>
      </c>
      <c r="F1532" s="6">
        <v>33269.0</v>
      </c>
      <c r="G1532" s="6">
        <v>17873.0</v>
      </c>
      <c r="H1532" s="6">
        <v>1.0493</v>
      </c>
      <c r="I1532" s="6">
        <v>1.8614</v>
      </c>
      <c r="J1532" s="6">
        <v>-0.8121</v>
      </c>
    </row>
    <row r="1533">
      <c r="A1533" s="5" t="s">
        <v>57</v>
      </c>
      <c r="B1533" s="5" t="s">
        <v>1867</v>
      </c>
      <c r="C1533" s="5" t="s">
        <v>1883</v>
      </c>
      <c r="D1533" s="6">
        <v>14.0</v>
      </c>
      <c r="E1533" s="6">
        <v>22515.0</v>
      </c>
      <c r="F1533" s="6">
        <v>35937.0</v>
      </c>
      <c r="G1533" s="6">
        <v>17873.0</v>
      </c>
      <c r="H1533" s="6">
        <v>1.2597</v>
      </c>
      <c r="I1533" s="6">
        <v>2.0107</v>
      </c>
      <c r="J1533" s="6">
        <v>-0.751</v>
      </c>
    </row>
    <row r="1534">
      <c r="A1534" s="5" t="s">
        <v>57</v>
      </c>
      <c r="B1534" s="5" t="s">
        <v>1867</v>
      </c>
      <c r="C1534" s="5" t="s">
        <v>1883</v>
      </c>
      <c r="D1534" s="6">
        <v>15.0</v>
      </c>
      <c r="E1534" s="6">
        <v>25675.0</v>
      </c>
      <c r="F1534" s="6">
        <v>36943.0</v>
      </c>
      <c r="G1534" s="6">
        <v>17873.0</v>
      </c>
      <c r="H1534" s="6">
        <v>1.4365</v>
      </c>
      <c r="I1534" s="6">
        <v>2.067</v>
      </c>
      <c r="J1534" s="6">
        <v>-0.6304</v>
      </c>
    </row>
    <row r="1535">
      <c r="A1535" s="5" t="s">
        <v>57</v>
      </c>
      <c r="B1535" s="5" t="s">
        <v>1867</v>
      </c>
      <c r="C1535" s="5" t="s">
        <v>1883</v>
      </c>
      <c r="D1535" s="6">
        <v>16.0</v>
      </c>
      <c r="E1535" s="6">
        <v>36470.0</v>
      </c>
      <c r="F1535" s="6">
        <v>40256.0</v>
      </c>
      <c r="G1535" s="6">
        <v>17873.0</v>
      </c>
      <c r="H1535" s="6">
        <v>2.0405</v>
      </c>
      <c r="I1535" s="6">
        <v>2.2523</v>
      </c>
      <c r="J1535" s="6">
        <v>-0.2118</v>
      </c>
    </row>
    <row r="1536">
      <c r="A1536" s="5" t="s">
        <v>57</v>
      </c>
      <c r="B1536" s="5" t="s">
        <v>1867</v>
      </c>
      <c r="C1536" s="5" t="s">
        <v>1883</v>
      </c>
      <c r="D1536" s="6">
        <v>17.0</v>
      </c>
      <c r="E1536" s="6">
        <v>30100.0</v>
      </c>
      <c r="F1536" s="6">
        <v>35485.0</v>
      </c>
      <c r="G1536" s="6">
        <v>17873.0</v>
      </c>
      <c r="H1536" s="6">
        <v>1.6841</v>
      </c>
      <c r="I1536" s="6">
        <v>1.9854</v>
      </c>
      <c r="J1536" s="6">
        <v>-0.3013</v>
      </c>
    </row>
    <row r="1537">
      <c r="A1537" s="5" t="s">
        <v>57</v>
      </c>
      <c r="B1537" s="5" t="s">
        <v>1867</v>
      </c>
      <c r="C1537" s="5" t="s">
        <v>1883</v>
      </c>
      <c r="D1537" s="6">
        <v>18.0</v>
      </c>
      <c r="E1537" s="6">
        <v>25975.0</v>
      </c>
      <c r="F1537" s="6">
        <v>31829.0</v>
      </c>
      <c r="G1537" s="6">
        <v>17873.0</v>
      </c>
      <c r="H1537" s="6">
        <v>1.4533</v>
      </c>
      <c r="I1537" s="6">
        <v>1.7808</v>
      </c>
      <c r="J1537" s="6">
        <v>-0.3275</v>
      </c>
    </row>
    <row r="1538">
      <c r="A1538" s="5" t="s">
        <v>57</v>
      </c>
      <c r="B1538" s="5" t="s">
        <v>1867</v>
      </c>
      <c r="C1538" s="5" t="s">
        <v>1883</v>
      </c>
      <c r="D1538" s="6">
        <v>19.0</v>
      </c>
      <c r="E1538" s="6">
        <v>21305.0</v>
      </c>
      <c r="F1538" s="6">
        <v>30309.0</v>
      </c>
      <c r="G1538" s="6">
        <v>17873.0</v>
      </c>
      <c r="H1538" s="6">
        <v>1.192</v>
      </c>
      <c r="I1538" s="6">
        <v>1.6958</v>
      </c>
      <c r="J1538" s="6">
        <v>-0.5038</v>
      </c>
    </row>
    <row r="1539">
      <c r="A1539" s="5" t="s">
        <v>57</v>
      </c>
      <c r="B1539" s="5" t="s">
        <v>1867</v>
      </c>
      <c r="C1539" s="5" t="s">
        <v>1883</v>
      </c>
      <c r="D1539" s="6">
        <v>20.0</v>
      </c>
      <c r="E1539" s="6">
        <v>23090.0</v>
      </c>
      <c r="F1539" s="6">
        <v>33215.0</v>
      </c>
      <c r="G1539" s="6">
        <v>17873.0</v>
      </c>
      <c r="H1539" s="6">
        <v>1.2919</v>
      </c>
      <c r="I1539" s="6">
        <v>1.8584</v>
      </c>
      <c r="J1539" s="6">
        <v>-0.5665</v>
      </c>
    </row>
    <row r="1540">
      <c r="A1540" s="5" t="s">
        <v>57</v>
      </c>
      <c r="B1540" s="5" t="s">
        <v>1867</v>
      </c>
      <c r="C1540" s="5" t="s">
        <v>1883</v>
      </c>
      <c r="D1540" s="6">
        <v>21.0</v>
      </c>
      <c r="E1540" s="6">
        <v>53955.0</v>
      </c>
      <c r="F1540" s="6">
        <v>52046.0</v>
      </c>
      <c r="G1540" s="6">
        <v>17873.0</v>
      </c>
      <c r="H1540" s="6">
        <v>3.0188</v>
      </c>
      <c r="I1540" s="6">
        <v>2.912</v>
      </c>
      <c r="J1540" s="6">
        <v>0.1068</v>
      </c>
    </row>
    <row r="1541">
      <c r="A1541" s="5" t="s">
        <v>57</v>
      </c>
      <c r="B1541" s="5" t="s">
        <v>1867</v>
      </c>
      <c r="C1541" s="5" t="s">
        <v>1883</v>
      </c>
      <c r="D1541" s="6">
        <v>22.0</v>
      </c>
      <c r="E1541" s="6">
        <v>42015.0</v>
      </c>
      <c r="F1541" s="6">
        <v>45192.0</v>
      </c>
      <c r="G1541" s="6">
        <v>17873.0</v>
      </c>
      <c r="H1541" s="6">
        <v>2.3508</v>
      </c>
      <c r="I1541" s="6">
        <v>2.5285</v>
      </c>
      <c r="J1541" s="6">
        <v>-0.1778</v>
      </c>
    </row>
    <row r="1542">
      <c r="A1542" s="5" t="s">
        <v>57</v>
      </c>
      <c r="B1542" s="5" t="s">
        <v>1867</v>
      </c>
      <c r="C1542" s="5" t="s">
        <v>1883</v>
      </c>
      <c r="D1542" s="6">
        <v>23.0</v>
      </c>
      <c r="E1542" s="6">
        <v>32410.0</v>
      </c>
      <c r="F1542" s="6">
        <v>37007.0</v>
      </c>
      <c r="G1542" s="6">
        <v>17873.0</v>
      </c>
      <c r="H1542" s="6">
        <v>1.8133</v>
      </c>
      <c r="I1542" s="6">
        <v>2.0706</v>
      </c>
      <c r="J1542" s="6">
        <v>-0.2572</v>
      </c>
    </row>
    <row r="1543">
      <c r="A1543" s="5" t="s">
        <v>57</v>
      </c>
      <c r="B1543" s="5" t="s">
        <v>1867</v>
      </c>
      <c r="C1543" s="5" t="s">
        <v>1883</v>
      </c>
      <c r="D1543" s="6">
        <v>24.0</v>
      </c>
      <c r="E1543" s="6">
        <v>27115.0</v>
      </c>
      <c r="F1543" s="6">
        <v>30490.0</v>
      </c>
      <c r="G1543" s="6">
        <v>17873.0</v>
      </c>
      <c r="H1543" s="6">
        <v>1.5171</v>
      </c>
      <c r="I1543" s="6">
        <v>1.7059</v>
      </c>
      <c r="J1543" s="6">
        <v>-0.1888</v>
      </c>
    </row>
    <row r="1544">
      <c r="A1544" s="5" t="s">
        <v>57</v>
      </c>
      <c r="B1544" s="5" t="s">
        <v>1867</v>
      </c>
      <c r="C1544" s="5" t="s">
        <v>1883</v>
      </c>
      <c r="D1544" s="6">
        <v>25.0</v>
      </c>
      <c r="E1544" s="6">
        <v>18110.0</v>
      </c>
      <c r="F1544" s="6">
        <v>28071.0</v>
      </c>
      <c r="G1544" s="6">
        <v>17873.0</v>
      </c>
      <c r="H1544" s="6">
        <v>1.0133</v>
      </c>
      <c r="I1544" s="6">
        <v>1.5706</v>
      </c>
      <c r="J1544" s="6">
        <v>-0.5573</v>
      </c>
    </row>
    <row r="1545">
      <c r="A1545" s="5" t="s">
        <v>57</v>
      </c>
      <c r="B1545" s="5" t="s">
        <v>1867</v>
      </c>
      <c r="C1545" s="5" t="s">
        <v>1883</v>
      </c>
      <c r="D1545" s="6">
        <v>26.0</v>
      </c>
      <c r="E1545" s="6">
        <v>14890.0</v>
      </c>
      <c r="F1545" s="6">
        <v>25947.0</v>
      </c>
      <c r="G1545" s="6">
        <v>17873.0</v>
      </c>
      <c r="H1545" s="6">
        <v>0.8331</v>
      </c>
      <c r="I1545" s="6">
        <v>1.4517</v>
      </c>
      <c r="J1545" s="6">
        <v>-0.6186</v>
      </c>
    </row>
    <row r="1546">
      <c r="A1546" s="5" t="s">
        <v>57</v>
      </c>
      <c r="B1546" s="5" t="s">
        <v>1867</v>
      </c>
      <c r="C1546" s="5" t="s">
        <v>1883</v>
      </c>
      <c r="D1546" s="6">
        <v>27.0</v>
      </c>
      <c r="E1546" s="6">
        <v>16120.0</v>
      </c>
      <c r="F1546" s="6">
        <v>31602.0</v>
      </c>
      <c r="G1546" s="6">
        <v>17873.0</v>
      </c>
      <c r="H1546" s="6">
        <v>0.9019</v>
      </c>
      <c r="I1546" s="6">
        <v>1.7681</v>
      </c>
      <c r="J1546" s="6">
        <v>-0.8662</v>
      </c>
    </row>
    <row r="1547">
      <c r="A1547" s="5" t="s">
        <v>57</v>
      </c>
      <c r="B1547" s="5" t="s">
        <v>1867</v>
      </c>
      <c r="C1547" s="5" t="s">
        <v>1883</v>
      </c>
      <c r="D1547" s="6">
        <v>28.0</v>
      </c>
      <c r="E1547" s="6">
        <v>14675.0</v>
      </c>
      <c r="F1547" s="6">
        <v>28624.0</v>
      </c>
      <c r="G1547" s="6">
        <v>17873.0</v>
      </c>
      <c r="H1547" s="6">
        <v>0.8211</v>
      </c>
      <c r="I1547" s="6">
        <v>1.6015</v>
      </c>
      <c r="J1547" s="6">
        <v>-0.7805</v>
      </c>
    </row>
    <row r="1548">
      <c r="A1548" s="5" t="s">
        <v>57</v>
      </c>
      <c r="B1548" s="5" t="s">
        <v>1867</v>
      </c>
      <c r="C1548" s="5" t="s">
        <v>1883</v>
      </c>
      <c r="D1548" s="6">
        <v>29.0</v>
      </c>
      <c r="E1548" s="6">
        <v>16300.0</v>
      </c>
      <c r="F1548" s="6">
        <v>30841.0</v>
      </c>
      <c r="G1548" s="6">
        <v>17873.0</v>
      </c>
      <c r="H1548" s="6">
        <v>0.912</v>
      </c>
      <c r="I1548" s="6">
        <v>1.7256</v>
      </c>
      <c r="J1548" s="6">
        <v>-0.8136</v>
      </c>
    </row>
    <row r="1549">
      <c r="A1549" s="5" t="s">
        <v>57</v>
      </c>
      <c r="B1549" s="5" t="s">
        <v>1867</v>
      </c>
      <c r="C1549" s="5" t="s">
        <v>1883</v>
      </c>
      <c r="D1549" s="6">
        <v>30.0</v>
      </c>
      <c r="E1549" s="6">
        <v>25720.0</v>
      </c>
      <c r="F1549" s="6">
        <v>31950.0</v>
      </c>
      <c r="G1549" s="6">
        <v>17873.0</v>
      </c>
      <c r="H1549" s="6">
        <v>1.439</v>
      </c>
      <c r="I1549" s="6">
        <v>1.7876</v>
      </c>
      <c r="J1549" s="6">
        <v>-0.3486</v>
      </c>
    </row>
    <row r="1550">
      <c r="A1550" s="5" t="s">
        <v>57</v>
      </c>
      <c r="B1550" s="5" t="s">
        <v>1867</v>
      </c>
      <c r="C1550" s="5" t="s">
        <v>1883</v>
      </c>
      <c r="D1550" s="6">
        <v>31.0</v>
      </c>
      <c r="E1550" s="6">
        <v>25400.0</v>
      </c>
      <c r="F1550" s="6">
        <v>31031.0</v>
      </c>
      <c r="G1550" s="6">
        <v>17873.0</v>
      </c>
      <c r="H1550" s="6">
        <v>1.4211</v>
      </c>
      <c r="I1550" s="6">
        <v>1.7362</v>
      </c>
      <c r="J1550" s="6">
        <v>-0.3151</v>
      </c>
    </row>
    <row r="1551">
      <c r="A1551" s="5" t="s">
        <v>57</v>
      </c>
      <c r="B1551" s="5" t="s">
        <v>1867</v>
      </c>
      <c r="C1551" s="5" t="s">
        <v>1883</v>
      </c>
      <c r="D1551" s="6">
        <v>32.0</v>
      </c>
      <c r="E1551" s="6">
        <v>25590.0</v>
      </c>
      <c r="F1551" s="6">
        <v>29875.0</v>
      </c>
      <c r="G1551" s="6">
        <v>17873.0</v>
      </c>
      <c r="H1551" s="6">
        <v>1.4318</v>
      </c>
      <c r="I1551" s="6">
        <v>1.6715</v>
      </c>
      <c r="J1551" s="6">
        <v>-0.2397</v>
      </c>
    </row>
    <row r="1552">
      <c r="A1552" s="5" t="s">
        <v>57</v>
      </c>
      <c r="B1552" s="5" t="s">
        <v>1867</v>
      </c>
      <c r="C1552" s="5" t="s">
        <v>1883</v>
      </c>
      <c r="D1552" s="6">
        <v>33.0</v>
      </c>
      <c r="E1552" s="6">
        <v>23375.0</v>
      </c>
      <c r="F1552" s="6">
        <v>31815.0</v>
      </c>
      <c r="G1552" s="6">
        <v>17873.0</v>
      </c>
      <c r="H1552" s="6">
        <v>1.3078</v>
      </c>
      <c r="I1552" s="6">
        <v>1.7801</v>
      </c>
      <c r="J1552" s="6">
        <v>-0.4722</v>
      </c>
    </row>
    <row r="1553">
      <c r="A1553" s="5" t="s">
        <v>57</v>
      </c>
      <c r="B1553" s="5" t="s">
        <v>1867</v>
      </c>
      <c r="C1553" s="5" t="s">
        <v>1884</v>
      </c>
      <c r="D1553" s="6">
        <v>1.0</v>
      </c>
      <c r="E1553" s="6">
        <v>54110.0</v>
      </c>
      <c r="F1553" s="6">
        <v>47875.0</v>
      </c>
      <c r="G1553" s="6">
        <v>33156.0</v>
      </c>
      <c r="H1553" s="6">
        <v>1.632</v>
      </c>
      <c r="I1553" s="6">
        <v>1.4439</v>
      </c>
      <c r="J1553" s="6">
        <v>0.1881</v>
      </c>
    </row>
    <row r="1554">
      <c r="A1554" s="5" t="s">
        <v>57</v>
      </c>
      <c r="B1554" s="5" t="s">
        <v>1867</v>
      </c>
      <c r="C1554" s="5" t="s">
        <v>1884</v>
      </c>
      <c r="D1554" s="6">
        <v>2.0</v>
      </c>
      <c r="E1554" s="6">
        <v>65845.0</v>
      </c>
      <c r="F1554" s="6">
        <v>51989.0</v>
      </c>
      <c r="G1554" s="6">
        <v>33156.0</v>
      </c>
      <c r="H1554" s="6">
        <v>1.9859</v>
      </c>
      <c r="I1554" s="6">
        <v>1.568</v>
      </c>
      <c r="J1554" s="6">
        <v>0.4179</v>
      </c>
    </row>
    <row r="1555">
      <c r="A1555" s="5" t="s">
        <v>57</v>
      </c>
      <c r="B1555" s="5" t="s">
        <v>1867</v>
      </c>
      <c r="C1555" s="5" t="s">
        <v>1884</v>
      </c>
      <c r="D1555" s="6">
        <v>3.0</v>
      </c>
      <c r="E1555" s="6">
        <v>55860.0</v>
      </c>
      <c r="F1555" s="6">
        <v>44304.0</v>
      </c>
      <c r="G1555" s="6">
        <v>33156.0</v>
      </c>
      <c r="H1555" s="6">
        <v>1.6848</v>
      </c>
      <c r="I1555" s="6">
        <v>1.3362</v>
      </c>
      <c r="J1555" s="6">
        <v>0.3485</v>
      </c>
    </row>
    <row r="1556">
      <c r="A1556" s="5" t="s">
        <v>57</v>
      </c>
      <c r="B1556" s="5" t="s">
        <v>1867</v>
      </c>
      <c r="C1556" s="5" t="s">
        <v>1884</v>
      </c>
      <c r="D1556" s="6">
        <v>4.0</v>
      </c>
      <c r="E1556" s="6">
        <v>60075.0</v>
      </c>
      <c r="F1556" s="6">
        <v>47731.0</v>
      </c>
      <c r="G1556" s="6">
        <v>33156.0</v>
      </c>
      <c r="H1556" s="6">
        <v>1.8119</v>
      </c>
      <c r="I1556" s="6">
        <v>1.4396</v>
      </c>
      <c r="J1556" s="6">
        <v>0.3723</v>
      </c>
    </row>
    <row r="1557">
      <c r="A1557" s="5" t="s">
        <v>57</v>
      </c>
      <c r="B1557" s="5" t="s">
        <v>1867</v>
      </c>
      <c r="C1557" s="5" t="s">
        <v>1884</v>
      </c>
      <c r="D1557" s="6">
        <v>5.0</v>
      </c>
      <c r="E1557" s="6">
        <v>57390.0</v>
      </c>
      <c r="F1557" s="6">
        <v>47427.0</v>
      </c>
      <c r="G1557" s="6">
        <v>33156.0</v>
      </c>
      <c r="H1557" s="6">
        <v>1.7309</v>
      </c>
      <c r="I1557" s="6">
        <v>1.4304</v>
      </c>
      <c r="J1557" s="6">
        <v>0.3005</v>
      </c>
    </row>
    <row r="1558">
      <c r="A1558" s="5" t="s">
        <v>57</v>
      </c>
      <c r="B1558" s="5" t="s">
        <v>1867</v>
      </c>
      <c r="C1558" s="5" t="s">
        <v>1884</v>
      </c>
      <c r="D1558" s="6">
        <v>6.0</v>
      </c>
      <c r="E1558" s="6">
        <v>82355.0</v>
      </c>
      <c r="F1558" s="6">
        <v>64816.0</v>
      </c>
      <c r="G1558" s="6">
        <v>33156.0</v>
      </c>
      <c r="H1558" s="6">
        <v>2.4839</v>
      </c>
      <c r="I1558" s="6">
        <v>1.9549</v>
      </c>
      <c r="J1558" s="6">
        <v>0.529</v>
      </c>
    </row>
    <row r="1559">
      <c r="A1559" s="5" t="s">
        <v>57</v>
      </c>
      <c r="B1559" s="5" t="s">
        <v>1867</v>
      </c>
      <c r="C1559" s="5" t="s">
        <v>1884</v>
      </c>
      <c r="D1559" s="6">
        <v>7.0</v>
      </c>
      <c r="E1559" s="6">
        <v>86555.0</v>
      </c>
      <c r="F1559" s="6">
        <v>65581.0</v>
      </c>
      <c r="G1559" s="6">
        <v>33156.0</v>
      </c>
      <c r="H1559" s="6">
        <v>2.6105</v>
      </c>
      <c r="I1559" s="6">
        <v>1.978</v>
      </c>
      <c r="J1559" s="6">
        <v>0.6326</v>
      </c>
    </row>
    <row r="1560">
      <c r="A1560" s="5" t="s">
        <v>57</v>
      </c>
      <c r="B1560" s="5" t="s">
        <v>1867</v>
      </c>
      <c r="C1560" s="5" t="s">
        <v>1884</v>
      </c>
      <c r="D1560" s="6">
        <v>8.0</v>
      </c>
      <c r="E1560" s="6">
        <v>75275.0</v>
      </c>
      <c r="F1560" s="6">
        <v>59518.0</v>
      </c>
      <c r="G1560" s="6">
        <v>33156.0</v>
      </c>
      <c r="H1560" s="6">
        <v>2.2703</v>
      </c>
      <c r="I1560" s="6">
        <v>1.7951</v>
      </c>
      <c r="J1560" s="6">
        <v>0.4752</v>
      </c>
    </row>
    <row r="1561">
      <c r="A1561" s="5" t="s">
        <v>57</v>
      </c>
      <c r="B1561" s="5" t="s">
        <v>1867</v>
      </c>
      <c r="C1561" s="5" t="s">
        <v>1884</v>
      </c>
      <c r="D1561" s="6">
        <v>9.0</v>
      </c>
      <c r="E1561" s="6">
        <v>61975.0</v>
      </c>
      <c r="F1561" s="6">
        <v>51159.0</v>
      </c>
      <c r="G1561" s="6">
        <v>33156.0</v>
      </c>
      <c r="H1561" s="6">
        <v>1.8692</v>
      </c>
      <c r="I1561" s="6">
        <v>1.543</v>
      </c>
      <c r="J1561" s="6">
        <v>0.3262</v>
      </c>
    </row>
    <row r="1562">
      <c r="A1562" s="5" t="s">
        <v>57</v>
      </c>
      <c r="B1562" s="5" t="s">
        <v>1867</v>
      </c>
      <c r="C1562" s="5" t="s">
        <v>1884</v>
      </c>
      <c r="D1562" s="6">
        <v>10.0</v>
      </c>
      <c r="E1562" s="6">
        <v>68180.0</v>
      </c>
      <c r="F1562" s="6">
        <v>47881.0</v>
      </c>
      <c r="G1562" s="6">
        <v>33156.0</v>
      </c>
      <c r="H1562" s="6">
        <v>2.0563</v>
      </c>
      <c r="I1562" s="6">
        <v>1.4441</v>
      </c>
      <c r="J1562" s="6">
        <v>0.6122</v>
      </c>
    </row>
    <row r="1563">
      <c r="A1563" s="5" t="s">
        <v>57</v>
      </c>
      <c r="B1563" s="5" t="s">
        <v>1867</v>
      </c>
      <c r="C1563" s="5" t="s">
        <v>1884</v>
      </c>
      <c r="D1563" s="6">
        <v>11.0</v>
      </c>
      <c r="E1563" s="6">
        <v>46980.0</v>
      </c>
      <c r="F1563" s="6">
        <v>38706.0</v>
      </c>
      <c r="G1563" s="6">
        <v>33156.0</v>
      </c>
      <c r="H1563" s="6">
        <v>1.4169</v>
      </c>
      <c r="I1563" s="6">
        <v>1.1674</v>
      </c>
      <c r="J1563" s="6">
        <v>0.2495</v>
      </c>
    </row>
    <row r="1564">
      <c r="A1564" s="5" t="s">
        <v>57</v>
      </c>
      <c r="B1564" s="5" t="s">
        <v>1867</v>
      </c>
      <c r="C1564" s="5" t="s">
        <v>1884</v>
      </c>
      <c r="D1564" s="6">
        <v>12.0</v>
      </c>
      <c r="E1564" s="6">
        <v>42415.0</v>
      </c>
      <c r="F1564" s="6">
        <v>37949.0</v>
      </c>
      <c r="G1564" s="6">
        <v>33156.0</v>
      </c>
      <c r="H1564" s="6">
        <v>1.2793</v>
      </c>
      <c r="I1564" s="6">
        <v>1.1446</v>
      </c>
      <c r="J1564" s="6">
        <v>0.1347</v>
      </c>
    </row>
    <row r="1565">
      <c r="A1565" s="5" t="s">
        <v>57</v>
      </c>
      <c r="B1565" s="5" t="s">
        <v>1867</v>
      </c>
      <c r="C1565" s="5" t="s">
        <v>1884</v>
      </c>
      <c r="D1565" s="6">
        <v>13.0</v>
      </c>
      <c r="E1565" s="6">
        <v>69300.0</v>
      </c>
      <c r="F1565" s="6">
        <v>55697.0</v>
      </c>
      <c r="G1565" s="6">
        <v>33156.0</v>
      </c>
      <c r="H1565" s="6">
        <v>2.0901</v>
      </c>
      <c r="I1565" s="6">
        <v>1.6798</v>
      </c>
      <c r="J1565" s="6">
        <v>0.4103</v>
      </c>
    </row>
    <row r="1566">
      <c r="A1566" s="5" t="s">
        <v>57</v>
      </c>
      <c r="B1566" s="5" t="s">
        <v>1867</v>
      </c>
      <c r="C1566" s="5" t="s">
        <v>1884</v>
      </c>
      <c r="D1566" s="6">
        <v>14.0</v>
      </c>
      <c r="E1566" s="6">
        <v>70915.0</v>
      </c>
      <c r="F1566" s="6">
        <v>56561.0</v>
      </c>
      <c r="G1566" s="6">
        <v>33156.0</v>
      </c>
      <c r="H1566" s="6">
        <v>2.1388</v>
      </c>
      <c r="I1566" s="6">
        <v>1.7059</v>
      </c>
      <c r="J1566" s="6">
        <v>0.4329</v>
      </c>
    </row>
    <row r="1567">
      <c r="A1567" s="5" t="s">
        <v>57</v>
      </c>
      <c r="B1567" s="5" t="s">
        <v>1867</v>
      </c>
      <c r="C1567" s="5" t="s">
        <v>1884</v>
      </c>
      <c r="D1567" s="6">
        <v>15.0</v>
      </c>
      <c r="E1567" s="6">
        <v>64255.0</v>
      </c>
      <c r="F1567" s="6">
        <v>52750.0</v>
      </c>
      <c r="G1567" s="6">
        <v>33156.0</v>
      </c>
      <c r="H1567" s="6">
        <v>1.938</v>
      </c>
      <c r="I1567" s="6">
        <v>1.591</v>
      </c>
      <c r="J1567" s="6">
        <v>0.347</v>
      </c>
    </row>
    <row r="1568">
      <c r="A1568" s="5" t="s">
        <v>57</v>
      </c>
      <c r="B1568" s="5" t="s">
        <v>1867</v>
      </c>
      <c r="C1568" s="5" t="s">
        <v>1884</v>
      </c>
      <c r="D1568" s="6">
        <v>16.0</v>
      </c>
      <c r="E1568" s="6">
        <v>65760.0</v>
      </c>
      <c r="F1568" s="6">
        <v>51159.0</v>
      </c>
      <c r="G1568" s="6">
        <v>33156.0</v>
      </c>
      <c r="H1568" s="6">
        <v>1.9834</v>
      </c>
      <c r="I1568" s="6">
        <v>1.543</v>
      </c>
      <c r="J1568" s="6">
        <v>0.4404</v>
      </c>
    </row>
    <row r="1569">
      <c r="A1569" s="5" t="s">
        <v>57</v>
      </c>
      <c r="B1569" s="5" t="s">
        <v>1867</v>
      </c>
      <c r="C1569" s="5" t="s">
        <v>1884</v>
      </c>
      <c r="D1569" s="6">
        <v>17.0</v>
      </c>
      <c r="E1569" s="6">
        <v>57555.0</v>
      </c>
      <c r="F1569" s="6">
        <v>46045.0</v>
      </c>
      <c r="G1569" s="6">
        <v>33156.0</v>
      </c>
      <c r="H1569" s="6">
        <v>1.7359</v>
      </c>
      <c r="I1569" s="6">
        <v>1.3887</v>
      </c>
      <c r="J1569" s="6">
        <v>0.3471</v>
      </c>
    </row>
    <row r="1570">
      <c r="A1570" s="5" t="s">
        <v>57</v>
      </c>
      <c r="B1570" s="5" t="s">
        <v>1867</v>
      </c>
      <c r="C1570" s="5" t="s">
        <v>1884</v>
      </c>
      <c r="D1570" s="6">
        <v>18.0</v>
      </c>
      <c r="E1570" s="6">
        <v>48870.0</v>
      </c>
      <c r="F1570" s="6">
        <v>39542.0</v>
      </c>
      <c r="G1570" s="6">
        <v>33156.0</v>
      </c>
      <c r="H1570" s="6">
        <v>1.4739</v>
      </c>
      <c r="I1570" s="6">
        <v>1.1926</v>
      </c>
      <c r="J1570" s="6">
        <v>0.2813</v>
      </c>
    </row>
    <row r="1571">
      <c r="A1571" s="5" t="s">
        <v>57</v>
      </c>
      <c r="B1571" s="5" t="s">
        <v>1867</v>
      </c>
      <c r="C1571" s="5" t="s">
        <v>1884</v>
      </c>
      <c r="D1571" s="6">
        <v>19.0</v>
      </c>
      <c r="E1571" s="6">
        <v>41590.0</v>
      </c>
      <c r="F1571" s="6">
        <v>37371.0</v>
      </c>
      <c r="G1571" s="6">
        <v>33156.0</v>
      </c>
      <c r="H1571" s="6">
        <v>1.2544</v>
      </c>
      <c r="I1571" s="6">
        <v>1.1271</v>
      </c>
      <c r="J1571" s="6">
        <v>0.1272</v>
      </c>
    </row>
    <row r="1572">
      <c r="A1572" s="5" t="s">
        <v>57</v>
      </c>
      <c r="B1572" s="5" t="s">
        <v>1867</v>
      </c>
      <c r="C1572" s="5" t="s">
        <v>1884</v>
      </c>
      <c r="D1572" s="6">
        <v>20.0</v>
      </c>
      <c r="E1572" s="6">
        <v>66170.0</v>
      </c>
      <c r="F1572" s="6">
        <v>52722.0</v>
      </c>
      <c r="G1572" s="6">
        <v>33156.0</v>
      </c>
      <c r="H1572" s="6">
        <v>1.9957</v>
      </c>
      <c r="I1572" s="6">
        <v>1.5901</v>
      </c>
      <c r="J1572" s="6">
        <v>0.4056</v>
      </c>
    </row>
    <row r="1573">
      <c r="A1573" s="5" t="s">
        <v>57</v>
      </c>
      <c r="B1573" s="5" t="s">
        <v>1867</v>
      </c>
      <c r="C1573" s="5" t="s">
        <v>1884</v>
      </c>
      <c r="D1573" s="6">
        <v>21.0</v>
      </c>
      <c r="E1573" s="6">
        <v>237285.0</v>
      </c>
      <c r="F1573" s="6">
        <v>127507.0</v>
      </c>
      <c r="G1573" s="6">
        <v>33156.0</v>
      </c>
      <c r="H1573" s="6">
        <v>7.1566</v>
      </c>
      <c r="I1573" s="6">
        <v>3.8457</v>
      </c>
      <c r="J1573" s="6">
        <v>3.311</v>
      </c>
    </row>
    <row r="1574">
      <c r="A1574" s="5" t="s">
        <v>57</v>
      </c>
      <c r="B1574" s="5" t="s">
        <v>1867</v>
      </c>
      <c r="C1574" s="5" t="s">
        <v>1884</v>
      </c>
      <c r="D1574" s="6">
        <v>22.0</v>
      </c>
      <c r="E1574" s="6">
        <v>173435.0</v>
      </c>
      <c r="F1574" s="6">
        <v>102455.0</v>
      </c>
      <c r="G1574" s="6">
        <v>33156.0</v>
      </c>
      <c r="H1574" s="6">
        <v>5.2309</v>
      </c>
      <c r="I1574" s="6">
        <v>3.0901</v>
      </c>
      <c r="J1574" s="6">
        <v>2.1408</v>
      </c>
    </row>
    <row r="1575">
      <c r="A1575" s="5" t="s">
        <v>57</v>
      </c>
      <c r="B1575" s="5" t="s">
        <v>1867</v>
      </c>
      <c r="C1575" s="5" t="s">
        <v>1884</v>
      </c>
      <c r="D1575" s="6">
        <v>23.0</v>
      </c>
      <c r="E1575" s="6">
        <v>106935.0</v>
      </c>
      <c r="F1575" s="6">
        <v>68016.0</v>
      </c>
      <c r="G1575" s="6">
        <v>33156.0</v>
      </c>
      <c r="H1575" s="6">
        <v>3.2252</v>
      </c>
      <c r="I1575" s="6">
        <v>2.0514</v>
      </c>
      <c r="J1575" s="6">
        <v>1.1738</v>
      </c>
    </row>
    <row r="1576">
      <c r="A1576" s="5" t="s">
        <v>57</v>
      </c>
      <c r="B1576" s="5" t="s">
        <v>1867</v>
      </c>
      <c r="C1576" s="5" t="s">
        <v>1884</v>
      </c>
      <c r="D1576" s="6">
        <v>24.0</v>
      </c>
      <c r="E1576" s="6">
        <v>102835.0</v>
      </c>
      <c r="F1576" s="6">
        <v>60295.0</v>
      </c>
      <c r="G1576" s="6">
        <v>33156.0</v>
      </c>
      <c r="H1576" s="6">
        <v>3.1016</v>
      </c>
      <c r="I1576" s="6">
        <v>1.8185</v>
      </c>
      <c r="J1576" s="6">
        <v>1.283</v>
      </c>
    </row>
    <row r="1577">
      <c r="A1577" s="5" t="s">
        <v>57</v>
      </c>
      <c r="B1577" s="5" t="s">
        <v>1867</v>
      </c>
      <c r="C1577" s="5" t="s">
        <v>1884</v>
      </c>
      <c r="D1577" s="6">
        <v>25.0</v>
      </c>
      <c r="E1577" s="6">
        <v>78695.0</v>
      </c>
      <c r="F1577" s="6">
        <v>52837.0</v>
      </c>
      <c r="G1577" s="6">
        <v>33156.0</v>
      </c>
      <c r="H1577" s="6">
        <v>2.3735</v>
      </c>
      <c r="I1577" s="6">
        <v>1.5936</v>
      </c>
      <c r="J1577" s="6">
        <v>0.7799</v>
      </c>
    </row>
    <row r="1578">
      <c r="A1578" s="5" t="s">
        <v>57</v>
      </c>
      <c r="B1578" s="5" t="s">
        <v>1867</v>
      </c>
      <c r="C1578" s="5" t="s">
        <v>1884</v>
      </c>
      <c r="D1578" s="6">
        <v>26.0</v>
      </c>
      <c r="E1578" s="6">
        <v>64790.0</v>
      </c>
      <c r="F1578" s="6">
        <v>47302.0</v>
      </c>
      <c r="G1578" s="6">
        <v>33156.0</v>
      </c>
      <c r="H1578" s="6">
        <v>1.9541</v>
      </c>
      <c r="I1578" s="6">
        <v>1.4266</v>
      </c>
      <c r="J1578" s="6">
        <v>0.5274</v>
      </c>
    </row>
    <row r="1579">
      <c r="A1579" s="5" t="s">
        <v>57</v>
      </c>
      <c r="B1579" s="5" t="s">
        <v>1867</v>
      </c>
      <c r="C1579" s="5" t="s">
        <v>1884</v>
      </c>
      <c r="D1579" s="6">
        <v>27.0</v>
      </c>
      <c r="E1579" s="6">
        <v>59045.0</v>
      </c>
      <c r="F1579" s="6">
        <v>49530.0</v>
      </c>
      <c r="G1579" s="6">
        <v>33156.0</v>
      </c>
      <c r="H1579" s="6">
        <v>1.7808</v>
      </c>
      <c r="I1579" s="6">
        <v>1.4938</v>
      </c>
      <c r="J1579" s="6">
        <v>0.287</v>
      </c>
    </row>
    <row r="1580">
      <c r="A1580" s="5" t="s">
        <v>57</v>
      </c>
      <c r="B1580" s="5" t="s">
        <v>1867</v>
      </c>
      <c r="C1580" s="5" t="s">
        <v>1884</v>
      </c>
      <c r="D1580" s="6">
        <v>28.0</v>
      </c>
      <c r="E1580" s="6">
        <v>56520.0</v>
      </c>
      <c r="F1580" s="6">
        <v>45099.0</v>
      </c>
      <c r="G1580" s="6">
        <v>33156.0</v>
      </c>
      <c r="H1580" s="6">
        <v>1.7047</v>
      </c>
      <c r="I1580" s="6">
        <v>1.3602</v>
      </c>
      <c r="J1580" s="6">
        <v>0.3445</v>
      </c>
    </row>
    <row r="1581">
      <c r="A1581" s="5" t="s">
        <v>57</v>
      </c>
      <c r="B1581" s="5" t="s">
        <v>1867</v>
      </c>
      <c r="C1581" s="5" t="s">
        <v>1884</v>
      </c>
      <c r="D1581" s="6">
        <v>29.0</v>
      </c>
      <c r="E1581" s="6">
        <v>52840.0</v>
      </c>
      <c r="F1581" s="6">
        <v>45598.0</v>
      </c>
      <c r="G1581" s="6">
        <v>33156.0</v>
      </c>
      <c r="H1581" s="6">
        <v>1.5937</v>
      </c>
      <c r="I1581" s="6">
        <v>1.3753</v>
      </c>
      <c r="J1581" s="6">
        <v>0.2184</v>
      </c>
    </row>
    <row r="1582">
      <c r="A1582" s="5" t="s">
        <v>57</v>
      </c>
      <c r="B1582" s="5" t="s">
        <v>1867</v>
      </c>
      <c r="C1582" s="5" t="s">
        <v>1884</v>
      </c>
      <c r="D1582" s="6">
        <v>30.0</v>
      </c>
      <c r="E1582" s="6">
        <v>62260.0</v>
      </c>
      <c r="F1582" s="6">
        <v>47153.0</v>
      </c>
      <c r="G1582" s="6">
        <v>33156.0</v>
      </c>
      <c r="H1582" s="6">
        <v>1.8778</v>
      </c>
      <c r="I1582" s="6">
        <v>1.4222</v>
      </c>
      <c r="J1582" s="6">
        <v>0.4556</v>
      </c>
    </row>
    <row r="1583">
      <c r="A1583" s="5" t="s">
        <v>57</v>
      </c>
      <c r="B1583" s="5" t="s">
        <v>1867</v>
      </c>
      <c r="C1583" s="5" t="s">
        <v>1884</v>
      </c>
      <c r="D1583" s="6">
        <v>31.0</v>
      </c>
      <c r="E1583" s="6">
        <v>54880.0</v>
      </c>
      <c r="F1583" s="6">
        <v>42318.0</v>
      </c>
      <c r="G1583" s="6">
        <v>33156.0</v>
      </c>
      <c r="H1583" s="6">
        <v>1.6552</v>
      </c>
      <c r="I1583" s="6">
        <v>1.2763</v>
      </c>
      <c r="J1583" s="6">
        <v>0.3789</v>
      </c>
    </row>
    <row r="1584">
      <c r="A1584" s="5" t="s">
        <v>57</v>
      </c>
      <c r="B1584" s="5" t="s">
        <v>1867</v>
      </c>
      <c r="C1584" s="5" t="s">
        <v>1884</v>
      </c>
      <c r="D1584" s="6">
        <v>32.0</v>
      </c>
      <c r="E1584" s="6">
        <v>53165.0</v>
      </c>
      <c r="F1584" s="6">
        <v>40097.0</v>
      </c>
      <c r="G1584" s="6">
        <v>33156.0</v>
      </c>
      <c r="H1584" s="6">
        <v>1.6035</v>
      </c>
      <c r="I1584" s="6">
        <v>1.2093</v>
      </c>
      <c r="J1584" s="6">
        <v>0.3941</v>
      </c>
    </row>
    <row r="1585">
      <c r="A1585" s="5" t="s">
        <v>57</v>
      </c>
      <c r="B1585" s="5" t="s">
        <v>1867</v>
      </c>
      <c r="C1585" s="5" t="s">
        <v>1884</v>
      </c>
      <c r="D1585" s="6">
        <v>33.0</v>
      </c>
      <c r="E1585" s="6">
        <v>53095.0</v>
      </c>
      <c r="F1585" s="6">
        <v>42999.0</v>
      </c>
      <c r="G1585" s="6">
        <v>33156.0</v>
      </c>
      <c r="H1585" s="6">
        <v>1.6014</v>
      </c>
      <c r="I1585" s="6">
        <v>1.2969</v>
      </c>
      <c r="J1585" s="6">
        <v>0.3045</v>
      </c>
    </row>
    <row r="1586">
      <c r="A1586" s="5" t="s">
        <v>57</v>
      </c>
      <c r="B1586" s="5" t="s">
        <v>1867</v>
      </c>
      <c r="C1586" s="5" t="s">
        <v>1885</v>
      </c>
      <c r="D1586" s="6">
        <v>1.0</v>
      </c>
      <c r="E1586" s="6">
        <v>69985.0</v>
      </c>
      <c r="F1586" s="6">
        <v>54816.0</v>
      </c>
      <c r="G1586" s="6">
        <v>34494.0</v>
      </c>
      <c r="H1586" s="6">
        <v>2.0289</v>
      </c>
      <c r="I1586" s="6">
        <v>1.5891</v>
      </c>
      <c r="J1586" s="6">
        <v>0.4398</v>
      </c>
    </row>
    <row r="1587">
      <c r="A1587" s="5" t="s">
        <v>57</v>
      </c>
      <c r="B1587" s="5" t="s">
        <v>1867</v>
      </c>
      <c r="C1587" s="5" t="s">
        <v>1885</v>
      </c>
      <c r="D1587" s="6">
        <v>2.0</v>
      </c>
      <c r="E1587" s="6">
        <v>80175.0</v>
      </c>
      <c r="F1587" s="6">
        <v>57021.0</v>
      </c>
      <c r="G1587" s="6">
        <v>34494.0</v>
      </c>
      <c r="H1587" s="6">
        <v>2.3243</v>
      </c>
      <c r="I1587" s="6">
        <v>1.6531</v>
      </c>
      <c r="J1587" s="6">
        <v>0.6712</v>
      </c>
    </row>
    <row r="1588">
      <c r="A1588" s="5" t="s">
        <v>57</v>
      </c>
      <c r="B1588" s="5" t="s">
        <v>1867</v>
      </c>
      <c r="C1588" s="5" t="s">
        <v>1885</v>
      </c>
      <c r="D1588" s="6">
        <v>3.0</v>
      </c>
      <c r="E1588" s="6">
        <v>69735.0</v>
      </c>
      <c r="F1588" s="6">
        <v>50488.0</v>
      </c>
      <c r="G1588" s="6">
        <v>34494.0</v>
      </c>
      <c r="H1588" s="6">
        <v>2.0217</v>
      </c>
      <c r="I1588" s="6">
        <v>1.4637</v>
      </c>
      <c r="J1588" s="6">
        <v>0.558</v>
      </c>
    </row>
    <row r="1589">
      <c r="A1589" s="5" t="s">
        <v>57</v>
      </c>
      <c r="B1589" s="5" t="s">
        <v>1867</v>
      </c>
      <c r="C1589" s="5" t="s">
        <v>1885</v>
      </c>
      <c r="D1589" s="6">
        <v>4.0</v>
      </c>
      <c r="E1589" s="6">
        <v>72685.0</v>
      </c>
      <c r="F1589" s="6">
        <v>53497.0</v>
      </c>
      <c r="G1589" s="6">
        <v>34494.0</v>
      </c>
      <c r="H1589" s="6">
        <v>2.1072</v>
      </c>
      <c r="I1589" s="6">
        <v>1.5509</v>
      </c>
      <c r="J1589" s="6">
        <v>0.5563</v>
      </c>
    </row>
    <row r="1590">
      <c r="A1590" s="5" t="s">
        <v>57</v>
      </c>
      <c r="B1590" s="5" t="s">
        <v>1867</v>
      </c>
      <c r="C1590" s="5" t="s">
        <v>1885</v>
      </c>
      <c r="D1590" s="6">
        <v>5.0</v>
      </c>
      <c r="E1590" s="6">
        <v>70395.0</v>
      </c>
      <c r="F1590" s="6">
        <v>54496.0</v>
      </c>
      <c r="G1590" s="6">
        <v>34494.0</v>
      </c>
      <c r="H1590" s="6">
        <v>2.0408</v>
      </c>
      <c r="I1590" s="6">
        <v>1.5799</v>
      </c>
      <c r="J1590" s="6">
        <v>0.4609</v>
      </c>
    </row>
    <row r="1591">
      <c r="A1591" s="5" t="s">
        <v>57</v>
      </c>
      <c r="B1591" s="5" t="s">
        <v>1867</v>
      </c>
      <c r="C1591" s="5" t="s">
        <v>1885</v>
      </c>
      <c r="D1591" s="6">
        <v>6.0</v>
      </c>
      <c r="E1591" s="6">
        <v>124250.0</v>
      </c>
      <c r="F1591" s="6">
        <v>83547.0</v>
      </c>
      <c r="G1591" s="6">
        <v>34494.0</v>
      </c>
      <c r="H1591" s="6">
        <v>3.6021</v>
      </c>
      <c r="I1591" s="6">
        <v>2.4221</v>
      </c>
      <c r="J1591" s="6">
        <v>1.18</v>
      </c>
    </row>
    <row r="1592">
      <c r="A1592" s="5" t="s">
        <v>57</v>
      </c>
      <c r="B1592" s="5" t="s">
        <v>1867</v>
      </c>
      <c r="C1592" s="5" t="s">
        <v>1885</v>
      </c>
      <c r="D1592" s="6">
        <v>7.0</v>
      </c>
      <c r="E1592" s="6">
        <v>112280.0</v>
      </c>
      <c r="F1592" s="6">
        <v>75737.0</v>
      </c>
      <c r="G1592" s="6">
        <v>34494.0</v>
      </c>
      <c r="H1592" s="6">
        <v>3.2551</v>
      </c>
      <c r="I1592" s="6">
        <v>2.1957</v>
      </c>
      <c r="J1592" s="6">
        <v>1.0594</v>
      </c>
    </row>
    <row r="1593">
      <c r="A1593" s="5" t="s">
        <v>57</v>
      </c>
      <c r="B1593" s="5" t="s">
        <v>1867</v>
      </c>
      <c r="C1593" s="5" t="s">
        <v>1885</v>
      </c>
      <c r="D1593" s="6">
        <v>8.0</v>
      </c>
      <c r="E1593" s="6">
        <v>86695.0</v>
      </c>
      <c r="F1593" s="6">
        <v>63387.0</v>
      </c>
      <c r="G1593" s="6">
        <v>34494.0</v>
      </c>
      <c r="H1593" s="6">
        <v>2.5133</v>
      </c>
      <c r="I1593" s="6">
        <v>1.8376</v>
      </c>
      <c r="J1593" s="6">
        <v>0.6757</v>
      </c>
    </row>
    <row r="1594">
      <c r="A1594" s="5" t="s">
        <v>57</v>
      </c>
      <c r="B1594" s="5" t="s">
        <v>1867</v>
      </c>
      <c r="C1594" s="5" t="s">
        <v>1885</v>
      </c>
      <c r="D1594" s="6">
        <v>9.0</v>
      </c>
      <c r="E1594" s="6">
        <v>74335.0</v>
      </c>
      <c r="F1594" s="6">
        <v>56267.0</v>
      </c>
      <c r="G1594" s="6">
        <v>34494.0</v>
      </c>
      <c r="H1594" s="6">
        <v>2.155</v>
      </c>
      <c r="I1594" s="6">
        <v>1.6312</v>
      </c>
      <c r="J1594" s="6">
        <v>0.5238</v>
      </c>
    </row>
    <row r="1595">
      <c r="A1595" s="5" t="s">
        <v>57</v>
      </c>
      <c r="B1595" s="5" t="s">
        <v>1867</v>
      </c>
      <c r="C1595" s="5" t="s">
        <v>1885</v>
      </c>
      <c r="D1595" s="6">
        <v>10.0</v>
      </c>
      <c r="E1595" s="6">
        <v>81985.0</v>
      </c>
      <c r="F1595" s="6">
        <v>53889.0</v>
      </c>
      <c r="G1595" s="6">
        <v>34494.0</v>
      </c>
      <c r="H1595" s="6">
        <v>2.3768</v>
      </c>
      <c r="I1595" s="6">
        <v>1.5623</v>
      </c>
      <c r="J1595" s="6">
        <v>0.8145</v>
      </c>
    </row>
    <row r="1596">
      <c r="A1596" s="5" t="s">
        <v>57</v>
      </c>
      <c r="B1596" s="5" t="s">
        <v>1867</v>
      </c>
      <c r="C1596" s="5" t="s">
        <v>1885</v>
      </c>
      <c r="D1596" s="6">
        <v>11.0</v>
      </c>
      <c r="E1596" s="6">
        <v>61930.0</v>
      </c>
      <c r="F1596" s="6">
        <v>46082.0</v>
      </c>
      <c r="G1596" s="6">
        <v>34494.0</v>
      </c>
      <c r="H1596" s="6">
        <v>1.7954</v>
      </c>
      <c r="I1596" s="6">
        <v>1.3359</v>
      </c>
      <c r="J1596" s="6">
        <v>0.4594</v>
      </c>
    </row>
    <row r="1597">
      <c r="A1597" s="5" t="s">
        <v>57</v>
      </c>
      <c r="B1597" s="5" t="s">
        <v>1867</v>
      </c>
      <c r="C1597" s="5" t="s">
        <v>1885</v>
      </c>
      <c r="D1597" s="6">
        <v>12.0</v>
      </c>
      <c r="E1597" s="6">
        <v>60815.0</v>
      </c>
      <c r="F1597" s="6">
        <v>46351.0</v>
      </c>
      <c r="G1597" s="6">
        <v>34494.0</v>
      </c>
      <c r="H1597" s="6">
        <v>1.7631</v>
      </c>
      <c r="I1597" s="6">
        <v>1.3437</v>
      </c>
      <c r="J1597" s="6">
        <v>0.4193</v>
      </c>
    </row>
    <row r="1598">
      <c r="A1598" s="5" t="s">
        <v>57</v>
      </c>
      <c r="B1598" s="5" t="s">
        <v>1867</v>
      </c>
      <c r="C1598" s="5" t="s">
        <v>1885</v>
      </c>
      <c r="D1598" s="6">
        <v>13.0</v>
      </c>
      <c r="E1598" s="6">
        <v>103125.0</v>
      </c>
      <c r="F1598" s="6">
        <v>71038.0</v>
      </c>
      <c r="G1598" s="6">
        <v>34494.0</v>
      </c>
      <c r="H1598" s="6">
        <v>2.9897</v>
      </c>
      <c r="I1598" s="6">
        <v>2.0594</v>
      </c>
      <c r="J1598" s="6">
        <v>0.9302</v>
      </c>
    </row>
    <row r="1599">
      <c r="A1599" s="5" t="s">
        <v>57</v>
      </c>
      <c r="B1599" s="5" t="s">
        <v>1867</v>
      </c>
      <c r="C1599" s="5" t="s">
        <v>1885</v>
      </c>
      <c r="D1599" s="6">
        <v>14.0</v>
      </c>
      <c r="E1599" s="6">
        <v>91850.0</v>
      </c>
      <c r="F1599" s="6">
        <v>65789.0</v>
      </c>
      <c r="G1599" s="6">
        <v>34494.0</v>
      </c>
      <c r="H1599" s="6">
        <v>2.6628</v>
      </c>
      <c r="I1599" s="6">
        <v>1.9073</v>
      </c>
      <c r="J1599" s="6">
        <v>0.7555</v>
      </c>
    </row>
    <row r="1600">
      <c r="A1600" s="5" t="s">
        <v>57</v>
      </c>
      <c r="B1600" s="5" t="s">
        <v>1867</v>
      </c>
      <c r="C1600" s="5" t="s">
        <v>1885</v>
      </c>
      <c r="D1600" s="6">
        <v>15.0</v>
      </c>
      <c r="E1600" s="6">
        <v>71950.0</v>
      </c>
      <c r="F1600" s="6">
        <v>55332.0</v>
      </c>
      <c r="G1600" s="6">
        <v>34494.0</v>
      </c>
      <c r="H1600" s="6">
        <v>2.0859</v>
      </c>
      <c r="I1600" s="6">
        <v>1.6041</v>
      </c>
      <c r="J1600" s="6">
        <v>0.4818</v>
      </c>
    </row>
    <row r="1601">
      <c r="A1601" s="5" t="s">
        <v>57</v>
      </c>
      <c r="B1601" s="5" t="s">
        <v>1867</v>
      </c>
      <c r="C1601" s="5" t="s">
        <v>1885</v>
      </c>
      <c r="D1601" s="6">
        <v>16.0</v>
      </c>
      <c r="E1601" s="6">
        <v>73275.0</v>
      </c>
      <c r="F1601" s="6">
        <v>53061.0</v>
      </c>
      <c r="G1601" s="6">
        <v>34494.0</v>
      </c>
      <c r="H1601" s="6">
        <v>2.1243</v>
      </c>
      <c r="I1601" s="6">
        <v>1.5383</v>
      </c>
      <c r="J1601" s="6">
        <v>0.586</v>
      </c>
    </row>
    <row r="1602">
      <c r="A1602" s="5" t="s">
        <v>57</v>
      </c>
      <c r="B1602" s="5" t="s">
        <v>1867</v>
      </c>
      <c r="C1602" s="5" t="s">
        <v>1885</v>
      </c>
      <c r="D1602" s="6">
        <v>17.0</v>
      </c>
      <c r="E1602" s="6">
        <v>62255.0</v>
      </c>
      <c r="F1602" s="6">
        <v>47890.0</v>
      </c>
      <c r="G1602" s="6">
        <v>34494.0</v>
      </c>
      <c r="H1602" s="6">
        <v>1.8048</v>
      </c>
      <c r="I1602" s="6">
        <v>1.3884</v>
      </c>
      <c r="J1602" s="6">
        <v>0.4164</v>
      </c>
    </row>
    <row r="1603">
      <c r="A1603" s="5" t="s">
        <v>57</v>
      </c>
      <c r="B1603" s="5" t="s">
        <v>1867</v>
      </c>
      <c r="C1603" s="5" t="s">
        <v>1885</v>
      </c>
      <c r="D1603" s="6">
        <v>18.0</v>
      </c>
      <c r="E1603" s="6">
        <v>55115.0</v>
      </c>
      <c r="F1603" s="6">
        <v>42810.0</v>
      </c>
      <c r="G1603" s="6">
        <v>34494.0</v>
      </c>
      <c r="H1603" s="6">
        <v>1.5978</v>
      </c>
      <c r="I1603" s="6">
        <v>1.2411</v>
      </c>
      <c r="J1603" s="6">
        <v>0.3567</v>
      </c>
    </row>
    <row r="1604">
      <c r="A1604" s="5" t="s">
        <v>57</v>
      </c>
      <c r="B1604" s="5" t="s">
        <v>1867</v>
      </c>
      <c r="C1604" s="5" t="s">
        <v>1885</v>
      </c>
      <c r="D1604" s="6">
        <v>19.0</v>
      </c>
      <c r="E1604" s="6">
        <v>50025.0</v>
      </c>
      <c r="F1604" s="6">
        <v>41346.0</v>
      </c>
      <c r="G1604" s="6">
        <v>34494.0</v>
      </c>
      <c r="H1604" s="6">
        <v>1.4503</v>
      </c>
      <c r="I1604" s="6">
        <v>1.1986</v>
      </c>
      <c r="J1604" s="6">
        <v>0.2516</v>
      </c>
    </row>
    <row r="1605">
      <c r="A1605" s="5" t="s">
        <v>57</v>
      </c>
      <c r="B1605" s="5" t="s">
        <v>1867</v>
      </c>
      <c r="C1605" s="5" t="s">
        <v>1885</v>
      </c>
      <c r="D1605" s="6">
        <v>20.0</v>
      </c>
      <c r="E1605" s="6">
        <v>96890.0</v>
      </c>
      <c r="F1605" s="6">
        <v>66138.0</v>
      </c>
      <c r="G1605" s="6">
        <v>34494.0</v>
      </c>
      <c r="H1605" s="6">
        <v>2.8089</v>
      </c>
      <c r="I1605" s="6">
        <v>1.9174</v>
      </c>
      <c r="J1605" s="6">
        <v>0.8915</v>
      </c>
    </row>
    <row r="1606">
      <c r="A1606" s="5" t="s">
        <v>57</v>
      </c>
      <c r="B1606" s="5" t="s">
        <v>1867</v>
      </c>
      <c r="C1606" s="5" t="s">
        <v>1885</v>
      </c>
      <c r="D1606" s="6">
        <v>21.0</v>
      </c>
      <c r="E1606" s="6">
        <v>290330.0</v>
      </c>
      <c r="F1606" s="6">
        <v>139157.0</v>
      </c>
      <c r="G1606" s="6">
        <v>34494.0</v>
      </c>
      <c r="H1606" s="6">
        <v>8.4168</v>
      </c>
      <c r="I1606" s="6">
        <v>4.0342</v>
      </c>
      <c r="J1606" s="6">
        <v>4.3826</v>
      </c>
    </row>
    <row r="1607">
      <c r="A1607" s="5" t="s">
        <v>57</v>
      </c>
      <c r="B1607" s="5" t="s">
        <v>1867</v>
      </c>
      <c r="C1607" s="5" t="s">
        <v>1885</v>
      </c>
      <c r="D1607" s="6">
        <v>22.0</v>
      </c>
      <c r="E1607" s="6">
        <v>166695.0</v>
      </c>
      <c r="F1607" s="6">
        <v>96515.0</v>
      </c>
      <c r="G1607" s="6">
        <v>34494.0</v>
      </c>
      <c r="H1607" s="6">
        <v>4.8326</v>
      </c>
      <c r="I1607" s="6">
        <v>2.798</v>
      </c>
      <c r="J1607" s="6">
        <v>2.0346</v>
      </c>
    </row>
    <row r="1608">
      <c r="A1608" s="5" t="s">
        <v>57</v>
      </c>
      <c r="B1608" s="5" t="s">
        <v>1867</v>
      </c>
      <c r="C1608" s="5" t="s">
        <v>1885</v>
      </c>
      <c r="D1608" s="6">
        <v>23.0</v>
      </c>
      <c r="E1608" s="6">
        <v>104655.0</v>
      </c>
      <c r="F1608" s="6">
        <v>67298.0</v>
      </c>
      <c r="G1608" s="6">
        <v>34494.0</v>
      </c>
      <c r="H1608" s="6">
        <v>3.034</v>
      </c>
      <c r="I1608" s="6">
        <v>1.951</v>
      </c>
      <c r="J1608" s="6">
        <v>1.083</v>
      </c>
    </row>
    <row r="1609">
      <c r="A1609" s="5" t="s">
        <v>57</v>
      </c>
      <c r="B1609" s="5" t="s">
        <v>1867</v>
      </c>
      <c r="C1609" s="5" t="s">
        <v>1885</v>
      </c>
      <c r="D1609" s="6">
        <v>24.0</v>
      </c>
      <c r="E1609" s="6">
        <v>109520.0</v>
      </c>
      <c r="F1609" s="6">
        <v>64885.0</v>
      </c>
      <c r="G1609" s="6">
        <v>34494.0</v>
      </c>
      <c r="H1609" s="6">
        <v>3.175</v>
      </c>
      <c r="I1609" s="6">
        <v>1.8811</v>
      </c>
      <c r="J1609" s="6">
        <v>1.294</v>
      </c>
    </row>
    <row r="1610">
      <c r="A1610" s="5" t="s">
        <v>57</v>
      </c>
      <c r="B1610" s="5" t="s">
        <v>1867</v>
      </c>
      <c r="C1610" s="5" t="s">
        <v>1885</v>
      </c>
      <c r="D1610" s="6">
        <v>25.0</v>
      </c>
      <c r="E1610" s="6">
        <v>82950.0</v>
      </c>
      <c r="F1610" s="6">
        <v>54894.0</v>
      </c>
      <c r="G1610" s="6">
        <v>34494.0</v>
      </c>
      <c r="H1610" s="6">
        <v>2.4048</v>
      </c>
      <c r="I1610" s="6">
        <v>1.5914</v>
      </c>
      <c r="J1610" s="6">
        <v>0.8134</v>
      </c>
    </row>
    <row r="1611">
      <c r="A1611" s="5" t="s">
        <v>57</v>
      </c>
      <c r="B1611" s="5" t="s">
        <v>1867</v>
      </c>
      <c r="C1611" s="5" t="s">
        <v>1885</v>
      </c>
      <c r="D1611" s="6">
        <v>26.0</v>
      </c>
      <c r="E1611" s="6">
        <v>73715.0</v>
      </c>
      <c r="F1611" s="6">
        <v>51463.0</v>
      </c>
      <c r="G1611" s="6">
        <v>34494.0</v>
      </c>
      <c r="H1611" s="6">
        <v>2.137</v>
      </c>
      <c r="I1611" s="6">
        <v>1.4919</v>
      </c>
      <c r="J1611" s="6">
        <v>0.6451</v>
      </c>
    </row>
    <row r="1612">
      <c r="A1612" s="5" t="s">
        <v>57</v>
      </c>
      <c r="B1612" s="5" t="s">
        <v>1867</v>
      </c>
      <c r="C1612" s="5" t="s">
        <v>1885</v>
      </c>
      <c r="D1612" s="6">
        <v>27.0</v>
      </c>
      <c r="E1612" s="6">
        <v>74440.0</v>
      </c>
      <c r="F1612" s="6">
        <v>56760.0</v>
      </c>
      <c r="G1612" s="6">
        <v>34494.0</v>
      </c>
      <c r="H1612" s="6">
        <v>2.1581</v>
      </c>
      <c r="I1612" s="6">
        <v>1.6455</v>
      </c>
      <c r="J1612" s="6">
        <v>0.5126</v>
      </c>
    </row>
    <row r="1613">
      <c r="A1613" s="5" t="s">
        <v>57</v>
      </c>
      <c r="B1613" s="5" t="s">
        <v>1867</v>
      </c>
      <c r="C1613" s="5" t="s">
        <v>1885</v>
      </c>
      <c r="D1613" s="6">
        <v>28.0</v>
      </c>
      <c r="E1613" s="6">
        <v>67370.0</v>
      </c>
      <c r="F1613" s="6">
        <v>50703.0</v>
      </c>
      <c r="G1613" s="6">
        <v>34494.0</v>
      </c>
      <c r="H1613" s="6">
        <v>1.9531</v>
      </c>
      <c r="I1613" s="6">
        <v>1.4699</v>
      </c>
      <c r="J1613" s="6">
        <v>0.4832</v>
      </c>
    </row>
    <row r="1614">
      <c r="A1614" s="5" t="s">
        <v>57</v>
      </c>
      <c r="B1614" s="5" t="s">
        <v>1867</v>
      </c>
      <c r="C1614" s="5" t="s">
        <v>1885</v>
      </c>
      <c r="D1614" s="6">
        <v>29.0</v>
      </c>
      <c r="E1614" s="6">
        <v>68035.0</v>
      </c>
      <c r="F1614" s="6">
        <v>52035.0</v>
      </c>
      <c r="G1614" s="6">
        <v>34494.0</v>
      </c>
      <c r="H1614" s="6">
        <v>1.9724</v>
      </c>
      <c r="I1614" s="6">
        <v>1.5085</v>
      </c>
      <c r="J1614" s="6">
        <v>0.4638</v>
      </c>
    </row>
    <row r="1615">
      <c r="A1615" s="5" t="s">
        <v>57</v>
      </c>
      <c r="B1615" s="5" t="s">
        <v>1867</v>
      </c>
      <c r="C1615" s="5" t="s">
        <v>1885</v>
      </c>
      <c r="D1615" s="6">
        <v>30.0</v>
      </c>
      <c r="E1615" s="6">
        <v>74415.0</v>
      </c>
      <c r="F1615" s="6">
        <v>51472.0</v>
      </c>
      <c r="G1615" s="6">
        <v>34494.0</v>
      </c>
      <c r="H1615" s="6">
        <v>2.1573</v>
      </c>
      <c r="I1615" s="6">
        <v>1.4922</v>
      </c>
      <c r="J1615" s="6">
        <v>0.6651</v>
      </c>
    </row>
    <row r="1616">
      <c r="A1616" s="5" t="s">
        <v>57</v>
      </c>
      <c r="B1616" s="5" t="s">
        <v>1867</v>
      </c>
      <c r="C1616" s="5" t="s">
        <v>1885</v>
      </c>
      <c r="D1616" s="6">
        <v>31.0</v>
      </c>
      <c r="E1616" s="6">
        <v>68475.0</v>
      </c>
      <c r="F1616" s="6">
        <v>48047.0</v>
      </c>
      <c r="G1616" s="6">
        <v>34494.0</v>
      </c>
      <c r="H1616" s="6">
        <v>1.9851</v>
      </c>
      <c r="I1616" s="6">
        <v>1.3929</v>
      </c>
      <c r="J1616" s="6">
        <v>0.5922</v>
      </c>
    </row>
    <row r="1617">
      <c r="A1617" s="5" t="s">
        <v>57</v>
      </c>
      <c r="B1617" s="5" t="s">
        <v>1867</v>
      </c>
      <c r="C1617" s="5" t="s">
        <v>1885</v>
      </c>
      <c r="D1617" s="6">
        <v>32.0</v>
      </c>
      <c r="E1617" s="6">
        <v>67075.0</v>
      </c>
      <c r="F1617" s="6">
        <v>46018.0</v>
      </c>
      <c r="G1617" s="6">
        <v>34494.0</v>
      </c>
      <c r="H1617" s="6">
        <v>1.9445</v>
      </c>
      <c r="I1617" s="6">
        <v>1.3341</v>
      </c>
      <c r="J1617" s="6">
        <v>0.6105</v>
      </c>
    </row>
    <row r="1618">
      <c r="A1618" s="5" t="s">
        <v>57</v>
      </c>
      <c r="B1618" s="5" t="s">
        <v>1867</v>
      </c>
      <c r="C1618" s="5" t="s">
        <v>1885</v>
      </c>
      <c r="D1618" s="6">
        <v>33.0</v>
      </c>
      <c r="E1618" s="6">
        <v>65420.0</v>
      </c>
      <c r="F1618" s="6">
        <v>49141.0</v>
      </c>
      <c r="G1618" s="6">
        <v>34494.0</v>
      </c>
      <c r="H1618" s="6">
        <v>1.8966</v>
      </c>
      <c r="I1618" s="6">
        <v>1.4246</v>
      </c>
      <c r="J1618" s="6">
        <v>0.4719</v>
      </c>
    </row>
    <row r="1619">
      <c r="A1619" s="5" t="s">
        <v>57</v>
      </c>
      <c r="B1619" s="5" t="s">
        <v>1867</v>
      </c>
      <c r="C1619" s="5" t="s">
        <v>75</v>
      </c>
      <c r="D1619" s="6">
        <v>1.0</v>
      </c>
      <c r="E1619" s="6">
        <v>2150073.0</v>
      </c>
      <c r="F1619" s="6">
        <v>0.0</v>
      </c>
      <c r="G1619" s="6">
        <v>37761.0</v>
      </c>
      <c r="H1619" s="6">
        <v>56.939</v>
      </c>
      <c r="I1619" s="6">
        <v>0.0</v>
      </c>
      <c r="J1619" s="6">
        <v>56.939</v>
      </c>
    </row>
    <row r="1620">
      <c r="A1620" s="5" t="s">
        <v>57</v>
      </c>
      <c r="B1620" s="5" t="s">
        <v>1867</v>
      </c>
      <c r="C1620" s="5" t="s">
        <v>75</v>
      </c>
      <c r="D1620" s="6">
        <v>2.0</v>
      </c>
      <c r="E1620" s="6">
        <v>1286671.0</v>
      </c>
      <c r="F1620" s="6">
        <v>0.0</v>
      </c>
      <c r="G1620" s="6">
        <v>37761.0</v>
      </c>
      <c r="H1620" s="6">
        <v>34.0741</v>
      </c>
      <c r="I1620" s="6">
        <v>0.0</v>
      </c>
      <c r="J1620" s="6">
        <v>34.0741</v>
      </c>
    </row>
    <row r="1621">
      <c r="A1621" s="5" t="s">
        <v>57</v>
      </c>
      <c r="B1621" s="5" t="s">
        <v>1867</v>
      </c>
      <c r="C1621" s="5" t="s">
        <v>75</v>
      </c>
      <c r="D1621" s="6">
        <v>3.0</v>
      </c>
      <c r="E1621" s="6">
        <v>1954480.0</v>
      </c>
      <c r="F1621" s="6">
        <v>0.0</v>
      </c>
      <c r="G1621" s="6">
        <v>37761.0</v>
      </c>
      <c r="H1621" s="6">
        <v>51.7592</v>
      </c>
      <c r="I1621" s="6">
        <v>0.0</v>
      </c>
      <c r="J1621" s="6">
        <v>51.7592</v>
      </c>
    </row>
    <row r="1622">
      <c r="A1622" s="5" t="s">
        <v>57</v>
      </c>
      <c r="B1622" s="5" t="s">
        <v>1867</v>
      </c>
      <c r="C1622" s="5" t="s">
        <v>75</v>
      </c>
      <c r="D1622" s="6">
        <v>4.0</v>
      </c>
      <c r="E1622" s="6">
        <v>1492261.0</v>
      </c>
      <c r="F1622" s="6">
        <v>0.0</v>
      </c>
      <c r="G1622" s="6">
        <v>37761.0</v>
      </c>
      <c r="H1622" s="6">
        <v>39.5186</v>
      </c>
      <c r="I1622" s="6">
        <v>0.0</v>
      </c>
      <c r="J1622" s="6">
        <v>39.5186</v>
      </c>
    </row>
    <row r="1623">
      <c r="A1623" s="5" t="s">
        <v>57</v>
      </c>
      <c r="B1623" s="5" t="s">
        <v>1867</v>
      </c>
      <c r="C1623" s="5" t="s">
        <v>75</v>
      </c>
      <c r="D1623" s="6">
        <v>5.0</v>
      </c>
      <c r="E1623" s="6">
        <v>1984043.0</v>
      </c>
      <c r="F1623" s="6">
        <v>0.0</v>
      </c>
      <c r="G1623" s="6">
        <v>37761.0</v>
      </c>
      <c r="H1623" s="6">
        <v>52.5421</v>
      </c>
      <c r="I1623" s="6">
        <v>0.0</v>
      </c>
      <c r="J1623" s="6">
        <v>52.5421</v>
      </c>
    </row>
    <row r="1624">
      <c r="A1624" s="5" t="s">
        <v>57</v>
      </c>
      <c r="B1624" s="5" t="s">
        <v>1867</v>
      </c>
      <c r="C1624" s="5" t="s">
        <v>75</v>
      </c>
      <c r="D1624" s="6">
        <v>6.0</v>
      </c>
      <c r="E1624" s="6">
        <v>2197740.0</v>
      </c>
      <c r="F1624" s="6">
        <v>0.0</v>
      </c>
      <c r="G1624" s="6">
        <v>37761.0</v>
      </c>
      <c r="H1624" s="6">
        <v>58.2013</v>
      </c>
      <c r="I1624" s="6">
        <v>0.0</v>
      </c>
      <c r="J1624" s="6">
        <v>58.2013</v>
      </c>
    </row>
    <row r="1625">
      <c r="A1625" s="5" t="s">
        <v>57</v>
      </c>
      <c r="B1625" s="5" t="s">
        <v>1867</v>
      </c>
      <c r="C1625" s="5" t="s">
        <v>75</v>
      </c>
      <c r="D1625" s="6">
        <v>7.0</v>
      </c>
      <c r="E1625" s="6">
        <v>1358820.0</v>
      </c>
      <c r="F1625" s="6">
        <v>0.0</v>
      </c>
      <c r="G1625" s="6">
        <v>37761.0</v>
      </c>
      <c r="H1625" s="6">
        <v>35.9847</v>
      </c>
      <c r="I1625" s="6">
        <v>0.0</v>
      </c>
      <c r="J1625" s="6">
        <v>35.9847</v>
      </c>
    </row>
    <row r="1626">
      <c r="A1626" s="5" t="s">
        <v>57</v>
      </c>
      <c r="B1626" s="5" t="s">
        <v>1867</v>
      </c>
      <c r="C1626" s="5" t="s">
        <v>75</v>
      </c>
      <c r="D1626" s="6">
        <v>8.0</v>
      </c>
      <c r="E1626" s="6">
        <v>2159269.0</v>
      </c>
      <c r="F1626" s="6">
        <v>1.0</v>
      </c>
      <c r="G1626" s="6">
        <v>37761.0</v>
      </c>
      <c r="H1626" s="6">
        <v>57.1825</v>
      </c>
      <c r="I1626" s="6">
        <v>0.0</v>
      </c>
      <c r="J1626" s="6">
        <v>57.1825</v>
      </c>
    </row>
    <row r="1627">
      <c r="A1627" s="5" t="s">
        <v>57</v>
      </c>
      <c r="B1627" s="5" t="s">
        <v>1867</v>
      </c>
      <c r="C1627" s="5" t="s">
        <v>75</v>
      </c>
      <c r="D1627" s="6">
        <v>9.0</v>
      </c>
      <c r="E1627" s="6">
        <v>1349960.0</v>
      </c>
      <c r="F1627" s="6">
        <v>6.0</v>
      </c>
      <c r="G1627" s="6">
        <v>37761.0</v>
      </c>
      <c r="H1627" s="6">
        <v>35.7501</v>
      </c>
      <c r="I1627" s="6">
        <v>2.0E-4</v>
      </c>
      <c r="J1627" s="6">
        <v>35.75</v>
      </c>
    </row>
    <row r="1628">
      <c r="A1628" s="5" t="s">
        <v>57</v>
      </c>
      <c r="B1628" s="5" t="s">
        <v>1867</v>
      </c>
      <c r="C1628" s="5" t="s">
        <v>75</v>
      </c>
      <c r="D1628" s="6">
        <v>10.0</v>
      </c>
      <c r="E1628" s="6">
        <v>2113629.0</v>
      </c>
      <c r="F1628" s="6">
        <v>0.0</v>
      </c>
      <c r="G1628" s="6">
        <v>37761.0</v>
      </c>
      <c r="H1628" s="6">
        <v>55.9739</v>
      </c>
      <c r="I1628" s="6">
        <v>0.0</v>
      </c>
      <c r="J1628" s="6">
        <v>55.9739</v>
      </c>
    </row>
    <row r="1629">
      <c r="A1629" s="5" t="s">
        <v>57</v>
      </c>
      <c r="B1629" s="5" t="s">
        <v>1867</v>
      </c>
      <c r="C1629" s="5" t="s">
        <v>75</v>
      </c>
      <c r="D1629" s="6">
        <v>11.0</v>
      </c>
      <c r="E1629" s="6">
        <v>1491003.0</v>
      </c>
      <c r="F1629" s="6">
        <v>1.0</v>
      </c>
      <c r="G1629" s="6">
        <v>37761.0</v>
      </c>
      <c r="H1629" s="6">
        <v>39.4853</v>
      </c>
      <c r="I1629" s="6">
        <v>0.0</v>
      </c>
      <c r="J1629" s="6">
        <v>39.4852</v>
      </c>
    </row>
    <row r="1630">
      <c r="A1630" s="5" t="s">
        <v>57</v>
      </c>
      <c r="B1630" s="5" t="s">
        <v>1867</v>
      </c>
      <c r="C1630" s="5" t="s">
        <v>75</v>
      </c>
      <c r="D1630" s="6">
        <v>12.0</v>
      </c>
      <c r="E1630" s="6">
        <v>1972792.0</v>
      </c>
      <c r="F1630" s="6">
        <v>0.0</v>
      </c>
      <c r="G1630" s="6">
        <v>37761.0</v>
      </c>
      <c r="H1630" s="6">
        <v>52.2442</v>
      </c>
      <c r="I1630" s="6">
        <v>0.0</v>
      </c>
      <c r="J1630" s="6">
        <v>52.2442</v>
      </c>
    </row>
    <row r="1631">
      <c r="A1631" s="5" t="s">
        <v>57</v>
      </c>
      <c r="B1631" s="5" t="s">
        <v>1867</v>
      </c>
      <c r="C1631" s="5" t="s">
        <v>75</v>
      </c>
      <c r="D1631" s="6">
        <v>13.0</v>
      </c>
      <c r="E1631" s="6">
        <v>2144432.0</v>
      </c>
      <c r="F1631" s="6">
        <v>0.0</v>
      </c>
      <c r="G1631" s="6">
        <v>37761.0</v>
      </c>
      <c r="H1631" s="6">
        <v>56.7896</v>
      </c>
      <c r="I1631" s="6">
        <v>0.0</v>
      </c>
      <c r="J1631" s="6">
        <v>56.7896</v>
      </c>
    </row>
    <row r="1632">
      <c r="A1632" s="5" t="s">
        <v>57</v>
      </c>
      <c r="B1632" s="5" t="s">
        <v>1867</v>
      </c>
      <c r="C1632" s="5" t="s">
        <v>75</v>
      </c>
      <c r="D1632" s="6">
        <v>14.0</v>
      </c>
      <c r="E1632" s="6">
        <v>1297670.0</v>
      </c>
      <c r="F1632" s="6">
        <v>0.0</v>
      </c>
      <c r="G1632" s="6">
        <v>37761.0</v>
      </c>
      <c r="H1632" s="6">
        <v>34.3654</v>
      </c>
      <c r="I1632" s="6">
        <v>0.0</v>
      </c>
      <c r="J1632" s="6">
        <v>34.3654</v>
      </c>
    </row>
    <row r="1633">
      <c r="A1633" s="5" t="s">
        <v>57</v>
      </c>
      <c r="B1633" s="5" t="s">
        <v>1867</v>
      </c>
      <c r="C1633" s="5" t="s">
        <v>75</v>
      </c>
      <c r="D1633" s="6">
        <v>15.0</v>
      </c>
      <c r="E1633" s="6">
        <v>2099846.0</v>
      </c>
      <c r="F1633" s="6">
        <v>0.0</v>
      </c>
      <c r="G1633" s="6">
        <v>37761.0</v>
      </c>
      <c r="H1633" s="6">
        <v>55.6089</v>
      </c>
      <c r="I1633" s="6">
        <v>0.0</v>
      </c>
      <c r="J1633" s="6">
        <v>55.6089</v>
      </c>
    </row>
    <row r="1634">
      <c r="A1634" s="5" t="s">
        <v>57</v>
      </c>
      <c r="B1634" s="5" t="s">
        <v>1867</v>
      </c>
      <c r="C1634" s="5" t="s">
        <v>75</v>
      </c>
      <c r="D1634" s="6">
        <v>16.0</v>
      </c>
      <c r="E1634" s="6">
        <v>1176591.0</v>
      </c>
      <c r="F1634" s="6">
        <v>0.0</v>
      </c>
      <c r="G1634" s="6">
        <v>37761.0</v>
      </c>
      <c r="H1634" s="6">
        <v>31.1589</v>
      </c>
      <c r="I1634" s="6">
        <v>0.0</v>
      </c>
      <c r="J1634" s="6">
        <v>31.1589</v>
      </c>
    </row>
    <row r="1635">
      <c r="A1635" s="5" t="s">
        <v>57</v>
      </c>
      <c r="B1635" s="5" t="s">
        <v>1867</v>
      </c>
      <c r="C1635" s="5" t="s">
        <v>75</v>
      </c>
      <c r="D1635" s="6">
        <v>17.0</v>
      </c>
      <c r="E1635" s="6">
        <v>1868860.0</v>
      </c>
      <c r="F1635" s="6">
        <v>10.0</v>
      </c>
      <c r="G1635" s="6">
        <v>37761.0</v>
      </c>
      <c r="H1635" s="6">
        <v>49.4918</v>
      </c>
      <c r="I1635" s="6">
        <v>3.0E-4</v>
      </c>
      <c r="J1635" s="6">
        <v>49.4915</v>
      </c>
    </row>
    <row r="1636">
      <c r="A1636" s="5" t="s">
        <v>57</v>
      </c>
      <c r="B1636" s="5" t="s">
        <v>1867</v>
      </c>
      <c r="C1636" s="5" t="s">
        <v>75</v>
      </c>
      <c r="D1636" s="6">
        <v>18.0</v>
      </c>
      <c r="E1636" s="6">
        <v>1362769.0</v>
      </c>
      <c r="F1636" s="6">
        <v>0.0</v>
      </c>
      <c r="G1636" s="6">
        <v>37761.0</v>
      </c>
      <c r="H1636" s="6">
        <v>36.0893</v>
      </c>
      <c r="I1636" s="6">
        <v>0.0</v>
      </c>
      <c r="J1636" s="6">
        <v>36.0893</v>
      </c>
    </row>
    <row r="1637">
      <c r="A1637" s="5" t="s">
        <v>57</v>
      </c>
      <c r="B1637" s="5" t="s">
        <v>1867</v>
      </c>
      <c r="C1637" s="5" t="s">
        <v>75</v>
      </c>
      <c r="D1637" s="6">
        <v>19.0</v>
      </c>
      <c r="E1637" s="6">
        <v>1761969.0</v>
      </c>
      <c r="F1637" s="6">
        <v>60.0</v>
      </c>
      <c r="G1637" s="6">
        <v>37761.0</v>
      </c>
      <c r="H1637" s="6">
        <v>46.6611</v>
      </c>
      <c r="I1637" s="6">
        <v>0.0016</v>
      </c>
      <c r="J1637" s="6">
        <v>46.6595</v>
      </c>
    </row>
    <row r="1638">
      <c r="A1638" s="5" t="s">
        <v>57</v>
      </c>
      <c r="B1638" s="5" t="s">
        <v>1867</v>
      </c>
      <c r="C1638" s="5" t="s">
        <v>75</v>
      </c>
      <c r="D1638" s="6">
        <v>20.0</v>
      </c>
      <c r="E1638" s="6">
        <v>1980187.0</v>
      </c>
      <c r="F1638" s="6">
        <v>0.0</v>
      </c>
      <c r="G1638" s="6">
        <v>37761.0</v>
      </c>
      <c r="H1638" s="6">
        <v>52.44</v>
      </c>
      <c r="I1638" s="6">
        <v>0.0</v>
      </c>
      <c r="J1638" s="6">
        <v>52.44</v>
      </c>
    </row>
    <row r="1639">
      <c r="A1639" s="5" t="s">
        <v>57</v>
      </c>
      <c r="B1639" s="5" t="s">
        <v>1867</v>
      </c>
      <c r="C1639" s="5" t="s">
        <v>75</v>
      </c>
      <c r="D1639" s="6">
        <v>21.0</v>
      </c>
      <c r="E1639" s="6">
        <v>2913637.0</v>
      </c>
      <c r="F1639" s="6">
        <v>0.0</v>
      </c>
      <c r="G1639" s="6">
        <v>37761.0</v>
      </c>
      <c r="H1639" s="6">
        <v>77.16</v>
      </c>
      <c r="I1639" s="6">
        <v>0.0</v>
      </c>
      <c r="J1639" s="6">
        <v>77.16</v>
      </c>
    </row>
    <row r="1640">
      <c r="A1640" s="5" t="s">
        <v>57</v>
      </c>
      <c r="B1640" s="5" t="s">
        <v>1867</v>
      </c>
      <c r="C1640" s="5" t="s">
        <v>75</v>
      </c>
      <c r="D1640" s="6">
        <v>22.0</v>
      </c>
      <c r="E1640" s="6">
        <v>2459440.0</v>
      </c>
      <c r="F1640" s="6">
        <v>1.0</v>
      </c>
      <c r="G1640" s="6">
        <v>37761.0</v>
      </c>
      <c r="H1640" s="6">
        <v>65.1317</v>
      </c>
      <c r="I1640" s="6">
        <v>0.0</v>
      </c>
      <c r="J1640" s="6">
        <v>65.1317</v>
      </c>
    </row>
    <row r="1641">
      <c r="A1641" s="5" t="s">
        <v>57</v>
      </c>
      <c r="B1641" s="5" t="s">
        <v>1867</v>
      </c>
      <c r="C1641" s="5" t="s">
        <v>75</v>
      </c>
      <c r="D1641" s="6">
        <v>23.0</v>
      </c>
      <c r="E1641" s="6">
        <v>1547341.0</v>
      </c>
      <c r="F1641" s="6">
        <v>0.0</v>
      </c>
      <c r="G1641" s="6">
        <v>37761.0</v>
      </c>
      <c r="H1641" s="6">
        <v>40.9772</v>
      </c>
      <c r="I1641" s="6">
        <v>0.0</v>
      </c>
      <c r="J1641" s="6">
        <v>40.9772</v>
      </c>
    </row>
    <row r="1642">
      <c r="A1642" s="5" t="s">
        <v>57</v>
      </c>
      <c r="B1642" s="5" t="s">
        <v>1867</v>
      </c>
      <c r="C1642" s="5" t="s">
        <v>75</v>
      </c>
      <c r="D1642" s="6">
        <v>24.0</v>
      </c>
      <c r="E1642" s="6">
        <v>2192515.0</v>
      </c>
      <c r="F1642" s="6">
        <v>0.0</v>
      </c>
      <c r="G1642" s="6">
        <v>37761.0</v>
      </c>
      <c r="H1642" s="6">
        <v>58.0629</v>
      </c>
      <c r="I1642" s="6">
        <v>0.0</v>
      </c>
      <c r="J1642" s="6">
        <v>58.0629</v>
      </c>
    </row>
    <row r="1643">
      <c r="A1643" s="5" t="s">
        <v>57</v>
      </c>
      <c r="B1643" s="5" t="s">
        <v>1867</v>
      </c>
      <c r="C1643" s="5" t="s">
        <v>75</v>
      </c>
      <c r="D1643" s="6">
        <v>25.0</v>
      </c>
      <c r="E1643" s="6">
        <v>1584111.0</v>
      </c>
      <c r="F1643" s="6">
        <v>0.0</v>
      </c>
      <c r="G1643" s="6">
        <v>37761.0</v>
      </c>
      <c r="H1643" s="6">
        <v>41.951</v>
      </c>
      <c r="I1643" s="6">
        <v>0.0</v>
      </c>
      <c r="J1643" s="6">
        <v>41.951</v>
      </c>
    </row>
    <row r="1644">
      <c r="A1644" s="5" t="s">
        <v>57</v>
      </c>
      <c r="B1644" s="5" t="s">
        <v>1867</v>
      </c>
      <c r="C1644" s="5" t="s">
        <v>75</v>
      </c>
      <c r="D1644" s="6">
        <v>26.0</v>
      </c>
      <c r="E1644" s="6">
        <v>1941100.0</v>
      </c>
      <c r="F1644" s="6">
        <v>0.0</v>
      </c>
      <c r="G1644" s="6">
        <v>37761.0</v>
      </c>
      <c r="H1644" s="6">
        <v>51.4049</v>
      </c>
      <c r="I1644" s="6">
        <v>0.0</v>
      </c>
      <c r="J1644" s="6">
        <v>51.4049</v>
      </c>
    </row>
    <row r="1645">
      <c r="A1645" s="5" t="s">
        <v>57</v>
      </c>
      <c r="B1645" s="5" t="s">
        <v>1867</v>
      </c>
      <c r="C1645" s="5" t="s">
        <v>75</v>
      </c>
      <c r="D1645" s="6">
        <v>27.0</v>
      </c>
      <c r="E1645" s="6">
        <v>2166044.0</v>
      </c>
      <c r="F1645" s="6">
        <v>1.0</v>
      </c>
      <c r="G1645" s="6">
        <v>37761.0</v>
      </c>
      <c r="H1645" s="6">
        <v>57.3619</v>
      </c>
      <c r="I1645" s="6">
        <v>0.0</v>
      </c>
      <c r="J1645" s="6">
        <v>57.3619</v>
      </c>
    </row>
    <row r="1646">
      <c r="A1646" s="5" t="s">
        <v>57</v>
      </c>
      <c r="B1646" s="5" t="s">
        <v>1867</v>
      </c>
      <c r="C1646" s="5" t="s">
        <v>75</v>
      </c>
      <c r="D1646" s="6">
        <v>28.0</v>
      </c>
      <c r="E1646" s="6">
        <v>1318792.0</v>
      </c>
      <c r="F1646" s="6">
        <v>0.0</v>
      </c>
      <c r="G1646" s="6">
        <v>37761.0</v>
      </c>
      <c r="H1646" s="6">
        <v>34.9247</v>
      </c>
      <c r="I1646" s="6">
        <v>0.0</v>
      </c>
      <c r="J1646" s="6">
        <v>34.9247</v>
      </c>
    </row>
    <row r="1647">
      <c r="A1647" s="5" t="s">
        <v>57</v>
      </c>
      <c r="B1647" s="5" t="s">
        <v>1867</v>
      </c>
      <c r="C1647" s="5" t="s">
        <v>75</v>
      </c>
      <c r="D1647" s="6">
        <v>29.0</v>
      </c>
      <c r="E1647" s="6">
        <v>2096140.0</v>
      </c>
      <c r="F1647" s="6">
        <v>0.0</v>
      </c>
      <c r="G1647" s="6">
        <v>37761.0</v>
      </c>
      <c r="H1647" s="6">
        <v>55.5107</v>
      </c>
      <c r="I1647" s="6">
        <v>0.0</v>
      </c>
      <c r="J1647" s="6">
        <v>55.5107</v>
      </c>
    </row>
    <row r="1648">
      <c r="A1648" s="5" t="s">
        <v>57</v>
      </c>
      <c r="B1648" s="5" t="s">
        <v>1867</v>
      </c>
      <c r="C1648" s="5" t="s">
        <v>75</v>
      </c>
      <c r="D1648" s="6">
        <v>30.0</v>
      </c>
      <c r="E1648" s="6">
        <v>1174511.0</v>
      </c>
      <c r="F1648" s="6">
        <v>0.0</v>
      </c>
      <c r="G1648" s="6">
        <v>37761.0</v>
      </c>
      <c r="H1648" s="6">
        <v>31.1038</v>
      </c>
      <c r="I1648" s="6">
        <v>0.0</v>
      </c>
      <c r="J1648" s="6">
        <v>31.1038</v>
      </c>
    </row>
    <row r="1649">
      <c r="A1649" s="5" t="s">
        <v>57</v>
      </c>
      <c r="B1649" s="5" t="s">
        <v>1867</v>
      </c>
      <c r="C1649" s="5" t="s">
        <v>75</v>
      </c>
      <c r="D1649" s="6">
        <v>31.0</v>
      </c>
      <c r="E1649" s="6">
        <v>1865515.0</v>
      </c>
      <c r="F1649" s="6">
        <v>0.0</v>
      </c>
      <c r="G1649" s="6">
        <v>37761.0</v>
      </c>
      <c r="H1649" s="6">
        <v>49.4032</v>
      </c>
      <c r="I1649" s="6">
        <v>0.0</v>
      </c>
      <c r="J1649" s="6">
        <v>49.4032</v>
      </c>
    </row>
    <row r="1650">
      <c r="A1650" s="5" t="s">
        <v>57</v>
      </c>
      <c r="B1650" s="5" t="s">
        <v>1867</v>
      </c>
      <c r="C1650" s="5" t="s">
        <v>75</v>
      </c>
      <c r="D1650" s="6">
        <v>32.0</v>
      </c>
      <c r="E1650" s="6">
        <v>1321764.0</v>
      </c>
      <c r="F1650" s="6">
        <v>41.0</v>
      </c>
      <c r="G1650" s="6">
        <v>37761.0</v>
      </c>
      <c r="H1650" s="6">
        <v>35.0034</v>
      </c>
      <c r="I1650" s="6">
        <v>0.0011</v>
      </c>
      <c r="J1650" s="6">
        <v>35.0023</v>
      </c>
    </row>
    <row r="1651">
      <c r="A1651" s="5" t="s">
        <v>57</v>
      </c>
      <c r="B1651" s="5" t="s">
        <v>1867</v>
      </c>
      <c r="C1651" s="5" t="s">
        <v>75</v>
      </c>
      <c r="D1651" s="6">
        <v>33.0</v>
      </c>
      <c r="E1651" s="6">
        <v>1762189.0</v>
      </c>
      <c r="F1651" s="6">
        <v>1.0</v>
      </c>
      <c r="G1651" s="6">
        <v>37761.0</v>
      </c>
      <c r="H1651" s="6">
        <v>46.6669</v>
      </c>
      <c r="I1651" s="6">
        <v>0.0</v>
      </c>
      <c r="J1651" s="6">
        <v>46.6669</v>
      </c>
    </row>
    <row r="1652">
      <c r="A1652" s="5" t="s">
        <v>57</v>
      </c>
      <c r="B1652" s="5" t="s">
        <v>1867</v>
      </c>
      <c r="C1652" s="5" t="s">
        <v>68</v>
      </c>
      <c r="D1652" s="6">
        <v>1.0</v>
      </c>
      <c r="E1652" s="6">
        <v>282467.0</v>
      </c>
      <c r="F1652" s="6">
        <v>0.0</v>
      </c>
      <c r="G1652" s="6">
        <v>34214.0</v>
      </c>
      <c r="H1652" s="6">
        <v>8.2559</v>
      </c>
      <c r="I1652" s="6">
        <v>0.0</v>
      </c>
      <c r="J1652" s="6">
        <v>8.2559</v>
      </c>
    </row>
    <row r="1653">
      <c r="A1653" s="5" t="s">
        <v>57</v>
      </c>
      <c r="B1653" s="5" t="s">
        <v>1867</v>
      </c>
      <c r="C1653" s="5" t="s">
        <v>68</v>
      </c>
      <c r="D1653" s="6">
        <v>2.0</v>
      </c>
      <c r="E1653" s="6">
        <v>680211.0</v>
      </c>
      <c r="F1653" s="6">
        <v>0.0</v>
      </c>
      <c r="G1653" s="6">
        <v>34214.0</v>
      </c>
      <c r="H1653" s="6">
        <v>19.8811</v>
      </c>
      <c r="I1653" s="6">
        <v>0.0</v>
      </c>
      <c r="J1653" s="6">
        <v>19.8811</v>
      </c>
    </row>
    <row r="1654">
      <c r="A1654" s="5" t="s">
        <v>57</v>
      </c>
      <c r="B1654" s="5" t="s">
        <v>1867</v>
      </c>
      <c r="C1654" s="5" t="s">
        <v>68</v>
      </c>
      <c r="D1654" s="6">
        <v>3.0</v>
      </c>
      <c r="E1654" s="6">
        <v>662583.0</v>
      </c>
      <c r="F1654" s="6">
        <v>0.0</v>
      </c>
      <c r="G1654" s="6">
        <v>34214.0</v>
      </c>
      <c r="H1654" s="6">
        <v>19.3658</v>
      </c>
      <c r="I1654" s="6">
        <v>0.0</v>
      </c>
      <c r="J1654" s="6">
        <v>19.3658</v>
      </c>
    </row>
    <row r="1655">
      <c r="A1655" s="5" t="s">
        <v>57</v>
      </c>
      <c r="B1655" s="5" t="s">
        <v>1867</v>
      </c>
      <c r="C1655" s="5" t="s">
        <v>68</v>
      </c>
      <c r="D1655" s="6">
        <v>4.0</v>
      </c>
      <c r="E1655" s="6">
        <v>507258.0</v>
      </c>
      <c r="F1655" s="6">
        <v>0.0</v>
      </c>
      <c r="G1655" s="6">
        <v>34214.0</v>
      </c>
      <c r="H1655" s="6">
        <v>14.826</v>
      </c>
      <c r="I1655" s="6">
        <v>0.0</v>
      </c>
      <c r="J1655" s="6">
        <v>14.826</v>
      </c>
    </row>
    <row r="1656">
      <c r="A1656" s="5" t="s">
        <v>57</v>
      </c>
      <c r="B1656" s="5" t="s">
        <v>1867</v>
      </c>
      <c r="C1656" s="5" t="s">
        <v>68</v>
      </c>
      <c r="D1656" s="6">
        <v>5.0</v>
      </c>
      <c r="E1656" s="6">
        <v>330188.0</v>
      </c>
      <c r="F1656" s="6">
        <v>0.0</v>
      </c>
      <c r="G1656" s="6">
        <v>34214.0</v>
      </c>
      <c r="H1656" s="6">
        <v>9.6507</v>
      </c>
      <c r="I1656" s="6">
        <v>0.0</v>
      </c>
      <c r="J1656" s="6">
        <v>9.6507</v>
      </c>
    </row>
    <row r="1657">
      <c r="A1657" s="5" t="s">
        <v>57</v>
      </c>
      <c r="B1657" s="5" t="s">
        <v>1867</v>
      </c>
      <c r="C1657" s="5" t="s">
        <v>68</v>
      </c>
      <c r="D1657" s="6">
        <v>6.0</v>
      </c>
      <c r="E1657" s="6">
        <v>218079.0</v>
      </c>
      <c r="F1657" s="6">
        <v>0.0</v>
      </c>
      <c r="G1657" s="6">
        <v>34214.0</v>
      </c>
      <c r="H1657" s="6">
        <v>6.374</v>
      </c>
      <c r="I1657" s="6">
        <v>0.0</v>
      </c>
      <c r="J1657" s="6">
        <v>6.374</v>
      </c>
    </row>
    <row r="1658">
      <c r="A1658" s="5" t="s">
        <v>57</v>
      </c>
      <c r="B1658" s="5" t="s">
        <v>1867</v>
      </c>
      <c r="C1658" s="5" t="s">
        <v>68</v>
      </c>
      <c r="D1658" s="6">
        <v>7.0</v>
      </c>
      <c r="E1658" s="6">
        <v>384686.0</v>
      </c>
      <c r="F1658" s="6">
        <v>0.0</v>
      </c>
      <c r="G1658" s="6">
        <v>34214.0</v>
      </c>
      <c r="H1658" s="6">
        <v>11.2435</v>
      </c>
      <c r="I1658" s="6">
        <v>0.0</v>
      </c>
      <c r="J1658" s="6">
        <v>11.2435</v>
      </c>
    </row>
    <row r="1659">
      <c r="A1659" s="5" t="s">
        <v>57</v>
      </c>
      <c r="B1659" s="5" t="s">
        <v>1867</v>
      </c>
      <c r="C1659" s="5" t="s">
        <v>68</v>
      </c>
      <c r="D1659" s="6">
        <v>8.0</v>
      </c>
      <c r="E1659" s="6">
        <v>280480.0</v>
      </c>
      <c r="F1659" s="6">
        <v>0.0</v>
      </c>
      <c r="G1659" s="6">
        <v>34214.0</v>
      </c>
      <c r="H1659" s="6">
        <v>8.1978</v>
      </c>
      <c r="I1659" s="6">
        <v>0.0</v>
      </c>
      <c r="J1659" s="6">
        <v>8.1978</v>
      </c>
    </row>
    <row r="1660">
      <c r="A1660" s="5" t="s">
        <v>57</v>
      </c>
      <c r="B1660" s="5" t="s">
        <v>1867</v>
      </c>
      <c r="C1660" s="5" t="s">
        <v>68</v>
      </c>
      <c r="D1660" s="6">
        <v>9.0</v>
      </c>
      <c r="E1660" s="6">
        <v>327302.0</v>
      </c>
      <c r="F1660" s="6">
        <v>0.0</v>
      </c>
      <c r="G1660" s="6">
        <v>34214.0</v>
      </c>
      <c r="H1660" s="6">
        <v>9.5663</v>
      </c>
      <c r="I1660" s="6">
        <v>0.0</v>
      </c>
      <c r="J1660" s="6">
        <v>9.5663</v>
      </c>
    </row>
    <row r="1661">
      <c r="A1661" s="5" t="s">
        <v>57</v>
      </c>
      <c r="B1661" s="5" t="s">
        <v>1867</v>
      </c>
      <c r="C1661" s="5" t="s">
        <v>68</v>
      </c>
      <c r="D1661" s="6">
        <v>10.0</v>
      </c>
      <c r="E1661" s="6">
        <v>667922.0</v>
      </c>
      <c r="F1661" s="6">
        <v>0.0</v>
      </c>
      <c r="G1661" s="6">
        <v>34214.0</v>
      </c>
      <c r="H1661" s="6">
        <v>19.5219</v>
      </c>
      <c r="I1661" s="6">
        <v>0.0</v>
      </c>
      <c r="J1661" s="6">
        <v>19.5219</v>
      </c>
    </row>
    <row r="1662">
      <c r="A1662" s="5" t="s">
        <v>57</v>
      </c>
      <c r="B1662" s="5" t="s">
        <v>1867</v>
      </c>
      <c r="C1662" s="5" t="s">
        <v>68</v>
      </c>
      <c r="D1662" s="6">
        <v>11.0</v>
      </c>
      <c r="E1662" s="6">
        <v>474268.0</v>
      </c>
      <c r="F1662" s="6">
        <v>0.0</v>
      </c>
      <c r="G1662" s="6">
        <v>34214.0</v>
      </c>
      <c r="H1662" s="6">
        <v>13.8618</v>
      </c>
      <c r="I1662" s="6">
        <v>0.0</v>
      </c>
      <c r="J1662" s="6">
        <v>13.8618</v>
      </c>
    </row>
    <row r="1663">
      <c r="A1663" s="5" t="s">
        <v>57</v>
      </c>
      <c r="B1663" s="5" t="s">
        <v>1867</v>
      </c>
      <c r="C1663" s="5" t="s">
        <v>68</v>
      </c>
      <c r="D1663" s="6">
        <v>12.0</v>
      </c>
      <c r="E1663" s="6">
        <v>300496.0</v>
      </c>
      <c r="F1663" s="6">
        <v>0.0</v>
      </c>
      <c r="G1663" s="6">
        <v>34214.0</v>
      </c>
      <c r="H1663" s="6">
        <v>8.7828</v>
      </c>
      <c r="I1663" s="6">
        <v>0.0</v>
      </c>
      <c r="J1663" s="6">
        <v>8.7828</v>
      </c>
    </row>
    <row r="1664">
      <c r="A1664" s="5" t="s">
        <v>57</v>
      </c>
      <c r="B1664" s="5" t="s">
        <v>1867</v>
      </c>
      <c r="C1664" s="5" t="s">
        <v>68</v>
      </c>
      <c r="D1664" s="6">
        <v>13.0</v>
      </c>
      <c r="E1664" s="6">
        <v>211770.0</v>
      </c>
      <c r="F1664" s="6">
        <v>0.0</v>
      </c>
      <c r="G1664" s="6">
        <v>34214.0</v>
      </c>
      <c r="H1664" s="6">
        <v>6.1896</v>
      </c>
      <c r="I1664" s="6">
        <v>0.0</v>
      </c>
      <c r="J1664" s="6">
        <v>6.1896</v>
      </c>
    </row>
    <row r="1665">
      <c r="A1665" s="5" t="s">
        <v>57</v>
      </c>
      <c r="B1665" s="5" t="s">
        <v>1867</v>
      </c>
      <c r="C1665" s="5" t="s">
        <v>68</v>
      </c>
      <c r="D1665" s="6">
        <v>14.0</v>
      </c>
      <c r="E1665" s="6">
        <v>377942.0</v>
      </c>
      <c r="F1665" s="6">
        <v>0.0</v>
      </c>
      <c r="G1665" s="6">
        <v>34214.0</v>
      </c>
      <c r="H1665" s="6">
        <v>11.0464</v>
      </c>
      <c r="I1665" s="6">
        <v>0.0</v>
      </c>
      <c r="J1665" s="6">
        <v>11.0464</v>
      </c>
    </row>
    <row r="1666">
      <c r="A1666" s="5" t="s">
        <v>57</v>
      </c>
      <c r="B1666" s="5" t="s">
        <v>1867</v>
      </c>
      <c r="C1666" s="5" t="s">
        <v>68</v>
      </c>
      <c r="D1666" s="6">
        <v>15.0</v>
      </c>
      <c r="E1666" s="6">
        <v>248149.0</v>
      </c>
      <c r="F1666" s="6">
        <v>0.0</v>
      </c>
      <c r="G1666" s="6">
        <v>34214.0</v>
      </c>
      <c r="H1666" s="6">
        <v>7.2528</v>
      </c>
      <c r="I1666" s="6">
        <v>0.0</v>
      </c>
      <c r="J1666" s="6">
        <v>7.2528</v>
      </c>
    </row>
    <row r="1667">
      <c r="A1667" s="5" t="s">
        <v>57</v>
      </c>
      <c r="B1667" s="5" t="s">
        <v>1867</v>
      </c>
      <c r="C1667" s="5" t="s">
        <v>68</v>
      </c>
      <c r="D1667" s="6">
        <v>16.0</v>
      </c>
      <c r="E1667" s="6">
        <v>563041.0</v>
      </c>
      <c r="F1667" s="6">
        <v>0.0</v>
      </c>
      <c r="G1667" s="6">
        <v>34214.0</v>
      </c>
      <c r="H1667" s="6">
        <v>16.4565</v>
      </c>
      <c r="I1667" s="6">
        <v>0.0</v>
      </c>
      <c r="J1667" s="6">
        <v>16.4565</v>
      </c>
    </row>
    <row r="1668">
      <c r="A1668" s="5" t="s">
        <v>57</v>
      </c>
      <c r="B1668" s="5" t="s">
        <v>1867</v>
      </c>
      <c r="C1668" s="5" t="s">
        <v>68</v>
      </c>
      <c r="D1668" s="6">
        <v>17.0</v>
      </c>
      <c r="E1668" s="6">
        <v>649482.0</v>
      </c>
      <c r="F1668" s="6">
        <v>0.0</v>
      </c>
      <c r="G1668" s="6">
        <v>34214.0</v>
      </c>
      <c r="H1668" s="6">
        <v>18.9829</v>
      </c>
      <c r="I1668" s="6">
        <v>0.0</v>
      </c>
      <c r="J1668" s="6">
        <v>18.9829</v>
      </c>
    </row>
    <row r="1669">
      <c r="A1669" s="5" t="s">
        <v>57</v>
      </c>
      <c r="B1669" s="5" t="s">
        <v>1867</v>
      </c>
      <c r="C1669" s="5" t="s">
        <v>68</v>
      </c>
      <c r="D1669" s="6">
        <v>18.0</v>
      </c>
      <c r="E1669" s="6">
        <v>462155.0</v>
      </c>
      <c r="F1669" s="6">
        <v>0.0</v>
      </c>
      <c r="G1669" s="6">
        <v>34214.0</v>
      </c>
      <c r="H1669" s="6">
        <v>13.5078</v>
      </c>
      <c r="I1669" s="6">
        <v>0.0</v>
      </c>
      <c r="J1669" s="6">
        <v>13.5078</v>
      </c>
    </row>
    <row r="1670">
      <c r="A1670" s="5" t="s">
        <v>57</v>
      </c>
      <c r="B1670" s="5" t="s">
        <v>1867</v>
      </c>
      <c r="C1670" s="5" t="s">
        <v>68</v>
      </c>
      <c r="D1670" s="6">
        <v>19.0</v>
      </c>
      <c r="E1670" s="6">
        <v>294506.0</v>
      </c>
      <c r="F1670" s="6">
        <v>0.0</v>
      </c>
      <c r="G1670" s="6">
        <v>34214.0</v>
      </c>
      <c r="H1670" s="6">
        <v>8.6078</v>
      </c>
      <c r="I1670" s="6">
        <v>0.0</v>
      </c>
      <c r="J1670" s="6">
        <v>8.6078</v>
      </c>
    </row>
    <row r="1671">
      <c r="A1671" s="5" t="s">
        <v>57</v>
      </c>
      <c r="B1671" s="5" t="s">
        <v>1867</v>
      </c>
      <c r="C1671" s="5" t="s">
        <v>68</v>
      </c>
      <c r="D1671" s="6">
        <v>20.0</v>
      </c>
      <c r="E1671" s="6">
        <v>207178.0</v>
      </c>
      <c r="F1671" s="6">
        <v>0.0</v>
      </c>
      <c r="G1671" s="6">
        <v>34214.0</v>
      </c>
      <c r="H1671" s="6">
        <v>6.0554</v>
      </c>
      <c r="I1671" s="6">
        <v>0.0</v>
      </c>
      <c r="J1671" s="6">
        <v>6.0554</v>
      </c>
    </row>
    <row r="1672">
      <c r="A1672" s="5" t="s">
        <v>57</v>
      </c>
      <c r="B1672" s="5" t="s">
        <v>1867</v>
      </c>
      <c r="C1672" s="5" t="s">
        <v>68</v>
      </c>
      <c r="D1672" s="6">
        <v>21.0</v>
      </c>
      <c r="E1672" s="6">
        <v>363611.0</v>
      </c>
      <c r="F1672" s="6">
        <v>0.0</v>
      </c>
      <c r="G1672" s="6">
        <v>34214.0</v>
      </c>
      <c r="H1672" s="6">
        <v>10.6276</v>
      </c>
      <c r="I1672" s="6">
        <v>0.0</v>
      </c>
      <c r="J1672" s="6">
        <v>10.6276</v>
      </c>
    </row>
    <row r="1673">
      <c r="A1673" s="5" t="s">
        <v>57</v>
      </c>
      <c r="B1673" s="5" t="s">
        <v>1867</v>
      </c>
      <c r="C1673" s="5" t="s">
        <v>68</v>
      </c>
      <c r="D1673" s="6">
        <v>22.0</v>
      </c>
      <c r="E1673" s="6">
        <v>235724.0</v>
      </c>
      <c r="F1673" s="6">
        <v>0.0</v>
      </c>
      <c r="G1673" s="6">
        <v>34214.0</v>
      </c>
      <c r="H1673" s="6">
        <v>6.8897</v>
      </c>
      <c r="I1673" s="6">
        <v>0.0</v>
      </c>
      <c r="J1673" s="6">
        <v>6.8897</v>
      </c>
    </row>
    <row r="1674">
      <c r="A1674" s="5" t="s">
        <v>57</v>
      </c>
      <c r="B1674" s="5" t="s">
        <v>1867</v>
      </c>
      <c r="C1674" s="5" t="s">
        <v>68</v>
      </c>
      <c r="D1674" s="6">
        <v>23.0</v>
      </c>
      <c r="E1674" s="6">
        <v>274432.0</v>
      </c>
      <c r="F1674" s="6">
        <v>0.0</v>
      </c>
      <c r="G1674" s="6">
        <v>34214.0</v>
      </c>
      <c r="H1674" s="6">
        <v>8.021</v>
      </c>
      <c r="I1674" s="6">
        <v>0.0</v>
      </c>
      <c r="J1674" s="6">
        <v>8.021</v>
      </c>
    </row>
    <row r="1675">
      <c r="A1675" s="5" t="s">
        <v>57</v>
      </c>
      <c r="B1675" s="5" t="s">
        <v>1867</v>
      </c>
      <c r="C1675" s="5" t="s">
        <v>68</v>
      </c>
      <c r="D1675" s="6">
        <v>24.0</v>
      </c>
      <c r="E1675" s="6">
        <v>589315.0</v>
      </c>
      <c r="F1675" s="6">
        <v>0.0</v>
      </c>
      <c r="G1675" s="6">
        <v>34214.0</v>
      </c>
      <c r="H1675" s="6">
        <v>17.2244</v>
      </c>
      <c r="I1675" s="6">
        <v>0.0</v>
      </c>
      <c r="J1675" s="6">
        <v>17.2244</v>
      </c>
    </row>
    <row r="1676">
      <c r="A1676" s="5" t="s">
        <v>57</v>
      </c>
      <c r="B1676" s="5" t="s">
        <v>1867</v>
      </c>
      <c r="C1676" s="5" t="s">
        <v>68</v>
      </c>
      <c r="D1676" s="6">
        <v>25.0</v>
      </c>
      <c r="E1676" s="6">
        <v>445883.0</v>
      </c>
      <c r="F1676" s="6">
        <v>0.0</v>
      </c>
      <c r="G1676" s="6">
        <v>34214.0</v>
      </c>
      <c r="H1676" s="6">
        <v>13.0322</v>
      </c>
      <c r="I1676" s="6">
        <v>0.0</v>
      </c>
      <c r="J1676" s="6">
        <v>13.0322</v>
      </c>
    </row>
    <row r="1677">
      <c r="A1677" s="5" t="s">
        <v>57</v>
      </c>
      <c r="B1677" s="5" t="s">
        <v>1867</v>
      </c>
      <c r="C1677" s="5" t="s">
        <v>68</v>
      </c>
      <c r="D1677" s="6">
        <v>26.0</v>
      </c>
      <c r="E1677" s="6">
        <v>262246.0</v>
      </c>
      <c r="F1677" s="6">
        <v>0.0</v>
      </c>
      <c r="G1677" s="6">
        <v>34214.0</v>
      </c>
      <c r="H1677" s="6">
        <v>7.6649</v>
      </c>
      <c r="I1677" s="6">
        <v>0.0</v>
      </c>
      <c r="J1677" s="6">
        <v>7.6649</v>
      </c>
    </row>
    <row r="1678">
      <c r="A1678" s="5" t="s">
        <v>57</v>
      </c>
      <c r="B1678" s="5" t="s">
        <v>1867</v>
      </c>
      <c r="C1678" s="5" t="s">
        <v>68</v>
      </c>
      <c r="D1678" s="6">
        <v>27.0</v>
      </c>
      <c r="E1678" s="6">
        <v>189124.0</v>
      </c>
      <c r="F1678" s="6">
        <v>0.0</v>
      </c>
      <c r="G1678" s="6">
        <v>34214.0</v>
      </c>
      <c r="H1678" s="6">
        <v>5.5277</v>
      </c>
      <c r="I1678" s="6">
        <v>0.0</v>
      </c>
      <c r="J1678" s="6">
        <v>5.5277</v>
      </c>
    </row>
    <row r="1679">
      <c r="A1679" s="5" t="s">
        <v>57</v>
      </c>
      <c r="B1679" s="5" t="s">
        <v>1867</v>
      </c>
      <c r="C1679" s="5" t="s">
        <v>68</v>
      </c>
      <c r="D1679" s="6">
        <v>28.0</v>
      </c>
      <c r="E1679" s="6">
        <v>333814.0</v>
      </c>
      <c r="F1679" s="6">
        <v>0.0</v>
      </c>
      <c r="G1679" s="6">
        <v>34214.0</v>
      </c>
      <c r="H1679" s="6">
        <v>9.7566</v>
      </c>
      <c r="I1679" s="6">
        <v>0.0</v>
      </c>
      <c r="J1679" s="6">
        <v>9.7566</v>
      </c>
    </row>
    <row r="1680">
      <c r="A1680" s="5" t="s">
        <v>57</v>
      </c>
      <c r="B1680" s="5" t="s">
        <v>1867</v>
      </c>
      <c r="C1680" s="5" t="s">
        <v>68</v>
      </c>
      <c r="D1680" s="6">
        <v>29.0</v>
      </c>
      <c r="E1680" s="6">
        <v>242687.0</v>
      </c>
      <c r="F1680" s="6">
        <v>0.0</v>
      </c>
      <c r="G1680" s="6">
        <v>34214.0</v>
      </c>
      <c r="H1680" s="6">
        <v>7.0932</v>
      </c>
      <c r="I1680" s="6">
        <v>0.0</v>
      </c>
      <c r="J1680" s="6">
        <v>7.0932</v>
      </c>
    </row>
    <row r="1681">
      <c r="A1681" s="5" t="s">
        <v>57</v>
      </c>
      <c r="B1681" s="5" t="s">
        <v>1867</v>
      </c>
      <c r="C1681" s="5" t="s">
        <v>68</v>
      </c>
      <c r="D1681" s="6">
        <v>30.0</v>
      </c>
      <c r="E1681" s="6">
        <v>534796.0</v>
      </c>
      <c r="F1681" s="6">
        <v>0.0</v>
      </c>
      <c r="G1681" s="6">
        <v>34214.0</v>
      </c>
      <c r="H1681" s="6">
        <v>15.6309</v>
      </c>
      <c r="I1681" s="6">
        <v>0.0</v>
      </c>
      <c r="J1681" s="6">
        <v>15.6309</v>
      </c>
    </row>
    <row r="1682">
      <c r="A1682" s="5" t="s">
        <v>57</v>
      </c>
      <c r="B1682" s="5" t="s">
        <v>1867</v>
      </c>
      <c r="C1682" s="5" t="s">
        <v>68</v>
      </c>
      <c r="D1682" s="6">
        <v>31.0</v>
      </c>
      <c r="E1682" s="6">
        <v>656750.0</v>
      </c>
      <c r="F1682" s="6">
        <v>0.0</v>
      </c>
      <c r="G1682" s="6">
        <v>34214.0</v>
      </c>
      <c r="H1682" s="6">
        <v>19.1954</v>
      </c>
      <c r="I1682" s="6">
        <v>0.0</v>
      </c>
      <c r="J1682" s="6">
        <v>19.1954</v>
      </c>
    </row>
    <row r="1683">
      <c r="A1683" s="5" t="s">
        <v>57</v>
      </c>
      <c r="B1683" s="5" t="s">
        <v>1867</v>
      </c>
      <c r="C1683" s="5" t="s">
        <v>68</v>
      </c>
      <c r="D1683" s="6">
        <v>32.0</v>
      </c>
      <c r="E1683" s="6">
        <v>429203.0</v>
      </c>
      <c r="F1683" s="6">
        <v>0.0</v>
      </c>
      <c r="G1683" s="6">
        <v>34214.0</v>
      </c>
      <c r="H1683" s="6">
        <v>12.5447</v>
      </c>
      <c r="I1683" s="6">
        <v>0.0</v>
      </c>
      <c r="J1683" s="6">
        <v>12.5447</v>
      </c>
    </row>
    <row r="1684">
      <c r="A1684" s="5" t="s">
        <v>57</v>
      </c>
      <c r="B1684" s="5" t="s">
        <v>1867</v>
      </c>
      <c r="C1684" s="5" t="s">
        <v>68</v>
      </c>
      <c r="D1684" s="6">
        <v>33.0</v>
      </c>
      <c r="E1684" s="6">
        <v>277044.0</v>
      </c>
      <c r="F1684" s="6">
        <v>0.0</v>
      </c>
      <c r="G1684" s="6">
        <v>34214.0</v>
      </c>
      <c r="H1684" s="6">
        <v>8.0974</v>
      </c>
      <c r="I1684" s="6">
        <v>0.0</v>
      </c>
      <c r="J1684" s="6">
        <v>8.0974</v>
      </c>
    </row>
    <row r="1685">
      <c r="A1685" s="5" t="s">
        <v>57</v>
      </c>
      <c r="B1685" s="5" t="s">
        <v>1867</v>
      </c>
      <c r="C1685" s="5" t="s">
        <v>2035</v>
      </c>
      <c r="D1685" s="6">
        <v>1.0</v>
      </c>
      <c r="E1685" s="6">
        <v>45.0</v>
      </c>
      <c r="F1685" s="6">
        <v>0.0</v>
      </c>
      <c r="G1685" s="6">
        <v>3871.0</v>
      </c>
      <c r="H1685" s="6">
        <v>0.0116</v>
      </c>
      <c r="I1685" s="6">
        <v>0.0</v>
      </c>
      <c r="J1685" s="6">
        <v>0.0116</v>
      </c>
    </row>
    <row r="1686">
      <c r="A1686" s="5" t="s">
        <v>57</v>
      </c>
      <c r="B1686" s="5" t="s">
        <v>1867</v>
      </c>
      <c r="C1686" s="5" t="s">
        <v>2035</v>
      </c>
      <c r="D1686" s="6">
        <v>2.0</v>
      </c>
      <c r="E1686" s="6">
        <v>4975.0</v>
      </c>
      <c r="F1686" s="6">
        <v>0.0</v>
      </c>
      <c r="G1686" s="6">
        <v>3871.0</v>
      </c>
      <c r="H1686" s="6">
        <v>1.2852</v>
      </c>
      <c r="I1686" s="6">
        <v>0.0</v>
      </c>
      <c r="J1686" s="6">
        <v>1.2852</v>
      </c>
    </row>
    <row r="1687">
      <c r="A1687" s="5" t="s">
        <v>57</v>
      </c>
      <c r="B1687" s="5" t="s">
        <v>1867</v>
      </c>
      <c r="C1687" s="5" t="s">
        <v>2035</v>
      </c>
      <c r="D1687" s="6">
        <v>3.0</v>
      </c>
      <c r="E1687" s="6">
        <v>3460.0</v>
      </c>
      <c r="F1687" s="6">
        <v>0.0</v>
      </c>
      <c r="G1687" s="6">
        <v>3871.0</v>
      </c>
      <c r="H1687" s="6">
        <v>0.8938</v>
      </c>
      <c r="I1687" s="6">
        <v>0.0</v>
      </c>
      <c r="J1687" s="6">
        <v>0.8938</v>
      </c>
    </row>
    <row r="1688">
      <c r="A1688" s="5" t="s">
        <v>57</v>
      </c>
      <c r="B1688" s="5" t="s">
        <v>1867</v>
      </c>
      <c r="C1688" s="5" t="s">
        <v>2035</v>
      </c>
      <c r="D1688" s="6">
        <v>4.0</v>
      </c>
      <c r="E1688" s="6">
        <v>3270.0</v>
      </c>
      <c r="F1688" s="6">
        <v>0.0</v>
      </c>
      <c r="G1688" s="6">
        <v>3871.0</v>
      </c>
      <c r="H1688" s="6">
        <v>0.8447</v>
      </c>
      <c r="I1688" s="6">
        <v>0.0</v>
      </c>
      <c r="J1688" s="6">
        <v>0.8447</v>
      </c>
    </row>
    <row r="1689">
      <c r="A1689" s="5" t="s">
        <v>57</v>
      </c>
      <c r="B1689" s="5" t="s">
        <v>1867</v>
      </c>
      <c r="C1689" s="5" t="s">
        <v>2035</v>
      </c>
      <c r="D1689" s="6">
        <v>5.0</v>
      </c>
      <c r="E1689" s="6">
        <v>3135.0</v>
      </c>
      <c r="F1689" s="6">
        <v>0.0</v>
      </c>
      <c r="G1689" s="6">
        <v>3871.0</v>
      </c>
      <c r="H1689" s="6">
        <v>0.8099</v>
      </c>
      <c r="I1689" s="6">
        <v>0.0</v>
      </c>
      <c r="J1689" s="6">
        <v>0.8099</v>
      </c>
    </row>
    <row r="1690">
      <c r="A1690" s="5" t="s">
        <v>57</v>
      </c>
      <c r="B1690" s="5" t="s">
        <v>1867</v>
      </c>
      <c r="C1690" s="5" t="s">
        <v>2035</v>
      </c>
      <c r="D1690" s="6">
        <v>6.0</v>
      </c>
      <c r="E1690" s="6">
        <v>3615.0</v>
      </c>
      <c r="F1690" s="6">
        <v>0.0</v>
      </c>
      <c r="G1690" s="6">
        <v>3871.0</v>
      </c>
      <c r="H1690" s="6">
        <v>0.9339</v>
      </c>
      <c r="I1690" s="6">
        <v>0.0</v>
      </c>
      <c r="J1690" s="6">
        <v>0.9339</v>
      </c>
    </row>
    <row r="1691">
      <c r="A1691" s="5" t="s">
        <v>57</v>
      </c>
      <c r="B1691" s="5" t="s">
        <v>1867</v>
      </c>
      <c r="C1691" s="5" t="s">
        <v>2035</v>
      </c>
      <c r="D1691" s="6">
        <v>7.0</v>
      </c>
      <c r="E1691" s="6">
        <v>2925.0</v>
      </c>
      <c r="F1691" s="6">
        <v>0.0</v>
      </c>
      <c r="G1691" s="6">
        <v>3871.0</v>
      </c>
      <c r="H1691" s="6">
        <v>0.7556</v>
      </c>
      <c r="I1691" s="6">
        <v>0.0</v>
      </c>
      <c r="J1691" s="6">
        <v>0.7556</v>
      </c>
    </row>
    <row r="1692">
      <c r="A1692" s="5" t="s">
        <v>57</v>
      </c>
      <c r="B1692" s="5" t="s">
        <v>1867</v>
      </c>
      <c r="C1692" s="5" t="s">
        <v>2035</v>
      </c>
      <c r="D1692" s="6">
        <v>8.0</v>
      </c>
      <c r="E1692" s="6">
        <v>2710.0</v>
      </c>
      <c r="F1692" s="6">
        <v>0.0</v>
      </c>
      <c r="G1692" s="6">
        <v>3871.0</v>
      </c>
      <c r="H1692" s="6">
        <v>0.7001</v>
      </c>
      <c r="I1692" s="6">
        <v>0.0</v>
      </c>
      <c r="J1692" s="6">
        <v>0.7001</v>
      </c>
    </row>
    <row r="1693">
      <c r="A1693" s="5" t="s">
        <v>57</v>
      </c>
      <c r="B1693" s="5" t="s">
        <v>1867</v>
      </c>
      <c r="C1693" s="5" t="s">
        <v>2035</v>
      </c>
      <c r="D1693" s="6">
        <v>9.0</v>
      </c>
      <c r="E1693" s="6">
        <v>120.0</v>
      </c>
      <c r="F1693" s="6">
        <v>0.0</v>
      </c>
      <c r="G1693" s="6">
        <v>3871.0</v>
      </c>
      <c r="H1693" s="6">
        <v>0.031</v>
      </c>
      <c r="I1693" s="6">
        <v>0.0</v>
      </c>
      <c r="J1693" s="6">
        <v>0.031</v>
      </c>
    </row>
    <row r="1694">
      <c r="A1694" s="5" t="s">
        <v>57</v>
      </c>
      <c r="B1694" s="5" t="s">
        <v>1867</v>
      </c>
      <c r="C1694" s="5" t="s">
        <v>2035</v>
      </c>
      <c r="D1694" s="6">
        <v>10.0</v>
      </c>
      <c r="E1694" s="6">
        <v>15.0</v>
      </c>
      <c r="F1694" s="6">
        <v>0.0</v>
      </c>
      <c r="G1694" s="6">
        <v>3871.0</v>
      </c>
      <c r="H1694" s="6">
        <v>0.0039</v>
      </c>
      <c r="I1694" s="6">
        <v>0.0</v>
      </c>
      <c r="J1694" s="6">
        <v>0.0039</v>
      </c>
    </row>
    <row r="1695">
      <c r="A1695" s="5" t="s">
        <v>57</v>
      </c>
      <c r="B1695" s="5" t="s">
        <v>1867</v>
      </c>
      <c r="C1695" s="5" t="s">
        <v>2035</v>
      </c>
      <c r="D1695" s="6">
        <v>11.0</v>
      </c>
      <c r="E1695" s="6">
        <v>30.0</v>
      </c>
      <c r="F1695" s="6">
        <v>0.0</v>
      </c>
      <c r="G1695" s="6">
        <v>3871.0</v>
      </c>
      <c r="H1695" s="6">
        <v>0.0077</v>
      </c>
      <c r="I1695" s="6">
        <v>0.0</v>
      </c>
      <c r="J1695" s="6">
        <v>0.0077</v>
      </c>
    </row>
    <row r="1696">
      <c r="A1696" s="5" t="s">
        <v>57</v>
      </c>
      <c r="B1696" s="5" t="s">
        <v>1867</v>
      </c>
      <c r="C1696" s="5" t="s">
        <v>2035</v>
      </c>
      <c r="D1696" s="6">
        <v>12.0</v>
      </c>
      <c r="E1696" s="6">
        <v>45.0</v>
      </c>
      <c r="F1696" s="6">
        <v>0.0</v>
      </c>
      <c r="G1696" s="6">
        <v>3871.0</v>
      </c>
      <c r="H1696" s="6">
        <v>0.0116</v>
      </c>
      <c r="I1696" s="6">
        <v>0.0</v>
      </c>
      <c r="J1696" s="6">
        <v>0.0116</v>
      </c>
    </row>
    <row r="1697">
      <c r="A1697" s="5" t="s">
        <v>57</v>
      </c>
      <c r="B1697" s="5" t="s">
        <v>1867</v>
      </c>
      <c r="C1697" s="5" t="s">
        <v>2035</v>
      </c>
      <c r="D1697" s="6">
        <v>13.0</v>
      </c>
      <c r="E1697" s="6">
        <v>45.0</v>
      </c>
      <c r="F1697" s="6">
        <v>0.0</v>
      </c>
      <c r="G1697" s="6">
        <v>3871.0</v>
      </c>
      <c r="H1697" s="6">
        <v>0.0116</v>
      </c>
      <c r="I1697" s="6">
        <v>0.0</v>
      </c>
      <c r="J1697" s="6">
        <v>0.0116</v>
      </c>
    </row>
    <row r="1698">
      <c r="A1698" s="5" t="s">
        <v>57</v>
      </c>
      <c r="B1698" s="5" t="s">
        <v>1867</v>
      </c>
      <c r="C1698" s="5" t="s">
        <v>2035</v>
      </c>
      <c r="D1698" s="6">
        <v>14.0</v>
      </c>
      <c r="E1698" s="6">
        <v>15.0</v>
      </c>
      <c r="F1698" s="6">
        <v>0.0</v>
      </c>
      <c r="G1698" s="6">
        <v>3871.0</v>
      </c>
      <c r="H1698" s="6">
        <v>0.0039</v>
      </c>
      <c r="I1698" s="6">
        <v>0.0</v>
      </c>
      <c r="J1698" s="6">
        <v>0.0039</v>
      </c>
    </row>
    <row r="1699">
      <c r="A1699" s="5" t="s">
        <v>57</v>
      </c>
      <c r="B1699" s="5" t="s">
        <v>1867</v>
      </c>
      <c r="C1699" s="5" t="s">
        <v>2035</v>
      </c>
      <c r="D1699" s="6">
        <v>15.0</v>
      </c>
      <c r="E1699" s="6">
        <v>0.0</v>
      </c>
      <c r="F1699" s="6">
        <v>0.0</v>
      </c>
      <c r="G1699" s="6">
        <v>3871.0</v>
      </c>
      <c r="H1699" s="6">
        <v>0.0</v>
      </c>
      <c r="I1699" s="6">
        <v>0.0</v>
      </c>
      <c r="J1699" s="6">
        <v>0.0</v>
      </c>
    </row>
    <row r="1700">
      <c r="A1700" s="5" t="s">
        <v>57</v>
      </c>
      <c r="B1700" s="5" t="s">
        <v>1867</v>
      </c>
      <c r="C1700" s="5" t="s">
        <v>2035</v>
      </c>
      <c r="D1700" s="6">
        <v>16.0</v>
      </c>
      <c r="E1700" s="6">
        <v>3515.0</v>
      </c>
      <c r="F1700" s="6">
        <v>0.0</v>
      </c>
      <c r="G1700" s="6">
        <v>3871.0</v>
      </c>
      <c r="H1700" s="6">
        <v>0.908</v>
      </c>
      <c r="I1700" s="6">
        <v>0.0</v>
      </c>
      <c r="J1700" s="6">
        <v>0.908</v>
      </c>
    </row>
    <row r="1701">
      <c r="A1701" s="5" t="s">
        <v>57</v>
      </c>
      <c r="B1701" s="5" t="s">
        <v>1867</v>
      </c>
      <c r="C1701" s="5" t="s">
        <v>2035</v>
      </c>
      <c r="D1701" s="6">
        <v>17.0</v>
      </c>
      <c r="E1701" s="6">
        <v>3095.0</v>
      </c>
      <c r="F1701" s="6">
        <v>0.0</v>
      </c>
      <c r="G1701" s="6">
        <v>3871.0</v>
      </c>
      <c r="H1701" s="6">
        <v>0.7995</v>
      </c>
      <c r="I1701" s="6">
        <v>0.0</v>
      </c>
      <c r="J1701" s="6">
        <v>0.7995</v>
      </c>
    </row>
    <row r="1702">
      <c r="A1702" s="5" t="s">
        <v>57</v>
      </c>
      <c r="B1702" s="5" t="s">
        <v>1867</v>
      </c>
      <c r="C1702" s="5" t="s">
        <v>2035</v>
      </c>
      <c r="D1702" s="6">
        <v>18.0</v>
      </c>
      <c r="E1702" s="6">
        <v>2570.0</v>
      </c>
      <c r="F1702" s="6">
        <v>0.0</v>
      </c>
      <c r="G1702" s="6">
        <v>3871.0</v>
      </c>
      <c r="H1702" s="6">
        <v>0.6639</v>
      </c>
      <c r="I1702" s="6">
        <v>0.0</v>
      </c>
      <c r="J1702" s="6">
        <v>0.6639</v>
      </c>
    </row>
    <row r="1703">
      <c r="A1703" s="5" t="s">
        <v>57</v>
      </c>
      <c r="B1703" s="5" t="s">
        <v>1867</v>
      </c>
      <c r="C1703" s="5" t="s">
        <v>2035</v>
      </c>
      <c r="D1703" s="6">
        <v>19.0</v>
      </c>
      <c r="E1703" s="6">
        <v>2375.0</v>
      </c>
      <c r="F1703" s="6">
        <v>0.0</v>
      </c>
      <c r="G1703" s="6">
        <v>3871.0</v>
      </c>
      <c r="H1703" s="6">
        <v>0.6135</v>
      </c>
      <c r="I1703" s="6">
        <v>0.0</v>
      </c>
      <c r="J1703" s="6">
        <v>0.6135</v>
      </c>
    </row>
    <row r="1704">
      <c r="A1704" s="5" t="s">
        <v>57</v>
      </c>
      <c r="B1704" s="5" t="s">
        <v>1867</v>
      </c>
      <c r="C1704" s="5" t="s">
        <v>2035</v>
      </c>
      <c r="D1704" s="6">
        <v>20.0</v>
      </c>
      <c r="E1704" s="6">
        <v>2755.0</v>
      </c>
      <c r="F1704" s="6">
        <v>0.0</v>
      </c>
      <c r="G1704" s="6">
        <v>3871.0</v>
      </c>
      <c r="H1704" s="6">
        <v>0.7117</v>
      </c>
      <c r="I1704" s="6">
        <v>0.0</v>
      </c>
      <c r="J1704" s="6">
        <v>0.7117</v>
      </c>
    </row>
    <row r="1705">
      <c r="A1705" s="5" t="s">
        <v>57</v>
      </c>
      <c r="B1705" s="5" t="s">
        <v>1867</v>
      </c>
      <c r="C1705" s="5" t="s">
        <v>2035</v>
      </c>
      <c r="D1705" s="6">
        <v>21.0</v>
      </c>
      <c r="E1705" s="6">
        <v>3880.0</v>
      </c>
      <c r="F1705" s="6">
        <v>0.0</v>
      </c>
      <c r="G1705" s="6">
        <v>3871.0</v>
      </c>
      <c r="H1705" s="6">
        <v>1.0023</v>
      </c>
      <c r="I1705" s="6">
        <v>0.0</v>
      </c>
      <c r="J1705" s="6">
        <v>1.0023</v>
      </c>
    </row>
    <row r="1706">
      <c r="A1706" s="5" t="s">
        <v>57</v>
      </c>
      <c r="B1706" s="5" t="s">
        <v>1867</v>
      </c>
      <c r="C1706" s="5" t="s">
        <v>2035</v>
      </c>
      <c r="D1706" s="6">
        <v>22.0</v>
      </c>
      <c r="E1706" s="6">
        <v>3030.0</v>
      </c>
      <c r="F1706" s="6">
        <v>0.0</v>
      </c>
      <c r="G1706" s="6">
        <v>3871.0</v>
      </c>
      <c r="H1706" s="6">
        <v>0.7827</v>
      </c>
      <c r="I1706" s="6">
        <v>0.0</v>
      </c>
      <c r="J1706" s="6">
        <v>0.7827</v>
      </c>
    </row>
    <row r="1707">
      <c r="A1707" s="5" t="s">
        <v>57</v>
      </c>
      <c r="B1707" s="5" t="s">
        <v>1867</v>
      </c>
      <c r="C1707" s="5" t="s">
        <v>2035</v>
      </c>
      <c r="D1707" s="6">
        <v>23.0</v>
      </c>
      <c r="E1707" s="6">
        <v>150.0</v>
      </c>
      <c r="F1707" s="6">
        <v>0.0</v>
      </c>
      <c r="G1707" s="6">
        <v>3871.0</v>
      </c>
      <c r="H1707" s="6">
        <v>0.0387</v>
      </c>
      <c r="I1707" s="6">
        <v>0.0</v>
      </c>
      <c r="J1707" s="6">
        <v>0.0387</v>
      </c>
    </row>
    <row r="1708">
      <c r="A1708" s="5" t="s">
        <v>57</v>
      </c>
      <c r="B1708" s="5" t="s">
        <v>1867</v>
      </c>
      <c r="C1708" s="5" t="s">
        <v>2035</v>
      </c>
      <c r="D1708" s="6">
        <v>24.0</v>
      </c>
      <c r="E1708" s="6">
        <v>85.0</v>
      </c>
      <c r="F1708" s="6">
        <v>0.0</v>
      </c>
      <c r="G1708" s="6">
        <v>3871.0</v>
      </c>
      <c r="H1708" s="6">
        <v>0.022</v>
      </c>
      <c r="I1708" s="6">
        <v>0.0</v>
      </c>
      <c r="J1708" s="6">
        <v>0.022</v>
      </c>
    </row>
    <row r="1709">
      <c r="A1709" s="5" t="s">
        <v>57</v>
      </c>
      <c r="B1709" s="5" t="s">
        <v>1867</v>
      </c>
      <c r="C1709" s="5" t="s">
        <v>2035</v>
      </c>
      <c r="D1709" s="6">
        <v>25.0</v>
      </c>
      <c r="E1709" s="6">
        <v>45.0</v>
      </c>
      <c r="F1709" s="6">
        <v>0.0</v>
      </c>
      <c r="G1709" s="6">
        <v>3871.0</v>
      </c>
      <c r="H1709" s="6">
        <v>0.0116</v>
      </c>
      <c r="I1709" s="6">
        <v>0.0</v>
      </c>
      <c r="J1709" s="6">
        <v>0.0116</v>
      </c>
    </row>
    <row r="1710">
      <c r="A1710" s="5" t="s">
        <v>57</v>
      </c>
      <c r="B1710" s="5" t="s">
        <v>1867</v>
      </c>
      <c r="C1710" s="5" t="s">
        <v>2035</v>
      </c>
      <c r="D1710" s="6">
        <v>26.0</v>
      </c>
      <c r="E1710" s="6">
        <v>15.0</v>
      </c>
      <c r="F1710" s="6">
        <v>0.0</v>
      </c>
      <c r="G1710" s="6">
        <v>3871.0</v>
      </c>
      <c r="H1710" s="6">
        <v>0.0039</v>
      </c>
      <c r="I1710" s="6">
        <v>0.0</v>
      </c>
      <c r="J1710" s="6">
        <v>0.0039</v>
      </c>
    </row>
    <row r="1711">
      <c r="A1711" s="5" t="s">
        <v>57</v>
      </c>
      <c r="B1711" s="5" t="s">
        <v>1867</v>
      </c>
      <c r="C1711" s="5" t="s">
        <v>2035</v>
      </c>
      <c r="D1711" s="6">
        <v>27.0</v>
      </c>
      <c r="E1711" s="6">
        <v>25.0</v>
      </c>
      <c r="F1711" s="6">
        <v>0.0</v>
      </c>
      <c r="G1711" s="6">
        <v>3871.0</v>
      </c>
      <c r="H1711" s="6">
        <v>0.0065</v>
      </c>
      <c r="I1711" s="6">
        <v>0.0</v>
      </c>
      <c r="J1711" s="6">
        <v>0.0065</v>
      </c>
    </row>
    <row r="1712">
      <c r="A1712" s="5" t="s">
        <v>57</v>
      </c>
      <c r="B1712" s="5" t="s">
        <v>1867</v>
      </c>
      <c r="C1712" s="5" t="s">
        <v>2035</v>
      </c>
      <c r="D1712" s="6">
        <v>28.0</v>
      </c>
      <c r="E1712" s="6">
        <v>60.0</v>
      </c>
      <c r="F1712" s="6">
        <v>0.0</v>
      </c>
      <c r="G1712" s="6">
        <v>3871.0</v>
      </c>
      <c r="H1712" s="6">
        <v>0.0155</v>
      </c>
      <c r="I1712" s="6">
        <v>0.0</v>
      </c>
      <c r="J1712" s="6">
        <v>0.0155</v>
      </c>
    </row>
    <row r="1713">
      <c r="A1713" s="5" t="s">
        <v>57</v>
      </c>
      <c r="B1713" s="5" t="s">
        <v>1867</v>
      </c>
      <c r="C1713" s="5" t="s">
        <v>2035</v>
      </c>
      <c r="D1713" s="6">
        <v>29.0</v>
      </c>
      <c r="E1713" s="6">
        <v>90.0</v>
      </c>
      <c r="F1713" s="6">
        <v>0.0</v>
      </c>
      <c r="G1713" s="6">
        <v>3871.0</v>
      </c>
      <c r="H1713" s="6">
        <v>0.0232</v>
      </c>
      <c r="I1713" s="6">
        <v>0.0</v>
      </c>
      <c r="J1713" s="6">
        <v>0.0232</v>
      </c>
    </row>
    <row r="1714">
      <c r="A1714" s="5" t="s">
        <v>57</v>
      </c>
      <c r="B1714" s="5" t="s">
        <v>1867</v>
      </c>
      <c r="C1714" s="5" t="s">
        <v>2035</v>
      </c>
      <c r="D1714" s="6">
        <v>30.0</v>
      </c>
      <c r="E1714" s="6">
        <v>4040.0</v>
      </c>
      <c r="F1714" s="6">
        <v>0.0</v>
      </c>
      <c r="G1714" s="6">
        <v>3871.0</v>
      </c>
      <c r="H1714" s="6">
        <v>1.0437</v>
      </c>
      <c r="I1714" s="6">
        <v>0.0</v>
      </c>
      <c r="J1714" s="6">
        <v>1.0437</v>
      </c>
    </row>
    <row r="1715">
      <c r="A1715" s="5" t="s">
        <v>57</v>
      </c>
      <c r="B1715" s="5" t="s">
        <v>1867</v>
      </c>
      <c r="C1715" s="5" t="s">
        <v>2035</v>
      </c>
      <c r="D1715" s="6">
        <v>31.0</v>
      </c>
      <c r="E1715" s="6">
        <v>3365.0</v>
      </c>
      <c r="F1715" s="6">
        <v>0.0</v>
      </c>
      <c r="G1715" s="6">
        <v>3871.0</v>
      </c>
      <c r="H1715" s="6">
        <v>0.8693</v>
      </c>
      <c r="I1715" s="6">
        <v>0.0</v>
      </c>
      <c r="J1715" s="6">
        <v>0.8693</v>
      </c>
    </row>
    <row r="1716">
      <c r="A1716" s="5" t="s">
        <v>57</v>
      </c>
      <c r="B1716" s="5" t="s">
        <v>1867</v>
      </c>
      <c r="C1716" s="5" t="s">
        <v>2035</v>
      </c>
      <c r="D1716" s="6">
        <v>32.0</v>
      </c>
      <c r="E1716" s="6">
        <v>2645.0</v>
      </c>
      <c r="F1716" s="6">
        <v>0.0</v>
      </c>
      <c r="G1716" s="6">
        <v>3871.0</v>
      </c>
      <c r="H1716" s="6">
        <v>0.6833</v>
      </c>
      <c r="I1716" s="6">
        <v>0.0</v>
      </c>
      <c r="J1716" s="6">
        <v>0.6833</v>
      </c>
    </row>
    <row r="1717">
      <c r="A1717" s="5" t="s">
        <v>57</v>
      </c>
      <c r="B1717" s="5" t="s">
        <v>1867</v>
      </c>
      <c r="C1717" s="5" t="s">
        <v>2035</v>
      </c>
      <c r="D1717" s="6">
        <v>33.0</v>
      </c>
      <c r="E1717" s="6">
        <v>2735.0</v>
      </c>
      <c r="F1717" s="6">
        <v>0.0</v>
      </c>
      <c r="G1717" s="6">
        <v>3871.0</v>
      </c>
      <c r="H1717" s="6">
        <v>0.7065</v>
      </c>
      <c r="I1717" s="6">
        <v>0.0</v>
      </c>
      <c r="J1717" s="6">
        <v>0.7065</v>
      </c>
    </row>
    <row r="1718">
      <c r="A1718" s="5" t="s">
        <v>58</v>
      </c>
      <c r="B1718" s="5" t="s">
        <v>163</v>
      </c>
      <c r="C1718" s="5" t="s">
        <v>1882</v>
      </c>
      <c r="D1718" s="6">
        <v>1.0</v>
      </c>
      <c r="E1718" s="6">
        <v>1866964.0</v>
      </c>
      <c r="F1718" s="6">
        <v>2232750.0</v>
      </c>
      <c r="G1718" s="6">
        <v>47497.0</v>
      </c>
      <c r="H1718" s="6">
        <v>39.307</v>
      </c>
      <c r="I1718" s="6">
        <v>47.0082</v>
      </c>
      <c r="J1718" s="6">
        <v>-7.7012</v>
      </c>
    </row>
    <row r="1719">
      <c r="A1719" s="5" t="s">
        <v>58</v>
      </c>
      <c r="B1719" s="5" t="s">
        <v>163</v>
      </c>
      <c r="C1719" s="5" t="s">
        <v>1882</v>
      </c>
      <c r="D1719" s="6">
        <v>2.0</v>
      </c>
      <c r="E1719" s="6">
        <v>2680690.0</v>
      </c>
      <c r="F1719" s="6">
        <v>2353050.0</v>
      </c>
      <c r="G1719" s="6">
        <v>47497.0</v>
      </c>
      <c r="H1719" s="6">
        <v>56.4391</v>
      </c>
      <c r="I1719" s="6">
        <v>49.541</v>
      </c>
      <c r="J1719" s="6">
        <v>6.8981</v>
      </c>
    </row>
    <row r="1720">
      <c r="A1720" s="5" t="s">
        <v>58</v>
      </c>
      <c r="B1720" s="5" t="s">
        <v>163</v>
      </c>
      <c r="C1720" s="5" t="s">
        <v>1882</v>
      </c>
      <c r="D1720" s="6">
        <v>3.0</v>
      </c>
      <c r="E1720" s="6">
        <v>2463269.0</v>
      </c>
      <c r="F1720" s="6">
        <v>2412150.0</v>
      </c>
      <c r="G1720" s="6">
        <v>47497.0</v>
      </c>
      <c r="H1720" s="6">
        <v>51.8616</v>
      </c>
      <c r="I1720" s="6">
        <v>50.7853</v>
      </c>
      <c r="J1720" s="6">
        <v>1.0763</v>
      </c>
    </row>
    <row r="1721">
      <c r="A1721" s="5" t="s">
        <v>58</v>
      </c>
      <c r="B1721" s="5" t="s">
        <v>163</v>
      </c>
      <c r="C1721" s="5" t="s">
        <v>1882</v>
      </c>
      <c r="D1721" s="6">
        <v>4.0</v>
      </c>
      <c r="E1721" s="6">
        <v>2440905.0</v>
      </c>
      <c r="F1721" s="6">
        <v>2362450.0</v>
      </c>
      <c r="G1721" s="6">
        <v>47497.0</v>
      </c>
      <c r="H1721" s="6">
        <v>51.3907</v>
      </c>
      <c r="I1721" s="6">
        <v>49.7389</v>
      </c>
      <c r="J1721" s="6">
        <v>1.6518</v>
      </c>
    </row>
    <row r="1722">
      <c r="A1722" s="5" t="s">
        <v>58</v>
      </c>
      <c r="B1722" s="5" t="s">
        <v>163</v>
      </c>
      <c r="C1722" s="5" t="s">
        <v>1882</v>
      </c>
      <c r="D1722" s="6">
        <v>5.0</v>
      </c>
      <c r="E1722" s="6">
        <v>2082088.0</v>
      </c>
      <c r="F1722" s="6">
        <v>2429350.0</v>
      </c>
      <c r="G1722" s="6">
        <v>47497.0</v>
      </c>
      <c r="H1722" s="6">
        <v>43.8362</v>
      </c>
      <c r="I1722" s="6">
        <v>51.1474</v>
      </c>
      <c r="J1722" s="6">
        <v>-7.3112</v>
      </c>
    </row>
    <row r="1723">
      <c r="A1723" s="5" t="s">
        <v>58</v>
      </c>
      <c r="B1723" s="5" t="s">
        <v>163</v>
      </c>
      <c r="C1723" s="5" t="s">
        <v>1882</v>
      </c>
      <c r="D1723" s="6">
        <v>6.0</v>
      </c>
      <c r="E1723" s="6">
        <v>3769024.0</v>
      </c>
      <c r="F1723" s="6">
        <v>3234400.0</v>
      </c>
      <c r="G1723" s="6">
        <v>47497.0</v>
      </c>
      <c r="H1723" s="6">
        <v>79.3529</v>
      </c>
      <c r="I1723" s="6">
        <v>68.0969</v>
      </c>
      <c r="J1723" s="6">
        <v>11.256</v>
      </c>
    </row>
    <row r="1724">
      <c r="A1724" s="5" t="s">
        <v>58</v>
      </c>
      <c r="B1724" s="5" t="s">
        <v>163</v>
      </c>
      <c r="C1724" s="5" t="s">
        <v>1882</v>
      </c>
      <c r="D1724" s="6">
        <v>7.0</v>
      </c>
      <c r="E1724" s="6">
        <v>2949520.0</v>
      </c>
      <c r="F1724" s="6">
        <v>2776500.0</v>
      </c>
      <c r="G1724" s="6">
        <v>47497.0</v>
      </c>
      <c r="H1724" s="6">
        <v>62.0991</v>
      </c>
      <c r="I1724" s="6">
        <v>58.4563</v>
      </c>
      <c r="J1724" s="6">
        <v>3.6428</v>
      </c>
    </row>
    <row r="1725">
      <c r="A1725" s="5" t="s">
        <v>58</v>
      </c>
      <c r="B1725" s="5" t="s">
        <v>163</v>
      </c>
      <c r="C1725" s="5" t="s">
        <v>1882</v>
      </c>
      <c r="D1725" s="6">
        <v>8.0</v>
      </c>
      <c r="E1725" s="6">
        <v>1933272.0</v>
      </c>
      <c r="F1725" s="6">
        <v>2239100.0</v>
      </c>
      <c r="G1725" s="6">
        <v>47497.0</v>
      </c>
      <c r="H1725" s="6">
        <v>40.703</v>
      </c>
      <c r="I1725" s="6">
        <v>47.1419</v>
      </c>
      <c r="J1725" s="6">
        <v>-6.4389</v>
      </c>
    </row>
    <row r="1726">
      <c r="A1726" s="5" t="s">
        <v>58</v>
      </c>
      <c r="B1726" s="5" t="s">
        <v>163</v>
      </c>
      <c r="C1726" s="5" t="s">
        <v>1882</v>
      </c>
      <c r="D1726" s="6">
        <v>9.0</v>
      </c>
      <c r="E1726" s="6">
        <v>2283770.0</v>
      </c>
      <c r="F1726" s="6">
        <v>2265750.0</v>
      </c>
      <c r="G1726" s="6">
        <v>47497.0</v>
      </c>
      <c r="H1726" s="6">
        <v>48.0824</v>
      </c>
      <c r="I1726" s="6">
        <v>47.703</v>
      </c>
      <c r="J1726" s="6">
        <v>0.3794</v>
      </c>
    </row>
    <row r="1727">
      <c r="A1727" s="5" t="s">
        <v>58</v>
      </c>
      <c r="B1727" s="5" t="s">
        <v>163</v>
      </c>
      <c r="C1727" s="5" t="s">
        <v>1882</v>
      </c>
      <c r="D1727" s="6">
        <v>10.0</v>
      </c>
      <c r="E1727" s="6">
        <v>2416031.0</v>
      </c>
      <c r="F1727" s="6">
        <v>2392300.0</v>
      </c>
      <c r="G1727" s="6">
        <v>47497.0</v>
      </c>
      <c r="H1727" s="6">
        <v>50.867</v>
      </c>
      <c r="I1727" s="6">
        <v>50.3674</v>
      </c>
      <c r="J1727" s="6">
        <v>0.4996</v>
      </c>
    </row>
    <row r="1728">
      <c r="A1728" s="5" t="s">
        <v>58</v>
      </c>
      <c r="B1728" s="5" t="s">
        <v>163</v>
      </c>
      <c r="C1728" s="5" t="s">
        <v>1882</v>
      </c>
      <c r="D1728" s="6">
        <v>11.0</v>
      </c>
      <c r="E1728" s="6">
        <v>2335677.0</v>
      </c>
      <c r="F1728" s="6">
        <v>2343300.0</v>
      </c>
      <c r="G1728" s="6">
        <v>47497.0</v>
      </c>
      <c r="H1728" s="6">
        <v>49.1753</v>
      </c>
      <c r="I1728" s="6">
        <v>49.3357</v>
      </c>
      <c r="J1728" s="6">
        <v>-0.1605</v>
      </c>
    </row>
    <row r="1729">
      <c r="A1729" s="5" t="s">
        <v>58</v>
      </c>
      <c r="B1729" s="5" t="s">
        <v>163</v>
      </c>
      <c r="C1729" s="5" t="s">
        <v>1882</v>
      </c>
      <c r="D1729" s="6">
        <v>12.0</v>
      </c>
      <c r="E1729" s="6">
        <v>1952189.0</v>
      </c>
      <c r="F1729" s="6">
        <v>2321100.0</v>
      </c>
      <c r="G1729" s="6">
        <v>47497.0</v>
      </c>
      <c r="H1729" s="6">
        <v>41.1013</v>
      </c>
      <c r="I1729" s="6">
        <v>48.8683</v>
      </c>
      <c r="J1729" s="6">
        <v>-7.767</v>
      </c>
    </row>
    <row r="1730">
      <c r="A1730" s="5" t="s">
        <v>58</v>
      </c>
      <c r="B1730" s="5" t="s">
        <v>163</v>
      </c>
      <c r="C1730" s="5" t="s">
        <v>1882</v>
      </c>
      <c r="D1730" s="6">
        <v>13.0</v>
      </c>
      <c r="E1730" s="6">
        <v>3602382.0</v>
      </c>
      <c r="F1730" s="6">
        <v>3207250.0</v>
      </c>
      <c r="G1730" s="6">
        <v>47497.0</v>
      </c>
      <c r="H1730" s="6">
        <v>75.8444</v>
      </c>
      <c r="I1730" s="6">
        <v>67.5253</v>
      </c>
      <c r="J1730" s="6">
        <v>8.3191</v>
      </c>
    </row>
    <row r="1731">
      <c r="A1731" s="5" t="s">
        <v>58</v>
      </c>
      <c r="B1731" s="5" t="s">
        <v>163</v>
      </c>
      <c r="C1731" s="5" t="s">
        <v>1882</v>
      </c>
      <c r="D1731" s="6">
        <v>14.0</v>
      </c>
      <c r="E1731" s="6">
        <v>2791654.0</v>
      </c>
      <c r="F1731" s="6">
        <v>2747730.0</v>
      </c>
      <c r="G1731" s="6">
        <v>47497.0</v>
      </c>
      <c r="H1731" s="6">
        <v>58.7754</v>
      </c>
      <c r="I1731" s="6">
        <v>57.8506</v>
      </c>
      <c r="J1731" s="6">
        <v>0.9248</v>
      </c>
    </row>
    <row r="1732">
      <c r="A1732" s="5" t="s">
        <v>58</v>
      </c>
      <c r="B1732" s="5" t="s">
        <v>163</v>
      </c>
      <c r="C1732" s="5" t="s">
        <v>1882</v>
      </c>
      <c r="D1732" s="6">
        <v>15.0</v>
      </c>
      <c r="E1732" s="6">
        <v>1808842.0</v>
      </c>
      <c r="F1732" s="6">
        <v>2213150.0</v>
      </c>
      <c r="G1732" s="6">
        <v>47497.0</v>
      </c>
      <c r="H1732" s="6">
        <v>38.0833</v>
      </c>
      <c r="I1732" s="6">
        <v>46.5956</v>
      </c>
      <c r="J1732" s="6">
        <v>-8.5123</v>
      </c>
    </row>
    <row r="1733">
      <c r="A1733" s="5" t="s">
        <v>58</v>
      </c>
      <c r="B1733" s="5" t="s">
        <v>163</v>
      </c>
      <c r="C1733" s="5" t="s">
        <v>1882</v>
      </c>
      <c r="D1733" s="6">
        <v>16.0</v>
      </c>
      <c r="E1733" s="6">
        <v>2472518.0</v>
      </c>
      <c r="F1733" s="6">
        <v>2269300.0</v>
      </c>
      <c r="G1733" s="6">
        <v>47497.0</v>
      </c>
      <c r="H1733" s="6">
        <v>52.0563</v>
      </c>
      <c r="I1733" s="6">
        <v>47.7778</v>
      </c>
      <c r="J1733" s="6">
        <v>4.2785</v>
      </c>
    </row>
    <row r="1734">
      <c r="A1734" s="5" t="s">
        <v>58</v>
      </c>
      <c r="B1734" s="5" t="s">
        <v>163</v>
      </c>
      <c r="C1734" s="5" t="s">
        <v>1882</v>
      </c>
      <c r="D1734" s="6">
        <v>17.0</v>
      </c>
      <c r="E1734" s="6">
        <v>2428972.0</v>
      </c>
      <c r="F1734" s="6">
        <v>2485250.0</v>
      </c>
      <c r="G1734" s="6">
        <v>47497.0</v>
      </c>
      <c r="H1734" s="6">
        <v>51.1395</v>
      </c>
      <c r="I1734" s="6">
        <v>52.3244</v>
      </c>
      <c r="J1734" s="6">
        <v>-1.1849</v>
      </c>
    </row>
    <row r="1735">
      <c r="A1735" s="5" t="s">
        <v>58</v>
      </c>
      <c r="B1735" s="5" t="s">
        <v>163</v>
      </c>
      <c r="C1735" s="5" t="s">
        <v>1882</v>
      </c>
      <c r="D1735" s="6">
        <v>18.0</v>
      </c>
      <c r="E1735" s="6">
        <v>2339876.0</v>
      </c>
      <c r="F1735" s="6">
        <v>2361900.0</v>
      </c>
      <c r="G1735" s="6">
        <v>47497.0</v>
      </c>
      <c r="H1735" s="6">
        <v>49.2637</v>
      </c>
      <c r="I1735" s="6">
        <v>49.7274</v>
      </c>
      <c r="J1735" s="6">
        <v>-0.4637</v>
      </c>
    </row>
    <row r="1736">
      <c r="A1736" s="5" t="s">
        <v>58</v>
      </c>
      <c r="B1736" s="5" t="s">
        <v>163</v>
      </c>
      <c r="C1736" s="5" t="s">
        <v>1882</v>
      </c>
      <c r="D1736" s="6">
        <v>19.0</v>
      </c>
      <c r="E1736" s="6">
        <v>1985614.0</v>
      </c>
      <c r="F1736" s="6">
        <v>2350300.0</v>
      </c>
      <c r="G1736" s="6">
        <v>47497.0</v>
      </c>
      <c r="H1736" s="6">
        <v>41.805</v>
      </c>
      <c r="I1736" s="6">
        <v>49.4831</v>
      </c>
      <c r="J1736" s="6">
        <v>-7.6781</v>
      </c>
    </row>
    <row r="1737">
      <c r="A1737" s="5" t="s">
        <v>58</v>
      </c>
      <c r="B1737" s="5" t="s">
        <v>163</v>
      </c>
      <c r="C1737" s="5" t="s">
        <v>1882</v>
      </c>
      <c r="D1737" s="6">
        <v>20.0</v>
      </c>
      <c r="E1737" s="6">
        <v>3767107.0</v>
      </c>
      <c r="F1737" s="6">
        <v>3242450.0</v>
      </c>
      <c r="G1737" s="6">
        <v>47497.0</v>
      </c>
      <c r="H1737" s="6">
        <v>79.3125</v>
      </c>
      <c r="I1737" s="6">
        <v>68.2664</v>
      </c>
      <c r="J1737" s="6">
        <v>11.0461</v>
      </c>
    </row>
    <row r="1738">
      <c r="A1738" s="5" t="s">
        <v>58</v>
      </c>
      <c r="B1738" s="5" t="s">
        <v>163</v>
      </c>
      <c r="C1738" s="5" t="s">
        <v>1882</v>
      </c>
      <c r="D1738" s="6">
        <v>21.0</v>
      </c>
      <c r="E1738" s="6">
        <v>4113203.0</v>
      </c>
      <c r="F1738" s="6">
        <v>3184950.0</v>
      </c>
      <c r="G1738" s="6">
        <v>47497.0</v>
      </c>
      <c r="H1738" s="6">
        <v>86.5992</v>
      </c>
      <c r="I1738" s="6">
        <v>67.0558</v>
      </c>
      <c r="J1738" s="6">
        <v>19.5434</v>
      </c>
    </row>
    <row r="1739">
      <c r="A1739" s="5" t="s">
        <v>58</v>
      </c>
      <c r="B1739" s="5" t="s">
        <v>163</v>
      </c>
      <c r="C1739" s="5" t="s">
        <v>1882</v>
      </c>
      <c r="D1739" s="6">
        <v>22.0</v>
      </c>
      <c r="E1739" s="6">
        <v>2314943.0</v>
      </c>
      <c r="F1739" s="6">
        <v>2534800.0</v>
      </c>
      <c r="G1739" s="6">
        <v>47497.0</v>
      </c>
      <c r="H1739" s="6">
        <v>48.7387</v>
      </c>
      <c r="I1739" s="6">
        <v>53.3676</v>
      </c>
      <c r="J1739" s="6">
        <v>-4.6289</v>
      </c>
    </row>
    <row r="1740">
      <c r="A1740" s="5" t="s">
        <v>58</v>
      </c>
      <c r="B1740" s="5" t="s">
        <v>163</v>
      </c>
      <c r="C1740" s="5" t="s">
        <v>1882</v>
      </c>
      <c r="D1740" s="6">
        <v>23.0</v>
      </c>
      <c r="E1740" s="6">
        <v>2451188.0</v>
      </c>
      <c r="F1740" s="6">
        <v>2448400.0</v>
      </c>
      <c r="G1740" s="6">
        <v>47497.0</v>
      </c>
      <c r="H1740" s="6">
        <v>51.6072</v>
      </c>
      <c r="I1740" s="6">
        <v>51.5485</v>
      </c>
      <c r="J1740" s="6">
        <v>0.0587</v>
      </c>
    </row>
    <row r="1741">
      <c r="A1741" s="5" t="s">
        <v>58</v>
      </c>
      <c r="B1741" s="5" t="s">
        <v>163</v>
      </c>
      <c r="C1741" s="5" t="s">
        <v>1882</v>
      </c>
      <c r="D1741" s="6">
        <v>24.0</v>
      </c>
      <c r="E1741" s="6">
        <v>2571024.0</v>
      </c>
      <c r="F1741" s="6">
        <v>2532550.0</v>
      </c>
      <c r="G1741" s="6">
        <v>47497.0</v>
      </c>
      <c r="H1741" s="6">
        <v>54.1302</v>
      </c>
      <c r="I1741" s="6">
        <v>53.3202</v>
      </c>
      <c r="J1741" s="6">
        <v>0.81</v>
      </c>
    </row>
    <row r="1742">
      <c r="A1742" s="5" t="s">
        <v>58</v>
      </c>
      <c r="B1742" s="5" t="s">
        <v>163</v>
      </c>
      <c r="C1742" s="5" t="s">
        <v>1882</v>
      </c>
      <c r="D1742" s="6">
        <v>25.0</v>
      </c>
      <c r="E1742" s="6">
        <v>2466074.0</v>
      </c>
      <c r="F1742" s="6">
        <v>2475050.0</v>
      </c>
      <c r="G1742" s="6">
        <v>47497.0</v>
      </c>
      <c r="H1742" s="6">
        <v>51.9206</v>
      </c>
      <c r="I1742" s="6">
        <v>52.1096</v>
      </c>
      <c r="J1742" s="6">
        <v>-0.189</v>
      </c>
    </row>
    <row r="1743">
      <c r="A1743" s="5" t="s">
        <v>58</v>
      </c>
      <c r="B1743" s="5" t="s">
        <v>163</v>
      </c>
      <c r="C1743" s="5" t="s">
        <v>1882</v>
      </c>
      <c r="D1743" s="6">
        <v>26.0</v>
      </c>
      <c r="E1743" s="6">
        <v>2059710.0</v>
      </c>
      <c r="F1743" s="6">
        <v>2417100.0</v>
      </c>
      <c r="G1743" s="6">
        <v>47497.0</v>
      </c>
      <c r="H1743" s="6">
        <v>43.3651</v>
      </c>
      <c r="I1743" s="6">
        <v>50.8895</v>
      </c>
      <c r="J1743" s="6">
        <v>-7.5245</v>
      </c>
    </row>
    <row r="1744">
      <c r="A1744" s="5" t="s">
        <v>58</v>
      </c>
      <c r="B1744" s="5" t="s">
        <v>163</v>
      </c>
      <c r="C1744" s="5" t="s">
        <v>1882</v>
      </c>
      <c r="D1744" s="6">
        <v>27.0</v>
      </c>
      <c r="E1744" s="6">
        <v>3721429.0</v>
      </c>
      <c r="F1744" s="6">
        <v>3307550.0</v>
      </c>
      <c r="G1744" s="6">
        <v>47497.0</v>
      </c>
      <c r="H1744" s="6">
        <v>78.3508</v>
      </c>
      <c r="I1744" s="6">
        <v>69.637</v>
      </c>
      <c r="J1744" s="6">
        <v>8.7138</v>
      </c>
    </row>
    <row r="1745">
      <c r="A1745" s="5" t="s">
        <v>58</v>
      </c>
      <c r="B1745" s="5" t="s">
        <v>163</v>
      </c>
      <c r="C1745" s="5" t="s">
        <v>1882</v>
      </c>
      <c r="D1745" s="6">
        <v>28.0</v>
      </c>
      <c r="E1745" s="6">
        <v>2671625.0</v>
      </c>
      <c r="F1745" s="6">
        <v>2682800.0</v>
      </c>
      <c r="G1745" s="6">
        <v>47497.0</v>
      </c>
      <c r="H1745" s="6">
        <v>56.2483</v>
      </c>
      <c r="I1745" s="6">
        <v>56.4836</v>
      </c>
      <c r="J1745" s="6">
        <v>-0.2353</v>
      </c>
    </row>
    <row r="1746">
      <c r="A1746" s="5" t="s">
        <v>58</v>
      </c>
      <c r="B1746" s="5" t="s">
        <v>163</v>
      </c>
      <c r="C1746" s="5" t="s">
        <v>1882</v>
      </c>
      <c r="D1746" s="6">
        <v>29.0</v>
      </c>
      <c r="E1746" s="6">
        <v>1799495.0</v>
      </c>
      <c r="F1746" s="6">
        <v>2151450.0</v>
      </c>
      <c r="G1746" s="6">
        <v>47497.0</v>
      </c>
      <c r="H1746" s="6">
        <v>37.8865</v>
      </c>
      <c r="I1746" s="6">
        <v>45.2965</v>
      </c>
      <c r="J1746" s="6">
        <v>-7.41</v>
      </c>
    </row>
    <row r="1747">
      <c r="A1747" s="5" t="s">
        <v>58</v>
      </c>
      <c r="B1747" s="5" t="s">
        <v>163</v>
      </c>
      <c r="C1747" s="5" t="s">
        <v>1882</v>
      </c>
      <c r="D1747" s="6">
        <v>30.0</v>
      </c>
      <c r="E1747" s="6">
        <v>2585052.0</v>
      </c>
      <c r="F1747" s="6">
        <v>2301100.0</v>
      </c>
      <c r="G1747" s="6">
        <v>47497.0</v>
      </c>
      <c r="H1747" s="6">
        <v>54.4256</v>
      </c>
      <c r="I1747" s="6">
        <v>48.4473</v>
      </c>
      <c r="J1747" s="6">
        <v>5.9783</v>
      </c>
    </row>
    <row r="1748">
      <c r="A1748" s="5" t="s">
        <v>58</v>
      </c>
      <c r="B1748" s="5" t="s">
        <v>163</v>
      </c>
      <c r="C1748" s="5" t="s">
        <v>1882</v>
      </c>
      <c r="D1748" s="6">
        <v>31.0</v>
      </c>
      <c r="E1748" s="6">
        <v>2438580.0</v>
      </c>
      <c r="F1748" s="6">
        <v>2351650.0</v>
      </c>
      <c r="G1748" s="6">
        <v>47497.0</v>
      </c>
      <c r="H1748" s="6">
        <v>51.3418</v>
      </c>
      <c r="I1748" s="6">
        <v>49.5115</v>
      </c>
      <c r="J1748" s="6">
        <v>1.8302</v>
      </c>
    </row>
    <row r="1749">
      <c r="A1749" s="5" t="s">
        <v>58</v>
      </c>
      <c r="B1749" s="5" t="s">
        <v>163</v>
      </c>
      <c r="C1749" s="5" t="s">
        <v>1882</v>
      </c>
      <c r="D1749" s="6">
        <v>32.0</v>
      </c>
      <c r="E1749" s="6">
        <v>2357437.0</v>
      </c>
      <c r="F1749" s="6">
        <v>2286200.0</v>
      </c>
      <c r="G1749" s="6">
        <v>47497.0</v>
      </c>
      <c r="H1749" s="6">
        <v>49.6334</v>
      </c>
      <c r="I1749" s="6">
        <v>48.1336</v>
      </c>
      <c r="J1749" s="6">
        <v>1.4998</v>
      </c>
    </row>
    <row r="1750">
      <c r="A1750" s="5" t="s">
        <v>58</v>
      </c>
      <c r="B1750" s="5" t="s">
        <v>163</v>
      </c>
      <c r="C1750" s="5" t="s">
        <v>1882</v>
      </c>
      <c r="D1750" s="6">
        <v>33.0</v>
      </c>
      <c r="E1750" s="6">
        <v>1981937.0</v>
      </c>
      <c r="F1750" s="6">
        <v>2288100.0</v>
      </c>
      <c r="G1750" s="6">
        <v>47497.0</v>
      </c>
      <c r="H1750" s="6">
        <v>41.7276</v>
      </c>
      <c r="I1750" s="6">
        <v>48.1736</v>
      </c>
      <c r="J1750" s="6">
        <v>-6.4459</v>
      </c>
    </row>
    <row r="1751">
      <c r="A1751" s="5" t="s">
        <v>58</v>
      </c>
      <c r="B1751" s="5" t="s">
        <v>163</v>
      </c>
      <c r="C1751" s="5" t="s">
        <v>72</v>
      </c>
      <c r="D1751" s="6">
        <v>1.0</v>
      </c>
      <c r="E1751" s="6">
        <v>18699.0</v>
      </c>
      <c r="F1751" s="6">
        <v>22306.0</v>
      </c>
      <c r="G1751" s="6">
        <v>42919.0</v>
      </c>
      <c r="H1751" s="6">
        <v>0.4357</v>
      </c>
      <c r="I1751" s="6">
        <v>0.5197</v>
      </c>
      <c r="J1751" s="6">
        <v>-0.084</v>
      </c>
    </row>
    <row r="1752">
      <c r="A1752" s="5" t="s">
        <v>58</v>
      </c>
      <c r="B1752" s="5" t="s">
        <v>163</v>
      </c>
      <c r="C1752" s="5" t="s">
        <v>72</v>
      </c>
      <c r="D1752" s="6">
        <v>2.0</v>
      </c>
      <c r="E1752" s="6">
        <v>21292.0</v>
      </c>
      <c r="F1752" s="6">
        <v>22046.0</v>
      </c>
      <c r="G1752" s="6">
        <v>42919.0</v>
      </c>
      <c r="H1752" s="6">
        <v>0.4961</v>
      </c>
      <c r="I1752" s="6">
        <v>0.5137</v>
      </c>
      <c r="J1752" s="6">
        <v>-0.0176</v>
      </c>
    </row>
    <row r="1753">
      <c r="A1753" s="5" t="s">
        <v>58</v>
      </c>
      <c r="B1753" s="5" t="s">
        <v>163</v>
      </c>
      <c r="C1753" s="5" t="s">
        <v>72</v>
      </c>
      <c r="D1753" s="6">
        <v>3.0</v>
      </c>
      <c r="E1753" s="6">
        <v>24906.0</v>
      </c>
      <c r="F1753" s="6">
        <v>24165.0</v>
      </c>
      <c r="G1753" s="6">
        <v>42919.0</v>
      </c>
      <c r="H1753" s="6">
        <v>0.5803</v>
      </c>
      <c r="I1753" s="6">
        <v>0.563</v>
      </c>
      <c r="J1753" s="6">
        <v>0.0173</v>
      </c>
    </row>
    <row r="1754">
      <c r="A1754" s="5" t="s">
        <v>58</v>
      </c>
      <c r="B1754" s="5" t="s">
        <v>163</v>
      </c>
      <c r="C1754" s="5" t="s">
        <v>72</v>
      </c>
      <c r="D1754" s="6">
        <v>4.0</v>
      </c>
      <c r="E1754" s="6">
        <v>23029.0</v>
      </c>
      <c r="F1754" s="6">
        <v>23650.0</v>
      </c>
      <c r="G1754" s="6">
        <v>42919.0</v>
      </c>
      <c r="H1754" s="6">
        <v>0.5366</v>
      </c>
      <c r="I1754" s="6">
        <v>0.551</v>
      </c>
      <c r="J1754" s="6">
        <v>-0.0145</v>
      </c>
    </row>
    <row r="1755">
      <c r="A1755" s="5" t="s">
        <v>58</v>
      </c>
      <c r="B1755" s="5" t="s">
        <v>163</v>
      </c>
      <c r="C1755" s="5" t="s">
        <v>72</v>
      </c>
      <c r="D1755" s="6">
        <v>5.0</v>
      </c>
      <c r="E1755" s="6">
        <v>22584.0</v>
      </c>
      <c r="F1755" s="6">
        <v>24557.0</v>
      </c>
      <c r="G1755" s="6">
        <v>42919.0</v>
      </c>
      <c r="H1755" s="6">
        <v>0.5262</v>
      </c>
      <c r="I1755" s="6">
        <v>0.5722</v>
      </c>
      <c r="J1755" s="6">
        <v>-0.046</v>
      </c>
    </row>
    <row r="1756">
      <c r="A1756" s="5" t="s">
        <v>58</v>
      </c>
      <c r="B1756" s="5" t="s">
        <v>163</v>
      </c>
      <c r="C1756" s="5" t="s">
        <v>72</v>
      </c>
      <c r="D1756" s="6">
        <v>6.0</v>
      </c>
      <c r="E1756" s="6">
        <v>33246.0</v>
      </c>
      <c r="F1756" s="6">
        <v>30378.0</v>
      </c>
      <c r="G1756" s="6">
        <v>42919.0</v>
      </c>
      <c r="H1756" s="6">
        <v>0.7746</v>
      </c>
      <c r="I1756" s="6">
        <v>0.7078</v>
      </c>
      <c r="J1756" s="6">
        <v>0.0668</v>
      </c>
    </row>
    <row r="1757">
      <c r="A1757" s="5" t="s">
        <v>58</v>
      </c>
      <c r="B1757" s="5" t="s">
        <v>163</v>
      </c>
      <c r="C1757" s="5" t="s">
        <v>72</v>
      </c>
      <c r="D1757" s="6">
        <v>7.0</v>
      </c>
      <c r="E1757" s="6">
        <v>24938.0</v>
      </c>
      <c r="F1757" s="6">
        <v>26519.0</v>
      </c>
      <c r="G1757" s="6">
        <v>42919.0</v>
      </c>
      <c r="H1757" s="6">
        <v>0.581</v>
      </c>
      <c r="I1757" s="6">
        <v>0.6179</v>
      </c>
      <c r="J1757" s="6">
        <v>-0.0368</v>
      </c>
    </row>
    <row r="1758">
      <c r="A1758" s="5" t="s">
        <v>58</v>
      </c>
      <c r="B1758" s="5" t="s">
        <v>163</v>
      </c>
      <c r="C1758" s="5" t="s">
        <v>72</v>
      </c>
      <c r="D1758" s="6">
        <v>8.0</v>
      </c>
      <c r="E1758" s="6">
        <v>20097.0</v>
      </c>
      <c r="F1758" s="6">
        <v>22747.0</v>
      </c>
      <c r="G1758" s="6">
        <v>42919.0</v>
      </c>
      <c r="H1758" s="6">
        <v>0.4683</v>
      </c>
      <c r="I1758" s="6">
        <v>0.53</v>
      </c>
      <c r="J1758" s="6">
        <v>-0.0617</v>
      </c>
    </row>
    <row r="1759">
      <c r="A1759" s="5" t="s">
        <v>58</v>
      </c>
      <c r="B1759" s="5" t="s">
        <v>163</v>
      </c>
      <c r="C1759" s="5" t="s">
        <v>72</v>
      </c>
      <c r="D1759" s="6">
        <v>9.0</v>
      </c>
      <c r="E1759" s="6">
        <v>19978.0</v>
      </c>
      <c r="F1759" s="6">
        <v>22075.0</v>
      </c>
      <c r="G1759" s="6">
        <v>42919.0</v>
      </c>
      <c r="H1759" s="6">
        <v>0.4655</v>
      </c>
      <c r="I1759" s="6">
        <v>0.5143</v>
      </c>
      <c r="J1759" s="6">
        <v>-0.0489</v>
      </c>
    </row>
    <row r="1760">
      <c r="A1760" s="5" t="s">
        <v>58</v>
      </c>
      <c r="B1760" s="5" t="s">
        <v>163</v>
      </c>
      <c r="C1760" s="5" t="s">
        <v>72</v>
      </c>
      <c r="D1760" s="6">
        <v>10.0</v>
      </c>
      <c r="E1760" s="6">
        <v>24924.0</v>
      </c>
      <c r="F1760" s="6">
        <v>24617.0</v>
      </c>
      <c r="G1760" s="6">
        <v>42919.0</v>
      </c>
      <c r="H1760" s="6">
        <v>0.5807</v>
      </c>
      <c r="I1760" s="6">
        <v>0.5736</v>
      </c>
      <c r="J1760" s="6">
        <v>0.0072</v>
      </c>
    </row>
    <row r="1761">
      <c r="A1761" s="5" t="s">
        <v>58</v>
      </c>
      <c r="B1761" s="5" t="s">
        <v>163</v>
      </c>
      <c r="C1761" s="5" t="s">
        <v>72</v>
      </c>
      <c r="D1761" s="6">
        <v>11.0</v>
      </c>
      <c r="E1761" s="6">
        <v>22096.0</v>
      </c>
      <c r="F1761" s="6">
        <v>23543.0</v>
      </c>
      <c r="G1761" s="6">
        <v>42919.0</v>
      </c>
      <c r="H1761" s="6">
        <v>0.5148</v>
      </c>
      <c r="I1761" s="6">
        <v>0.5485</v>
      </c>
      <c r="J1761" s="6">
        <v>-0.0337</v>
      </c>
    </row>
    <row r="1762">
      <c r="A1762" s="5" t="s">
        <v>58</v>
      </c>
      <c r="B1762" s="5" t="s">
        <v>163</v>
      </c>
      <c r="C1762" s="5" t="s">
        <v>72</v>
      </c>
      <c r="D1762" s="6">
        <v>12.0</v>
      </c>
      <c r="E1762" s="6">
        <v>21413.0</v>
      </c>
      <c r="F1762" s="6">
        <v>24324.0</v>
      </c>
      <c r="G1762" s="6">
        <v>42919.0</v>
      </c>
      <c r="H1762" s="6">
        <v>0.4989</v>
      </c>
      <c r="I1762" s="6">
        <v>0.5667</v>
      </c>
      <c r="J1762" s="6">
        <v>-0.0678</v>
      </c>
    </row>
    <row r="1763">
      <c r="A1763" s="5" t="s">
        <v>58</v>
      </c>
      <c r="B1763" s="5" t="s">
        <v>163</v>
      </c>
      <c r="C1763" s="5" t="s">
        <v>72</v>
      </c>
      <c r="D1763" s="6">
        <v>13.0</v>
      </c>
      <c r="E1763" s="6">
        <v>31938.0</v>
      </c>
      <c r="F1763" s="6">
        <v>30369.0</v>
      </c>
      <c r="G1763" s="6">
        <v>42919.0</v>
      </c>
      <c r="H1763" s="6">
        <v>0.7441</v>
      </c>
      <c r="I1763" s="6">
        <v>0.7076</v>
      </c>
      <c r="J1763" s="6">
        <v>0.0366</v>
      </c>
    </row>
    <row r="1764">
      <c r="A1764" s="5" t="s">
        <v>58</v>
      </c>
      <c r="B1764" s="5" t="s">
        <v>163</v>
      </c>
      <c r="C1764" s="5" t="s">
        <v>72</v>
      </c>
      <c r="D1764" s="6">
        <v>14.0</v>
      </c>
      <c r="E1764" s="6">
        <v>23496.0</v>
      </c>
      <c r="F1764" s="6">
        <v>25603.0</v>
      </c>
      <c r="G1764" s="6">
        <v>42919.0</v>
      </c>
      <c r="H1764" s="6">
        <v>0.5474</v>
      </c>
      <c r="I1764" s="6">
        <v>0.5965</v>
      </c>
      <c r="J1764" s="6">
        <v>-0.0491</v>
      </c>
    </row>
    <row r="1765">
      <c r="A1765" s="5" t="s">
        <v>58</v>
      </c>
      <c r="B1765" s="5" t="s">
        <v>163</v>
      </c>
      <c r="C1765" s="5" t="s">
        <v>72</v>
      </c>
      <c r="D1765" s="6">
        <v>15.0</v>
      </c>
      <c r="E1765" s="6">
        <v>18348.0</v>
      </c>
      <c r="F1765" s="6">
        <v>22369.0</v>
      </c>
      <c r="G1765" s="6">
        <v>42919.0</v>
      </c>
      <c r="H1765" s="6">
        <v>0.4275</v>
      </c>
      <c r="I1765" s="6">
        <v>0.5212</v>
      </c>
      <c r="J1765" s="6">
        <v>-0.0937</v>
      </c>
    </row>
    <row r="1766">
      <c r="A1766" s="5" t="s">
        <v>58</v>
      </c>
      <c r="B1766" s="5" t="s">
        <v>163</v>
      </c>
      <c r="C1766" s="5" t="s">
        <v>72</v>
      </c>
      <c r="D1766" s="6">
        <v>16.0</v>
      </c>
      <c r="E1766" s="6">
        <v>21048.0</v>
      </c>
      <c r="F1766" s="6">
        <v>21679.0</v>
      </c>
      <c r="G1766" s="6">
        <v>42919.0</v>
      </c>
      <c r="H1766" s="6">
        <v>0.4904</v>
      </c>
      <c r="I1766" s="6">
        <v>0.5051</v>
      </c>
      <c r="J1766" s="6">
        <v>-0.0147</v>
      </c>
    </row>
    <row r="1767">
      <c r="A1767" s="5" t="s">
        <v>58</v>
      </c>
      <c r="B1767" s="5" t="s">
        <v>163</v>
      </c>
      <c r="C1767" s="5" t="s">
        <v>72</v>
      </c>
      <c r="D1767" s="6">
        <v>17.0</v>
      </c>
      <c r="E1767" s="6">
        <v>24736.0</v>
      </c>
      <c r="F1767" s="6">
        <v>24012.0</v>
      </c>
      <c r="G1767" s="6">
        <v>42919.0</v>
      </c>
      <c r="H1767" s="6">
        <v>0.5763</v>
      </c>
      <c r="I1767" s="6">
        <v>0.5595</v>
      </c>
      <c r="J1767" s="6">
        <v>0.0169</v>
      </c>
    </row>
    <row r="1768">
      <c r="A1768" s="5" t="s">
        <v>58</v>
      </c>
      <c r="B1768" s="5" t="s">
        <v>163</v>
      </c>
      <c r="C1768" s="5" t="s">
        <v>72</v>
      </c>
      <c r="D1768" s="6">
        <v>18.0</v>
      </c>
      <c r="E1768" s="6">
        <v>22503.0</v>
      </c>
      <c r="F1768" s="6">
        <v>23641.0</v>
      </c>
      <c r="G1768" s="6">
        <v>42919.0</v>
      </c>
      <c r="H1768" s="6">
        <v>0.5243</v>
      </c>
      <c r="I1768" s="6">
        <v>0.5508</v>
      </c>
      <c r="J1768" s="6">
        <v>-0.0265</v>
      </c>
    </row>
    <row r="1769">
      <c r="A1769" s="5" t="s">
        <v>58</v>
      </c>
      <c r="B1769" s="5" t="s">
        <v>163</v>
      </c>
      <c r="C1769" s="5" t="s">
        <v>72</v>
      </c>
      <c r="D1769" s="6">
        <v>19.0</v>
      </c>
      <c r="E1769" s="6">
        <v>21288.0</v>
      </c>
      <c r="F1769" s="6">
        <v>23747.0</v>
      </c>
      <c r="G1769" s="6">
        <v>42919.0</v>
      </c>
      <c r="H1769" s="6">
        <v>0.496</v>
      </c>
      <c r="I1769" s="6">
        <v>0.5533</v>
      </c>
      <c r="J1769" s="6">
        <v>-0.0573</v>
      </c>
    </row>
    <row r="1770">
      <c r="A1770" s="5" t="s">
        <v>58</v>
      </c>
      <c r="B1770" s="5" t="s">
        <v>163</v>
      </c>
      <c r="C1770" s="5" t="s">
        <v>72</v>
      </c>
      <c r="D1770" s="6">
        <v>20.0</v>
      </c>
      <c r="E1770" s="6">
        <v>33825.0</v>
      </c>
      <c r="F1770" s="6">
        <v>30399.0</v>
      </c>
      <c r="G1770" s="6">
        <v>42919.0</v>
      </c>
      <c r="H1770" s="6">
        <v>0.7881</v>
      </c>
      <c r="I1770" s="6">
        <v>0.7083</v>
      </c>
      <c r="J1770" s="6">
        <v>0.0798</v>
      </c>
    </row>
    <row r="1771">
      <c r="A1771" s="5" t="s">
        <v>58</v>
      </c>
      <c r="B1771" s="5" t="s">
        <v>163</v>
      </c>
      <c r="C1771" s="5" t="s">
        <v>72</v>
      </c>
      <c r="D1771" s="6">
        <v>21.0</v>
      </c>
      <c r="E1771" s="6">
        <v>32107.0</v>
      </c>
      <c r="F1771" s="6">
        <v>29094.0</v>
      </c>
      <c r="G1771" s="6">
        <v>42919.0</v>
      </c>
      <c r="H1771" s="6">
        <v>0.7481</v>
      </c>
      <c r="I1771" s="6">
        <v>0.6779</v>
      </c>
      <c r="J1771" s="6">
        <v>0.0702</v>
      </c>
    </row>
    <row r="1772">
      <c r="A1772" s="5" t="s">
        <v>58</v>
      </c>
      <c r="B1772" s="5" t="s">
        <v>163</v>
      </c>
      <c r="C1772" s="5" t="s">
        <v>72</v>
      </c>
      <c r="D1772" s="6">
        <v>22.0</v>
      </c>
      <c r="E1772" s="6">
        <v>21473.0</v>
      </c>
      <c r="F1772" s="6">
        <v>24269.0</v>
      </c>
      <c r="G1772" s="6">
        <v>42919.0</v>
      </c>
      <c r="H1772" s="6">
        <v>0.5003</v>
      </c>
      <c r="I1772" s="6">
        <v>0.5655</v>
      </c>
      <c r="J1772" s="6">
        <v>-0.0651</v>
      </c>
    </row>
    <row r="1773">
      <c r="A1773" s="5" t="s">
        <v>58</v>
      </c>
      <c r="B1773" s="5" t="s">
        <v>163</v>
      </c>
      <c r="C1773" s="5" t="s">
        <v>72</v>
      </c>
      <c r="D1773" s="6">
        <v>23.0</v>
      </c>
      <c r="E1773" s="6">
        <v>20859.0</v>
      </c>
      <c r="F1773" s="6">
        <v>23065.0</v>
      </c>
      <c r="G1773" s="6">
        <v>42919.0</v>
      </c>
      <c r="H1773" s="6">
        <v>0.486</v>
      </c>
      <c r="I1773" s="6">
        <v>0.5374</v>
      </c>
      <c r="J1773" s="6">
        <v>-0.0514</v>
      </c>
    </row>
    <row r="1774">
      <c r="A1774" s="5" t="s">
        <v>58</v>
      </c>
      <c r="B1774" s="5" t="s">
        <v>163</v>
      </c>
      <c r="C1774" s="5" t="s">
        <v>72</v>
      </c>
      <c r="D1774" s="6">
        <v>24.0</v>
      </c>
      <c r="E1774" s="6">
        <v>25289.0</v>
      </c>
      <c r="F1774" s="6">
        <v>24499.0</v>
      </c>
      <c r="G1774" s="6">
        <v>42919.0</v>
      </c>
      <c r="H1774" s="6">
        <v>0.5892</v>
      </c>
      <c r="I1774" s="6">
        <v>0.5708</v>
      </c>
      <c r="J1774" s="6">
        <v>0.0184</v>
      </c>
    </row>
    <row r="1775">
      <c r="A1775" s="5" t="s">
        <v>58</v>
      </c>
      <c r="B1775" s="5" t="s">
        <v>163</v>
      </c>
      <c r="C1775" s="5" t="s">
        <v>72</v>
      </c>
      <c r="D1775" s="6">
        <v>25.0</v>
      </c>
      <c r="E1775" s="6">
        <v>22779.0</v>
      </c>
      <c r="F1775" s="6">
        <v>24159.0</v>
      </c>
      <c r="G1775" s="6">
        <v>42919.0</v>
      </c>
      <c r="H1775" s="6">
        <v>0.5307</v>
      </c>
      <c r="I1775" s="6">
        <v>0.5629</v>
      </c>
      <c r="J1775" s="6">
        <v>-0.0322</v>
      </c>
    </row>
    <row r="1776">
      <c r="A1776" s="5" t="s">
        <v>58</v>
      </c>
      <c r="B1776" s="5" t="s">
        <v>163</v>
      </c>
      <c r="C1776" s="5" t="s">
        <v>72</v>
      </c>
      <c r="D1776" s="6">
        <v>26.0</v>
      </c>
      <c r="E1776" s="6">
        <v>21686.0</v>
      </c>
      <c r="F1776" s="6">
        <v>24450.0</v>
      </c>
      <c r="G1776" s="6">
        <v>42919.0</v>
      </c>
      <c r="H1776" s="6">
        <v>0.5053</v>
      </c>
      <c r="I1776" s="6">
        <v>0.5697</v>
      </c>
      <c r="J1776" s="6">
        <v>-0.0644</v>
      </c>
    </row>
    <row r="1777">
      <c r="A1777" s="5" t="s">
        <v>58</v>
      </c>
      <c r="B1777" s="5" t="s">
        <v>163</v>
      </c>
      <c r="C1777" s="5" t="s">
        <v>72</v>
      </c>
      <c r="D1777" s="6">
        <v>27.0</v>
      </c>
      <c r="E1777" s="6">
        <v>33304.0</v>
      </c>
      <c r="F1777" s="6">
        <v>30776.0</v>
      </c>
      <c r="G1777" s="6">
        <v>42919.0</v>
      </c>
      <c r="H1777" s="6">
        <v>0.776</v>
      </c>
      <c r="I1777" s="6">
        <v>0.7171</v>
      </c>
      <c r="J1777" s="6">
        <v>0.0589</v>
      </c>
    </row>
    <row r="1778">
      <c r="A1778" s="5" t="s">
        <v>58</v>
      </c>
      <c r="B1778" s="5" t="s">
        <v>163</v>
      </c>
      <c r="C1778" s="5" t="s">
        <v>72</v>
      </c>
      <c r="D1778" s="6">
        <v>28.0</v>
      </c>
      <c r="E1778" s="6">
        <v>23427.0</v>
      </c>
      <c r="F1778" s="6">
        <v>25162.0</v>
      </c>
      <c r="G1778" s="6">
        <v>42919.0</v>
      </c>
      <c r="H1778" s="6">
        <v>0.5458</v>
      </c>
      <c r="I1778" s="6">
        <v>0.5863</v>
      </c>
      <c r="J1778" s="6">
        <v>-0.0404</v>
      </c>
    </row>
    <row r="1779">
      <c r="A1779" s="5" t="s">
        <v>58</v>
      </c>
      <c r="B1779" s="5" t="s">
        <v>163</v>
      </c>
      <c r="C1779" s="5" t="s">
        <v>72</v>
      </c>
      <c r="D1779" s="6">
        <v>29.0</v>
      </c>
      <c r="E1779" s="6">
        <v>18414.0</v>
      </c>
      <c r="F1779" s="6">
        <v>22156.0</v>
      </c>
      <c r="G1779" s="6">
        <v>42919.0</v>
      </c>
      <c r="H1779" s="6">
        <v>0.429</v>
      </c>
      <c r="I1779" s="6">
        <v>0.5162</v>
      </c>
      <c r="J1779" s="6">
        <v>-0.0872</v>
      </c>
    </row>
    <row r="1780">
      <c r="A1780" s="5" t="s">
        <v>58</v>
      </c>
      <c r="B1780" s="5" t="s">
        <v>163</v>
      </c>
      <c r="C1780" s="5" t="s">
        <v>72</v>
      </c>
      <c r="D1780" s="6">
        <v>30.0</v>
      </c>
      <c r="E1780" s="6">
        <v>21991.0</v>
      </c>
      <c r="F1780" s="6">
        <v>22873.0</v>
      </c>
      <c r="G1780" s="6">
        <v>42919.0</v>
      </c>
      <c r="H1780" s="6">
        <v>0.5124</v>
      </c>
      <c r="I1780" s="6">
        <v>0.5329</v>
      </c>
      <c r="J1780" s="6">
        <v>-0.0206</v>
      </c>
    </row>
    <row r="1781">
      <c r="A1781" s="5" t="s">
        <v>58</v>
      </c>
      <c r="B1781" s="5" t="s">
        <v>163</v>
      </c>
      <c r="C1781" s="5" t="s">
        <v>72</v>
      </c>
      <c r="D1781" s="6">
        <v>31.0</v>
      </c>
      <c r="E1781" s="6">
        <v>24886.0</v>
      </c>
      <c r="F1781" s="6">
        <v>24367.0</v>
      </c>
      <c r="G1781" s="6">
        <v>42919.0</v>
      </c>
      <c r="H1781" s="6">
        <v>0.5798</v>
      </c>
      <c r="I1781" s="6">
        <v>0.5677</v>
      </c>
      <c r="J1781" s="6">
        <v>0.0121</v>
      </c>
    </row>
    <row r="1782">
      <c r="A1782" s="5" t="s">
        <v>58</v>
      </c>
      <c r="B1782" s="5" t="s">
        <v>163</v>
      </c>
      <c r="C1782" s="5" t="s">
        <v>72</v>
      </c>
      <c r="D1782" s="6">
        <v>32.0</v>
      </c>
      <c r="E1782" s="6">
        <v>22840.0</v>
      </c>
      <c r="F1782" s="6">
        <v>23596.0</v>
      </c>
      <c r="G1782" s="6">
        <v>42919.0</v>
      </c>
      <c r="H1782" s="6">
        <v>0.5322</v>
      </c>
      <c r="I1782" s="6">
        <v>0.5498</v>
      </c>
      <c r="J1782" s="6">
        <v>-0.0176</v>
      </c>
    </row>
    <row r="1783">
      <c r="A1783" s="5" t="s">
        <v>58</v>
      </c>
      <c r="B1783" s="5" t="s">
        <v>163</v>
      </c>
      <c r="C1783" s="5" t="s">
        <v>72</v>
      </c>
      <c r="D1783" s="6">
        <v>33.0</v>
      </c>
      <c r="E1783" s="6">
        <v>21129.0</v>
      </c>
      <c r="F1783" s="6">
        <v>23586.0</v>
      </c>
      <c r="G1783" s="6">
        <v>42919.0</v>
      </c>
      <c r="H1783" s="6">
        <v>0.4923</v>
      </c>
      <c r="I1783" s="6">
        <v>0.5495</v>
      </c>
      <c r="J1783" s="6">
        <v>-0.0572</v>
      </c>
    </row>
    <row r="1784">
      <c r="A1784" s="5" t="s">
        <v>58</v>
      </c>
      <c r="B1784" s="5" t="s">
        <v>163</v>
      </c>
      <c r="C1784" s="5" t="s">
        <v>73</v>
      </c>
      <c r="D1784" s="6">
        <v>1.0</v>
      </c>
      <c r="E1784" s="6">
        <v>17623.0</v>
      </c>
      <c r="F1784" s="6">
        <v>23183.0</v>
      </c>
      <c r="G1784" s="6">
        <v>43789.0</v>
      </c>
      <c r="H1784" s="6">
        <v>0.4025</v>
      </c>
      <c r="I1784" s="6">
        <v>0.5294</v>
      </c>
      <c r="J1784" s="6">
        <v>-0.127</v>
      </c>
    </row>
    <row r="1785">
      <c r="A1785" s="5" t="s">
        <v>58</v>
      </c>
      <c r="B1785" s="5" t="s">
        <v>163</v>
      </c>
      <c r="C1785" s="5" t="s">
        <v>73</v>
      </c>
      <c r="D1785" s="6">
        <v>2.0</v>
      </c>
      <c r="E1785" s="6">
        <v>26217.0</v>
      </c>
      <c r="F1785" s="6">
        <v>23922.0</v>
      </c>
      <c r="G1785" s="6">
        <v>43789.0</v>
      </c>
      <c r="H1785" s="6">
        <v>0.5987</v>
      </c>
      <c r="I1785" s="6">
        <v>0.5463</v>
      </c>
      <c r="J1785" s="6">
        <v>0.0524</v>
      </c>
    </row>
    <row r="1786">
      <c r="A1786" s="5" t="s">
        <v>58</v>
      </c>
      <c r="B1786" s="5" t="s">
        <v>163</v>
      </c>
      <c r="C1786" s="5" t="s">
        <v>73</v>
      </c>
      <c r="D1786" s="6">
        <v>3.0</v>
      </c>
      <c r="E1786" s="6">
        <v>23335.0</v>
      </c>
      <c r="F1786" s="6">
        <v>23834.0</v>
      </c>
      <c r="G1786" s="6">
        <v>43789.0</v>
      </c>
      <c r="H1786" s="6">
        <v>0.5329</v>
      </c>
      <c r="I1786" s="6">
        <v>0.5443</v>
      </c>
      <c r="J1786" s="6">
        <v>-0.0114</v>
      </c>
    </row>
    <row r="1787">
      <c r="A1787" s="5" t="s">
        <v>58</v>
      </c>
      <c r="B1787" s="5" t="s">
        <v>163</v>
      </c>
      <c r="C1787" s="5" t="s">
        <v>73</v>
      </c>
      <c r="D1787" s="6">
        <v>4.0</v>
      </c>
      <c r="E1787" s="6">
        <v>25768.0</v>
      </c>
      <c r="F1787" s="6">
        <v>24405.0</v>
      </c>
      <c r="G1787" s="6">
        <v>43789.0</v>
      </c>
      <c r="H1787" s="6">
        <v>0.5885</v>
      </c>
      <c r="I1787" s="6">
        <v>0.5573</v>
      </c>
      <c r="J1787" s="6">
        <v>0.0311</v>
      </c>
    </row>
    <row r="1788">
      <c r="A1788" s="5" t="s">
        <v>58</v>
      </c>
      <c r="B1788" s="5" t="s">
        <v>163</v>
      </c>
      <c r="C1788" s="5" t="s">
        <v>73</v>
      </c>
      <c r="D1788" s="6">
        <v>5.0</v>
      </c>
      <c r="E1788" s="6">
        <v>21962.0</v>
      </c>
      <c r="F1788" s="6">
        <v>25362.0</v>
      </c>
      <c r="G1788" s="6">
        <v>43789.0</v>
      </c>
      <c r="H1788" s="6">
        <v>0.5015</v>
      </c>
      <c r="I1788" s="6">
        <v>0.5792</v>
      </c>
      <c r="J1788" s="6">
        <v>-0.0776</v>
      </c>
    </row>
    <row r="1789">
      <c r="A1789" s="5" t="s">
        <v>58</v>
      </c>
      <c r="B1789" s="5" t="s">
        <v>163</v>
      </c>
      <c r="C1789" s="5" t="s">
        <v>73</v>
      </c>
      <c r="D1789" s="6">
        <v>6.0</v>
      </c>
      <c r="E1789" s="6">
        <v>36097.0</v>
      </c>
      <c r="F1789" s="6">
        <v>31492.0</v>
      </c>
      <c r="G1789" s="6">
        <v>43789.0</v>
      </c>
      <c r="H1789" s="6">
        <v>0.8243</v>
      </c>
      <c r="I1789" s="6">
        <v>0.7192</v>
      </c>
      <c r="J1789" s="6">
        <v>0.1052</v>
      </c>
    </row>
    <row r="1790">
      <c r="A1790" s="5" t="s">
        <v>58</v>
      </c>
      <c r="B1790" s="5" t="s">
        <v>163</v>
      </c>
      <c r="C1790" s="5" t="s">
        <v>73</v>
      </c>
      <c r="D1790" s="6">
        <v>7.0</v>
      </c>
      <c r="E1790" s="6">
        <v>27332.0</v>
      </c>
      <c r="F1790" s="6">
        <v>28123.0</v>
      </c>
      <c r="G1790" s="6">
        <v>43789.0</v>
      </c>
      <c r="H1790" s="6">
        <v>0.6242</v>
      </c>
      <c r="I1790" s="6">
        <v>0.6422</v>
      </c>
      <c r="J1790" s="6">
        <v>-0.0181</v>
      </c>
    </row>
    <row r="1791">
      <c r="A1791" s="5" t="s">
        <v>58</v>
      </c>
      <c r="B1791" s="5" t="s">
        <v>163</v>
      </c>
      <c r="C1791" s="5" t="s">
        <v>73</v>
      </c>
      <c r="D1791" s="6">
        <v>8.0</v>
      </c>
      <c r="E1791" s="6">
        <v>18285.0</v>
      </c>
      <c r="F1791" s="6">
        <v>23212.0</v>
      </c>
      <c r="G1791" s="6">
        <v>43789.0</v>
      </c>
      <c r="H1791" s="6">
        <v>0.4176</v>
      </c>
      <c r="I1791" s="6">
        <v>0.5301</v>
      </c>
      <c r="J1791" s="6">
        <v>-0.1125</v>
      </c>
    </row>
    <row r="1792">
      <c r="A1792" s="5" t="s">
        <v>58</v>
      </c>
      <c r="B1792" s="5" t="s">
        <v>163</v>
      </c>
      <c r="C1792" s="5" t="s">
        <v>73</v>
      </c>
      <c r="D1792" s="6">
        <v>9.0</v>
      </c>
      <c r="E1792" s="6">
        <v>21849.0</v>
      </c>
      <c r="F1792" s="6">
        <v>22966.0</v>
      </c>
      <c r="G1792" s="6">
        <v>43789.0</v>
      </c>
      <c r="H1792" s="6">
        <v>0.499</v>
      </c>
      <c r="I1792" s="6">
        <v>0.5245</v>
      </c>
      <c r="J1792" s="6">
        <v>-0.0255</v>
      </c>
    </row>
    <row r="1793">
      <c r="A1793" s="5" t="s">
        <v>58</v>
      </c>
      <c r="B1793" s="5" t="s">
        <v>163</v>
      </c>
      <c r="C1793" s="5" t="s">
        <v>73</v>
      </c>
      <c r="D1793" s="6">
        <v>10.0</v>
      </c>
      <c r="E1793" s="6">
        <v>21142.0</v>
      </c>
      <c r="F1793" s="6">
        <v>23353.0</v>
      </c>
      <c r="G1793" s="6">
        <v>43789.0</v>
      </c>
      <c r="H1793" s="6">
        <v>0.4828</v>
      </c>
      <c r="I1793" s="6">
        <v>0.5333</v>
      </c>
      <c r="J1793" s="6">
        <v>-0.0505</v>
      </c>
    </row>
    <row r="1794">
      <c r="A1794" s="5" t="s">
        <v>58</v>
      </c>
      <c r="B1794" s="5" t="s">
        <v>163</v>
      </c>
      <c r="C1794" s="5" t="s">
        <v>73</v>
      </c>
      <c r="D1794" s="6">
        <v>11.0</v>
      </c>
      <c r="E1794" s="6">
        <v>23374.0</v>
      </c>
      <c r="F1794" s="6">
        <v>23900.0</v>
      </c>
      <c r="G1794" s="6">
        <v>43789.0</v>
      </c>
      <c r="H1794" s="6">
        <v>0.5338</v>
      </c>
      <c r="I1794" s="6">
        <v>0.5458</v>
      </c>
      <c r="J1794" s="6">
        <v>-0.012</v>
      </c>
    </row>
    <row r="1795">
      <c r="A1795" s="5" t="s">
        <v>58</v>
      </c>
      <c r="B1795" s="5" t="s">
        <v>163</v>
      </c>
      <c r="C1795" s="5" t="s">
        <v>73</v>
      </c>
      <c r="D1795" s="6">
        <v>12.0</v>
      </c>
      <c r="E1795" s="6">
        <v>20188.0</v>
      </c>
      <c r="F1795" s="6">
        <v>24692.0</v>
      </c>
      <c r="G1795" s="6">
        <v>43789.0</v>
      </c>
      <c r="H1795" s="6">
        <v>0.461</v>
      </c>
      <c r="I1795" s="6">
        <v>0.5639</v>
      </c>
      <c r="J1795" s="6">
        <v>-0.1029</v>
      </c>
    </row>
    <row r="1796">
      <c r="A1796" s="5" t="s">
        <v>58</v>
      </c>
      <c r="B1796" s="5" t="s">
        <v>163</v>
      </c>
      <c r="C1796" s="5" t="s">
        <v>73</v>
      </c>
      <c r="D1796" s="6">
        <v>13.0</v>
      </c>
      <c r="E1796" s="6">
        <v>34575.0</v>
      </c>
      <c r="F1796" s="6">
        <v>30765.0</v>
      </c>
      <c r="G1796" s="6">
        <v>43789.0</v>
      </c>
      <c r="H1796" s="6">
        <v>0.7896</v>
      </c>
      <c r="I1796" s="6">
        <v>0.7026</v>
      </c>
      <c r="J1796" s="6">
        <v>0.087</v>
      </c>
    </row>
    <row r="1797">
      <c r="A1797" s="5" t="s">
        <v>58</v>
      </c>
      <c r="B1797" s="5" t="s">
        <v>163</v>
      </c>
      <c r="C1797" s="5" t="s">
        <v>73</v>
      </c>
      <c r="D1797" s="6">
        <v>14.0</v>
      </c>
      <c r="E1797" s="6">
        <v>25801.0</v>
      </c>
      <c r="F1797" s="6">
        <v>26829.0</v>
      </c>
      <c r="G1797" s="6">
        <v>43789.0</v>
      </c>
      <c r="H1797" s="6">
        <v>0.5892</v>
      </c>
      <c r="I1797" s="6">
        <v>0.6127</v>
      </c>
      <c r="J1797" s="6">
        <v>-0.0235</v>
      </c>
    </row>
    <row r="1798">
      <c r="A1798" s="5" t="s">
        <v>58</v>
      </c>
      <c r="B1798" s="5" t="s">
        <v>163</v>
      </c>
      <c r="C1798" s="5" t="s">
        <v>73</v>
      </c>
      <c r="D1798" s="6">
        <v>15.0</v>
      </c>
      <c r="E1798" s="6">
        <v>16957.0</v>
      </c>
      <c r="F1798" s="6">
        <v>22728.0</v>
      </c>
      <c r="G1798" s="6">
        <v>43789.0</v>
      </c>
      <c r="H1798" s="6">
        <v>0.3872</v>
      </c>
      <c r="I1798" s="6">
        <v>0.519</v>
      </c>
      <c r="J1798" s="6">
        <v>-0.1318</v>
      </c>
    </row>
    <row r="1799">
      <c r="A1799" s="5" t="s">
        <v>58</v>
      </c>
      <c r="B1799" s="5" t="s">
        <v>163</v>
      </c>
      <c r="C1799" s="5" t="s">
        <v>73</v>
      </c>
      <c r="D1799" s="6">
        <v>16.0</v>
      </c>
      <c r="E1799" s="6">
        <v>24742.0</v>
      </c>
      <c r="F1799" s="6">
        <v>22873.0</v>
      </c>
      <c r="G1799" s="6">
        <v>43789.0</v>
      </c>
      <c r="H1799" s="6">
        <v>0.565</v>
      </c>
      <c r="I1799" s="6">
        <v>0.5223</v>
      </c>
      <c r="J1799" s="6">
        <v>0.0427</v>
      </c>
    </row>
    <row r="1800">
      <c r="A1800" s="5" t="s">
        <v>58</v>
      </c>
      <c r="B1800" s="5" t="s">
        <v>163</v>
      </c>
      <c r="C1800" s="5" t="s">
        <v>73</v>
      </c>
      <c r="D1800" s="6">
        <v>17.0</v>
      </c>
      <c r="E1800" s="6">
        <v>22808.0</v>
      </c>
      <c r="F1800" s="6">
        <v>23765.0</v>
      </c>
      <c r="G1800" s="6">
        <v>43789.0</v>
      </c>
      <c r="H1800" s="6">
        <v>0.5209</v>
      </c>
      <c r="I1800" s="6">
        <v>0.5427</v>
      </c>
      <c r="J1800" s="6">
        <v>-0.0219</v>
      </c>
    </row>
    <row r="1801">
      <c r="A1801" s="5" t="s">
        <v>58</v>
      </c>
      <c r="B1801" s="5" t="s">
        <v>163</v>
      </c>
      <c r="C1801" s="5" t="s">
        <v>73</v>
      </c>
      <c r="D1801" s="6">
        <v>18.0</v>
      </c>
      <c r="E1801" s="6">
        <v>24784.0</v>
      </c>
      <c r="F1801" s="6">
        <v>24239.0</v>
      </c>
      <c r="G1801" s="6">
        <v>43789.0</v>
      </c>
      <c r="H1801" s="6">
        <v>0.566</v>
      </c>
      <c r="I1801" s="6">
        <v>0.5535</v>
      </c>
      <c r="J1801" s="6">
        <v>0.0124</v>
      </c>
    </row>
    <row r="1802">
      <c r="A1802" s="5" t="s">
        <v>58</v>
      </c>
      <c r="B1802" s="5" t="s">
        <v>163</v>
      </c>
      <c r="C1802" s="5" t="s">
        <v>73</v>
      </c>
      <c r="D1802" s="6">
        <v>19.0</v>
      </c>
      <c r="E1802" s="6">
        <v>20878.0</v>
      </c>
      <c r="F1802" s="6">
        <v>24476.0</v>
      </c>
      <c r="G1802" s="6">
        <v>43789.0</v>
      </c>
      <c r="H1802" s="6">
        <v>0.4768</v>
      </c>
      <c r="I1802" s="6">
        <v>0.559</v>
      </c>
      <c r="J1802" s="6">
        <v>-0.0822</v>
      </c>
    </row>
    <row r="1803">
      <c r="A1803" s="5" t="s">
        <v>58</v>
      </c>
      <c r="B1803" s="5" t="s">
        <v>163</v>
      </c>
      <c r="C1803" s="5" t="s">
        <v>73</v>
      </c>
      <c r="D1803" s="6">
        <v>20.0</v>
      </c>
      <c r="E1803" s="6">
        <v>36471.0</v>
      </c>
      <c r="F1803" s="6">
        <v>30368.0</v>
      </c>
      <c r="G1803" s="6">
        <v>43789.0</v>
      </c>
      <c r="H1803" s="6">
        <v>0.8329</v>
      </c>
      <c r="I1803" s="6">
        <v>0.6935</v>
      </c>
      <c r="J1803" s="6">
        <v>0.1394</v>
      </c>
    </row>
    <row r="1804">
      <c r="A1804" s="5" t="s">
        <v>58</v>
      </c>
      <c r="B1804" s="5" t="s">
        <v>163</v>
      </c>
      <c r="C1804" s="5" t="s">
        <v>73</v>
      </c>
      <c r="D1804" s="6">
        <v>21.0</v>
      </c>
      <c r="E1804" s="6">
        <v>39344.0</v>
      </c>
      <c r="F1804" s="6">
        <v>30651.0</v>
      </c>
      <c r="G1804" s="6">
        <v>43789.0</v>
      </c>
      <c r="H1804" s="6">
        <v>0.8985</v>
      </c>
      <c r="I1804" s="6">
        <v>0.7</v>
      </c>
      <c r="J1804" s="6">
        <v>0.1985</v>
      </c>
    </row>
    <row r="1805">
      <c r="A1805" s="5" t="s">
        <v>58</v>
      </c>
      <c r="B1805" s="5" t="s">
        <v>163</v>
      </c>
      <c r="C1805" s="5" t="s">
        <v>73</v>
      </c>
      <c r="D1805" s="6">
        <v>22.0</v>
      </c>
      <c r="E1805" s="6">
        <v>22658.0</v>
      </c>
      <c r="F1805" s="6">
        <v>25435.0</v>
      </c>
      <c r="G1805" s="6">
        <v>43789.0</v>
      </c>
      <c r="H1805" s="6">
        <v>0.5174</v>
      </c>
      <c r="I1805" s="6">
        <v>0.5809</v>
      </c>
      <c r="J1805" s="6">
        <v>-0.0634</v>
      </c>
    </row>
    <row r="1806">
      <c r="A1806" s="5" t="s">
        <v>58</v>
      </c>
      <c r="B1806" s="5" t="s">
        <v>163</v>
      </c>
      <c r="C1806" s="5" t="s">
        <v>73</v>
      </c>
      <c r="D1806" s="6">
        <v>23.0</v>
      </c>
      <c r="E1806" s="6">
        <v>25183.0</v>
      </c>
      <c r="F1806" s="6">
        <v>24950.0</v>
      </c>
      <c r="G1806" s="6">
        <v>43789.0</v>
      </c>
      <c r="H1806" s="6">
        <v>0.5751</v>
      </c>
      <c r="I1806" s="6">
        <v>0.5698</v>
      </c>
      <c r="J1806" s="6">
        <v>0.0053</v>
      </c>
    </row>
    <row r="1807">
      <c r="A1807" s="5" t="s">
        <v>58</v>
      </c>
      <c r="B1807" s="5" t="s">
        <v>163</v>
      </c>
      <c r="C1807" s="5" t="s">
        <v>73</v>
      </c>
      <c r="D1807" s="6">
        <v>24.0</v>
      </c>
      <c r="E1807" s="6">
        <v>23567.0</v>
      </c>
      <c r="F1807" s="6">
        <v>24805.0</v>
      </c>
      <c r="G1807" s="6">
        <v>43789.0</v>
      </c>
      <c r="H1807" s="6">
        <v>0.5382</v>
      </c>
      <c r="I1807" s="6">
        <v>0.5665</v>
      </c>
      <c r="J1807" s="6">
        <v>-0.0283</v>
      </c>
    </row>
    <row r="1808">
      <c r="A1808" s="5" t="s">
        <v>58</v>
      </c>
      <c r="B1808" s="5" t="s">
        <v>163</v>
      </c>
      <c r="C1808" s="5" t="s">
        <v>73</v>
      </c>
      <c r="D1808" s="6">
        <v>25.0</v>
      </c>
      <c r="E1808" s="6">
        <v>25641.0</v>
      </c>
      <c r="F1808" s="6">
        <v>25694.0</v>
      </c>
      <c r="G1808" s="6">
        <v>43789.0</v>
      </c>
      <c r="H1808" s="6">
        <v>0.5856</v>
      </c>
      <c r="I1808" s="6">
        <v>0.5868</v>
      </c>
      <c r="J1808" s="6">
        <v>-0.0012</v>
      </c>
    </row>
    <row r="1809">
      <c r="A1809" s="5" t="s">
        <v>58</v>
      </c>
      <c r="B1809" s="5" t="s">
        <v>163</v>
      </c>
      <c r="C1809" s="5" t="s">
        <v>73</v>
      </c>
      <c r="D1809" s="6">
        <v>26.0</v>
      </c>
      <c r="E1809" s="6">
        <v>21310.0</v>
      </c>
      <c r="F1809" s="6">
        <v>25408.0</v>
      </c>
      <c r="G1809" s="6">
        <v>43789.0</v>
      </c>
      <c r="H1809" s="6">
        <v>0.4867</v>
      </c>
      <c r="I1809" s="6">
        <v>0.5802</v>
      </c>
      <c r="J1809" s="6">
        <v>-0.0936</v>
      </c>
    </row>
    <row r="1810">
      <c r="A1810" s="5" t="s">
        <v>58</v>
      </c>
      <c r="B1810" s="5" t="s">
        <v>163</v>
      </c>
      <c r="C1810" s="5" t="s">
        <v>73</v>
      </c>
      <c r="D1810" s="6">
        <v>27.0</v>
      </c>
      <c r="E1810" s="6">
        <v>36091.0</v>
      </c>
      <c r="F1810" s="6">
        <v>31059.0</v>
      </c>
      <c r="G1810" s="6">
        <v>43789.0</v>
      </c>
      <c r="H1810" s="6">
        <v>0.8242</v>
      </c>
      <c r="I1810" s="6">
        <v>0.7093</v>
      </c>
      <c r="J1810" s="6">
        <v>0.1149</v>
      </c>
    </row>
    <row r="1811">
      <c r="A1811" s="5" t="s">
        <v>58</v>
      </c>
      <c r="B1811" s="5" t="s">
        <v>163</v>
      </c>
      <c r="C1811" s="5" t="s">
        <v>73</v>
      </c>
      <c r="D1811" s="6">
        <v>28.0</v>
      </c>
      <c r="E1811" s="6">
        <v>25547.0</v>
      </c>
      <c r="F1811" s="6">
        <v>26726.0</v>
      </c>
      <c r="G1811" s="6">
        <v>43789.0</v>
      </c>
      <c r="H1811" s="6">
        <v>0.5834</v>
      </c>
      <c r="I1811" s="6">
        <v>0.6103</v>
      </c>
      <c r="J1811" s="6">
        <v>-0.0269</v>
      </c>
    </row>
    <row r="1812">
      <c r="A1812" s="5" t="s">
        <v>58</v>
      </c>
      <c r="B1812" s="5" t="s">
        <v>163</v>
      </c>
      <c r="C1812" s="5" t="s">
        <v>73</v>
      </c>
      <c r="D1812" s="6">
        <v>29.0</v>
      </c>
      <c r="E1812" s="6">
        <v>17104.0</v>
      </c>
      <c r="F1812" s="6">
        <v>22436.0</v>
      </c>
      <c r="G1812" s="6">
        <v>43789.0</v>
      </c>
      <c r="H1812" s="6">
        <v>0.3906</v>
      </c>
      <c r="I1812" s="6">
        <v>0.5124</v>
      </c>
      <c r="J1812" s="6">
        <v>-0.1218</v>
      </c>
    </row>
    <row r="1813">
      <c r="A1813" s="5" t="s">
        <v>58</v>
      </c>
      <c r="B1813" s="5" t="s">
        <v>163</v>
      </c>
      <c r="C1813" s="5" t="s">
        <v>73</v>
      </c>
      <c r="D1813" s="6">
        <v>30.0</v>
      </c>
      <c r="E1813" s="6">
        <v>26023.0</v>
      </c>
      <c r="F1813" s="6">
        <v>24350.0</v>
      </c>
      <c r="G1813" s="6">
        <v>43789.0</v>
      </c>
      <c r="H1813" s="6">
        <v>0.5943</v>
      </c>
      <c r="I1813" s="6">
        <v>0.5561</v>
      </c>
      <c r="J1813" s="6">
        <v>0.0382</v>
      </c>
    </row>
    <row r="1814">
      <c r="A1814" s="5" t="s">
        <v>58</v>
      </c>
      <c r="B1814" s="5" t="s">
        <v>163</v>
      </c>
      <c r="C1814" s="5" t="s">
        <v>73</v>
      </c>
      <c r="D1814" s="6">
        <v>31.0</v>
      </c>
      <c r="E1814" s="6">
        <v>23188.0</v>
      </c>
      <c r="F1814" s="6">
        <v>23717.0</v>
      </c>
      <c r="G1814" s="6">
        <v>43789.0</v>
      </c>
      <c r="H1814" s="6">
        <v>0.5295</v>
      </c>
      <c r="I1814" s="6">
        <v>0.5416</v>
      </c>
      <c r="J1814" s="6">
        <v>-0.0121</v>
      </c>
    </row>
    <row r="1815">
      <c r="A1815" s="5" t="s">
        <v>58</v>
      </c>
      <c r="B1815" s="5" t="s">
        <v>163</v>
      </c>
      <c r="C1815" s="5" t="s">
        <v>73</v>
      </c>
      <c r="D1815" s="6">
        <v>32.0</v>
      </c>
      <c r="E1815" s="6">
        <v>24767.0</v>
      </c>
      <c r="F1815" s="6">
        <v>24120.0</v>
      </c>
      <c r="G1815" s="6">
        <v>43789.0</v>
      </c>
      <c r="H1815" s="6">
        <v>0.5656</v>
      </c>
      <c r="I1815" s="6">
        <v>0.5508</v>
      </c>
      <c r="J1815" s="6">
        <v>0.0148</v>
      </c>
    </row>
    <row r="1816">
      <c r="A1816" s="5" t="s">
        <v>58</v>
      </c>
      <c r="B1816" s="5" t="s">
        <v>163</v>
      </c>
      <c r="C1816" s="5" t="s">
        <v>73</v>
      </c>
      <c r="D1816" s="6">
        <v>33.0</v>
      </c>
      <c r="E1816" s="6">
        <v>20886.0</v>
      </c>
      <c r="F1816" s="6">
        <v>24436.0</v>
      </c>
      <c r="G1816" s="6">
        <v>43789.0</v>
      </c>
      <c r="H1816" s="6">
        <v>0.477</v>
      </c>
      <c r="I1816" s="6">
        <v>0.558</v>
      </c>
      <c r="J1816" s="6">
        <v>-0.0811</v>
      </c>
    </row>
    <row r="1817">
      <c r="A1817" s="5" t="s">
        <v>58</v>
      </c>
      <c r="B1817" s="5" t="s">
        <v>163</v>
      </c>
      <c r="C1817" s="5" t="s">
        <v>74</v>
      </c>
      <c r="D1817" s="6">
        <v>1.0</v>
      </c>
      <c r="E1817" s="6">
        <v>9375.0</v>
      </c>
      <c r="F1817" s="6">
        <v>11376.0</v>
      </c>
      <c r="G1817" s="6">
        <v>41622.0</v>
      </c>
      <c r="H1817" s="6">
        <v>0.2252</v>
      </c>
      <c r="I1817" s="6">
        <v>0.2733</v>
      </c>
      <c r="J1817" s="6">
        <v>-0.0481</v>
      </c>
    </row>
    <row r="1818">
      <c r="A1818" s="5" t="s">
        <v>58</v>
      </c>
      <c r="B1818" s="5" t="s">
        <v>163</v>
      </c>
      <c r="C1818" s="5" t="s">
        <v>74</v>
      </c>
      <c r="D1818" s="6">
        <v>2.0</v>
      </c>
      <c r="E1818" s="6">
        <v>13325.0</v>
      </c>
      <c r="F1818" s="6">
        <v>12233.0</v>
      </c>
      <c r="G1818" s="6">
        <v>41622.0</v>
      </c>
      <c r="H1818" s="6">
        <v>0.3201</v>
      </c>
      <c r="I1818" s="6">
        <v>0.2939</v>
      </c>
      <c r="J1818" s="6">
        <v>0.0262</v>
      </c>
    </row>
    <row r="1819">
      <c r="A1819" s="5" t="s">
        <v>58</v>
      </c>
      <c r="B1819" s="5" t="s">
        <v>163</v>
      </c>
      <c r="C1819" s="5" t="s">
        <v>74</v>
      </c>
      <c r="D1819" s="6">
        <v>3.0</v>
      </c>
      <c r="E1819" s="6">
        <v>12035.0</v>
      </c>
      <c r="F1819" s="6">
        <v>11698.0</v>
      </c>
      <c r="G1819" s="6">
        <v>41622.0</v>
      </c>
      <c r="H1819" s="6">
        <v>0.2891</v>
      </c>
      <c r="I1819" s="6">
        <v>0.2811</v>
      </c>
      <c r="J1819" s="6">
        <v>0.0081</v>
      </c>
    </row>
    <row r="1820">
      <c r="A1820" s="5" t="s">
        <v>58</v>
      </c>
      <c r="B1820" s="5" t="s">
        <v>163</v>
      </c>
      <c r="C1820" s="5" t="s">
        <v>74</v>
      </c>
      <c r="D1820" s="6">
        <v>4.0</v>
      </c>
      <c r="E1820" s="6">
        <v>12565.0</v>
      </c>
      <c r="F1820" s="6">
        <v>12171.0</v>
      </c>
      <c r="G1820" s="6">
        <v>41622.0</v>
      </c>
      <c r="H1820" s="6">
        <v>0.3019</v>
      </c>
      <c r="I1820" s="6">
        <v>0.2924</v>
      </c>
      <c r="J1820" s="6">
        <v>0.0095</v>
      </c>
    </row>
    <row r="1821">
      <c r="A1821" s="5" t="s">
        <v>58</v>
      </c>
      <c r="B1821" s="5" t="s">
        <v>163</v>
      </c>
      <c r="C1821" s="5" t="s">
        <v>74</v>
      </c>
      <c r="D1821" s="6">
        <v>5.0</v>
      </c>
      <c r="E1821" s="6">
        <v>12253.0</v>
      </c>
      <c r="F1821" s="6">
        <v>12800.0</v>
      </c>
      <c r="G1821" s="6">
        <v>41622.0</v>
      </c>
      <c r="H1821" s="6">
        <v>0.2944</v>
      </c>
      <c r="I1821" s="6">
        <v>0.3075</v>
      </c>
      <c r="J1821" s="6">
        <v>-0.0131</v>
      </c>
    </row>
    <row r="1822">
      <c r="A1822" s="5" t="s">
        <v>58</v>
      </c>
      <c r="B1822" s="5" t="s">
        <v>163</v>
      </c>
      <c r="C1822" s="5" t="s">
        <v>74</v>
      </c>
      <c r="D1822" s="6">
        <v>6.0</v>
      </c>
      <c r="E1822" s="6">
        <v>25521.0</v>
      </c>
      <c r="F1822" s="6">
        <v>19945.0</v>
      </c>
      <c r="G1822" s="6">
        <v>41622.0</v>
      </c>
      <c r="H1822" s="6">
        <v>0.6132</v>
      </c>
      <c r="I1822" s="6">
        <v>0.4792</v>
      </c>
      <c r="J1822" s="6">
        <v>0.134</v>
      </c>
    </row>
    <row r="1823">
      <c r="A1823" s="5" t="s">
        <v>58</v>
      </c>
      <c r="B1823" s="5" t="s">
        <v>163</v>
      </c>
      <c r="C1823" s="5" t="s">
        <v>74</v>
      </c>
      <c r="D1823" s="6">
        <v>7.0</v>
      </c>
      <c r="E1823" s="6">
        <v>15411.0</v>
      </c>
      <c r="F1823" s="6">
        <v>15490.0</v>
      </c>
      <c r="G1823" s="6">
        <v>41622.0</v>
      </c>
      <c r="H1823" s="6">
        <v>0.3703</v>
      </c>
      <c r="I1823" s="6">
        <v>0.3722</v>
      </c>
      <c r="J1823" s="6">
        <v>-0.0019</v>
      </c>
    </row>
    <row r="1824">
      <c r="A1824" s="5" t="s">
        <v>58</v>
      </c>
      <c r="B1824" s="5" t="s">
        <v>163</v>
      </c>
      <c r="C1824" s="5" t="s">
        <v>74</v>
      </c>
      <c r="D1824" s="6">
        <v>8.0</v>
      </c>
      <c r="E1824" s="6">
        <v>10629.0</v>
      </c>
      <c r="F1824" s="6">
        <v>12320.0</v>
      </c>
      <c r="G1824" s="6">
        <v>41622.0</v>
      </c>
      <c r="H1824" s="6">
        <v>0.2554</v>
      </c>
      <c r="I1824" s="6">
        <v>0.296</v>
      </c>
      <c r="J1824" s="6">
        <v>-0.0406</v>
      </c>
    </row>
    <row r="1825">
      <c r="A1825" s="5" t="s">
        <v>58</v>
      </c>
      <c r="B1825" s="5" t="s">
        <v>163</v>
      </c>
      <c r="C1825" s="5" t="s">
        <v>74</v>
      </c>
      <c r="D1825" s="6">
        <v>9.0</v>
      </c>
      <c r="E1825" s="6">
        <v>10848.0</v>
      </c>
      <c r="F1825" s="6">
        <v>11752.0</v>
      </c>
      <c r="G1825" s="6">
        <v>41622.0</v>
      </c>
      <c r="H1825" s="6">
        <v>0.2606</v>
      </c>
      <c r="I1825" s="6">
        <v>0.2824</v>
      </c>
      <c r="J1825" s="6">
        <v>-0.0217</v>
      </c>
    </row>
    <row r="1826">
      <c r="A1826" s="5" t="s">
        <v>58</v>
      </c>
      <c r="B1826" s="5" t="s">
        <v>163</v>
      </c>
      <c r="C1826" s="5" t="s">
        <v>74</v>
      </c>
      <c r="D1826" s="6">
        <v>10.0</v>
      </c>
      <c r="E1826" s="6">
        <v>10767.0</v>
      </c>
      <c r="F1826" s="6">
        <v>11878.0</v>
      </c>
      <c r="G1826" s="6">
        <v>41622.0</v>
      </c>
      <c r="H1826" s="6">
        <v>0.2587</v>
      </c>
      <c r="I1826" s="6">
        <v>0.2854</v>
      </c>
      <c r="J1826" s="6">
        <v>-0.0267</v>
      </c>
    </row>
    <row r="1827">
      <c r="A1827" s="5" t="s">
        <v>58</v>
      </c>
      <c r="B1827" s="5" t="s">
        <v>163</v>
      </c>
      <c r="C1827" s="5" t="s">
        <v>74</v>
      </c>
      <c r="D1827" s="6">
        <v>11.0</v>
      </c>
      <c r="E1827" s="6">
        <v>11237.0</v>
      </c>
      <c r="F1827" s="6">
        <v>11877.0</v>
      </c>
      <c r="G1827" s="6">
        <v>41622.0</v>
      </c>
      <c r="H1827" s="6">
        <v>0.27</v>
      </c>
      <c r="I1827" s="6">
        <v>0.2854</v>
      </c>
      <c r="J1827" s="6">
        <v>-0.0154</v>
      </c>
    </row>
    <row r="1828">
      <c r="A1828" s="5" t="s">
        <v>58</v>
      </c>
      <c r="B1828" s="5" t="s">
        <v>163</v>
      </c>
      <c r="C1828" s="5" t="s">
        <v>74</v>
      </c>
      <c r="D1828" s="6">
        <v>12.0</v>
      </c>
      <c r="E1828" s="6">
        <v>10918.0</v>
      </c>
      <c r="F1828" s="6">
        <v>12709.0</v>
      </c>
      <c r="G1828" s="6">
        <v>41622.0</v>
      </c>
      <c r="H1828" s="6">
        <v>0.2623</v>
      </c>
      <c r="I1828" s="6">
        <v>0.3053</v>
      </c>
      <c r="J1828" s="6">
        <v>-0.043</v>
      </c>
    </row>
    <row r="1829">
      <c r="A1829" s="5" t="s">
        <v>58</v>
      </c>
      <c r="B1829" s="5" t="s">
        <v>163</v>
      </c>
      <c r="C1829" s="5" t="s">
        <v>74</v>
      </c>
      <c r="D1829" s="6">
        <v>13.0</v>
      </c>
      <c r="E1829" s="6">
        <v>23612.0</v>
      </c>
      <c r="F1829" s="6">
        <v>19478.0</v>
      </c>
      <c r="G1829" s="6">
        <v>41622.0</v>
      </c>
      <c r="H1829" s="6">
        <v>0.5673</v>
      </c>
      <c r="I1829" s="6">
        <v>0.468</v>
      </c>
      <c r="J1829" s="6">
        <v>0.0993</v>
      </c>
    </row>
    <row r="1830">
      <c r="A1830" s="5" t="s">
        <v>58</v>
      </c>
      <c r="B1830" s="5" t="s">
        <v>163</v>
      </c>
      <c r="C1830" s="5" t="s">
        <v>74</v>
      </c>
      <c r="D1830" s="6">
        <v>14.0</v>
      </c>
      <c r="E1830" s="6">
        <v>14400.0</v>
      </c>
      <c r="F1830" s="6">
        <v>15281.0</v>
      </c>
      <c r="G1830" s="6">
        <v>41622.0</v>
      </c>
      <c r="H1830" s="6">
        <v>0.346</v>
      </c>
      <c r="I1830" s="6">
        <v>0.3671</v>
      </c>
      <c r="J1830" s="6">
        <v>-0.0212</v>
      </c>
    </row>
    <row r="1831">
      <c r="A1831" s="5" t="s">
        <v>58</v>
      </c>
      <c r="B1831" s="5" t="s">
        <v>163</v>
      </c>
      <c r="C1831" s="5" t="s">
        <v>74</v>
      </c>
      <c r="D1831" s="6">
        <v>15.0</v>
      </c>
      <c r="E1831" s="6">
        <v>9776.0</v>
      </c>
      <c r="F1831" s="6">
        <v>12318.0</v>
      </c>
      <c r="G1831" s="6">
        <v>41622.0</v>
      </c>
      <c r="H1831" s="6">
        <v>0.2349</v>
      </c>
      <c r="I1831" s="6">
        <v>0.2959</v>
      </c>
      <c r="J1831" s="6">
        <v>-0.0611</v>
      </c>
    </row>
    <row r="1832">
      <c r="A1832" s="5" t="s">
        <v>58</v>
      </c>
      <c r="B1832" s="5" t="s">
        <v>163</v>
      </c>
      <c r="C1832" s="5" t="s">
        <v>74</v>
      </c>
      <c r="D1832" s="6">
        <v>16.0</v>
      </c>
      <c r="E1832" s="6">
        <v>12971.0</v>
      </c>
      <c r="F1832" s="6">
        <v>12365.0</v>
      </c>
      <c r="G1832" s="6">
        <v>41622.0</v>
      </c>
      <c r="H1832" s="6">
        <v>0.3116</v>
      </c>
      <c r="I1832" s="6">
        <v>0.2971</v>
      </c>
      <c r="J1832" s="6">
        <v>0.0146</v>
      </c>
    </row>
    <row r="1833">
      <c r="A1833" s="5" t="s">
        <v>58</v>
      </c>
      <c r="B1833" s="5" t="s">
        <v>163</v>
      </c>
      <c r="C1833" s="5" t="s">
        <v>74</v>
      </c>
      <c r="D1833" s="6">
        <v>17.0</v>
      </c>
      <c r="E1833" s="6">
        <v>12436.0</v>
      </c>
      <c r="F1833" s="6">
        <v>12218.0</v>
      </c>
      <c r="G1833" s="6">
        <v>41622.0</v>
      </c>
      <c r="H1833" s="6">
        <v>0.2988</v>
      </c>
      <c r="I1833" s="6">
        <v>0.2935</v>
      </c>
      <c r="J1833" s="6">
        <v>0.0052</v>
      </c>
    </row>
    <row r="1834">
      <c r="A1834" s="5" t="s">
        <v>58</v>
      </c>
      <c r="B1834" s="5" t="s">
        <v>163</v>
      </c>
      <c r="C1834" s="5" t="s">
        <v>74</v>
      </c>
      <c r="D1834" s="6">
        <v>18.0</v>
      </c>
      <c r="E1834" s="6">
        <v>12545.0</v>
      </c>
      <c r="F1834" s="6">
        <v>12714.0</v>
      </c>
      <c r="G1834" s="6">
        <v>41622.0</v>
      </c>
      <c r="H1834" s="6">
        <v>0.3014</v>
      </c>
      <c r="I1834" s="6">
        <v>0.3055</v>
      </c>
      <c r="J1834" s="6">
        <v>-0.0041</v>
      </c>
    </row>
    <row r="1835">
      <c r="A1835" s="5" t="s">
        <v>58</v>
      </c>
      <c r="B1835" s="5" t="s">
        <v>163</v>
      </c>
      <c r="C1835" s="5" t="s">
        <v>74</v>
      </c>
      <c r="D1835" s="6">
        <v>19.0</v>
      </c>
      <c r="E1835" s="6">
        <v>12079.0</v>
      </c>
      <c r="F1835" s="6">
        <v>12789.0</v>
      </c>
      <c r="G1835" s="6">
        <v>41622.0</v>
      </c>
      <c r="H1835" s="6">
        <v>0.2902</v>
      </c>
      <c r="I1835" s="6">
        <v>0.3073</v>
      </c>
      <c r="J1835" s="6">
        <v>-0.0171</v>
      </c>
    </row>
    <row r="1836">
      <c r="A1836" s="5" t="s">
        <v>58</v>
      </c>
      <c r="B1836" s="5" t="s">
        <v>163</v>
      </c>
      <c r="C1836" s="5" t="s">
        <v>74</v>
      </c>
      <c r="D1836" s="6">
        <v>20.0</v>
      </c>
      <c r="E1836" s="6">
        <v>25707.0</v>
      </c>
      <c r="F1836" s="6">
        <v>20173.0</v>
      </c>
      <c r="G1836" s="6">
        <v>41622.0</v>
      </c>
      <c r="H1836" s="6">
        <v>0.6176</v>
      </c>
      <c r="I1836" s="6">
        <v>0.4847</v>
      </c>
      <c r="J1836" s="6">
        <v>0.133</v>
      </c>
    </row>
    <row r="1837">
      <c r="A1837" s="5" t="s">
        <v>58</v>
      </c>
      <c r="B1837" s="5" t="s">
        <v>163</v>
      </c>
      <c r="C1837" s="5" t="s">
        <v>74</v>
      </c>
      <c r="D1837" s="6">
        <v>21.0</v>
      </c>
      <c r="E1837" s="6">
        <v>16628.0</v>
      </c>
      <c r="F1837" s="6">
        <v>16520.0</v>
      </c>
      <c r="G1837" s="6">
        <v>41622.0</v>
      </c>
      <c r="H1837" s="6">
        <v>0.3995</v>
      </c>
      <c r="I1837" s="6">
        <v>0.3969</v>
      </c>
      <c r="J1837" s="6">
        <v>0.0026</v>
      </c>
    </row>
    <row r="1838">
      <c r="A1838" s="5" t="s">
        <v>58</v>
      </c>
      <c r="B1838" s="5" t="s">
        <v>163</v>
      </c>
      <c r="C1838" s="5" t="s">
        <v>74</v>
      </c>
      <c r="D1838" s="6">
        <v>22.0</v>
      </c>
      <c r="E1838" s="6">
        <v>11639.0</v>
      </c>
      <c r="F1838" s="6">
        <v>13342.0</v>
      </c>
      <c r="G1838" s="6">
        <v>41622.0</v>
      </c>
      <c r="H1838" s="6">
        <v>0.2796</v>
      </c>
      <c r="I1838" s="6">
        <v>0.3206</v>
      </c>
      <c r="J1838" s="6">
        <v>-0.0409</v>
      </c>
    </row>
    <row r="1839">
      <c r="A1839" s="5" t="s">
        <v>58</v>
      </c>
      <c r="B1839" s="5" t="s">
        <v>163</v>
      </c>
      <c r="C1839" s="5" t="s">
        <v>74</v>
      </c>
      <c r="D1839" s="6">
        <v>23.0</v>
      </c>
      <c r="E1839" s="6">
        <v>11206.0</v>
      </c>
      <c r="F1839" s="6">
        <v>12280.0</v>
      </c>
      <c r="G1839" s="6">
        <v>41622.0</v>
      </c>
      <c r="H1839" s="6">
        <v>0.2692</v>
      </c>
      <c r="I1839" s="6">
        <v>0.295</v>
      </c>
      <c r="J1839" s="6">
        <v>-0.0258</v>
      </c>
    </row>
    <row r="1840">
      <c r="A1840" s="5" t="s">
        <v>58</v>
      </c>
      <c r="B1840" s="5" t="s">
        <v>163</v>
      </c>
      <c r="C1840" s="5" t="s">
        <v>74</v>
      </c>
      <c r="D1840" s="6">
        <v>24.0</v>
      </c>
      <c r="E1840" s="6">
        <v>10807.0</v>
      </c>
      <c r="F1840" s="6">
        <v>11993.0</v>
      </c>
      <c r="G1840" s="6">
        <v>41622.0</v>
      </c>
      <c r="H1840" s="6">
        <v>0.2596</v>
      </c>
      <c r="I1840" s="6">
        <v>0.2881</v>
      </c>
      <c r="J1840" s="6">
        <v>-0.0285</v>
      </c>
    </row>
    <row r="1841">
      <c r="A1841" s="5" t="s">
        <v>58</v>
      </c>
      <c r="B1841" s="5" t="s">
        <v>163</v>
      </c>
      <c r="C1841" s="5" t="s">
        <v>74</v>
      </c>
      <c r="D1841" s="6">
        <v>25.0</v>
      </c>
      <c r="E1841" s="6">
        <v>11631.0</v>
      </c>
      <c r="F1841" s="6">
        <v>12255.0</v>
      </c>
      <c r="G1841" s="6">
        <v>41622.0</v>
      </c>
      <c r="H1841" s="6">
        <v>0.2794</v>
      </c>
      <c r="I1841" s="6">
        <v>0.2944</v>
      </c>
      <c r="J1841" s="6">
        <v>-0.015</v>
      </c>
    </row>
    <row r="1842">
      <c r="A1842" s="5" t="s">
        <v>58</v>
      </c>
      <c r="B1842" s="5" t="s">
        <v>163</v>
      </c>
      <c r="C1842" s="5" t="s">
        <v>74</v>
      </c>
      <c r="D1842" s="6">
        <v>26.0</v>
      </c>
      <c r="E1842" s="6">
        <v>11230.0</v>
      </c>
      <c r="F1842" s="6">
        <v>12817.0</v>
      </c>
      <c r="G1842" s="6">
        <v>41622.0</v>
      </c>
      <c r="H1842" s="6">
        <v>0.2698</v>
      </c>
      <c r="I1842" s="6">
        <v>0.3079</v>
      </c>
      <c r="J1842" s="6">
        <v>-0.0381</v>
      </c>
    </row>
    <row r="1843">
      <c r="A1843" s="5" t="s">
        <v>58</v>
      </c>
      <c r="B1843" s="5" t="s">
        <v>163</v>
      </c>
      <c r="C1843" s="5" t="s">
        <v>74</v>
      </c>
      <c r="D1843" s="6">
        <v>27.0</v>
      </c>
      <c r="E1843" s="6">
        <v>24089.0</v>
      </c>
      <c r="F1843" s="6">
        <v>19663.0</v>
      </c>
      <c r="G1843" s="6">
        <v>41622.0</v>
      </c>
      <c r="H1843" s="6">
        <v>0.5788</v>
      </c>
      <c r="I1843" s="6">
        <v>0.4724</v>
      </c>
      <c r="J1843" s="6">
        <v>0.1063</v>
      </c>
    </row>
    <row r="1844">
      <c r="A1844" s="5" t="s">
        <v>58</v>
      </c>
      <c r="B1844" s="5" t="s">
        <v>163</v>
      </c>
      <c r="C1844" s="5" t="s">
        <v>74</v>
      </c>
      <c r="D1844" s="6">
        <v>28.0</v>
      </c>
      <c r="E1844" s="6">
        <v>13125.0</v>
      </c>
      <c r="F1844" s="6">
        <v>14482.0</v>
      </c>
      <c r="G1844" s="6">
        <v>41622.0</v>
      </c>
      <c r="H1844" s="6">
        <v>0.3153</v>
      </c>
      <c r="I1844" s="6">
        <v>0.3479</v>
      </c>
      <c r="J1844" s="6">
        <v>-0.0326</v>
      </c>
    </row>
    <row r="1845">
      <c r="A1845" s="5" t="s">
        <v>58</v>
      </c>
      <c r="B1845" s="5" t="s">
        <v>163</v>
      </c>
      <c r="C1845" s="5" t="s">
        <v>74</v>
      </c>
      <c r="D1845" s="6">
        <v>29.0</v>
      </c>
      <c r="E1845" s="6">
        <v>9260.0</v>
      </c>
      <c r="F1845" s="6">
        <v>11895.0</v>
      </c>
      <c r="G1845" s="6">
        <v>41622.0</v>
      </c>
      <c r="H1845" s="6">
        <v>0.2225</v>
      </c>
      <c r="I1845" s="6">
        <v>0.2858</v>
      </c>
      <c r="J1845" s="6">
        <v>-0.0633</v>
      </c>
    </row>
    <row r="1846">
      <c r="A1846" s="5" t="s">
        <v>58</v>
      </c>
      <c r="B1846" s="5" t="s">
        <v>163</v>
      </c>
      <c r="C1846" s="5" t="s">
        <v>74</v>
      </c>
      <c r="D1846" s="6">
        <v>30.0</v>
      </c>
      <c r="E1846" s="6">
        <v>13316.0</v>
      </c>
      <c r="F1846" s="6">
        <v>12292.0</v>
      </c>
      <c r="G1846" s="6">
        <v>41622.0</v>
      </c>
      <c r="H1846" s="6">
        <v>0.3199</v>
      </c>
      <c r="I1846" s="6">
        <v>0.2953</v>
      </c>
      <c r="J1846" s="6">
        <v>0.0246</v>
      </c>
    </row>
    <row r="1847">
      <c r="A1847" s="5" t="s">
        <v>58</v>
      </c>
      <c r="B1847" s="5" t="s">
        <v>163</v>
      </c>
      <c r="C1847" s="5" t="s">
        <v>74</v>
      </c>
      <c r="D1847" s="6">
        <v>31.0</v>
      </c>
      <c r="E1847" s="6">
        <v>12251.0</v>
      </c>
      <c r="F1847" s="6">
        <v>12150.0</v>
      </c>
      <c r="G1847" s="6">
        <v>41622.0</v>
      </c>
      <c r="H1847" s="6">
        <v>0.2943</v>
      </c>
      <c r="I1847" s="6">
        <v>0.2919</v>
      </c>
      <c r="J1847" s="6">
        <v>0.0024</v>
      </c>
    </row>
    <row r="1848">
      <c r="A1848" s="5" t="s">
        <v>58</v>
      </c>
      <c r="B1848" s="5" t="s">
        <v>163</v>
      </c>
      <c r="C1848" s="5" t="s">
        <v>74</v>
      </c>
      <c r="D1848" s="6">
        <v>32.0</v>
      </c>
      <c r="E1848" s="6">
        <v>12341.0</v>
      </c>
      <c r="F1848" s="6">
        <v>12162.0</v>
      </c>
      <c r="G1848" s="6">
        <v>41622.0</v>
      </c>
      <c r="H1848" s="6">
        <v>0.2965</v>
      </c>
      <c r="I1848" s="6">
        <v>0.2922</v>
      </c>
      <c r="J1848" s="6">
        <v>0.0043</v>
      </c>
    </row>
    <row r="1849">
      <c r="A1849" s="5" t="s">
        <v>58</v>
      </c>
      <c r="B1849" s="5" t="s">
        <v>163</v>
      </c>
      <c r="C1849" s="5" t="s">
        <v>74</v>
      </c>
      <c r="D1849" s="6">
        <v>33.0</v>
      </c>
      <c r="E1849" s="6">
        <v>11640.0</v>
      </c>
      <c r="F1849" s="6">
        <v>12358.0</v>
      </c>
      <c r="G1849" s="6">
        <v>41622.0</v>
      </c>
      <c r="H1849" s="6">
        <v>0.2797</v>
      </c>
      <c r="I1849" s="6">
        <v>0.2969</v>
      </c>
      <c r="J1849" s="6">
        <v>-0.0173</v>
      </c>
    </row>
    <row r="1850">
      <c r="A1850" s="5" t="s">
        <v>58</v>
      </c>
      <c r="B1850" s="5" t="s">
        <v>163</v>
      </c>
      <c r="C1850" s="5" t="s">
        <v>69</v>
      </c>
      <c r="D1850" s="6">
        <v>1.0</v>
      </c>
      <c r="E1850" s="6">
        <v>26180.0</v>
      </c>
      <c r="F1850" s="6">
        <v>29849.0</v>
      </c>
      <c r="G1850" s="6">
        <v>45609.0</v>
      </c>
      <c r="H1850" s="6">
        <v>0.574</v>
      </c>
      <c r="I1850" s="6">
        <v>0.6545</v>
      </c>
      <c r="J1850" s="6">
        <v>-0.0804</v>
      </c>
    </row>
    <row r="1851">
      <c r="A1851" s="5" t="s">
        <v>58</v>
      </c>
      <c r="B1851" s="5" t="s">
        <v>163</v>
      </c>
      <c r="C1851" s="5" t="s">
        <v>69</v>
      </c>
      <c r="D1851" s="6">
        <v>2.0</v>
      </c>
      <c r="E1851" s="6">
        <v>25343.0</v>
      </c>
      <c r="F1851" s="6">
        <v>28223.0</v>
      </c>
      <c r="G1851" s="6">
        <v>45609.0</v>
      </c>
      <c r="H1851" s="6">
        <v>0.5557</v>
      </c>
      <c r="I1851" s="6">
        <v>0.6188</v>
      </c>
      <c r="J1851" s="6">
        <v>-0.0631</v>
      </c>
    </row>
    <row r="1852">
      <c r="A1852" s="5" t="s">
        <v>58</v>
      </c>
      <c r="B1852" s="5" t="s">
        <v>163</v>
      </c>
      <c r="C1852" s="5" t="s">
        <v>69</v>
      </c>
      <c r="D1852" s="6">
        <v>3.0</v>
      </c>
      <c r="E1852" s="6">
        <v>37513.0</v>
      </c>
      <c r="F1852" s="6">
        <v>33159.0</v>
      </c>
      <c r="G1852" s="6">
        <v>45609.0</v>
      </c>
      <c r="H1852" s="6">
        <v>0.8225</v>
      </c>
      <c r="I1852" s="6">
        <v>0.727</v>
      </c>
      <c r="J1852" s="6">
        <v>0.0955</v>
      </c>
    </row>
    <row r="1853">
      <c r="A1853" s="5" t="s">
        <v>58</v>
      </c>
      <c r="B1853" s="5" t="s">
        <v>163</v>
      </c>
      <c r="C1853" s="5" t="s">
        <v>69</v>
      </c>
      <c r="D1853" s="6">
        <v>4.0</v>
      </c>
      <c r="E1853" s="6">
        <v>29222.0</v>
      </c>
      <c r="F1853" s="6">
        <v>30720.0</v>
      </c>
      <c r="G1853" s="6">
        <v>45609.0</v>
      </c>
      <c r="H1853" s="6">
        <v>0.6407</v>
      </c>
      <c r="I1853" s="6">
        <v>0.6736</v>
      </c>
      <c r="J1853" s="6">
        <v>-0.0328</v>
      </c>
    </row>
    <row r="1854">
      <c r="A1854" s="5" t="s">
        <v>58</v>
      </c>
      <c r="B1854" s="5" t="s">
        <v>163</v>
      </c>
      <c r="C1854" s="5" t="s">
        <v>69</v>
      </c>
      <c r="D1854" s="6">
        <v>5.0</v>
      </c>
      <c r="E1854" s="6">
        <v>30169.0</v>
      </c>
      <c r="F1854" s="6">
        <v>33237.0</v>
      </c>
      <c r="G1854" s="6">
        <v>45609.0</v>
      </c>
      <c r="H1854" s="6">
        <v>0.6615</v>
      </c>
      <c r="I1854" s="6">
        <v>0.7287</v>
      </c>
      <c r="J1854" s="6">
        <v>-0.0673</v>
      </c>
    </row>
    <row r="1855">
      <c r="A1855" s="5" t="s">
        <v>58</v>
      </c>
      <c r="B1855" s="5" t="s">
        <v>163</v>
      </c>
      <c r="C1855" s="5" t="s">
        <v>69</v>
      </c>
      <c r="D1855" s="6">
        <v>6.0</v>
      </c>
      <c r="E1855" s="6">
        <v>35890.0</v>
      </c>
      <c r="F1855" s="6">
        <v>38303.0</v>
      </c>
      <c r="G1855" s="6">
        <v>45609.0</v>
      </c>
      <c r="H1855" s="6">
        <v>0.7869</v>
      </c>
      <c r="I1855" s="6">
        <v>0.8398</v>
      </c>
      <c r="J1855" s="6">
        <v>-0.0529</v>
      </c>
    </row>
    <row r="1856">
      <c r="A1856" s="5" t="s">
        <v>58</v>
      </c>
      <c r="B1856" s="5" t="s">
        <v>163</v>
      </c>
      <c r="C1856" s="5" t="s">
        <v>69</v>
      </c>
      <c r="D1856" s="6">
        <v>7.0</v>
      </c>
      <c r="E1856" s="6">
        <v>28862.0</v>
      </c>
      <c r="F1856" s="6">
        <v>32376.0</v>
      </c>
      <c r="G1856" s="6">
        <v>45609.0</v>
      </c>
      <c r="H1856" s="6">
        <v>0.6328</v>
      </c>
      <c r="I1856" s="6">
        <v>0.7099</v>
      </c>
      <c r="J1856" s="6">
        <v>-0.077</v>
      </c>
    </row>
    <row r="1857">
      <c r="A1857" s="5" t="s">
        <v>58</v>
      </c>
      <c r="B1857" s="5" t="s">
        <v>163</v>
      </c>
      <c r="C1857" s="5" t="s">
        <v>69</v>
      </c>
      <c r="D1857" s="6">
        <v>8.0</v>
      </c>
      <c r="E1857" s="6">
        <v>27511.0</v>
      </c>
      <c r="F1857" s="6">
        <v>30270.0</v>
      </c>
      <c r="G1857" s="6">
        <v>45609.0</v>
      </c>
      <c r="H1857" s="6">
        <v>0.6032</v>
      </c>
      <c r="I1857" s="6">
        <v>0.6637</v>
      </c>
      <c r="J1857" s="6">
        <v>-0.0605</v>
      </c>
    </row>
    <row r="1858">
      <c r="A1858" s="5" t="s">
        <v>58</v>
      </c>
      <c r="B1858" s="5" t="s">
        <v>163</v>
      </c>
      <c r="C1858" s="5" t="s">
        <v>69</v>
      </c>
      <c r="D1858" s="6">
        <v>9.0</v>
      </c>
      <c r="E1858" s="6">
        <v>23555.0</v>
      </c>
      <c r="F1858" s="6">
        <v>27708.0</v>
      </c>
      <c r="G1858" s="6">
        <v>45609.0</v>
      </c>
      <c r="H1858" s="6">
        <v>0.5165</v>
      </c>
      <c r="I1858" s="6">
        <v>0.6075</v>
      </c>
      <c r="J1858" s="6">
        <v>-0.0911</v>
      </c>
    </row>
    <row r="1859">
      <c r="A1859" s="5" t="s">
        <v>58</v>
      </c>
      <c r="B1859" s="5" t="s">
        <v>163</v>
      </c>
      <c r="C1859" s="5" t="s">
        <v>69</v>
      </c>
      <c r="D1859" s="6">
        <v>10.0</v>
      </c>
      <c r="E1859" s="6">
        <v>40492.0</v>
      </c>
      <c r="F1859" s="6">
        <v>34215.0</v>
      </c>
      <c r="G1859" s="6">
        <v>45609.0</v>
      </c>
      <c r="H1859" s="6">
        <v>0.8878</v>
      </c>
      <c r="I1859" s="6">
        <v>0.7502</v>
      </c>
      <c r="J1859" s="6">
        <v>0.1376</v>
      </c>
    </row>
    <row r="1860">
      <c r="A1860" s="5" t="s">
        <v>58</v>
      </c>
      <c r="B1860" s="5" t="s">
        <v>163</v>
      </c>
      <c r="C1860" s="5" t="s">
        <v>69</v>
      </c>
      <c r="D1860" s="6">
        <v>11.0</v>
      </c>
      <c r="E1860" s="6">
        <v>27561.0</v>
      </c>
      <c r="F1860" s="6">
        <v>30479.0</v>
      </c>
      <c r="G1860" s="6">
        <v>45609.0</v>
      </c>
      <c r="H1860" s="6">
        <v>0.6043</v>
      </c>
      <c r="I1860" s="6">
        <v>0.6683</v>
      </c>
      <c r="J1860" s="6">
        <v>-0.064</v>
      </c>
    </row>
    <row r="1861">
      <c r="A1861" s="5" t="s">
        <v>58</v>
      </c>
      <c r="B1861" s="5" t="s">
        <v>163</v>
      </c>
      <c r="C1861" s="5" t="s">
        <v>69</v>
      </c>
      <c r="D1861" s="6">
        <v>12.0</v>
      </c>
      <c r="E1861" s="6">
        <v>28219.0</v>
      </c>
      <c r="F1861" s="6">
        <v>32641.0</v>
      </c>
      <c r="G1861" s="6">
        <v>45609.0</v>
      </c>
      <c r="H1861" s="6">
        <v>0.6187</v>
      </c>
      <c r="I1861" s="6">
        <v>0.7157</v>
      </c>
      <c r="J1861" s="6">
        <v>-0.097</v>
      </c>
    </row>
    <row r="1862">
      <c r="A1862" s="5" t="s">
        <v>58</v>
      </c>
      <c r="B1862" s="5" t="s">
        <v>163</v>
      </c>
      <c r="C1862" s="5" t="s">
        <v>69</v>
      </c>
      <c r="D1862" s="6">
        <v>13.0</v>
      </c>
      <c r="E1862" s="6">
        <v>33029.0</v>
      </c>
      <c r="F1862" s="6">
        <v>37473.0</v>
      </c>
      <c r="G1862" s="6">
        <v>45609.0</v>
      </c>
      <c r="H1862" s="6">
        <v>0.7242</v>
      </c>
      <c r="I1862" s="6">
        <v>0.8216</v>
      </c>
      <c r="J1862" s="6">
        <v>-0.0974</v>
      </c>
    </row>
    <row r="1863">
      <c r="A1863" s="5" t="s">
        <v>58</v>
      </c>
      <c r="B1863" s="5" t="s">
        <v>163</v>
      </c>
      <c r="C1863" s="5" t="s">
        <v>69</v>
      </c>
      <c r="D1863" s="6">
        <v>14.0</v>
      </c>
      <c r="E1863" s="6">
        <v>26093.0</v>
      </c>
      <c r="F1863" s="6">
        <v>31520.0</v>
      </c>
      <c r="G1863" s="6">
        <v>45609.0</v>
      </c>
      <c r="H1863" s="6">
        <v>0.5721</v>
      </c>
      <c r="I1863" s="6">
        <v>0.6911</v>
      </c>
      <c r="J1863" s="6">
        <v>-0.119</v>
      </c>
    </row>
    <row r="1864">
      <c r="A1864" s="5" t="s">
        <v>58</v>
      </c>
      <c r="B1864" s="5" t="s">
        <v>163</v>
      </c>
      <c r="C1864" s="5" t="s">
        <v>69</v>
      </c>
      <c r="D1864" s="6">
        <v>15.0</v>
      </c>
      <c r="E1864" s="6">
        <v>25454.0</v>
      </c>
      <c r="F1864" s="6">
        <v>29485.0</v>
      </c>
      <c r="G1864" s="6">
        <v>45609.0</v>
      </c>
      <c r="H1864" s="6">
        <v>0.5581</v>
      </c>
      <c r="I1864" s="6">
        <v>0.6465</v>
      </c>
      <c r="J1864" s="6">
        <v>-0.0884</v>
      </c>
    </row>
    <row r="1865">
      <c r="A1865" s="5" t="s">
        <v>58</v>
      </c>
      <c r="B1865" s="5" t="s">
        <v>163</v>
      </c>
      <c r="C1865" s="5" t="s">
        <v>69</v>
      </c>
      <c r="D1865" s="6">
        <v>16.0</v>
      </c>
      <c r="E1865" s="6">
        <v>24154.0</v>
      </c>
      <c r="F1865" s="6">
        <v>27076.0</v>
      </c>
      <c r="G1865" s="6">
        <v>45609.0</v>
      </c>
      <c r="H1865" s="6">
        <v>0.5296</v>
      </c>
      <c r="I1865" s="6">
        <v>0.5937</v>
      </c>
      <c r="J1865" s="6">
        <v>-0.0641</v>
      </c>
    </row>
    <row r="1866">
      <c r="A1866" s="5" t="s">
        <v>58</v>
      </c>
      <c r="B1866" s="5" t="s">
        <v>163</v>
      </c>
      <c r="C1866" s="5" t="s">
        <v>69</v>
      </c>
      <c r="D1866" s="6">
        <v>17.0</v>
      </c>
      <c r="E1866" s="6">
        <v>38652.0</v>
      </c>
      <c r="F1866" s="6">
        <v>33743.0</v>
      </c>
      <c r="G1866" s="6">
        <v>45609.0</v>
      </c>
      <c r="H1866" s="6">
        <v>0.8475</v>
      </c>
      <c r="I1866" s="6">
        <v>0.7398</v>
      </c>
      <c r="J1866" s="6">
        <v>0.1076</v>
      </c>
    </row>
    <row r="1867">
      <c r="A1867" s="5" t="s">
        <v>58</v>
      </c>
      <c r="B1867" s="5" t="s">
        <v>163</v>
      </c>
      <c r="C1867" s="5" t="s">
        <v>69</v>
      </c>
      <c r="D1867" s="6">
        <v>18.0</v>
      </c>
      <c r="E1867" s="6">
        <v>28322.0</v>
      </c>
      <c r="F1867" s="6">
        <v>30464.0</v>
      </c>
      <c r="G1867" s="6">
        <v>45609.0</v>
      </c>
      <c r="H1867" s="6">
        <v>0.621</v>
      </c>
      <c r="I1867" s="6">
        <v>0.6679</v>
      </c>
      <c r="J1867" s="6">
        <v>-0.047</v>
      </c>
    </row>
    <row r="1868">
      <c r="A1868" s="5" t="s">
        <v>58</v>
      </c>
      <c r="B1868" s="5" t="s">
        <v>163</v>
      </c>
      <c r="C1868" s="5" t="s">
        <v>69</v>
      </c>
      <c r="D1868" s="6">
        <v>19.0</v>
      </c>
      <c r="E1868" s="6">
        <v>28372.0</v>
      </c>
      <c r="F1868" s="6">
        <v>31918.0</v>
      </c>
      <c r="G1868" s="6">
        <v>45609.0</v>
      </c>
      <c r="H1868" s="6">
        <v>0.6221</v>
      </c>
      <c r="I1868" s="6">
        <v>0.6998</v>
      </c>
      <c r="J1868" s="6">
        <v>-0.0777</v>
      </c>
    </row>
    <row r="1869">
      <c r="A1869" s="5" t="s">
        <v>58</v>
      </c>
      <c r="B1869" s="5" t="s">
        <v>163</v>
      </c>
      <c r="C1869" s="5" t="s">
        <v>69</v>
      </c>
      <c r="D1869" s="6">
        <v>20.0</v>
      </c>
      <c r="E1869" s="6">
        <v>35272.0</v>
      </c>
      <c r="F1869" s="6">
        <v>37644.0</v>
      </c>
      <c r="G1869" s="6">
        <v>45609.0</v>
      </c>
      <c r="H1869" s="6">
        <v>0.7734</v>
      </c>
      <c r="I1869" s="6">
        <v>0.8254</v>
      </c>
      <c r="J1869" s="6">
        <v>-0.052</v>
      </c>
    </row>
    <row r="1870">
      <c r="A1870" s="5" t="s">
        <v>58</v>
      </c>
      <c r="B1870" s="5" t="s">
        <v>163</v>
      </c>
      <c r="C1870" s="5" t="s">
        <v>69</v>
      </c>
      <c r="D1870" s="6">
        <v>21.0</v>
      </c>
      <c r="E1870" s="6">
        <v>52368.0</v>
      </c>
      <c r="F1870" s="6">
        <v>40620.0</v>
      </c>
      <c r="G1870" s="6">
        <v>45609.0</v>
      </c>
      <c r="H1870" s="6">
        <v>1.1482</v>
      </c>
      <c r="I1870" s="6">
        <v>0.8906</v>
      </c>
      <c r="J1870" s="6">
        <v>0.2576</v>
      </c>
    </row>
    <row r="1871">
      <c r="A1871" s="5" t="s">
        <v>58</v>
      </c>
      <c r="B1871" s="5" t="s">
        <v>163</v>
      </c>
      <c r="C1871" s="5" t="s">
        <v>69</v>
      </c>
      <c r="D1871" s="6">
        <v>22.0</v>
      </c>
      <c r="E1871" s="6">
        <v>40982.0</v>
      </c>
      <c r="F1871" s="6">
        <v>38652.0</v>
      </c>
      <c r="G1871" s="6">
        <v>45609.0</v>
      </c>
      <c r="H1871" s="6">
        <v>0.8986</v>
      </c>
      <c r="I1871" s="6">
        <v>0.8475</v>
      </c>
      <c r="J1871" s="6">
        <v>0.0511</v>
      </c>
    </row>
    <row r="1872">
      <c r="A1872" s="5" t="s">
        <v>58</v>
      </c>
      <c r="B1872" s="5" t="s">
        <v>163</v>
      </c>
      <c r="C1872" s="5" t="s">
        <v>69</v>
      </c>
      <c r="D1872" s="6">
        <v>23.0</v>
      </c>
      <c r="E1872" s="6">
        <v>33912.0</v>
      </c>
      <c r="F1872" s="6">
        <v>36230.0</v>
      </c>
      <c r="G1872" s="6">
        <v>45609.0</v>
      </c>
      <c r="H1872" s="6">
        <v>0.7435</v>
      </c>
      <c r="I1872" s="6">
        <v>0.7944</v>
      </c>
      <c r="J1872" s="6">
        <v>-0.0508</v>
      </c>
    </row>
    <row r="1873">
      <c r="A1873" s="5" t="s">
        <v>58</v>
      </c>
      <c r="B1873" s="5" t="s">
        <v>163</v>
      </c>
      <c r="C1873" s="5" t="s">
        <v>69</v>
      </c>
      <c r="D1873" s="6">
        <v>24.0</v>
      </c>
      <c r="E1873" s="6">
        <v>48822.0</v>
      </c>
      <c r="F1873" s="6">
        <v>40746.0</v>
      </c>
      <c r="G1873" s="6">
        <v>45609.0</v>
      </c>
      <c r="H1873" s="6">
        <v>1.0704</v>
      </c>
      <c r="I1873" s="6">
        <v>0.8934</v>
      </c>
      <c r="J1873" s="6">
        <v>0.1771</v>
      </c>
    </row>
    <row r="1874">
      <c r="A1874" s="5" t="s">
        <v>58</v>
      </c>
      <c r="B1874" s="5" t="s">
        <v>163</v>
      </c>
      <c r="C1874" s="5" t="s">
        <v>69</v>
      </c>
      <c r="D1874" s="6">
        <v>25.0</v>
      </c>
      <c r="E1874" s="6">
        <v>35834.0</v>
      </c>
      <c r="F1874" s="6">
        <v>37505.0</v>
      </c>
      <c r="G1874" s="6">
        <v>45609.0</v>
      </c>
      <c r="H1874" s="6">
        <v>0.7857</v>
      </c>
      <c r="I1874" s="6">
        <v>0.8223</v>
      </c>
      <c r="J1874" s="6">
        <v>-0.0366</v>
      </c>
    </row>
    <row r="1875">
      <c r="A1875" s="5" t="s">
        <v>58</v>
      </c>
      <c r="B1875" s="5" t="s">
        <v>163</v>
      </c>
      <c r="C1875" s="5" t="s">
        <v>69</v>
      </c>
      <c r="D1875" s="6">
        <v>26.0</v>
      </c>
      <c r="E1875" s="6">
        <v>33752.0</v>
      </c>
      <c r="F1875" s="6">
        <v>38058.0</v>
      </c>
      <c r="G1875" s="6">
        <v>45609.0</v>
      </c>
      <c r="H1875" s="6">
        <v>0.74</v>
      </c>
      <c r="I1875" s="6">
        <v>0.8344</v>
      </c>
      <c r="J1875" s="6">
        <v>-0.0944</v>
      </c>
    </row>
    <row r="1876">
      <c r="A1876" s="5" t="s">
        <v>58</v>
      </c>
      <c r="B1876" s="5" t="s">
        <v>163</v>
      </c>
      <c r="C1876" s="5" t="s">
        <v>69</v>
      </c>
      <c r="D1876" s="6">
        <v>27.0</v>
      </c>
      <c r="E1876" s="6">
        <v>38088.0</v>
      </c>
      <c r="F1876" s="6">
        <v>38487.0</v>
      </c>
      <c r="G1876" s="6">
        <v>45609.0</v>
      </c>
      <c r="H1876" s="6">
        <v>0.8351</v>
      </c>
      <c r="I1876" s="6">
        <v>0.8438</v>
      </c>
      <c r="J1876" s="6">
        <v>-0.0087</v>
      </c>
    </row>
    <row r="1877">
      <c r="A1877" s="5" t="s">
        <v>58</v>
      </c>
      <c r="B1877" s="5" t="s">
        <v>163</v>
      </c>
      <c r="C1877" s="5" t="s">
        <v>69</v>
      </c>
      <c r="D1877" s="6">
        <v>28.0</v>
      </c>
      <c r="E1877" s="6">
        <v>26937.0</v>
      </c>
      <c r="F1877" s="6">
        <v>31768.0</v>
      </c>
      <c r="G1877" s="6">
        <v>45609.0</v>
      </c>
      <c r="H1877" s="6">
        <v>0.5906</v>
      </c>
      <c r="I1877" s="6">
        <v>0.6965</v>
      </c>
      <c r="J1877" s="6">
        <v>-0.1059</v>
      </c>
    </row>
    <row r="1878">
      <c r="A1878" s="5" t="s">
        <v>58</v>
      </c>
      <c r="B1878" s="5" t="s">
        <v>163</v>
      </c>
      <c r="C1878" s="5" t="s">
        <v>69</v>
      </c>
      <c r="D1878" s="6">
        <v>29.0</v>
      </c>
      <c r="E1878" s="6">
        <v>25419.0</v>
      </c>
      <c r="F1878" s="6">
        <v>30040.0</v>
      </c>
      <c r="G1878" s="6">
        <v>45609.0</v>
      </c>
      <c r="H1878" s="6">
        <v>0.5573</v>
      </c>
      <c r="I1878" s="6">
        <v>0.6586</v>
      </c>
      <c r="J1878" s="6">
        <v>-0.1013</v>
      </c>
    </row>
    <row r="1879">
      <c r="A1879" s="5" t="s">
        <v>58</v>
      </c>
      <c r="B1879" s="5" t="s">
        <v>163</v>
      </c>
      <c r="C1879" s="5" t="s">
        <v>69</v>
      </c>
      <c r="D1879" s="6">
        <v>30.0</v>
      </c>
      <c r="E1879" s="6">
        <v>25364.0</v>
      </c>
      <c r="F1879" s="6">
        <v>27610.0</v>
      </c>
      <c r="G1879" s="6">
        <v>45609.0</v>
      </c>
      <c r="H1879" s="6">
        <v>0.5561</v>
      </c>
      <c r="I1879" s="6">
        <v>0.6054</v>
      </c>
      <c r="J1879" s="6">
        <v>-0.0492</v>
      </c>
    </row>
    <row r="1880">
      <c r="A1880" s="5" t="s">
        <v>58</v>
      </c>
      <c r="B1880" s="5" t="s">
        <v>163</v>
      </c>
      <c r="C1880" s="5" t="s">
        <v>69</v>
      </c>
      <c r="D1880" s="6">
        <v>31.0</v>
      </c>
      <c r="E1880" s="6">
        <v>39473.0</v>
      </c>
      <c r="F1880" s="6">
        <v>32268.0</v>
      </c>
      <c r="G1880" s="6">
        <v>45609.0</v>
      </c>
      <c r="H1880" s="6">
        <v>0.8655</v>
      </c>
      <c r="I1880" s="6">
        <v>0.7075</v>
      </c>
      <c r="J1880" s="6">
        <v>0.158</v>
      </c>
    </row>
    <row r="1881">
      <c r="A1881" s="5" t="s">
        <v>58</v>
      </c>
      <c r="B1881" s="5" t="s">
        <v>163</v>
      </c>
      <c r="C1881" s="5" t="s">
        <v>69</v>
      </c>
      <c r="D1881" s="6">
        <v>32.0</v>
      </c>
      <c r="E1881" s="6">
        <v>29528.0</v>
      </c>
      <c r="F1881" s="6">
        <v>30209.0</v>
      </c>
      <c r="G1881" s="6">
        <v>45609.0</v>
      </c>
      <c r="H1881" s="6">
        <v>0.6474</v>
      </c>
      <c r="I1881" s="6">
        <v>0.6623</v>
      </c>
      <c r="J1881" s="6">
        <v>-0.0149</v>
      </c>
    </row>
    <row r="1882">
      <c r="A1882" s="5" t="s">
        <v>58</v>
      </c>
      <c r="B1882" s="5" t="s">
        <v>163</v>
      </c>
      <c r="C1882" s="5" t="s">
        <v>69</v>
      </c>
      <c r="D1882" s="6">
        <v>33.0</v>
      </c>
      <c r="E1882" s="6">
        <v>28852.0</v>
      </c>
      <c r="F1882" s="6">
        <v>31347.0</v>
      </c>
      <c r="G1882" s="6">
        <v>45609.0</v>
      </c>
      <c r="H1882" s="6">
        <v>0.6326</v>
      </c>
      <c r="I1882" s="6">
        <v>0.6873</v>
      </c>
      <c r="J1882" s="6">
        <v>-0.0547</v>
      </c>
    </row>
    <row r="1883">
      <c r="A1883" s="5" t="s">
        <v>58</v>
      </c>
      <c r="B1883" s="5" t="s">
        <v>163</v>
      </c>
      <c r="C1883" s="5" t="s">
        <v>70</v>
      </c>
      <c r="D1883" s="6">
        <v>1.0</v>
      </c>
      <c r="E1883" s="6">
        <v>27287.0</v>
      </c>
      <c r="F1883" s="6">
        <v>30210.0</v>
      </c>
      <c r="G1883" s="6">
        <v>45644.0</v>
      </c>
      <c r="H1883" s="6">
        <v>0.5978</v>
      </c>
      <c r="I1883" s="6">
        <v>0.6619</v>
      </c>
      <c r="J1883" s="6">
        <v>-0.064</v>
      </c>
    </row>
    <row r="1884">
      <c r="A1884" s="5" t="s">
        <v>58</v>
      </c>
      <c r="B1884" s="5" t="s">
        <v>163</v>
      </c>
      <c r="C1884" s="5" t="s">
        <v>70</v>
      </c>
      <c r="D1884" s="6">
        <v>2.0</v>
      </c>
      <c r="E1884" s="6">
        <v>26173.0</v>
      </c>
      <c r="F1884" s="6">
        <v>28934.0</v>
      </c>
      <c r="G1884" s="6">
        <v>45644.0</v>
      </c>
      <c r="H1884" s="6">
        <v>0.5734</v>
      </c>
      <c r="I1884" s="6">
        <v>0.6339</v>
      </c>
      <c r="J1884" s="6">
        <v>-0.0605</v>
      </c>
    </row>
    <row r="1885">
      <c r="A1885" s="5" t="s">
        <v>58</v>
      </c>
      <c r="B1885" s="5" t="s">
        <v>163</v>
      </c>
      <c r="C1885" s="5" t="s">
        <v>70</v>
      </c>
      <c r="D1885" s="6">
        <v>3.0</v>
      </c>
      <c r="E1885" s="6">
        <v>36297.0</v>
      </c>
      <c r="F1885" s="6">
        <v>32532.0</v>
      </c>
      <c r="G1885" s="6">
        <v>45644.0</v>
      </c>
      <c r="H1885" s="6">
        <v>0.7952</v>
      </c>
      <c r="I1885" s="6">
        <v>0.7127</v>
      </c>
      <c r="J1885" s="6">
        <v>0.0825</v>
      </c>
    </row>
    <row r="1886">
      <c r="A1886" s="5" t="s">
        <v>58</v>
      </c>
      <c r="B1886" s="5" t="s">
        <v>163</v>
      </c>
      <c r="C1886" s="5" t="s">
        <v>70</v>
      </c>
      <c r="D1886" s="6">
        <v>4.0</v>
      </c>
      <c r="E1886" s="6">
        <v>29153.0</v>
      </c>
      <c r="F1886" s="6">
        <v>30348.0</v>
      </c>
      <c r="G1886" s="6">
        <v>45644.0</v>
      </c>
      <c r="H1886" s="6">
        <v>0.6387</v>
      </c>
      <c r="I1886" s="6">
        <v>0.6649</v>
      </c>
      <c r="J1886" s="6">
        <v>-0.0262</v>
      </c>
    </row>
    <row r="1887">
      <c r="A1887" s="5" t="s">
        <v>58</v>
      </c>
      <c r="B1887" s="5" t="s">
        <v>163</v>
      </c>
      <c r="C1887" s="5" t="s">
        <v>70</v>
      </c>
      <c r="D1887" s="6">
        <v>5.0</v>
      </c>
      <c r="E1887" s="6">
        <v>29913.0</v>
      </c>
      <c r="F1887" s="6">
        <v>32733.0</v>
      </c>
      <c r="G1887" s="6">
        <v>45644.0</v>
      </c>
      <c r="H1887" s="6">
        <v>0.6554</v>
      </c>
      <c r="I1887" s="6">
        <v>0.7171</v>
      </c>
      <c r="J1887" s="6">
        <v>-0.0618</v>
      </c>
    </row>
    <row r="1888">
      <c r="A1888" s="5" t="s">
        <v>58</v>
      </c>
      <c r="B1888" s="5" t="s">
        <v>163</v>
      </c>
      <c r="C1888" s="5" t="s">
        <v>70</v>
      </c>
      <c r="D1888" s="6">
        <v>6.0</v>
      </c>
      <c r="E1888" s="6">
        <v>41468.0</v>
      </c>
      <c r="F1888" s="6">
        <v>39684.0</v>
      </c>
      <c r="G1888" s="6">
        <v>45644.0</v>
      </c>
      <c r="H1888" s="6">
        <v>0.9085</v>
      </c>
      <c r="I1888" s="6">
        <v>0.8694</v>
      </c>
      <c r="J1888" s="6">
        <v>0.0391</v>
      </c>
    </row>
    <row r="1889">
      <c r="A1889" s="5" t="s">
        <v>58</v>
      </c>
      <c r="B1889" s="5" t="s">
        <v>163</v>
      </c>
      <c r="C1889" s="5" t="s">
        <v>70</v>
      </c>
      <c r="D1889" s="6">
        <v>7.0</v>
      </c>
      <c r="E1889" s="6">
        <v>28984.0</v>
      </c>
      <c r="F1889" s="6">
        <v>32963.0</v>
      </c>
      <c r="G1889" s="6">
        <v>45644.0</v>
      </c>
      <c r="H1889" s="6">
        <v>0.635</v>
      </c>
      <c r="I1889" s="6">
        <v>0.7222</v>
      </c>
      <c r="J1889" s="6">
        <v>-0.0872</v>
      </c>
    </row>
    <row r="1890">
      <c r="A1890" s="5" t="s">
        <v>58</v>
      </c>
      <c r="B1890" s="5" t="s">
        <v>163</v>
      </c>
      <c r="C1890" s="5" t="s">
        <v>70</v>
      </c>
      <c r="D1890" s="6">
        <v>8.0</v>
      </c>
      <c r="E1890" s="6">
        <v>25996.0</v>
      </c>
      <c r="F1890" s="6">
        <v>29649.0</v>
      </c>
      <c r="G1890" s="6">
        <v>45644.0</v>
      </c>
      <c r="H1890" s="6">
        <v>0.5695</v>
      </c>
      <c r="I1890" s="6">
        <v>0.6496</v>
      </c>
      <c r="J1890" s="6">
        <v>-0.08</v>
      </c>
    </row>
    <row r="1891">
      <c r="A1891" s="5" t="s">
        <v>58</v>
      </c>
      <c r="B1891" s="5" t="s">
        <v>163</v>
      </c>
      <c r="C1891" s="5" t="s">
        <v>70</v>
      </c>
      <c r="D1891" s="6">
        <v>9.0</v>
      </c>
      <c r="E1891" s="6">
        <v>22276.0</v>
      </c>
      <c r="F1891" s="6">
        <v>26581.0</v>
      </c>
      <c r="G1891" s="6">
        <v>45644.0</v>
      </c>
      <c r="H1891" s="6">
        <v>0.488</v>
      </c>
      <c r="I1891" s="6">
        <v>0.5824</v>
      </c>
      <c r="J1891" s="6">
        <v>-0.0943</v>
      </c>
    </row>
    <row r="1892">
      <c r="A1892" s="5" t="s">
        <v>58</v>
      </c>
      <c r="B1892" s="5" t="s">
        <v>163</v>
      </c>
      <c r="C1892" s="5" t="s">
        <v>70</v>
      </c>
      <c r="D1892" s="6">
        <v>10.0</v>
      </c>
      <c r="E1892" s="6">
        <v>38443.0</v>
      </c>
      <c r="F1892" s="6">
        <v>33007.0</v>
      </c>
      <c r="G1892" s="6">
        <v>45644.0</v>
      </c>
      <c r="H1892" s="6">
        <v>0.8422</v>
      </c>
      <c r="I1892" s="6">
        <v>0.7231</v>
      </c>
      <c r="J1892" s="6">
        <v>0.1191</v>
      </c>
    </row>
    <row r="1893">
      <c r="A1893" s="5" t="s">
        <v>58</v>
      </c>
      <c r="B1893" s="5" t="s">
        <v>163</v>
      </c>
      <c r="C1893" s="5" t="s">
        <v>70</v>
      </c>
      <c r="D1893" s="6">
        <v>11.0</v>
      </c>
      <c r="E1893" s="6">
        <v>27765.0</v>
      </c>
      <c r="F1893" s="6">
        <v>29935.0</v>
      </c>
      <c r="G1893" s="6">
        <v>45644.0</v>
      </c>
      <c r="H1893" s="6">
        <v>0.6083</v>
      </c>
      <c r="I1893" s="6">
        <v>0.6558</v>
      </c>
      <c r="J1893" s="6">
        <v>-0.0475</v>
      </c>
    </row>
    <row r="1894">
      <c r="A1894" s="5" t="s">
        <v>58</v>
      </c>
      <c r="B1894" s="5" t="s">
        <v>163</v>
      </c>
      <c r="C1894" s="5" t="s">
        <v>70</v>
      </c>
      <c r="D1894" s="6">
        <v>12.0</v>
      </c>
      <c r="E1894" s="6">
        <v>28219.0</v>
      </c>
      <c r="F1894" s="6">
        <v>31897.0</v>
      </c>
      <c r="G1894" s="6">
        <v>45644.0</v>
      </c>
      <c r="H1894" s="6">
        <v>0.6182</v>
      </c>
      <c r="I1894" s="6">
        <v>0.6988</v>
      </c>
      <c r="J1894" s="6">
        <v>-0.0806</v>
      </c>
    </row>
    <row r="1895">
      <c r="A1895" s="5" t="s">
        <v>58</v>
      </c>
      <c r="B1895" s="5" t="s">
        <v>163</v>
      </c>
      <c r="C1895" s="5" t="s">
        <v>70</v>
      </c>
      <c r="D1895" s="6">
        <v>13.0</v>
      </c>
      <c r="E1895" s="6">
        <v>40531.0</v>
      </c>
      <c r="F1895" s="6">
        <v>39442.0</v>
      </c>
      <c r="G1895" s="6">
        <v>45644.0</v>
      </c>
      <c r="H1895" s="6">
        <v>0.888</v>
      </c>
      <c r="I1895" s="6">
        <v>0.8641</v>
      </c>
      <c r="J1895" s="6">
        <v>0.0239</v>
      </c>
    </row>
    <row r="1896">
      <c r="A1896" s="5" t="s">
        <v>58</v>
      </c>
      <c r="B1896" s="5" t="s">
        <v>163</v>
      </c>
      <c r="C1896" s="5" t="s">
        <v>70</v>
      </c>
      <c r="D1896" s="6">
        <v>14.0</v>
      </c>
      <c r="E1896" s="6">
        <v>27349.0</v>
      </c>
      <c r="F1896" s="6">
        <v>32800.0</v>
      </c>
      <c r="G1896" s="6">
        <v>45644.0</v>
      </c>
      <c r="H1896" s="6">
        <v>0.5992</v>
      </c>
      <c r="I1896" s="6">
        <v>0.7186</v>
      </c>
      <c r="J1896" s="6">
        <v>-0.1194</v>
      </c>
    </row>
    <row r="1897">
      <c r="A1897" s="5" t="s">
        <v>58</v>
      </c>
      <c r="B1897" s="5" t="s">
        <v>163</v>
      </c>
      <c r="C1897" s="5" t="s">
        <v>70</v>
      </c>
      <c r="D1897" s="6">
        <v>15.0</v>
      </c>
      <c r="E1897" s="6">
        <v>24392.0</v>
      </c>
      <c r="F1897" s="6">
        <v>29304.0</v>
      </c>
      <c r="G1897" s="6">
        <v>45644.0</v>
      </c>
      <c r="H1897" s="6">
        <v>0.5344</v>
      </c>
      <c r="I1897" s="6">
        <v>0.642</v>
      </c>
      <c r="J1897" s="6">
        <v>-0.1076</v>
      </c>
    </row>
    <row r="1898">
      <c r="A1898" s="5" t="s">
        <v>58</v>
      </c>
      <c r="B1898" s="5" t="s">
        <v>163</v>
      </c>
      <c r="C1898" s="5" t="s">
        <v>70</v>
      </c>
      <c r="D1898" s="6">
        <v>16.0</v>
      </c>
      <c r="E1898" s="6">
        <v>23402.0</v>
      </c>
      <c r="F1898" s="6">
        <v>26668.0</v>
      </c>
      <c r="G1898" s="6">
        <v>45644.0</v>
      </c>
      <c r="H1898" s="6">
        <v>0.5127</v>
      </c>
      <c r="I1898" s="6">
        <v>0.5843</v>
      </c>
      <c r="J1898" s="6">
        <v>-0.0716</v>
      </c>
    </row>
    <row r="1899">
      <c r="A1899" s="5" t="s">
        <v>58</v>
      </c>
      <c r="B1899" s="5" t="s">
        <v>163</v>
      </c>
      <c r="C1899" s="5" t="s">
        <v>70</v>
      </c>
      <c r="D1899" s="6">
        <v>17.0</v>
      </c>
      <c r="E1899" s="6">
        <v>36491.0</v>
      </c>
      <c r="F1899" s="6">
        <v>32919.0</v>
      </c>
      <c r="G1899" s="6">
        <v>45644.0</v>
      </c>
      <c r="H1899" s="6">
        <v>0.7995</v>
      </c>
      <c r="I1899" s="6">
        <v>0.7212</v>
      </c>
      <c r="J1899" s="6">
        <v>0.0783</v>
      </c>
    </row>
    <row r="1900">
      <c r="A1900" s="5" t="s">
        <v>58</v>
      </c>
      <c r="B1900" s="5" t="s">
        <v>163</v>
      </c>
      <c r="C1900" s="5" t="s">
        <v>70</v>
      </c>
      <c r="D1900" s="6">
        <v>18.0</v>
      </c>
      <c r="E1900" s="6">
        <v>27649.0</v>
      </c>
      <c r="F1900" s="6">
        <v>29828.0</v>
      </c>
      <c r="G1900" s="6">
        <v>45644.0</v>
      </c>
      <c r="H1900" s="6">
        <v>0.6058</v>
      </c>
      <c r="I1900" s="6">
        <v>0.6535</v>
      </c>
      <c r="J1900" s="6">
        <v>-0.0477</v>
      </c>
    </row>
    <row r="1901">
      <c r="A1901" s="5" t="s">
        <v>58</v>
      </c>
      <c r="B1901" s="5" t="s">
        <v>163</v>
      </c>
      <c r="C1901" s="5" t="s">
        <v>70</v>
      </c>
      <c r="D1901" s="6">
        <v>19.0</v>
      </c>
      <c r="E1901" s="6">
        <v>27552.0</v>
      </c>
      <c r="F1901" s="6">
        <v>31149.0</v>
      </c>
      <c r="G1901" s="6">
        <v>45644.0</v>
      </c>
      <c r="H1901" s="6">
        <v>0.6036</v>
      </c>
      <c r="I1901" s="6">
        <v>0.6824</v>
      </c>
      <c r="J1901" s="6">
        <v>-0.0788</v>
      </c>
    </row>
    <row r="1902">
      <c r="A1902" s="5" t="s">
        <v>58</v>
      </c>
      <c r="B1902" s="5" t="s">
        <v>163</v>
      </c>
      <c r="C1902" s="5" t="s">
        <v>70</v>
      </c>
      <c r="D1902" s="6">
        <v>20.0</v>
      </c>
      <c r="E1902" s="6">
        <v>41747.0</v>
      </c>
      <c r="F1902" s="6">
        <v>39394.0</v>
      </c>
      <c r="G1902" s="6">
        <v>45644.0</v>
      </c>
      <c r="H1902" s="6">
        <v>0.9146</v>
      </c>
      <c r="I1902" s="6">
        <v>0.8631</v>
      </c>
      <c r="J1902" s="6">
        <v>0.0516</v>
      </c>
    </row>
    <row r="1903">
      <c r="A1903" s="5" t="s">
        <v>58</v>
      </c>
      <c r="B1903" s="5" t="s">
        <v>163</v>
      </c>
      <c r="C1903" s="5" t="s">
        <v>70</v>
      </c>
      <c r="D1903" s="6">
        <v>21.0</v>
      </c>
      <c r="E1903" s="6">
        <v>61136.0</v>
      </c>
      <c r="F1903" s="6">
        <v>42398.0</v>
      </c>
      <c r="G1903" s="6">
        <v>45644.0</v>
      </c>
      <c r="H1903" s="6">
        <v>1.3394</v>
      </c>
      <c r="I1903" s="6">
        <v>0.9289</v>
      </c>
      <c r="J1903" s="6">
        <v>0.4105</v>
      </c>
    </row>
    <row r="1904">
      <c r="A1904" s="5" t="s">
        <v>58</v>
      </c>
      <c r="B1904" s="5" t="s">
        <v>163</v>
      </c>
      <c r="C1904" s="5" t="s">
        <v>70</v>
      </c>
      <c r="D1904" s="6">
        <v>22.0</v>
      </c>
      <c r="E1904" s="6">
        <v>38979.0</v>
      </c>
      <c r="F1904" s="6">
        <v>37150.0</v>
      </c>
      <c r="G1904" s="6">
        <v>45644.0</v>
      </c>
      <c r="H1904" s="6">
        <v>0.854</v>
      </c>
      <c r="I1904" s="6">
        <v>0.8139</v>
      </c>
      <c r="J1904" s="6">
        <v>0.0401</v>
      </c>
    </row>
    <row r="1905">
      <c r="A1905" s="5" t="s">
        <v>58</v>
      </c>
      <c r="B1905" s="5" t="s">
        <v>163</v>
      </c>
      <c r="C1905" s="5" t="s">
        <v>70</v>
      </c>
      <c r="D1905" s="6">
        <v>23.0</v>
      </c>
      <c r="E1905" s="6">
        <v>29682.0</v>
      </c>
      <c r="F1905" s="6">
        <v>32371.0</v>
      </c>
      <c r="G1905" s="6">
        <v>45644.0</v>
      </c>
      <c r="H1905" s="6">
        <v>0.6503</v>
      </c>
      <c r="I1905" s="6">
        <v>0.7092</v>
      </c>
      <c r="J1905" s="6">
        <v>-0.0589</v>
      </c>
    </row>
    <row r="1906">
      <c r="A1906" s="5" t="s">
        <v>58</v>
      </c>
      <c r="B1906" s="5" t="s">
        <v>163</v>
      </c>
      <c r="C1906" s="5" t="s">
        <v>70</v>
      </c>
      <c r="D1906" s="6">
        <v>24.0</v>
      </c>
      <c r="E1906" s="6">
        <v>44112.0</v>
      </c>
      <c r="F1906" s="6">
        <v>36632.0</v>
      </c>
      <c r="G1906" s="6">
        <v>45644.0</v>
      </c>
      <c r="H1906" s="6">
        <v>0.9664</v>
      </c>
      <c r="I1906" s="6">
        <v>0.8026</v>
      </c>
      <c r="J1906" s="6">
        <v>0.1639</v>
      </c>
    </row>
    <row r="1907">
      <c r="A1907" s="5" t="s">
        <v>58</v>
      </c>
      <c r="B1907" s="5" t="s">
        <v>163</v>
      </c>
      <c r="C1907" s="5" t="s">
        <v>70</v>
      </c>
      <c r="D1907" s="6">
        <v>25.0</v>
      </c>
      <c r="E1907" s="6">
        <v>35148.0</v>
      </c>
      <c r="F1907" s="6">
        <v>35337.0</v>
      </c>
      <c r="G1907" s="6">
        <v>45644.0</v>
      </c>
      <c r="H1907" s="6">
        <v>0.77</v>
      </c>
      <c r="I1907" s="6">
        <v>0.7742</v>
      </c>
      <c r="J1907" s="6">
        <v>-0.0041</v>
      </c>
    </row>
    <row r="1908">
      <c r="A1908" s="5" t="s">
        <v>58</v>
      </c>
      <c r="B1908" s="5" t="s">
        <v>163</v>
      </c>
      <c r="C1908" s="5" t="s">
        <v>70</v>
      </c>
      <c r="D1908" s="6">
        <v>26.0</v>
      </c>
      <c r="E1908" s="6">
        <v>34208.0</v>
      </c>
      <c r="F1908" s="6">
        <v>36564.0</v>
      </c>
      <c r="G1908" s="6">
        <v>45644.0</v>
      </c>
      <c r="H1908" s="6">
        <v>0.7495</v>
      </c>
      <c r="I1908" s="6">
        <v>0.8011</v>
      </c>
      <c r="J1908" s="6">
        <v>-0.0516</v>
      </c>
    </row>
    <row r="1909">
      <c r="A1909" s="5" t="s">
        <v>58</v>
      </c>
      <c r="B1909" s="5" t="s">
        <v>163</v>
      </c>
      <c r="C1909" s="5" t="s">
        <v>70</v>
      </c>
      <c r="D1909" s="6">
        <v>27.0</v>
      </c>
      <c r="E1909" s="6">
        <v>43690.0</v>
      </c>
      <c r="F1909" s="6">
        <v>39317.0</v>
      </c>
      <c r="G1909" s="6">
        <v>45644.0</v>
      </c>
      <c r="H1909" s="6">
        <v>0.9572</v>
      </c>
      <c r="I1909" s="6">
        <v>0.8614</v>
      </c>
      <c r="J1909" s="6">
        <v>0.0958</v>
      </c>
    </row>
    <row r="1910">
      <c r="A1910" s="5" t="s">
        <v>58</v>
      </c>
      <c r="B1910" s="5" t="s">
        <v>163</v>
      </c>
      <c r="C1910" s="5" t="s">
        <v>70</v>
      </c>
      <c r="D1910" s="6">
        <v>28.0</v>
      </c>
      <c r="E1910" s="6">
        <v>29933.0</v>
      </c>
      <c r="F1910" s="6">
        <v>32247.0</v>
      </c>
      <c r="G1910" s="6">
        <v>45644.0</v>
      </c>
      <c r="H1910" s="6">
        <v>0.6558</v>
      </c>
      <c r="I1910" s="6">
        <v>0.7065</v>
      </c>
      <c r="J1910" s="6">
        <v>-0.0507</v>
      </c>
    </row>
    <row r="1911">
      <c r="A1911" s="5" t="s">
        <v>58</v>
      </c>
      <c r="B1911" s="5" t="s">
        <v>163</v>
      </c>
      <c r="C1911" s="5" t="s">
        <v>70</v>
      </c>
      <c r="D1911" s="6">
        <v>29.0</v>
      </c>
      <c r="E1911" s="6">
        <v>26619.0</v>
      </c>
      <c r="F1911" s="6">
        <v>30178.0</v>
      </c>
      <c r="G1911" s="6">
        <v>45644.0</v>
      </c>
      <c r="H1911" s="6">
        <v>0.5832</v>
      </c>
      <c r="I1911" s="6">
        <v>0.6612</v>
      </c>
      <c r="J1911" s="6">
        <v>-0.078</v>
      </c>
    </row>
    <row r="1912">
      <c r="A1912" s="5" t="s">
        <v>58</v>
      </c>
      <c r="B1912" s="5" t="s">
        <v>163</v>
      </c>
      <c r="C1912" s="5" t="s">
        <v>70</v>
      </c>
      <c r="D1912" s="6">
        <v>30.0</v>
      </c>
      <c r="E1912" s="6">
        <v>26246.0</v>
      </c>
      <c r="F1912" s="6">
        <v>28216.0</v>
      </c>
      <c r="G1912" s="6">
        <v>45644.0</v>
      </c>
      <c r="H1912" s="6">
        <v>0.575</v>
      </c>
      <c r="I1912" s="6">
        <v>0.6182</v>
      </c>
      <c r="J1912" s="6">
        <v>-0.0432</v>
      </c>
    </row>
    <row r="1913">
      <c r="A1913" s="5" t="s">
        <v>58</v>
      </c>
      <c r="B1913" s="5" t="s">
        <v>163</v>
      </c>
      <c r="C1913" s="5" t="s">
        <v>70</v>
      </c>
      <c r="D1913" s="6">
        <v>31.0</v>
      </c>
      <c r="E1913" s="6">
        <v>38479.0</v>
      </c>
      <c r="F1913" s="6">
        <v>31739.0</v>
      </c>
      <c r="G1913" s="6">
        <v>45644.0</v>
      </c>
      <c r="H1913" s="6">
        <v>0.843</v>
      </c>
      <c r="I1913" s="6">
        <v>0.6954</v>
      </c>
      <c r="J1913" s="6">
        <v>0.1477</v>
      </c>
    </row>
    <row r="1914">
      <c r="A1914" s="5" t="s">
        <v>58</v>
      </c>
      <c r="B1914" s="5" t="s">
        <v>163</v>
      </c>
      <c r="C1914" s="5" t="s">
        <v>70</v>
      </c>
      <c r="D1914" s="6">
        <v>32.0</v>
      </c>
      <c r="E1914" s="6">
        <v>29244.0</v>
      </c>
      <c r="F1914" s="6">
        <v>29846.0</v>
      </c>
      <c r="G1914" s="6">
        <v>45644.0</v>
      </c>
      <c r="H1914" s="6">
        <v>0.6407</v>
      </c>
      <c r="I1914" s="6">
        <v>0.6539</v>
      </c>
      <c r="J1914" s="6">
        <v>-0.0132</v>
      </c>
    </row>
    <row r="1915">
      <c r="A1915" s="5" t="s">
        <v>58</v>
      </c>
      <c r="B1915" s="5" t="s">
        <v>163</v>
      </c>
      <c r="C1915" s="5" t="s">
        <v>70</v>
      </c>
      <c r="D1915" s="6">
        <v>33.0</v>
      </c>
      <c r="E1915" s="6">
        <v>28565.0</v>
      </c>
      <c r="F1915" s="6">
        <v>30735.0</v>
      </c>
      <c r="G1915" s="6">
        <v>45644.0</v>
      </c>
      <c r="H1915" s="6">
        <v>0.6258</v>
      </c>
      <c r="I1915" s="6">
        <v>0.6734</v>
      </c>
      <c r="J1915" s="6">
        <v>-0.0475</v>
      </c>
    </row>
    <row r="1916">
      <c r="A1916" s="5" t="s">
        <v>58</v>
      </c>
      <c r="B1916" s="5" t="s">
        <v>163</v>
      </c>
      <c r="C1916" s="5" t="s">
        <v>71</v>
      </c>
      <c r="D1916" s="6">
        <v>1.0</v>
      </c>
      <c r="E1916" s="6">
        <v>14516.0</v>
      </c>
      <c r="F1916" s="6">
        <v>14733.0</v>
      </c>
      <c r="G1916" s="6">
        <v>43892.0</v>
      </c>
      <c r="H1916" s="6">
        <v>0.3307</v>
      </c>
      <c r="I1916" s="6">
        <v>0.3357</v>
      </c>
      <c r="J1916" s="6">
        <v>-0.0049</v>
      </c>
    </row>
    <row r="1917">
      <c r="A1917" s="5" t="s">
        <v>58</v>
      </c>
      <c r="B1917" s="5" t="s">
        <v>163</v>
      </c>
      <c r="C1917" s="5" t="s">
        <v>71</v>
      </c>
      <c r="D1917" s="6">
        <v>2.0</v>
      </c>
      <c r="E1917" s="6">
        <v>14305.0</v>
      </c>
      <c r="F1917" s="6">
        <v>14588.0</v>
      </c>
      <c r="G1917" s="6">
        <v>43892.0</v>
      </c>
      <c r="H1917" s="6">
        <v>0.3259</v>
      </c>
      <c r="I1917" s="6">
        <v>0.3324</v>
      </c>
      <c r="J1917" s="6">
        <v>-0.0064</v>
      </c>
    </row>
    <row r="1918">
      <c r="A1918" s="5" t="s">
        <v>58</v>
      </c>
      <c r="B1918" s="5" t="s">
        <v>163</v>
      </c>
      <c r="C1918" s="5" t="s">
        <v>71</v>
      </c>
      <c r="D1918" s="6">
        <v>3.0</v>
      </c>
      <c r="E1918" s="6">
        <v>22478.0</v>
      </c>
      <c r="F1918" s="6">
        <v>17898.0</v>
      </c>
      <c r="G1918" s="6">
        <v>43892.0</v>
      </c>
      <c r="H1918" s="6">
        <v>0.5121</v>
      </c>
      <c r="I1918" s="6">
        <v>0.4078</v>
      </c>
      <c r="J1918" s="6">
        <v>0.1043</v>
      </c>
    </row>
    <row r="1919">
      <c r="A1919" s="5" t="s">
        <v>58</v>
      </c>
      <c r="B1919" s="5" t="s">
        <v>163</v>
      </c>
      <c r="C1919" s="5" t="s">
        <v>71</v>
      </c>
      <c r="D1919" s="6">
        <v>4.0</v>
      </c>
      <c r="E1919" s="6">
        <v>18156.0</v>
      </c>
      <c r="F1919" s="6">
        <v>16852.0</v>
      </c>
      <c r="G1919" s="6">
        <v>43892.0</v>
      </c>
      <c r="H1919" s="6">
        <v>0.4137</v>
      </c>
      <c r="I1919" s="6">
        <v>0.3839</v>
      </c>
      <c r="J1919" s="6">
        <v>0.0297</v>
      </c>
    </row>
    <row r="1920">
      <c r="A1920" s="5" t="s">
        <v>58</v>
      </c>
      <c r="B1920" s="5" t="s">
        <v>163</v>
      </c>
      <c r="C1920" s="5" t="s">
        <v>71</v>
      </c>
      <c r="D1920" s="6">
        <v>5.0</v>
      </c>
      <c r="E1920" s="6">
        <v>19255.0</v>
      </c>
      <c r="F1920" s="6">
        <v>18158.0</v>
      </c>
      <c r="G1920" s="6">
        <v>43892.0</v>
      </c>
      <c r="H1920" s="6">
        <v>0.4387</v>
      </c>
      <c r="I1920" s="6">
        <v>0.4137</v>
      </c>
      <c r="J1920" s="6">
        <v>0.025</v>
      </c>
    </row>
    <row r="1921">
      <c r="A1921" s="5" t="s">
        <v>58</v>
      </c>
      <c r="B1921" s="5" t="s">
        <v>163</v>
      </c>
      <c r="C1921" s="5" t="s">
        <v>71</v>
      </c>
      <c r="D1921" s="6">
        <v>6.0</v>
      </c>
      <c r="E1921" s="6">
        <v>25778.0</v>
      </c>
      <c r="F1921" s="6">
        <v>20726.0</v>
      </c>
      <c r="G1921" s="6">
        <v>43892.0</v>
      </c>
      <c r="H1921" s="6">
        <v>0.5873</v>
      </c>
      <c r="I1921" s="6">
        <v>0.4722</v>
      </c>
      <c r="J1921" s="6">
        <v>0.1151</v>
      </c>
    </row>
    <row r="1922">
      <c r="A1922" s="5" t="s">
        <v>58</v>
      </c>
      <c r="B1922" s="5" t="s">
        <v>163</v>
      </c>
      <c r="C1922" s="5" t="s">
        <v>71</v>
      </c>
      <c r="D1922" s="6">
        <v>7.0</v>
      </c>
      <c r="E1922" s="6">
        <v>15781.0</v>
      </c>
      <c r="F1922" s="6">
        <v>17862.0</v>
      </c>
      <c r="G1922" s="6">
        <v>43892.0</v>
      </c>
      <c r="H1922" s="6">
        <v>0.3595</v>
      </c>
      <c r="I1922" s="6">
        <v>0.407</v>
      </c>
      <c r="J1922" s="6">
        <v>-0.0474</v>
      </c>
    </row>
    <row r="1923">
      <c r="A1923" s="5" t="s">
        <v>58</v>
      </c>
      <c r="B1923" s="5" t="s">
        <v>163</v>
      </c>
      <c r="C1923" s="5" t="s">
        <v>71</v>
      </c>
      <c r="D1923" s="6">
        <v>8.0</v>
      </c>
      <c r="E1923" s="6">
        <v>14625.0</v>
      </c>
      <c r="F1923" s="6">
        <v>16786.0</v>
      </c>
      <c r="G1923" s="6">
        <v>43892.0</v>
      </c>
      <c r="H1923" s="6">
        <v>0.3332</v>
      </c>
      <c r="I1923" s="6">
        <v>0.3824</v>
      </c>
      <c r="J1923" s="6">
        <v>-0.0492</v>
      </c>
    </row>
    <row r="1924">
      <c r="A1924" s="5" t="s">
        <v>58</v>
      </c>
      <c r="B1924" s="5" t="s">
        <v>163</v>
      </c>
      <c r="C1924" s="5" t="s">
        <v>71</v>
      </c>
      <c r="D1924" s="6">
        <v>9.0</v>
      </c>
      <c r="E1924" s="6">
        <v>12524.0</v>
      </c>
      <c r="F1924" s="6">
        <v>15245.0</v>
      </c>
      <c r="G1924" s="6">
        <v>43892.0</v>
      </c>
      <c r="H1924" s="6">
        <v>0.2853</v>
      </c>
      <c r="I1924" s="6">
        <v>0.3473</v>
      </c>
      <c r="J1924" s="6">
        <v>-0.062</v>
      </c>
    </row>
    <row r="1925">
      <c r="A1925" s="5" t="s">
        <v>58</v>
      </c>
      <c r="B1925" s="5" t="s">
        <v>163</v>
      </c>
      <c r="C1925" s="5" t="s">
        <v>71</v>
      </c>
      <c r="D1925" s="6">
        <v>10.0</v>
      </c>
      <c r="E1925" s="6">
        <v>24029.0</v>
      </c>
      <c r="F1925" s="6">
        <v>19614.0</v>
      </c>
      <c r="G1925" s="6">
        <v>43892.0</v>
      </c>
      <c r="H1925" s="6">
        <v>0.5475</v>
      </c>
      <c r="I1925" s="6">
        <v>0.4469</v>
      </c>
      <c r="J1925" s="6">
        <v>0.1006</v>
      </c>
    </row>
    <row r="1926">
      <c r="A1926" s="5" t="s">
        <v>58</v>
      </c>
      <c r="B1926" s="5" t="s">
        <v>163</v>
      </c>
      <c r="C1926" s="5" t="s">
        <v>71</v>
      </c>
      <c r="D1926" s="6">
        <v>11.0</v>
      </c>
      <c r="E1926" s="6">
        <v>17813.0</v>
      </c>
      <c r="F1926" s="6">
        <v>17106.0</v>
      </c>
      <c r="G1926" s="6">
        <v>43892.0</v>
      </c>
      <c r="H1926" s="6">
        <v>0.4058</v>
      </c>
      <c r="I1926" s="6">
        <v>0.3897</v>
      </c>
      <c r="J1926" s="6">
        <v>0.0161</v>
      </c>
    </row>
    <row r="1927">
      <c r="A1927" s="5" t="s">
        <v>58</v>
      </c>
      <c r="B1927" s="5" t="s">
        <v>163</v>
      </c>
      <c r="C1927" s="5" t="s">
        <v>71</v>
      </c>
      <c r="D1927" s="6">
        <v>12.0</v>
      </c>
      <c r="E1927" s="6">
        <v>18456.0</v>
      </c>
      <c r="F1927" s="6">
        <v>18328.0</v>
      </c>
      <c r="G1927" s="6">
        <v>43892.0</v>
      </c>
      <c r="H1927" s="6">
        <v>0.4205</v>
      </c>
      <c r="I1927" s="6">
        <v>0.4176</v>
      </c>
      <c r="J1927" s="6">
        <v>0.0029</v>
      </c>
    </row>
    <row r="1928">
      <c r="A1928" s="5" t="s">
        <v>58</v>
      </c>
      <c r="B1928" s="5" t="s">
        <v>163</v>
      </c>
      <c r="C1928" s="5" t="s">
        <v>71</v>
      </c>
      <c r="D1928" s="6">
        <v>13.0</v>
      </c>
      <c r="E1928" s="6">
        <v>24777.0</v>
      </c>
      <c r="F1928" s="6">
        <v>20909.0</v>
      </c>
      <c r="G1928" s="6">
        <v>43892.0</v>
      </c>
      <c r="H1928" s="6">
        <v>0.5645</v>
      </c>
      <c r="I1928" s="6">
        <v>0.4764</v>
      </c>
      <c r="J1928" s="6">
        <v>0.0881</v>
      </c>
    </row>
    <row r="1929">
      <c r="A1929" s="5" t="s">
        <v>58</v>
      </c>
      <c r="B1929" s="5" t="s">
        <v>163</v>
      </c>
      <c r="C1929" s="5" t="s">
        <v>71</v>
      </c>
      <c r="D1929" s="6">
        <v>14.0</v>
      </c>
      <c r="E1929" s="6">
        <v>14953.0</v>
      </c>
      <c r="F1929" s="6">
        <v>18476.0</v>
      </c>
      <c r="G1929" s="6">
        <v>43892.0</v>
      </c>
      <c r="H1929" s="6">
        <v>0.3407</v>
      </c>
      <c r="I1929" s="6">
        <v>0.4209</v>
      </c>
      <c r="J1929" s="6">
        <v>-0.0803</v>
      </c>
    </row>
    <row r="1930">
      <c r="A1930" s="5" t="s">
        <v>58</v>
      </c>
      <c r="B1930" s="5" t="s">
        <v>163</v>
      </c>
      <c r="C1930" s="5" t="s">
        <v>71</v>
      </c>
      <c r="D1930" s="6">
        <v>15.0</v>
      </c>
      <c r="E1930" s="6">
        <v>13911.0</v>
      </c>
      <c r="F1930" s="6">
        <v>16950.0</v>
      </c>
      <c r="G1930" s="6">
        <v>43892.0</v>
      </c>
      <c r="H1930" s="6">
        <v>0.3169</v>
      </c>
      <c r="I1930" s="6">
        <v>0.3862</v>
      </c>
      <c r="J1930" s="6">
        <v>-0.0692</v>
      </c>
    </row>
    <row r="1931">
      <c r="A1931" s="5" t="s">
        <v>58</v>
      </c>
      <c r="B1931" s="5" t="s">
        <v>163</v>
      </c>
      <c r="C1931" s="5" t="s">
        <v>71</v>
      </c>
      <c r="D1931" s="6">
        <v>16.0</v>
      </c>
      <c r="E1931" s="6">
        <v>13376.0</v>
      </c>
      <c r="F1931" s="6">
        <v>15531.0</v>
      </c>
      <c r="G1931" s="6">
        <v>43892.0</v>
      </c>
      <c r="H1931" s="6">
        <v>0.3047</v>
      </c>
      <c r="I1931" s="6">
        <v>0.3538</v>
      </c>
      <c r="J1931" s="6">
        <v>-0.0491</v>
      </c>
    </row>
    <row r="1932">
      <c r="A1932" s="5" t="s">
        <v>58</v>
      </c>
      <c r="B1932" s="5" t="s">
        <v>163</v>
      </c>
      <c r="C1932" s="5" t="s">
        <v>71</v>
      </c>
      <c r="D1932" s="6">
        <v>17.0</v>
      </c>
      <c r="E1932" s="6">
        <v>23009.0</v>
      </c>
      <c r="F1932" s="6">
        <v>19793.0</v>
      </c>
      <c r="G1932" s="6">
        <v>43892.0</v>
      </c>
      <c r="H1932" s="6">
        <v>0.5242</v>
      </c>
      <c r="I1932" s="6">
        <v>0.4509</v>
      </c>
      <c r="J1932" s="6">
        <v>0.0733</v>
      </c>
    </row>
    <row r="1933">
      <c r="A1933" s="5" t="s">
        <v>58</v>
      </c>
      <c r="B1933" s="5" t="s">
        <v>163</v>
      </c>
      <c r="C1933" s="5" t="s">
        <v>71</v>
      </c>
      <c r="D1933" s="6">
        <v>18.0</v>
      </c>
      <c r="E1933" s="6">
        <v>17778.0</v>
      </c>
      <c r="F1933" s="6">
        <v>17451.0</v>
      </c>
      <c r="G1933" s="6">
        <v>43892.0</v>
      </c>
      <c r="H1933" s="6">
        <v>0.405</v>
      </c>
      <c r="I1933" s="6">
        <v>0.3976</v>
      </c>
      <c r="J1933" s="6">
        <v>0.0075</v>
      </c>
    </row>
    <row r="1934">
      <c r="A1934" s="5" t="s">
        <v>58</v>
      </c>
      <c r="B1934" s="5" t="s">
        <v>163</v>
      </c>
      <c r="C1934" s="5" t="s">
        <v>71</v>
      </c>
      <c r="D1934" s="6">
        <v>19.0</v>
      </c>
      <c r="E1934" s="6">
        <v>18434.0</v>
      </c>
      <c r="F1934" s="6">
        <v>18287.0</v>
      </c>
      <c r="G1934" s="6">
        <v>43892.0</v>
      </c>
      <c r="H1934" s="6">
        <v>0.42</v>
      </c>
      <c r="I1934" s="6">
        <v>0.4166</v>
      </c>
      <c r="J1934" s="6">
        <v>0.0033</v>
      </c>
    </row>
    <row r="1935">
      <c r="A1935" s="5" t="s">
        <v>58</v>
      </c>
      <c r="B1935" s="5" t="s">
        <v>163</v>
      </c>
      <c r="C1935" s="5" t="s">
        <v>71</v>
      </c>
      <c r="D1935" s="6">
        <v>20.0</v>
      </c>
      <c r="E1935" s="6">
        <v>25736.0</v>
      </c>
      <c r="F1935" s="6">
        <v>20788.0</v>
      </c>
      <c r="G1935" s="6">
        <v>43892.0</v>
      </c>
      <c r="H1935" s="6">
        <v>0.5863</v>
      </c>
      <c r="I1935" s="6">
        <v>0.4736</v>
      </c>
      <c r="J1935" s="6">
        <v>0.1127</v>
      </c>
    </row>
    <row r="1936">
      <c r="A1936" s="5" t="s">
        <v>58</v>
      </c>
      <c r="B1936" s="5" t="s">
        <v>163</v>
      </c>
      <c r="C1936" s="5" t="s">
        <v>71</v>
      </c>
      <c r="D1936" s="6">
        <v>21.0</v>
      </c>
      <c r="E1936" s="6">
        <v>23911.0</v>
      </c>
      <c r="F1936" s="6">
        <v>18448.0</v>
      </c>
      <c r="G1936" s="6">
        <v>43892.0</v>
      </c>
      <c r="H1936" s="6">
        <v>0.5448</v>
      </c>
      <c r="I1936" s="6">
        <v>0.4203</v>
      </c>
      <c r="J1936" s="6">
        <v>0.1245</v>
      </c>
    </row>
    <row r="1937">
      <c r="A1937" s="5" t="s">
        <v>58</v>
      </c>
      <c r="B1937" s="5" t="s">
        <v>163</v>
      </c>
      <c r="C1937" s="5" t="s">
        <v>71</v>
      </c>
      <c r="D1937" s="6">
        <v>22.0</v>
      </c>
      <c r="E1937" s="6">
        <v>16815.0</v>
      </c>
      <c r="F1937" s="6">
        <v>17254.0</v>
      </c>
      <c r="G1937" s="6">
        <v>43892.0</v>
      </c>
      <c r="H1937" s="6">
        <v>0.3831</v>
      </c>
      <c r="I1937" s="6">
        <v>0.3931</v>
      </c>
      <c r="J1937" s="6">
        <v>-0.01</v>
      </c>
    </row>
    <row r="1938">
      <c r="A1938" s="5" t="s">
        <v>58</v>
      </c>
      <c r="B1938" s="5" t="s">
        <v>163</v>
      </c>
      <c r="C1938" s="5" t="s">
        <v>71</v>
      </c>
      <c r="D1938" s="6">
        <v>23.0</v>
      </c>
      <c r="E1938" s="6">
        <v>13671.0</v>
      </c>
      <c r="F1938" s="6">
        <v>16374.0</v>
      </c>
      <c r="G1938" s="6">
        <v>43892.0</v>
      </c>
      <c r="H1938" s="6">
        <v>0.3115</v>
      </c>
      <c r="I1938" s="6">
        <v>0.3731</v>
      </c>
      <c r="J1938" s="6">
        <v>-0.0616</v>
      </c>
    </row>
    <row r="1939">
      <c r="A1939" s="5" t="s">
        <v>58</v>
      </c>
      <c r="B1939" s="5" t="s">
        <v>163</v>
      </c>
      <c r="C1939" s="5" t="s">
        <v>71</v>
      </c>
      <c r="D1939" s="6">
        <v>24.0</v>
      </c>
      <c r="E1939" s="6">
        <v>24340.0</v>
      </c>
      <c r="F1939" s="6">
        <v>20409.0</v>
      </c>
      <c r="G1939" s="6">
        <v>43892.0</v>
      </c>
      <c r="H1939" s="6">
        <v>0.5545</v>
      </c>
      <c r="I1939" s="6">
        <v>0.465</v>
      </c>
      <c r="J1939" s="6">
        <v>0.0896</v>
      </c>
    </row>
    <row r="1940">
      <c r="A1940" s="5" t="s">
        <v>58</v>
      </c>
      <c r="B1940" s="5" t="s">
        <v>163</v>
      </c>
      <c r="C1940" s="5" t="s">
        <v>71</v>
      </c>
      <c r="D1940" s="6">
        <v>25.0</v>
      </c>
      <c r="E1940" s="6">
        <v>19718.0</v>
      </c>
      <c r="F1940" s="6">
        <v>18889.0</v>
      </c>
      <c r="G1940" s="6">
        <v>43892.0</v>
      </c>
      <c r="H1940" s="6">
        <v>0.4492</v>
      </c>
      <c r="I1940" s="6">
        <v>0.4304</v>
      </c>
      <c r="J1940" s="6">
        <v>0.0189</v>
      </c>
    </row>
    <row r="1941">
      <c r="A1941" s="5" t="s">
        <v>58</v>
      </c>
      <c r="B1941" s="5" t="s">
        <v>163</v>
      </c>
      <c r="C1941" s="5" t="s">
        <v>71</v>
      </c>
      <c r="D1941" s="6">
        <v>26.0</v>
      </c>
      <c r="E1941" s="6">
        <v>20000.0</v>
      </c>
      <c r="F1941" s="6">
        <v>19622.0</v>
      </c>
      <c r="G1941" s="6">
        <v>43892.0</v>
      </c>
      <c r="H1941" s="6">
        <v>0.4557</v>
      </c>
      <c r="I1941" s="6">
        <v>0.4471</v>
      </c>
      <c r="J1941" s="6">
        <v>0.0086</v>
      </c>
    </row>
    <row r="1942">
      <c r="A1942" s="5" t="s">
        <v>58</v>
      </c>
      <c r="B1942" s="5" t="s">
        <v>163</v>
      </c>
      <c r="C1942" s="5" t="s">
        <v>71</v>
      </c>
      <c r="D1942" s="6">
        <v>27.0</v>
      </c>
      <c r="E1942" s="6">
        <v>26905.0</v>
      </c>
      <c r="F1942" s="6">
        <v>21957.0</v>
      </c>
      <c r="G1942" s="6">
        <v>43892.0</v>
      </c>
      <c r="H1942" s="6">
        <v>0.613</v>
      </c>
      <c r="I1942" s="6">
        <v>0.5003</v>
      </c>
      <c r="J1942" s="6">
        <v>0.1127</v>
      </c>
    </row>
    <row r="1943">
      <c r="A1943" s="5" t="s">
        <v>58</v>
      </c>
      <c r="B1943" s="5" t="s">
        <v>163</v>
      </c>
      <c r="C1943" s="5" t="s">
        <v>71</v>
      </c>
      <c r="D1943" s="6">
        <v>28.0</v>
      </c>
      <c r="E1943" s="6">
        <v>15186.0</v>
      </c>
      <c r="F1943" s="6">
        <v>17064.0</v>
      </c>
      <c r="G1943" s="6">
        <v>43892.0</v>
      </c>
      <c r="H1943" s="6">
        <v>0.346</v>
      </c>
      <c r="I1943" s="6">
        <v>0.3888</v>
      </c>
      <c r="J1943" s="6">
        <v>-0.0428</v>
      </c>
    </row>
    <row r="1944">
      <c r="A1944" s="5" t="s">
        <v>58</v>
      </c>
      <c r="B1944" s="5" t="s">
        <v>163</v>
      </c>
      <c r="C1944" s="5" t="s">
        <v>71</v>
      </c>
      <c r="D1944" s="6">
        <v>29.0</v>
      </c>
      <c r="E1944" s="6">
        <v>14382.0</v>
      </c>
      <c r="F1944" s="6">
        <v>15867.0</v>
      </c>
      <c r="G1944" s="6">
        <v>43892.0</v>
      </c>
      <c r="H1944" s="6">
        <v>0.3277</v>
      </c>
      <c r="I1944" s="6">
        <v>0.3615</v>
      </c>
      <c r="J1944" s="6">
        <v>-0.0338</v>
      </c>
    </row>
    <row r="1945">
      <c r="A1945" s="5" t="s">
        <v>58</v>
      </c>
      <c r="B1945" s="5" t="s">
        <v>163</v>
      </c>
      <c r="C1945" s="5" t="s">
        <v>71</v>
      </c>
      <c r="D1945" s="6">
        <v>30.0</v>
      </c>
      <c r="E1945" s="6">
        <v>14585.0</v>
      </c>
      <c r="F1945" s="6">
        <v>15063.0</v>
      </c>
      <c r="G1945" s="6">
        <v>43892.0</v>
      </c>
      <c r="H1945" s="6">
        <v>0.3323</v>
      </c>
      <c r="I1945" s="6">
        <v>0.3432</v>
      </c>
      <c r="J1945" s="6">
        <v>-0.0109</v>
      </c>
    </row>
    <row r="1946">
      <c r="A1946" s="5" t="s">
        <v>58</v>
      </c>
      <c r="B1946" s="5" t="s">
        <v>163</v>
      </c>
      <c r="C1946" s="5" t="s">
        <v>71</v>
      </c>
      <c r="D1946" s="6">
        <v>31.0</v>
      </c>
      <c r="E1946" s="6">
        <v>24897.0</v>
      </c>
      <c r="F1946" s="6">
        <v>18995.0</v>
      </c>
      <c r="G1946" s="6">
        <v>43892.0</v>
      </c>
      <c r="H1946" s="6">
        <v>0.5672</v>
      </c>
      <c r="I1946" s="6">
        <v>0.4328</v>
      </c>
      <c r="J1946" s="6">
        <v>0.1345</v>
      </c>
    </row>
    <row r="1947">
      <c r="A1947" s="5" t="s">
        <v>58</v>
      </c>
      <c r="B1947" s="5" t="s">
        <v>163</v>
      </c>
      <c r="C1947" s="5" t="s">
        <v>71</v>
      </c>
      <c r="D1947" s="6">
        <v>32.0</v>
      </c>
      <c r="E1947" s="6">
        <v>18653.0</v>
      </c>
      <c r="F1947" s="6">
        <v>17397.0</v>
      </c>
      <c r="G1947" s="6">
        <v>43892.0</v>
      </c>
      <c r="H1947" s="6">
        <v>0.425</v>
      </c>
      <c r="I1947" s="6">
        <v>0.3964</v>
      </c>
      <c r="J1947" s="6">
        <v>0.0286</v>
      </c>
    </row>
    <row r="1948">
      <c r="A1948" s="5" t="s">
        <v>58</v>
      </c>
      <c r="B1948" s="5" t="s">
        <v>163</v>
      </c>
      <c r="C1948" s="5" t="s">
        <v>71</v>
      </c>
      <c r="D1948" s="6">
        <v>33.0</v>
      </c>
      <c r="E1948" s="6">
        <v>18598.0</v>
      </c>
      <c r="F1948" s="6">
        <v>17890.0</v>
      </c>
      <c r="G1948" s="6">
        <v>43892.0</v>
      </c>
      <c r="H1948" s="6">
        <v>0.4237</v>
      </c>
      <c r="I1948" s="6">
        <v>0.4076</v>
      </c>
      <c r="J1948" s="6">
        <v>0.0161</v>
      </c>
    </row>
    <row r="1949">
      <c r="A1949" s="5" t="s">
        <v>58</v>
      </c>
      <c r="B1949" s="5" t="s">
        <v>163</v>
      </c>
      <c r="C1949" s="5" t="s">
        <v>1883</v>
      </c>
      <c r="D1949" s="6">
        <v>1.0</v>
      </c>
      <c r="E1949" s="6">
        <v>13520.0</v>
      </c>
      <c r="F1949" s="6">
        <v>7089.0</v>
      </c>
      <c r="G1949" s="6">
        <v>23689.0</v>
      </c>
      <c r="H1949" s="6">
        <v>0.5707</v>
      </c>
      <c r="I1949" s="6">
        <v>0.2993</v>
      </c>
      <c r="J1949" s="6">
        <v>0.2715</v>
      </c>
    </row>
    <row r="1950">
      <c r="A1950" s="5" t="s">
        <v>58</v>
      </c>
      <c r="B1950" s="5" t="s">
        <v>163</v>
      </c>
      <c r="C1950" s="5" t="s">
        <v>1883</v>
      </c>
      <c r="D1950" s="6">
        <v>2.0</v>
      </c>
      <c r="E1950" s="6">
        <v>38285.0</v>
      </c>
      <c r="F1950" s="6">
        <v>20542.0</v>
      </c>
      <c r="G1950" s="6">
        <v>23689.0</v>
      </c>
      <c r="H1950" s="6">
        <v>1.6162</v>
      </c>
      <c r="I1950" s="6">
        <v>0.8672</v>
      </c>
      <c r="J1950" s="6">
        <v>0.749</v>
      </c>
    </row>
    <row r="1951">
      <c r="A1951" s="5" t="s">
        <v>58</v>
      </c>
      <c r="B1951" s="5" t="s">
        <v>163</v>
      </c>
      <c r="C1951" s="5" t="s">
        <v>1883</v>
      </c>
      <c r="D1951" s="6">
        <v>3.0</v>
      </c>
      <c r="E1951" s="6">
        <v>31410.0</v>
      </c>
      <c r="F1951" s="6">
        <v>16307.0</v>
      </c>
      <c r="G1951" s="6">
        <v>23689.0</v>
      </c>
      <c r="H1951" s="6">
        <v>1.3259</v>
      </c>
      <c r="I1951" s="6">
        <v>0.6884</v>
      </c>
      <c r="J1951" s="6">
        <v>0.6376</v>
      </c>
    </row>
    <row r="1952">
      <c r="A1952" s="5" t="s">
        <v>58</v>
      </c>
      <c r="B1952" s="5" t="s">
        <v>163</v>
      </c>
      <c r="C1952" s="5" t="s">
        <v>1883</v>
      </c>
      <c r="D1952" s="6">
        <v>4.0</v>
      </c>
      <c r="E1952" s="6">
        <v>24965.0</v>
      </c>
      <c r="F1952" s="6">
        <v>12897.0</v>
      </c>
      <c r="G1952" s="6">
        <v>23689.0</v>
      </c>
      <c r="H1952" s="6">
        <v>1.0539</v>
      </c>
      <c r="I1952" s="6">
        <v>0.5444</v>
      </c>
      <c r="J1952" s="6">
        <v>0.5094</v>
      </c>
    </row>
    <row r="1953">
      <c r="A1953" s="5" t="s">
        <v>58</v>
      </c>
      <c r="B1953" s="5" t="s">
        <v>163</v>
      </c>
      <c r="C1953" s="5" t="s">
        <v>1883</v>
      </c>
      <c r="D1953" s="6">
        <v>5.0</v>
      </c>
      <c r="E1953" s="6">
        <v>23640.0</v>
      </c>
      <c r="F1953" s="6">
        <v>11718.0</v>
      </c>
      <c r="G1953" s="6">
        <v>23689.0</v>
      </c>
      <c r="H1953" s="6">
        <v>0.9979</v>
      </c>
      <c r="I1953" s="6">
        <v>0.4947</v>
      </c>
      <c r="J1953" s="6">
        <v>0.5033</v>
      </c>
    </row>
    <row r="1954">
      <c r="A1954" s="5" t="s">
        <v>58</v>
      </c>
      <c r="B1954" s="5" t="s">
        <v>163</v>
      </c>
      <c r="C1954" s="5" t="s">
        <v>1883</v>
      </c>
      <c r="D1954" s="6">
        <v>6.0</v>
      </c>
      <c r="E1954" s="6">
        <v>32720.0</v>
      </c>
      <c r="F1954" s="6">
        <v>18060.0</v>
      </c>
      <c r="G1954" s="6">
        <v>23689.0</v>
      </c>
      <c r="H1954" s="6">
        <v>1.3812</v>
      </c>
      <c r="I1954" s="6">
        <v>0.7624</v>
      </c>
      <c r="J1954" s="6">
        <v>0.6189</v>
      </c>
    </row>
    <row r="1955">
      <c r="A1955" s="5" t="s">
        <v>58</v>
      </c>
      <c r="B1955" s="5" t="s">
        <v>163</v>
      </c>
      <c r="C1955" s="5" t="s">
        <v>1883</v>
      </c>
      <c r="D1955" s="6">
        <v>7.0</v>
      </c>
      <c r="E1955" s="6">
        <v>46080.0</v>
      </c>
      <c r="F1955" s="6">
        <v>26836.0</v>
      </c>
      <c r="G1955" s="6">
        <v>23689.0</v>
      </c>
      <c r="H1955" s="6">
        <v>1.9452</v>
      </c>
      <c r="I1955" s="6">
        <v>1.1328</v>
      </c>
      <c r="J1955" s="6">
        <v>0.8124</v>
      </c>
    </row>
    <row r="1956">
      <c r="A1956" s="5" t="s">
        <v>58</v>
      </c>
      <c r="B1956" s="5" t="s">
        <v>163</v>
      </c>
      <c r="C1956" s="5" t="s">
        <v>1883</v>
      </c>
      <c r="D1956" s="6">
        <v>8.0</v>
      </c>
      <c r="E1956" s="6">
        <v>44065.0</v>
      </c>
      <c r="F1956" s="6">
        <v>24115.0</v>
      </c>
      <c r="G1956" s="6">
        <v>23689.0</v>
      </c>
      <c r="H1956" s="6">
        <v>1.8601</v>
      </c>
      <c r="I1956" s="6">
        <v>1.018</v>
      </c>
      <c r="J1956" s="6">
        <v>0.8422</v>
      </c>
    </row>
    <row r="1957">
      <c r="A1957" s="5" t="s">
        <v>58</v>
      </c>
      <c r="B1957" s="5" t="s">
        <v>163</v>
      </c>
      <c r="C1957" s="5" t="s">
        <v>1883</v>
      </c>
      <c r="D1957" s="6">
        <v>9.0</v>
      </c>
      <c r="E1957" s="6">
        <v>34335.0</v>
      </c>
      <c r="F1957" s="6">
        <v>18398.0</v>
      </c>
      <c r="G1957" s="6">
        <v>23689.0</v>
      </c>
      <c r="H1957" s="6">
        <v>1.4494</v>
      </c>
      <c r="I1957" s="6">
        <v>0.7766</v>
      </c>
      <c r="J1957" s="6">
        <v>0.6728</v>
      </c>
    </row>
    <row r="1958">
      <c r="A1958" s="5" t="s">
        <v>58</v>
      </c>
      <c r="B1958" s="5" t="s">
        <v>163</v>
      </c>
      <c r="C1958" s="5" t="s">
        <v>1883</v>
      </c>
      <c r="D1958" s="6">
        <v>10.0</v>
      </c>
      <c r="E1958" s="6">
        <v>39045.0</v>
      </c>
      <c r="F1958" s="6">
        <v>17173.0</v>
      </c>
      <c r="G1958" s="6">
        <v>23689.0</v>
      </c>
      <c r="H1958" s="6">
        <v>1.6482</v>
      </c>
      <c r="I1958" s="6">
        <v>0.7249</v>
      </c>
      <c r="J1958" s="6">
        <v>0.9233</v>
      </c>
    </row>
    <row r="1959">
      <c r="A1959" s="5" t="s">
        <v>58</v>
      </c>
      <c r="B1959" s="5" t="s">
        <v>163</v>
      </c>
      <c r="C1959" s="5" t="s">
        <v>1883</v>
      </c>
      <c r="D1959" s="6">
        <v>11.0</v>
      </c>
      <c r="E1959" s="6">
        <v>14415.0</v>
      </c>
      <c r="F1959" s="6">
        <v>6644.0</v>
      </c>
      <c r="G1959" s="6">
        <v>23689.0</v>
      </c>
      <c r="H1959" s="6">
        <v>0.6085</v>
      </c>
      <c r="I1959" s="6">
        <v>0.2805</v>
      </c>
      <c r="J1959" s="6">
        <v>0.328</v>
      </c>
    </row>
    <row r="1960">
      <c r="A1960" s="5" t="s">
        <v>58</v>
      </c>
      <c r="B1960" s="5" t="s">
        <v>163</v>
      </c>
      <c r="C1960" s="5" t="s">
        <v>1883</v>
      </c>
      <c r="D1960" s="6">
        <v>12.0</v>
      </c>
      <c r="E1960" s="6">
        <v>12295.0</v>
      </c>
      <c r="F1960" s="6">
        <v>5517.0</v>
      </c>
      <c r="G1960" s="6">
        <v>23689.0</v>
      </c>
      <c r="H1960" s="6">
        <v>0.519</v>
      </c>
      <c r="I1960" s="6">
        <v>0.2329</v>
      </c>
      <c r="J1960" s="6">
        <v>0.2861</v>
      </c>
    </row>
    <row r="1961">
      <c r="A1961" s="5" t="s">
        <v>58</v>
      </c>
      <c r="B1961" s="5" t="s">
        <v>163</v>
      </c>
      <c r="C1961" s="5" t="s">
        <v>1883</v>
      </c>
      <c r="D1961" s="6">
        <v>13.0</v>
      </c>
      <c r="E1961" s="6">
        <v>24770.0</v>
      </c>
      <c r="F1961" s="6">
        <v>13589.0</v>
      </c>
      <c r="G1961" s="6">
        <v>23689.0</v>
      </c>
      <c r="H1961" s="6">
        <v>1.0456</v>
      </c>
      <c r="I1961" s="6">
        <v>0.5736</v>
      </c>
      <c r="J1961" s="6">
        <v>0.472</v>
      </c>
    </row>
    <row r="1962">
      <c r="A1962" s="5" t="s">
        <v>58</v>
      </c>
      <c r="B1962" s="5" t="s">
        <v>163</v>
      </c>
      <c r="C1962" s="5" t="s">
        <v>1883</v>
      </c>
      <c r="D1962" s="6">
        <v>14.0</v>
      </c>
      <c r="E1962" s="6">
        <v>43045.0</v>
      </c>
      <c r="F1962" s="6">
        <v>25236.0</v>
      </c>
      <c r="G1962" s="6">
        <v>23689.0</v>
      </c>
      <c r="H1962" s="6">
        <v>1.8171</v>
      </c>
      <c r="I1962" s="6">
        <v>1.0653</v>
      </c>
      <c r="J1962" s="6">
        <v>0.7518</v>
      </c>
    </row>
    <row r="1963">
      <c r="A1963" s="5" t="s">
        <v>58</v>
      </c>
      <c r="B1963" s="5" t="s">
        <v>163</v>
      </c>
      <c r="C1963" s="5" t="s">
        <v>1883</v>
      </c>
      <c r="D1963" s="6">
        <v>15.0</v>
      </c>
      <c r="E1963" s="6">
        <v>38545.0</v>
      </c>
      <c r="F1963" s="6">
        <v>21720.0</v>
      </c>
      <c r="G1963" s="6">
        <v>23689.0</v>
      </c>
      <c r="H1963" s="6">
        <v>1.6271</v>
      </c>
      <c r="I1963" s="6">
        <v>0.9169</v>
      </c>
      <c r="J1963" s="6">
        <v>0.7102</v>
      </c>
    </row>
    <row r="1964">
      <c r="A1964" s="5" t="s">
        <v>58</v>
      </c>
      <c r="B1964" s="5" t="s">
        <v>163</v>
      </c>
      <c r="C1964" s="5" t="s">
        <v>1883</v>
      </c>
      <c r="D1964" s="6">
        <v>16.0</v>
      </c>
      <c r="E1964" s="6">
        <v>51370.0</v>
      </c>
      <c r="F1964" s="6">
        <v>27976.0</v>
      </c>
      <c r="G1964" s="6">
        <v>23689.0</v>
      </c>
      <c r="H1964" s="6">
        <v>2.1685</v>
      </c>
      <c r="I1964" s="6">
        <v>1.181</v>
      </c>
      <c r="J1964" s="6">
        <v>0.9875</v>
      </c>
    </row>
    <row r="1965">
      <c r="A1965" s="5" t="s">
        <v>58</v>
      </c>
      <c r="B1965" s="5" t="s">
        <v>163</v>
      </c>
      <c r="C1965" s="5" t="s">
        <v>1883</v>
      </c>
      <c r="D1965" s="6">
        <v>17.0</v>
      </c>
      <c r="E1965" s="6">
        <v>45745.0</v>
      </c>
      <c r="F1965" s="6">
        <v>24165.0</v>
      </c>
      <c r="G1965" s="6">
        <v>23689.0</v>
      </c>
      <c r="H1965" s="6">
        <v>1.9311</v>
      </c>
      <c r="I1965" s="6">
        <v>1.0201</v>
      </c>
      <c r="J1965" s="6">
        <v>0.911</v>
      </c>
    </row>
    <row r="1966">
      <c r="A1966" s="5" t="s">
        <v>58</v>
      </c>
      <c r="B1966" s="5" t="s">
        <v>163</v>
      </c>
      <c r="C1966" s="5" t="s">
        <v>1883</v>
      </c>
      <c r="D1966" s="6">
        <v>18.0</v>
      </c>
      <c r="E1966" s="6">
        <v>26460.0</v>
      </c>
      <c r="F1966" s="6">
        <v>13773.0</v>
      </c>
      <c r="G1966" s="6">
        <v>23689.0</v>
      </c>
      <c r="H1966" s="6">
        <v>1.117</v>
      </c>
      <c r="I1966" s="6">
        <v>0.5814</v>
      </c>
      <c r="J1966" s="6">
        <v>0.5356</v>
      </c>
    </row>
    <row r="1967">
      <c r="A1967" s="5" t="s">
        <v>58</v>
      </c>
      <c r="B1967" s="5" t="s">
        <v>163</v>
      </c>
      <c r="C1967" s="5" t="s">
        <v>1883</v>
      </c>
      <c r="D1967" s="6">
        <v>19.0</v>
      </c>
      <c r="E1967" s="6">
        <v>24555.0</v>
      </c>
      <c r="F1967" s="6">
        <v>12392.0</v>
      </c>
      <c r="G1967" s="6">
        <v>23689.0</v>
      </c>
      <c r="H1967" s="6">
        <v>1.0366</v>
      </c>
      <c r="I1967" s="6">
        <v>0.5231</v>
      </c>
      <c r="J1967" s="6">
        <v>0.5134</v>
      </c>
    </row>
    <row r="1968">
      <c r="A1968" s="5" t="s">
        <v>58</v>
      </c>
      <c r="B1968" s="5" t="s">
        <v>163</v>
      </c>
      <c r="C1968" s="5" t="s">
        <v>1883</v>
      </c>
      <c r="D1968" s="6">
        <v>20.0</v>
      </c>
      <c r="E1968" s="6">
        <v>29800.0</v>
      </c>
      <c r="F1968" s="6">
        <v>16159.0</v>
      </c>
      <c r="G1968" s="6">
        <v>23689.0</v>
      </c>
      <c r="H1968" s="6">
        <v>1.258</v>
      </c>
      <c r="I1968" s="6">
        <v>0.6821</v>
      </c>
      <c r="J1968" s="6">
        <v>0.5758</v>
      </c>
    </row>
    <row r="1969">
      <c r="A1969" s="5" t="s">
        <v>58</v>
      </c>
      <c r="B1969" s="5" t="s">
        <v>163</v>
      </c>
      <c r="C1969" s="5" t="s">
        <v>1883</v>
      </c>
      <c r="D1969" s="6">
        <v>21.0</v>
      </c>
      <c r="E1969" s="6">
        <v>51150.0</v>
      </c>
      <c r="F1969" s="6">
        <v>29930.0</v>
      </c>
      <c r="G1969" s="6">
        <v>23689.0</v>
      </c>
      <c r="H1969" s="6">
        <v>2.1592</v>
      </c>
      <c r="I1969" s="6">
        <v>1.2635</v>
      </c>
      <c r="J1969" s="6">
        <v>0.8958</v>
      </c>
    </row>
    <row r="1970">
      <c r="A1970" s="5" t="s">
        <v>58</v>
      </c>
      <c r="B1970" s="5" t="s">
        <v>163</v>
      </c>
      <c r="C1970" s="5" t="s">
        <v>1883</v>
      </c>
      <c r="D1970" s="6">
        <v>22.0</v>
      </c>
      <c r="E1970" s="6">
        <v>46100.0</v>
      </c>
      <c r="F1970" s="6">
        <v>25451.0</v>
      </c>
      <c r="G1970" s="6">
        <v>23689.0</v>
      </c>
      <c r="H1970" s="6">
        <v>1.9461</v>
      </c>
      <c r="I1970" s="6">
        <v>1.0744</v>
      </c>
      <c r="J1970" s="6">
        <v>0.8717</v>
      </c>
    </row>
    <row r="1971">
      <c r="A1971" s="5" t="s">
        <v>58</v>
      </c>
      <c r="B1971" s="5" t="s">
        <v>163</v>
      </c>
      <c r="C1971" s="5" t="s">
        <v>1883</v>
      </c>
      <c r="D1971" s="6">
        <v>23.0</v>
      </c>
      <c r="E1971" s="6">
        <v>36355.0</v>
      </c>
      <c r="F1971" s="6">
        <v>19434.0</v>
      </c>
      <c r="G1971" s="6">
        <v>23689.0</v>
      </c>
      <c r="H1971" s="6">
        <v>1.5347</v>
      </c>
      <c r="I1971" s="6">
        <v>0.8204</v>
      </c>
      <c r="J1971" s="6">
        <v>0.7143</v>
      </c>
    </row>
    <row r="1972">
      <c r="A1972" s="5" t="s">
        <v>58</v>
      </c>
      <c r="B1972" s="5" t="s">
        <v>163</v>
      </c>
      <c r="C1972" s="5" t="s">
        <v>1883</v>
      </c>
      <c r="D1972" s="6">
        <v>24.0</v>
      </c>
      <c r="E1972" s="6">
        <v>44175.0</v>
      </c>
      <c r="F1972" s="6">
        <v>19053.0</v>
      </c>
      <c r="G1972" s="6">
        <v>23689.0</v>
      </c>
      <c r="H1972" s="6">
        <v>1.8648</v>
      </c>
      <c r="I1972" s="6">
        <v>0.8043</v>
      </c>
      <c r="J1972" s="6">
        <v>1.0605</v>
      </c>
    </row>
    <row r="1973">
      <c r="A1973" s="5" t="s">
        <v>58</v>
      </c>
      <c r="B1973" s="5" t="s">
        <v>163</v>
      </c>
      <c r="C1973" s="5" t="s">
        <v>1883</v>
      </c>
      <c r="D1973" s="6">
        <v>25.0</v>
      </c>
      <c r="E1973" s="6">
        <v>14505.0</v>
      </c>
      <c r="F1973" s="6">
        <v>6321.0</v>
      </c>
      <c r="G1973" s="6">
        <v>23689.0</v>
      </c>
      <c r="H1973" s="6">
        <v>0.6123</v>
      </c>
      <c r="I1973" s="6">
        <v>0.2668</v>
      </c>
      <c r="J1973" s="6">
        <v>0.3455</v>
      </c>
    </row>
    <row r="1974">
      <c r="A1974" s="5" t="s">
        <v>58</v>
      </c>
      <c r="B1974" s="5" t="s">
        <v>163</v>
      </c>
      <c r="C1974" s="5" t="s">
        <v>1883</v>
      </c>
      <c r="D1974" s="6">
        <v>26.0</v>
      </c>
      <c r="E1974" s="6">
        <v>11095.0</v>
      </c>
      <c r="F1974" s="6">
        <v>4962.0</v>
      </c>
      <c r="G1974" s="6">
        <v>23689.0</v>
      </c>
      <c r="H1974" s="6">
        <v>0.4684</v>
      </c>
      <c r="I1974" s="6">
        <v>0.2095</v>
      </c>
      <c r="J1974" s="6">
        <v>0.2589</v>
      </c>
    </row>
    <row r="1975">
      <c r="A1975" s="5" t="s">
        <v>58</v>
      </c>
      <c r="B1975" s="5" t="s">
        <v>163</v>
      </c>
      <c r="C1975" s="5" t="s">
        <v>1883</v>
      </c>
      <c r="D1975" s="6">
        <v>27.0</v>
      </c>
      <c r="E1975" s="6">
        <v>11125.0</v>
      </c>
      <c r="F1975" s="6">
        <v>5276.0</v>
      </c>
      <c r="G1975" s="6">
        <v>23689.0</v>
      </c>
      <c r="H1975" s="6">
        <v>0.4696</v>
      </c>
      <c r="I1975" s="6">
        <v>0.2227</v>
      </c>
      <c r="J1975" s="6">
        <v>0.2469</v>
      </c>
    </row>
    <row r="1976">
      <c r="A1976" s="5" t="s">
        <v>58</v>
      </c>
      <c r="B1976" s="5" t="s">
        <v>163</v>
      </c>
      <c r="C1976" s="5" t="s">
        <v>1883</v>
      </c>
      <c r="D1976" s="6">
        <v>28.0</v>
      </c>
      <c r="E1976" s="6">
        <v>11650.0</v>
      </c>
      <c r="F1976" s="6">
        <v>5750.0</v>
      </c>
      <c r="G1976" s="6">
        <v>23689.0</v>
      </c>
      <c r="H1976" s="6">
        <v>0.4918</v>
      </c>
      <c r="I1976" s="6">
        <v>0.2427</v>
      </c>
      <c r="J1976" s="6">
        <v>0.2491</v>
      </c>
    </row>
    <row r="1977">
      <c r="A1977" s="5" t="s">
        <v>58</v>
      </c>
      <c r="B1977" s="5" t="s">
        <v>163</v>
      </c>
      <c r="C1977" s="5" t="s">
        <v>1883</v>
      </c>
      <c r="D1977" s="6">
        <v>29.0</v>
      </c>
      <c r="E1977" s="6">
        <v>12475.0</v>
      </c>
      <c r="F1977" s="6">
        <v>6054.0</v>
      </c>
      <c r="G1977" s="6">
        <v>23689.0</v>
      </c>
      <c r="H1977" s="6">
        <v>0.5266</v>
      </c>
      <c r="I1977" s="6">
        <v>0.2556</v>
      </c>
      <c r="J1977" s="6">
        <v>0.2711</v>
      </c>
    </row>
    <row r="1978">
      <c r="A1978" s="5" t="s">
        <v>58</v>
      </c>
      <c r="B1978" s="5" t="s">
        <v>163</v>
      </c>
      <c r="C1978" s="5" t="s">
        <v>1883</v>
      </c>
      <c r="D1978" s="6">
        <v>30.0</v>
      </c>
      <c r="E1978" s="6">
        <v>36770.0</v>
      </c>
      <c r="F1978" s="6">
        <v>19463.0</v>
      </c>
      <c r="G1978" s="6">
        <v>23689.0</v>
      </c>
      <c r="H1978" s="6">
        <v>1.5522</v>
      </c>
      <c r="I1978" s="6">
        <v>0.8216</v>
      </c>
      <c r="J1978" s="6">
        <v>0.7306</v>
      </c>
    </row>
    <row r="1979">
      <c r="A1979" s="5" t="s">
        <v>58</v>
      </c>
      <c r="B1979" s="5" t="s">
        <v>163</v>
      </c>
      <c r="C1979" s="5" t="s">
        <v>1883</v>
      </c>
      <c r="D1979" s="6">
        <v>31.0</v>
      </c>
      <c r="E1979" s="6">
        <v>30085.0</v>
      </c>
      <c r="F1979" s="6">
        <v>15517.0</v>
      </c>
      <c r="G1979" s="6">
        <v>23689.0</v>
      </c>
      <c r="H1979" s="6">
        <v>1.27</v>
      </c>
      <c r="I1979" s="6">
        <v>0.655</v>
      </c>
      <c r="J1979" s="6">
        <v>0.615</v>
      </c>
    </row>
    <row r="1980">
      <c r="A1980" s="5" t="s">
        <v>58</v>
      </c>
      <c r="B1980" s="5" t="s">
        <v>163</v>
      </c>
      <c r="C1980" s="5" t="s">
        <v>1883</v>
      </c>
      <c r="D1980" s="6">
        <v>32.0</v>
      </c>
      <c r="E1980" s="6">
        <v>24070.0</v>
      </c>
      <c r="F1980" s="6">
        <v>12156.0</v>
      </c>
      <c r="G1980" s="6">
        <v>23689.0</v>
      </c>
      <c r="H1980" s="6">
        <v>1.0161</v>
      </c>
      <c r="I1980" s="6">
        <v>0.5131</v>
      </c>
      <c r="J1980" s="6">
        <v>0.5029</v>
      </c>
    </row>
    <row r="1981">
      <c r="A1981" s="5" t="s">
        <v>58</v>
      </c>
      <c r="B1981" s="5" t="s">
        <v>163</v>
      </c>
      <c r="C1981" s="5" t="s">
        <v>1883</v>
      </c>
      <c r="D1981" s="6">
        <v>33.0</v>
      </c>
      <c r="E1981" s="6">
        <v>20860.0</v>
      </c>
      <c r="F1981" s="6">
        <v>10425.0</v>
      </c>
      <c r="G1981" s="6">
        <v>23689.0</v>
      </c>
      <c r="H1981" s="6">
        <v>0.8806</v>
      </c>
      <c r="I1981" s="6">
        <v>0.4401</v>
      </c>
      <c r="J1981" s="6">
        <v>0.4405</v>
      </c>
    </row>
    <row r="1982">
      <c r="A1982" s="5" t="s">
        <v>58</v>
      </c>
      <c r="B1982" s="5" t="s">
        <v>163</v>
      </c>
      <c r="C1982" s="5" t="s">
        <v>1884</v>
      </c>
      <c r="D1982" s="6">
        <v>1.0</v>
      </c>
      <c r="E1982" s="6">
        <v>48820.0</v>
      </c>
      <c r="F1982" s="6">
        <v>21312.0</v>
      </c>
      <c r="G1982" s="6">
        <v>39438.0</v>
      </c>
      <c r="H1982" s="6">
        <v>1.2379</v>
      </c>
      <c r="I1982" s="6">
        <v>0.5404</v>
      </c>
      <c r="J1982" s="6">
        <v>0.6975</v>
      </c>
    </row>
    <row r="1983">
      <c r="A1983" s="5" t="s">
        <v>58</v>
      </c>
      <c r="B1983" s="5" t="s">
        <v>163</v>
      </c>
      <c r="C1983" s="5" t="s">
        <v>1884</v>
      </c>
      <c r="D1983" s="6">
        <v>2.0</v>
      </c>
      <c r="E1983" s="6">
        <v>71135.0</v>
      </c>
      <c r="F1983" s="6">
        <v>33784.0</v>
      </c>
      <c r="G1983" s="6">
        <v>39438.0</v>
      </c>
      <c r="H1983" s="6">
        <v>1.8037</v>
      </c>
      <c r="I1983" s="6">
        <v>0.8566</v>
      </c>
      <c r="J1983" s="6">
        <v>0.9471</v>
      </c>
    </row>
    <row r="1984">
      <c r="A1984" s="5" t="s">
        <v>58</v>
      </c>
      <c r="B1984" s="5" t="s">
        <v>163</v>
      </c>
      <c r="C1984" s="5" t="s">
        <v>1884</v>
      </c>
      <c r="D1984" s="6">
        <v>3.0</v>
      </c>
      <c r="E1984" s="6">
        <v>56945.0</v>
      </c>
      <c r="F1984" s="6">
        <v>26482.0</v>
      </c>
      <c r="G1984" s="6">
        <v>39438.0</v>
      </c>
      <c r="H1984" s="6">
        <v>1.4439</v>
      </c>
      <c r="I1984" s="6">
        <v>0.6715</v>
      </c>
      <c r="J1984" s="6">
        <v>0.7724</v>
      </c>
    </row>
    <row r="1985">
      <c r="A1985" s="5" t="s">
        <v>58</v>
      </c>
      <c r="B1985" s="5" t="s">
        <v>163</v>
      </c>
      <c r="C1985" s="5" t="s">
        <v>1884</v>
      </c>
      <c r="D1985" s="6">
        <v>4.0</v>
      </c>
      <c r="E1985" s="6">
        <v>55200.0</v>
      </c>
      <c r="F1985" s="6">
        <v>25364.0</v>
      </c>
      <c r="G1985" s="6">
        <v>39438.0</v>
      </c>
      <c r="H1985" s="6">
        <v>1.3997</v>
      </c>
      <c r="I1985" s="6">
        <v>0.6431</v>
      </c>
      <c r="J1985" s="6">
        <v>0.7565</v>
      </c>
    </row>
    <row r="1986">
      <c r="A1986" s="5" t="s">
        <v>58</v>
      </c>
      <c r="B1986" s="5" t="s">
        <v>163</v>
      </c>
      <c r="C1986" s="5" t="s">
        <v>1884</v>
      </c>
      <c r="D1986" s="6">
        <v>5.0</v>
      </c>
      <c r="E1986" s="6">
        <v>62480.0</v>
      </c>
      <c r="F1986" s="6">
        <v>28856.0</v>
      </c>
      <c r="G1986" s="6">
        <v>39438.0</v>
      </c>
      <c r="H1986" s="6">
        <v>1.5843</v>
      </c>
      <c r="I1986" s="6">
        <v>0.7317</v>
      </c>
      <c r="J1986" s="6">
        <v>0.8526</v>
      </c>
    </row>
    <row r="1987">
      <c r="A1987" s="5" t="s">
        <v>58</v>
      </c>
      <c r="B1987" s="5" t="s">
        <v>163</v>
      </c>
      <c r="C1987" s="5" t="s">
        <v>1884</v>
      </c>
      <c r="D1987" s="6">
        <v>6.0</v>
      </c>
      <c r="E1987" s="6">
        <v>121580.0</v>
      </c>
      <c r="F1987" s="6">
        <v>60716.0</v>
      </c>
      <c r="G1987" s="6">
        <v>39438.0</v>
      </c>
      <c r="H1987" s="6">
        <v>3.0828</v>
      </c>
      <c r="I1987" s="6">
        <v>1.5395</v>
      </c>
      <c r="J1987" s="6">
        <v>1.5433</v>
      </c>
    </row>
    <row r="1988">
      <c r="A1988" s="5" t="s">
        <v>58</v>
      </c>
      <c r="B1988" s="5" t="s">
        <v>163</v>
      </c>
      <c r="C1988" s="5" t="s">
        <v>1884</v>
      </c>
      <c r="D1988" s="6">
        <v>7.0</v>
      </c>
      <c r="E1988" s="6">
        <v>90445.0</v>
      </c>
      <c r="F1988" s="6">
        <v>45513.0</v>
      </c>
      <c r="G1988" s="6">
        <v>39438.0</v>
      </c>
      <c r="H1988" s="6">
        <v>2.2933</v>
      </c>
      <c r="I1988" s="6">
        <v>1.154</v>
      </c>
      <c r="J1988" s="6">
        <v>1.1393</v>
      </c>
    </row>
    <row r="1989">
      <c r="A1989" s="5" t="s">
        <v>58</v>
      </c>
      <c r="B1989" s="5" t="s">
        <v>163</v>
      </c>
      <c r="C1989" s="5" t="s">
        <v>1884</v>
      </c>
      <c r="D1989" s="6">
        <v>8.0</v>
      </c>
      <c r="E1989" s="6">
        <v>67870.0</v>
      </c>
      <c r="F1989" s="6">
        <v>32417.0</v>
      </c>
      <c r="G1989" s="6">
        <v>39438.0</v>
      </c>
      <c r="H1989" s="6">
        <v>1.7209</v>
      </c>
      <c r="I1989" s="6">
        <v>0.822</v>
      </c>
      <c r="J1989" s="6">
        <v>0.899</v>
      </c>
    </row>
    <row r="1990">
      <c r="A1990" s="5" t="s">
        <v>58</v>
      </c>
      <c r="B1990" s="5" t="s">
        <v>163</v>
      </c>
      <c r="C1990" s="5" t="s">
        <v>1884</v>
      </c>
      <c r="D1990" s="6">
        <v>9.0</v>
      </c>
      <c r="E1990" s="6">
        <v>55665.0</v>
      </c>
      <c r="F1990" s="6">
        <v>24975.0</v>
      </c>
      <c r="G1990" s="6">
        <v>39438.0</v>
      </c>
      <c r="H1990" s="6">
        <v>1.4115</v>
      </c>
      <c r="I1990" s="6">
        <v>0.6333</v>
      </c>
      <c r="J1990" s="6">
        <v>0.7782</v>
      </c>
    </row>
    <row r="1991">
      <c r="A1991" s="5" t="s">
        <v>58</v>
      </c>
      <c r="B1991" s="5" t="s">
        <v>163</v>
      </c>
      <c r="C1991" s="5" t="s">
        <v>1884</v>
      </c>
      <c r="D1991" s="6">
        <v>10.0</v>
      </c>
      <c r="E1991" s="6">
        <v>74960.0</v>
      </c>
      <c r="F1991" s="6">
        <v>30150.0</v>
      </c>
      <c r="G1991" s="6">
        <v>39438.0</v>
      </c>
      <c r="H1991" s="6">
        <v>1.9007</v>
      </c>
      <c r="I1991" s="6">
        <v>0.7645</v>
      </c>
      <c r="J1991" s="6">
        <v>1.1362</v>
      </c>
    </row>
    <row r="1992">
      <c r="A1992" s="5" t="s">
        <v>58</v>
      </c>
      <c r="B1992" s="5" t="s">
        <v>163</v>
      </c>
      <c r="C1992" s="5" t="s">
        <v>1884</v>
      </c>
      <c r="D1992" s="6">
        <v>11.0</v>
      </c>
      <c r="E1992" s="6">
        <v>44365.0</v>
      </c>
      <c r="F1992" s="6">
        <v>18087.0</v>
      </c>
      <c r="G1992" s="6">
        <v>39438.0</v>
      </c>
      <c r="H1992" s="6">
        <v>1.1249</v>
      </c>
      <c r="I1992" s="6">
        <v>0.4586</v>
      </c>
      <c r="J1992" s="6">
        <v>0.6663</v>
      </c>
    </row>
    <row r="1993">
      <c r="A1993" s="5" t="s">
        <v>58</v>
      </c>
      <c r="B1993" s="5" t="s">
        <v>163</v>
      </c>
      <c r="C1993" s="5" t="s">
        <v>1884</v>
      </c>
      <c r="D1993" s="6">
        <v>12.0</v>
      </c>
      <c r="E1993" s="6">
        <v>47465.0</v>
      </c>
      <c r="F1993" s="6">
        <v>20918.0</v>
      </c>
      <c r="G1993" s="6">
        <v>39438.0</v>
      </c>
      <c r="H1993" s="6">
        <v>1.2035</v>
      </c>
      <c r="I1993" s="6">
        <v>0.5304</v>
      </c>
      <c r="J1993" s="6">
        <v>0.6731</v>
      </c>
    </row>
    <row r="1994">
      <c r="A1994" s="5" t="s">
        <v>58</v>
      </c>
      <c r="B1994" s="5" t="s">
        <v>163</v>
      </c>
      <c r="C1994" s="5" t="s">
        <v>1884</v>
      </c>
      <c r="D1994" s="6">
        <v>13.0</v>
      </c>
      <c r="E1994" s="6">
        <v>104345.0</v>
      </c>
      <c r="F1994" s="6">
        <v>51665.0</v>
      </c>
      <c r="G1994" s="6">
        <v>39438.0</v>
      </c>
      <c r="H1994" s="6">
        <v>2.6458</v>
      </c>
      <c r="I1994" s="6">
        <v>1.31</v>
      </c>
      <c r="J1994" s="6">
        <v>1.3358</v>
      </c>
    </row>
    <row r="1995">
      <c r="A1995" s="5" t="s">
        <v>58</v>
      </c>
      <c r="B1995" s="5" t="s">
        <v>163</v>
      </c>
      <c r="C1995" s="5" t="s">
        <v>1884</v>
      </c>
      <c r="D1995" s="6">
        <v>14.0</v>
      </c>
      <c r="E1995" s="6">
        <v>76215.0</v>
      </c>
      <c r="F1995" s="6">
        <v>38039.0</v>
      </c>
      <c r="G1995" s="6">
        <v>39438.0</v>
      </c>
      <c r="H1995" s="6">
        <v>1.9325</v>
      </c>
      <c r="I1995" s="6">
        <v>0.9645</v>
      </c>
      <c r="J1995" s="6">
        <v>0.968</v>
      </c>
    </row>
    <row r="1996">
      <c r="A1996" s="5" t="s">
        <v>58</v>
      </c>
      <c r="B1996" s="5" t="s">
        <v>163</v>
      </c>
      <c r="C1996" s="5" t="s">
        <v>1884</v>
      </c>
      <c r="D1996" s="6">
        <v>15.0</v>
      </c>
      <c r="E1996" s="6">
        <v>55100.0</v>
      </c>
      <c r="F1996" s="6">
        <v>26131.0</v>
      </c>
      <c r="G1996" s="6">
        <v>39438.0</v>
      </c>
      <c r="H1996" s="6">
        <v>1.3971</v>
      </c>
      <c r="I1996" s="6">
        <v>0.6626</v>
      </c>
      <c r="J1996" s="6">
        <v>0.7345</v>
      </c>
    </row>
    <row r="1997">
      <c r="A1997" s="5" t="s">
        <v>58</v>
      </c>
      <c r="B1997" s="5" t="s">
        <v>163</v>
      </c>
      <c r="C1997" s="5" t="s">
        <v>1884</v>
      </c>
      <c r="D1997" s="6">
        <v>16.0</v>
      </c>
      <c r="E1997" s="6">
        <v>72115.0</v>
      </c>
      <c r="F1997" s="6">
        <v>34459.0</v>
      </c>
      <c r="G1997" s="6">
        <v>39438.0</v>
      </c>
      <c r="H1997" s="6">
        <v>1.8286</v>
      </c>
      <c r="I1997" s="6">
        <v>0.8738</v>
      </c>
      <c r="J1997" s="6">
        <v>0.9548</v>
      </c>
    </row>
    <row r="1998">
      <c r="A1998" s="5" t="s">
        <v>58</v>
      </c>
      <c r="B1998" s="5" t="s">
        <v>163</v>
      </c>
      <c r="C1998" s="5" t="s">
        <v>1884</v>
      </c>
      <c r="D1998" s="6">
        <v>17.0</v>
      </c>
      <c r="E1998" s="6">
        <v>69100.0</v>
      </c>
      <c r="F1998" s="6">
        <v>32951.0</v>
      </c>
      <c r="G1998" s="6">
        <v>39438.0</v>
      </c>
      <c r="H1998" s="6">
        <v>1.7521</v>
      </c>
      <c r="I1998" s="6">
        <v>0.8355</v>
      </c>
      <c r="J1998" s="6">
        <v>0.9166</v>
      </c>
    </row>
    <row r="1999">
      <c r="A1999" s="5" t="s">
        <v>58</v>
      </c>
      <c r="B1999" s="5" t="s">
        <v>163</v>
      </c>
      <c r="C1999" s="5" t="s">
        <v>1884</v>
      </c>
      <c r="D1999" s="6">
        <v>18.0</v>
      </c>
      <c r="E1999" s="6">
        <v>53510.0</v>
      </c>
      <c r="F1999" s="6">
        <v>23645.0</v>
      </c>
      <c r="G1999" s="6">
        <v>39438.0</v>
      </c>
      <c r="H1999" s="6">
        <v>1.3568</v>
      </c>
      <c r="I1999" s="6">
        <v>0.5995</v>
      </c>
      <c r="J1999" s="6">
        <v>0.7573</v>
      </c>
    </row>
    <row r="2000">
      <c r="A2000" s="5" t="s">
        <v>58</v>
      </c>
      <c r="B2000" s="5" t="s">
        <v>163</v>
      </c>
      <c r="C2000" s="5" t="s">
        <v>1884</v>
      </c>
      <c r="D2000" s="6">
        <v>19.0</v>
      </c>
      <c r="E2000" s="6">
        <v>56505.0</v>
      </c>
      <c r="F2000" s="6">
        <v>25894.0</v>
      </c>
      <c r="G2000" s="6">
        <v>39438.0</v>
      </c>
      <c r="H2000" s="6">
        <v>1.4328</v>
      </c>
      <c r="I2000" s="6">
        <v>0.6566</v>
      </c>
      <c r="J2000" s="6">
        <v>0.7762</v>
      </c>
    </row>
    <row r="2001">
      <c r="A2001" s="5" t="s">
        <v>58</v>
      </c>
      <c r="B2001" s="5" t="s">
        <v>163</v>
      </c>
      <c r="C2001" s="5" t="s">
        <v>1884</v>
      </c>
      <c r="D2001" s="6">
        <v>20.0</v>
      </c>
      <c r="E2001" s="6">
        <v>115980.0</v>
      </c>
      <c r="F2001" s="6">
        <v>57612.0</v>
      </c>
      <c r="G2001" s="6">
        <v>39438.0</v>
      </c>
      <c r="H2001" s="6">
        <v>2.9408</v>
      </c>
      <c r="I2001" s="6">
        <v>1.4608</v>
      </c>
      <c r="J2001" s="6">
        <v>1.48</v>
      </c>
    </row>
    <row r="2002">
      <c r="A2002" s="5" t="s">
        <v>58</v>
      </c>
      <c r="B2002" s="5" t="s">
        <v>163</v>
      </c>
      <c r="C2002" s="5" t="s">
        <v>1884</v>
      </c>
      <c r="D2002" s="6">
        <v>21.0</v>
      </c>
      <c r="E2002" s="6">
        <v>262900.0</v>
      </c>
      <c r="F2002" s="6">
        <v>115724.0</v>
      </c>
      <c r="G2002" s="6">
        <v>39438.0</v>
      </c>
      <c r="H2002" s="6">
        <v>6.6662</v>
      </c>
      <c r="I2002" s="6">
        <v>2.9343</v>
      </c>
      <c r="J2002" s="6">
        <v>3.7318</v>
      </c>
    </row>
    <row r="2003">
      <c r="A2003" s="5" t="s">
        <v>58</v>
      </c>
      <c r="B2003" s="5" t="s">
        <v>163</v>
      </c>
      <c r="C2003" s="5" t="s">
        <v>1884</v>
      </c>
      <c r="D2003" s="6">
        <v>22.0</v>
      </c>
      <c r="E2003" s="6">
        <v>147715.0</v>
      </c>
      <c r="F2003" s="6">
        <v>68212.0</v>
      </c>
      <c r="G2003" s="6">
        <v>39438.0</v>
      </c>
      <c r="H2003" s="6">
        <v>3.7455</v>
      </c>
      <c r="I2003" s="6">
        <v>1.7296</v>
      </c>
      <c r="J2003" s="6">
        <v>2.0159</v>
      </c>
    </row>
    <row r="2004">
      <c r="A2004" s="5" t="s">
        <v>58</v>
      </c>
      <c r="B2004" s="5" t="s">
        <v>163</v>
      </c>
      <c r="C2004" s="5" t="s">
        <v>1884</v>
      </c>
      <c r="D2004" s="6">
        <v>23.0</v>
      </c>
      <c r="E2004" s="6">
        <v>93055.0</v>
      </c>
      <c r="F2004" s="6">
        <v>42575.0</v>
      </c>
      <c r="G2004" s="6">
        <v>39438.0</v>
      </c>
      <c r="H2004" s="6">
        <v>2.3595</v>
      </c>
      <c r="I2004" s="6">
        <v>1.0795</v>
      </c>
      <c r="J2004" s="6">
        <v>1.28</v>
      </c>
    </row>
    <row r="2005">
      <c r="A2005" s="5" t="s">
        <v>58</v>
      </c>
      <c r="B2005" s="5" t="s">
        <v>163</v>
      </c>
      <c r="C2005" s="5" t="s">
        <v>1884</v>
      </c>
      <c r="D2005" s="6">
        <v>24.0</v>
      </c>
      <c r="E2005" s="6">
        <v>106190.0</v>
      </c>
      <c r="F2005" s="6">
        <v>44125.0</v>
      </c>
      <c r="G2005" s="6">
        <v>39438.0</v>
      </c>
      <c r="H2005" s="6">
        <v>2.6926</v>
      </c>
      <c r="I2005" s="6">
        <v>1.1188</v>
      </c>
      <c r="J2005" s="6">
        <v>1.5737</v>
      </c>
    </row>
    <row r="2006">
      <c r="A2006" s="5" t="s">
        <v>58</v>
      </c>
      <c r="B2006" s="5" t="s">
        <v>163</v>
      </c>
      <c r="C2006" s="5" t="s">
        <v>1884</v>
      </c>
      <c r="D2006" s="6">
        <v>25.0</v>
      </c>
      <c r="E2006" s="6">
        <v>67930.0</v>
      </c>
      <c r="F2006" s="6">
        <v>28148.0</v>
      </c>
      <c r="G2006" s="6">
        <v>39438.0</v>
      </c>
      <c r="H2006" s="6">
        <v>1.7225</v>
      </c>
      <c r="I2006" s="6">
        <v>0.7137</v>
      </c>
      <c r="J2006" s="6">
        <v>1.0087</v>
      </c>
    </row>
    <row r="2007">
      <c r="A2007" s="5" t="s">
        <v>58</v>
      </c>
      <c r="B2007" s="5" t="s">
        <v>163</v>
      </c>
      <c r="C2007" s="5" t="s">
        <v>1884</v>
      </c>
      <c r="D2007" s="6">
        <v>26.0</v>
      </c>
      <c r="E2007" s="6">
        <v>67315.0</v>
      </c>
      <c r="F2007" s="6">
        <v>30170.0</v>
      </c>
      <c r="G2007" s="6">
        <v>39438.0</v>
      </c>
      <c r="H2007" s="6">
        <v>1.7069</v>
      </c>
      <c r="I2007" s="6">
        <v>0.765</v>
      </c>
      <c r="J2007" s="6">
        <v>0.9419</v>
      </c>
    </row>
    <row r="2008">
      <c r="A2008" s="5" t="s">
        <v>58</v>
      </c>
      <c r="B2008" s="5" t="s">
        <v>163</v>
      </c>
      <c r="C2008" s="5" t="s">
        <v>1884</v>
      </c>
      <c r="D2008" s="6">
        <v>27.0</v>
      </c>
      <c r="E2008" s="6">
        <v>56575.0</v>
      </c>
      <c r="F2008" s="6">
        <v>25378.0</v>
      </c>
      <c r="G2008" s="6">
        <v>39438.0</v>
      </c>
      <c r="H2008" s="6">
        <v>1.4345</v>
      </c>
      <c r="I2008" s="6">
        <v>0.6435</v>
      </c>
      <c r="J2008" s="6">
        <v>0.791</v>
      </c>
    </row>
    <row r="2009">
      <c r="A2009" s="5" t="s">
        <v>58</v>
      </c>
      <c r="B2009" s="5" t="s">
        <v>163</v>
      </c>
      <c r="C2009" s="5" t="s">
        <v>1884</v>
      </c>
      <c r="D2009" s="6">
        <v>28.0</v>
      </c>
      <c r="E2009" s="6">
        <v>50035.0</v>
      </c>
      <c r="F2009" s="6">
        <v>21778.0</v>
      </c>
      <c r="G2009" s="6">
        <v>39438.0</v>
      </c>
      <c r="H2009" s="6">
        <v>1.2687</v>
      </c>
      <c r="I2009" s="6">
        <v>0.5522</v>
      </c>
      <c r="J2009" s="6">
        <v>0.7165</v>
      </c>
    </row>
    <row r="2010">
      <c r="A2010" s="5" t="s">
        <v>58</v>
      </c>
      <c r="B2010" s="5" t="s">
        <v>163</v>
      </c>
      <c r="C2010" s="5" t="s">
        <v>1884</v>
      </c>
      <c r="D2010" s="6">
        <v>29.0</v>
      </c>
      <c r="E2010" s="6">
        <v>48625.0</v>
      </c>
      <c r="F2010" s="6">
        <v>20590.0</v>
      </c>
      <c r="G2010" s="6">
        <v>39438.0</v>
      </c>
      <c r="H2010" s="6">
        <v>1.2329</v>
      </c>
      <c r="I2010" s="6">
        <v>0.5221</v>
      </c>
      <c r="J2010" s="6">
        <v>0.7109</v>
      </c>
    </row>
    <row r="2011">
      <c r="A2011" s="5" t="s">
        <v>58</v>
      </c>
      <c r="B2011" s="5" t="s">
        <v>163</v>
      </c>
      <c r="C2011" s="5" t="s">
        <v>1884</v>
      </c>
      <c r="D2011" s="6">
        <v>30.0</v>
      </c>
      <c r="E2011" s="6">
        <v>74020.0</v>
      </c>
      <c r="F2011" s="6">
        <v>34249.0</v>
      </c>
      <c r="G2011" s="6">
        <v>39438.0</v>
      </c>
      <c r="H2011" s="6">
        <v>1.8769</v>
      </c>
      <c r="I2011" s="6">
        <v>0.8684</v>
      </c>
      <c r="J2011" s="6">
        <v>1.0084</v>
      </c>
    </row>
    <row r="2012">
      <c r="A2012" s="5" t="s">
        <v>58</v>
      </c>
      <c r="B2012" s="5" t="s">
        <v>163</v>
      </c>
      <c r="C2012" s="5" t="s">
        <v>1884</v>
      </c>
      <c r="D2012" s="6">
        <v>31.0</v>
      </c>
      <c r="E2012" s="6">
        <v>56875.0</v>
      </c>
      <c r="F2012" s="6">
        <v>25779.0</v>
      </c>
      <c r="G2012" s="6">
        <v>39438.0</v>
      </c>
      <c r="H2012" s="6">
        <v>1.4421</v>
      </c>
      <c r="I2012" s="6">
        <v>0.6537</v>
      </c>
      <c r="J2012" s="6">
        <v>0.7885</v>
      </c>
    </row>
    <row r="2013">
      <c r="A2013" s="5" t="s">
        <v>58</v>
      </c>
      <c r="B2013" s="5" t="s">
        <v>163</v>
      </c>
      <c r="C2013" s="5" t="s">
        <v>1884</v>
      </c>
      <c r="D2013" s="6">
        <v>32.0</v>
      </c>
      <c r="E2013" s="6">
        <v>57165.0</v>
      </c>
      <c r="F2013" s="6">
        <v>25236.0</v>
      </c>
      <c r="G2013" s="6">
        <v>39438.0</v>
      </c>
      <c r="H2013" s="6">
        <v>1.4495</v>
      </c>
      <c r="I2013" s="6">
        <v>0.6399</v>
      </c>
      <c r="J2013" s="6">
        <v>0.8096</v>
      </c>
    </row>
    <row r="2014">
      <c r="A2014" s="5" t="s">
        <v>58</v>
      </c>
      <c r="B2014" s="5" t="s">
        <v>163</v>
      </c>
      <c r="C2014" s="5" t="s">
        <v>1884</v>
      </c>
      <c r="D2014" s="6">
        <v>33.0</v>
      </c>
      <c r="E2014" s="6">
        <v>62150.0</v>
      </c>
      <c r="F2014" s="6">
        <v>27684.0</v>
      </c>
      <c r="G2014" s="6">
        <v>39438.0</v>
      </c>
      <c r="H2014" s="6">
        <v>1.5759</v>
      </c>
      <c r="I2014" s="6">
        <v>0.702</v>
      </c>
      <c r="J2014" s="6">
        <v>0.8739</v>
      </c>
    </row>
    <row r="2015">
      <c r="A2015" s="5" t="s">
        <v>58</v>
      </c>
      <c r="B2015" s="5" t="s">
        <v>163</v>
      </c>
      <c r="C2015" s="5" t="s">
        <v>1885</v>
      </c>
      <c r="D2015" s="6">
        <v>1.0</v>
      </c>
      <c r="E2015" s="6">
        <v>80450.0</v>
      </c>
      <c r="F2015" s="6">
        <v>34455.0</v>
      </c>
      <c r="G2015" s="6">
        <v>41909.0</v>
      </c>
      <c r="H2015" s="6">
        <v>1.9196</v>
      </c>
      <c r="I2015" s="6">
        <v>0.8221</v>
      </c>
      <c r="J2015" s="6">
        <v>1.0975</v>
      </c>
    </row>
    <row r="2016">
      <c r="A2016" s="5" t="s">
        <v>58</v>
      </c>
      <c r="B2016" s="5" t="s">
        <v>163</v>
      </c>
      <c r="C2016" s="5" t="s">
        <v>1885</v>
      </c>
      <c r="D2016" s="6">
        <v>2.0</v>
      </c>
      <c r="E2016" s="6">
        <v>90245.0</v>
      </c>
      <c r="F2016" s="6">
        <v>39842.0</v>
      </c>
      <c r="G2016" s="6">
        <v>41909.0</v>
      </c>
      <c r="H2016" s="6">
        <v>2.1534</v>
      </c>
      <c r="I2016" s="6">
        <v>0.9507</v>
      </c>
      <c r="J2016" s="6">
        <v>1.2027</v>
      </c>
    </row>
    <row r="2017">
      <c r="A2017" s="5" t="s">
        <v>58</v>
      </c>
      <c r="B2017" s="5" t="s">
        <v>163</v>
      </c>
      <c r="C2017" s="5" t="s">
        <v>1885</v>
      </c>
      <c r="D2017" s="6">
        <v>3.0</v>
      </c>
      <c r="E2017" s="6">
        <v>82375.0</v>
      </c>
      <c r="F2017" s="6">
        <v>35528.0</v>
      </c>
      <c r="G2017" s="6">
        <v>41909.0</v>
      </c>
      <c r="H2017" s="6">
        <v>1.9656</v>
      </c>
      <c r="I2017" s="6">
        <v>0.8477</v>
      </c>
      <c r="J2017" s="6">
        <v>1.1178</v>
      </c>
    </row>
    <row r="2018">
      <c r="A2018" s="5" t="s">
        <v>58</v>
      </c>
      <c r="B2018" s="5" t="s">
        <v>163</v>
      </c>
      <c r="C2018" s="5" t="s">
        <v>1885</v>
      </c>
      <c r="D2018" s="6">
        <v>4.0</v>
      </c>
      <c r="E2018" s="6">
        <v>80125.0</v>
      </c>
      <c r="F2018" s="6">
        <v>34822.0</v>
      </c>
      <c r="G2018" s="6">
        <v>41909.0</v>
      </c>
      <c r="H2018" s="6">
        <v>1.9119</v>
      </c>
      <c r="I2018" s="6">
        <v>0.8309</v>
      </c>
      <c r="J2018" s="6">
        <v>1.081</v>
      </c>
    </row>
    <row r="2019">
      <c r="A2019" s="5" t="s">
        <v>58</v>
      </c>
      <c r="B2019" s="5" t="s">
        <v>163</v>
      </c>
      <c r="C2019" s="5" t="s">
        <v>1885</v>
      </c>
      <c r="D2019" s="6">
        <v>5.0</v>
      </c>
      <c r="E2019" s="6">
        <v>86610.0</v>
      </c>
      <c r="F2019" s="6">
        <v>38578.0</v>
      </c>
      <c r="G2019" s="6">
        <v>41909.0</v>
      </c>
      <c r="H2019" s="6">
        <v>2.0666</v>
      </c>
      <c r="I2019" s="6">
        <v>0.9205</v>
      </c>
      <c r="J2019" s="6">
        <v>1.1461</v>
      </c>
    </row>
    <row r="2020">
      <c r="A2020" s="5" t="s">
        <v>58</v>
      </c>
      <c r="B2020" s="5" t="s">
        <v>163</v>
      </c>
      <c r="C2020" s="5" t="s">
        <v>1885</v>
      </c>
      <c r="D2020" s="6">
        <v>6.0</v>
      </c>
      <c r="E2020" s="6">
        <v>169805.0</v>
      </c>
      <c r="F2020" s="6">
        <v>80227.0</v>
      </c>
      <c r="G2020" s="6">
        <v>41909.0</v>
      </c>
      <c r="H2020" s="6">
        <v>4.0518</v>
      </c>
      <c r="I2020" s="6">
        <v>1.9143</v>
      </c>
      <c r="J2020" s="6">
        <v>2.1374</v>
      </c>
    </row>
    <row r="2021">
      <c r="A2021" s="5" t="s">
        <v>58</v>
      </c>
      <c r="B2021" s="5" t="s">
        <v>163</v>
      </c>
      <c r="C2021" s="5" t="s">
        <v>1885</v>
      </c>
      <c r="D2021" s="6">
        <v>7.0</v>
      </c>
      <c r="E2021" s="6">
        <v>119785.0</v>
      </c>
      <c r="F2021" s="6">
        <v>56194.0</v>
      </c>
      <c r="G2021" s="6">
        <v>41909.0</v>
      </c>
      <c r="H2021" s="6">
        <v>2.8582</v>
      </c>
      <c r="I2021" s="6">
        <v>1.3409</v>
      </c>
      <c r="J2021" s="6">
        <v>1.5174</v>
      </c>
    </row>
    <row r="2022">
      <c r="A2022" s="5" t="s">
        <v>58</v>
      </c>
      <c r="B2022" s="5" t="s">
        <v>163</v>
      </c>
      <c r="C2022" s="5" t="s">
        <v>1885</v>
      </c>
      <c r="D2022" s="6">
        <v>8.0</v>
      </c>
      <c r="E2022" s="6">
        <v>92790.0</v>
      </c>
      <c r="F2022" s="6">
        <v>41620.0</v>
      </c>
      <c r="G2022" s="6">
        <v>41909.0</v>
      </c>
      <c r="H2022" s="6">
        <v>2.2141</v>
      </c>
      <c r="I2022" s="6">
        <v>0.9931</v>
      </c>
      <c r="J2022" s="6">
        <v>1.221</v>
      </c>
    </row>
    <row r="2023">
      <c r="A2023" s="5" t="s">
        <v>58</v>
      </c>
      <c r="B2023" s="5" t="s">
        <v>163</v>
      </c>
      <c r="C2023" s="5" t="s">
        <v>1885</v>
      </c>
      <c r="D2023" s="6">
        <v>9.0</v>
      </c>
      <c r="E2023" s="6">
        <v>84850.0</v>
      </c>
      <c r="F2023" s="6">
        <v>36955.0</v>
      </c>
      <c r="G2023" s="6">
        <v>41909.0</v>
      </c>
      <c r="H2023" s="6">
        <v>2.0246</v>
      </c>
      <c r="I2023" s="6">
        <v>0.8818</v>
      </c>
      <c r="J2023" s="6">
        <v>1.1428</v>
      </c>
    </row>
    <row r="2024">
      <c r="A2024" s="5" t="s">
        <v>58</v>
      </c>
      <c r="B2024" s="5" t="s">
        <v>163</v>
      </c>
      <c r="C2024" s="5" t="s">
        <v>1885</v>
      </c>
      <c r="D2024" s="6">
        <v>10.0</v>
      </c>
      <c r="E2024" s="6">
        <v>102060.0</v>
      </c>
      <c r="F2024" s="6">
        <v>39556.0</v>
      </c>
      <c r="G2024" s="6">
        <v>41909.0</v>
      </c>
      <c r="H2024" s="6">
        <v>2.4353</v>
      </c>
      <c r="I2024" s="6">
        <v>0.9439</v>
      </c>
      <c r="J2024" s="6">
        <v>1.4914</v>
      </c>
    </row>
    <row r="2025">
      <c r="A2025" s="5" t="s">
        <v>58</v>
      </c>
      <c r="B2025" s="5" t="s">
        <v>163</v>
      </c>
      <c r="C2025" s="5" t="s">
        <v>1885</v>
      </c>
      <c r="D2025" s="6">
        <v>11.0</v>
      </c>
      <c r="E2025" s="6">
        <v>68800.0</v>
      </c>
      <c r="F2025" s="6">
        <v>28389.0</v>
      </c>
      <c r="G2025" s="6">
        <v>41909.0</v>
      </c>
      <c r="H2025" s="6">
        <v>1.6417</v>
      </c>
      <c r="I2025" s="6">
        <v>0.6774</v>
      </c>
      <c r="J2025" s="6">
        <v>0.9643</v>
      </c>
    </row>
    <row r="2026">
      <c r="A2026" s="5" t="s">
        <v>58</v>
      </c>
      <c r="B2026" s="5" t="s">
        <v>163</v>
      </c>
      <c r="C2026" s="5" t="s">
        <v>1885</v>
      </c>
      <c r="D2026" s="6">
        <v>12.0</v>
      </c>
      <c r="E2026" s="6">
        <v>70255.0</v>
      </c>
      <c r="F2026" s="6">
        <v>30685.0</v>
      </c>
      <c r="G2026" s="6">
        <v>41909.0</v>
      </c>
      <c r="H2026" s="6">
        <v>1.6764</v>
      </c>
      <c r="I2026" s="6">
        <v>0.7322</v>
      </c>
      <c r="J2026" s="6">
        <v>0.9442</v>
      </c>
    </row>
    <row r="2027">
      <c r="A2027" s="5" t="s">
        <v>58</v>
      </c>
      <c r="B2027" s="5" t="s">
        <v>163</v>
      </c>
      <c r="C2027" s="5" t="s">
        <v>1885</v>
      </c>
      <c r="D2027" s="6">
        <v>13.0</v>
      </c>
      <c r="E2027" s="6">
        <v>148120.0</v>
      </c>
      <c r="F2027" s="6">
        <v>71303.0</v>
      </c>
      <c r="G2027" s="6">
        <v>41909.0</v>
      </c>
      <c r="H2027" s="6">
        <v>3.5343</v>
      </c>
      <c r="I2027" s="6">
        <v>1.7014</v>
      </c>
      <c r="J2027" s="6">
        <v>1.8329</v>
      </c>
    </row>
    <row r="2028">
      <c r="A2028" s="5" t="s">
        <v>58</v>
      </c>
      <c r="B2028" s="5" t="s">
        <v>163</v>
      </c>
      <c r="C2028" s="5" t="s">
        <v>1885</v>
      </c>
      <c r="D2028" s="6">
        <v>14.0</v>
      </c>
      <c r="E2028" s="6">
        <v>94310.0</v>
      </c>
      <c r="F2028" s="6">
        <v>44070.0</v>
      </c>
      <c r="G2028" s="6">
        <v>41909.0</v>
      </c>
      <c r="H2028" s="6">
        <v>2.2504</v>
      </c>
      <c r="I2028" s="6">
        <v>1.0516</v>
      </c>
      <c r="J2028" s="6">
        <v>1.1988</v>
      </c>
    </row>
    <row r="2029">
      <c r="A2029" s="5" t="s">
        <v>58</v>
      </c>
      <c r="B2029" s="5" t="s">
        <v>163</v>
      </c>
      <c r="C2029" s="5" t="s">
        <v>1885</v>
      </c>
      <c r="D2029" s="6">
        <v>15.0</v>
      </c>
      <c r="E2029" s="6">
        <v>76020.0</v>
      </c>
      <c r="F2029" s="6">
        <v>33431.0</v>
      </c>
      <c r="G2029" s="6">
        <v>41909.0</v>
      </c>
      <c r="H2029" s="6">
        <v>1.8139</v>
      </c>
      <c r="I2029" s="6">
        <v>0.7977</v>
      </c>
      <c r="J2029" s="6">
        <v>1.0162</v>
      </c>
    </row>
    <row r="2030">
      <c r="A2030" s="5" t="s">
        <v>58</v>
      </c>
      <c r="B2030" s="5" t="s">
        <v>163</v>
      </c>
      <c r="C2030" s="5" t="s">
        <v>1885</v>
      </c>
      <c r="D2030" s="6">
        <v>16.0</v>
      </c>
      <c r="E2030" s="6">
        <v>86940.0</v>
      </c>
      <c r="F2030" s="6">
        <v>38347.0</v>
      </c>
      <c r="G2030" s="6">
        <v>41909.0</v>
      </c>
      <c r="H2030" s="6">
        <v>2.0745</v>
      </c>
      <c r="I2030" s="6">
        <v>0.915</v>
      </c>
      <c r="J2030" s="6">
        <v>1.1595</v>
      </c>
    </row>
    <row r="2031">
      <c r="A2031" s="5" t="s">
        <v>58</v>
      </c>
      <c r="B2031" s="5" t="s">
        <v>163</v>
      </c>
      <c r="C2031" s="5" t="s">
        <v>1885</v>
      </c>
      <c r="D2031" s="6">
        <v>17.0</v>
      </c>
      <c r="E2031" s="6">
        <v>87170.0</v>
      </c>
      <c r="F2031" s="6">
        <v>39098.0</v>
      </c>
      <c r="G2031" s="6">
        <v>41909.0</v>
      </c>
      <c r="H2031" s="6">
        <v>2.08</v>
      </c>
      <c r="I2031" s="6">
        <v>0.9329</v>
      </c>
      <c r="J2031" s="6">
        <v>1.1471</v>
      </c>
    </row>
    <row r="2032">
      <c r="A2032" s="5" t="s">
        <v>58</v>
      </c>
      <c r="B2032" s="5" t="s">
        <v>163</v>
      </c>
      <c r="C2032" s="5" t="s">
        <v>1885</v>
      </c>
      <c r="D2032" s="6">
        <v>18.0</v>
      </c>
      <c r="E2032" s="6">
        <v>70430.0</v>
      </c>
      <c r="F2032" s="6">
        <v>30981.0</v>
      </c>
      <c r="G2032" s="6">
        <v>41909.0</v>
      </c>
      <c r="H2032" s="6">
        <v>1.6805</v>
      </c>
      <c r="I2032" s="6">
        <v>0.7392</v>
      </c>
      <c r="J2032" s="6">
        <v>0.9413</v>
      </c>
    </row>
    <row r="2033">
      <c r="A2033" s="5" t="s">
        <v>58</v>
      </c>
      <c r="B2033" s="5" t="s">
        <v>163</v>
      </c>
      <c r="C2033" s="5" t="s">
        <v>1885</v>
      </c>
      <c r="D2033" s="6">
        <v>19.0</v>
      </c>
      <c r="E2033" s="6">
        <v>77505.0</v>
      </c>
      <c r="F2033" s="6">
        <v>33545.0</v>
      </c>
      <c r="G2033" s="6">
        <v>41909.0</v>
      </c>
      <c r="H2033" s="6">
        <v>1.8494</v>
      </c>
      <c r="I2033" s="6">
        <v>0.8004</v>
      </c>
      <c r="J2033" s="6">
        <v>1.0489</v>
      </c>
    </row>
    <row r="2034">
      <c r="A2034" s="5" t="s">
        <v>58</v>
      </c>
      <c r="B2034" s="5" t="s">
        <v>163</v>
      </c>
      <c r="C2034" s="5" t="s">
        <v>1885</v>
      </c>
      <c r="D2034" s="6">
        <v>20.0</v>
      </c>
      <c r="E2034" s="6">
        <v>161170.0</v>
      </c>
      <c r="F2034" s="6">
        <v>74463.0</v>
      </c>
      <c r="G2034" s="6">
        <v>41909.0</v>
      </c>
      <c r="H2034" s="6">
        <v>3.8457</v>
      </c>
      <c r="I2034" s="6">
        <v>1.7768</v>
      </c>
      <c r="J2034" s="6">
        <v>2.0689</v>
      </c>
    </row>
    <row r="2035">
      <c r="A2035" s="5" t="s">
        <v>58</v>
      </c>
      <c r="B2035" s="5" t="s">
        <v>163</v>
      </c>
      <c r="C2035" s="5" t="s">
        <v>1885</v>
      </c>
      <c r="D2035" s="6">
        <v>21.0</v>
      </c>
      <c r="E2035" s="6">
        <v>388820.0</v>
      </c>
      <c r="F2035" s="6">
        <v>144592.0</v>
      </c>
      <c r="G2035" s="6">
        <v>41909.0</v>
      </c>
      <c r="H2035" s="6">
        <v>9.2777</v>
      </c>
      <c r="I2035" s="6">
        <v>3.4501</v>
      </c>
      <c r="J2035" s="6">
        <v>5.8276</v>
      </c>
    </row>
    <row r="2036">
      <c r="A2036" s="5" t="s">
        <v>58</v>
      </c>
      <c r="B2036" s="5" t="s">
        <v>163</v>
      </c>
      <c r="C2036" s="5" t="s">
        <v>1885</v>
      </c>
      <c r="D2036" s="6">
        <v>22.0</v>
      </c>
      <c r="E2036" s="6">
        <v>206460.0</v>
      </c>
      <c r="F2036" s="6">
        <v>87614.0</v>
      </c>
      <c r="G2036" s="6">
        <v>41909.0</v>
      </c>
      <c r="H2036" s="6">
        <v>4.9264</v>
      </c>
      <c r="I2036" s="6">
        <v>2.0906</v>
      </c>
      <c r="J2036" s="6">
        <v>2.8358</v>
      </c>
    </row>
    <row r="2037">
      <c r="A2037" s="5" t="s">
        <v>58</v>
      </c>
      <c r="B2037" s="5" t="s">
        <v>163</v>
      </c>
      <c r="C2037" s="5" t="s">
        <v>1885</v>
      </c>
      <c r="D2037" s="6">
        <v>23.0</v>
      </c>
      <c r="E2037" s="6">
        <v>140070.0</v>
      </c>
      <c r="F2037" s="6">
        <v>60945.0</v>
      </c>
      <c r="G2037" s="6">
        <v>41909.0</v>
      </c>
      <c r="H2037" s="6">
        <v>3.3422</v>
      </c>
      <c r="I2037" s="6">
        <v>1.4542</v>
      </c>
      <c r="J2037" s="6">
        <v>1.888</v>
      </c>
    </row>
    <row r="2038">
      <c r="A2038" s="5" t="s">
        <v>58</v>
      </c>
      <c r="B2038" s="5" t="s">
        <v>163</v>
      </c>
      <c r="C2038" s="5" t="s">
        <v>1885</v>
      </c>
      <c r="D2038" s="6">
        <v>24.0</v>
      </c>
      <c r="E2038" s="6">
        <v>154110.0</v>
      </c>
      <c r="F2038" s="6">
        <v>60583.0</v>
      </c>
      <c r="G2038" s="6">
        <v>41909.0</v>
      </c>
      <c r="H2038" s="6">
        <v>3.6773</v>
      </c>
      <c r="I2038" s="6">
        <v>1.4456</v>
      </c>
      <c r="J2038" s="6">
        <v>2.2317</v>
      </c>
    </row>
    <row r="2039">
      <c r="A2039" s="5" t="s">
        <v>58</v>
      </c>
      <c r="B2039" s="5" t="s">
        <v>163</v>
      </c>
      <c r="C2039" s="5" t="s">
        <v>1885</v>
      </c>
      <c r="D2039" s="6">
        <v>25.0</v>
      </c>
      <c r="E2039" s="6">
        <v>109495.0</v>
      </c>
      <c r="F2039" s="6">
        <v>45745.0</v>
      </c>
      <c r="G2039" s="6">
        <v>41909.0</v>
      </c>
      <c r="H2039" s="6">
        <v>2.6127</v>
      </c>
      <c r="I2039" s="6">
        <v>1.0915</v>
      </c>
      <c r="J2039" s="6">
        <v>1.5212</v>
      </c>
    </row>
    <row r="2040">
      <c r="A2040" s="5" t="s">
        <v>58</v>
      </c>
      <c r="B2040" s="5" t="s">
        <v>163</v>
      </c>
      <c r="C2040" s="5" t="s">
        <v>1885</v>
      </c>
      <c r="D2040" s="6">
        <v>26.0</v>
      </c>
      <c r="E2040" s="6">
        <v>110000.0</v>
      </c>
      <c r="F2040" s="6">
        <v>48785.0</v>
      </c>
      <c r="G2040" s="6">
        <v>41909.0</v>
      </c>
      <c r="H2040" s="6">
        <v>2.6247</v>
      </c>
      <c r="I2040" s="6">
        <v>1.1641</v>
      </c>
      <c r="J2040" s="6">
        <v>1.4607</v>
      </c>
    </row>
    <row r="2041">
      <c r="A2041" s="5" t="s">
        <v>58</v>
      </c>
      <c r="B2041" s="5" t="s">
        <v>163</v>
      </c>
      <c r="C2041" s="5" t="s">
        <v>1885</v>
      </c>
      <c r="D2041" s="6">
        <v>27.0</v>
      </c>
      <c r="E2041" s="6">
        <v>114225.0</v>
      </c>
      <c r="F2041" s="6">
        <v>50002.0</v>
      </c>
      <c r="G2041" s="6">
        <v>41909.0</v>
      </c>
      <c r="H2041" s="6">
        <v>2.7255</v>
      </c>
      <c r="I2041" s="6">
        <v>1.1931</v>
      </c>
      <c r="J2041" s="6">
        <v>1.5324</v>
      </c>
    </row>
    <row r="2042">
      <c r="A2042" s="5" t="s">
        <v>58</v>
      </c>
      <c r="B2042" s="5" t="s">
        <v>163</v>
      </c>
      <c r="C2042" s="5" t="s">
        <v>1885</v>
      </c>
      <c r="D2042" s="6">
        <v>28.0</v>
      </c>
      <c r="E2042" s="6">
        <v>101560.0</v>
      </c>
      <c r="F2042" s="6">
        <v>43460.0</v>
      </c>
      <c r="G2042" s="6">
        <v>41909.0</v>
      </c>
      <c r="H2042" s="6">
        <v>2.4233</v>
      </c>
      <c r="I2042" s="6">
        <v>1.037</v>
      </c>
      <c r="J2042" s="6">
        <v>1.3863</v>
      </c>
    </row>
    <row r="2043">
      <c r="A2043" s="5" t="s">
        <v>58</v>
      </c>
      <c r="B2043" s="5" t="s">
        <v>163</v>
      </c>
      <c r="C2043" s="5" t="s">
        <v>1885</v>
      </c>
      <c r="D2043" s="6">
        <v>29.0</v>
      </c>
      <c r="E2043" s="6">
        <v>84365.0</v>
      </c>
      <c r="F2043" s="6">
        <v>35012.0</v>
      </c>
      <c r="G2043" s="6">
        <v>41909.0</v>
      </c>
      <c r="H2043" s="6">
        <v>2.0131</v>
      </c>
      <c r="I2043" s="6">
        <v>0.8354</v>
      </c>
      <c r="J2043" s="6">
        <v>1.1776</v>
      </c>
    </row>
    <row r="2044">
      <c r="A2044" s="5" t="s">
        <v>58</v>
      </c>
      <c r="B2044" s="5" t="s">
        <v>163</v>
      </c>
      <c r="C2044" s="5" t="s">
        <v>1885</v>
      </c>
      <c r="D2044" s="6">
        <v>30.0</v>
      </c>
      <c r="E2044" s="6">
        <v>91550.0</v>
      </c>
      <c r="F2044" s="6">
        <v>40051.0</v>
      </c>
      <c r="G2044" s="6">
        <v>41909.0</v>
      </c>
      <c r="H2044" s="6">
        <v>2.1845</v>
      </c>
      <c r="I2044" s="6">
        <v>0.9557</v>
      </c>
      <c r="J2044" s="6">
        <v>1.2288</v>
      </c>
    </row>
    <row r="2045">
      <c r="A2045" s="5" t="s">
        <v>58</v>
      </c>
      <c r="B2045" s="5" t="s">
        <v>163</v>
      </c>
      <c r="C2045" s="5" t="s">
        <v>1885</v>
      </c>
      <c r="D2045" s="6">
        <v>31.0</v>
      </c>
      <c r="E2045" s="6">
        <v>80900.0</v>
      </c>
      <c r="F2045" s="6">
        <v>34821.0</v>
      </c>
      <c r="G2045" s="6">
        <v>41909.0</v>
      </c>
      <c r="H2045" s="6">
        <v>1.9304</v>
      </c>
      <c r="I2045" s="6">
        <v>0.8309</v>
      </c>
      <c r="J2045" s="6">
        <v>1.0995</v>
      </c>
    </row>
    <row r="2046">
      <c r="A2046" s="5" t="s">
        <v>58</v>
      </c>
      <c r="B2046" s="5" t="s">
        <v>163</v>
      </c>
      <c r="C2046" s="5" t="s">
        <v>1885</v>
      </c>
      <c r="D2046" s="6">
        <v>32.0</v>
      </c>
      <c r="E2046" s="6">
        <v>77920.0</v>
      </c>
      <c r="F2046" s="6">
        <v>33912.0</v>
      </c>
      <c r="G2046" s="6">
        <v>41909.0</v>
      </c>
      <c r="H2046" s="6">
        <v>1.8593</v>
      </c>
      <c r="I2046" s="6">
        <v>0.8092</v>
      </c>
      <c r="J2046" s="6">
        <v>1.0501</v>
      </c>
    </row>
    <row r="2047">
      <c r="A2047" s="5" t="s">
        <v>58</v>
      </c>
      <c r="B2047" s="5" t="s">
        <v>163</v>
      </c>
      <c r="C2047" s="5" t="s">
        <v>1885</v>
      </c>
      <c r="D2047" s="6">
        <v>33.0</v>
      </c>
      <c r="E2047" s="6">
        <v>82035.0</v>
      </c>
      <c r="F2047" s="6">
        <v>35952.0</v>
      </c>
      <c r="G2047" s="6">
        <v>41909.0</v>
      </c>
      <c r="H2047" s="6">
        <v>1.9575</v>
      </c>
      <c r="I2047" s="6">
        <v>0.8579</v>
      </c>
      <c r="J2047" s="6">
        <v>1.0996</v>
      </c>
    </row>
    <row r="2048">
      <c r="A2048" s="5" t="s">
        <v>58</v>
      </c>
      <c r="B2048" s="5" t="s">
        <v>163</v>
      </c>
      <c r="C2048" s="5" t="s">
        <v>75</v>
      </c>
      <c r="D2048" s="6">
        <v>1.0</v>
      </c>
      <c r="E2048" s="6">
        <v>2467070.0</v>
      </c>
      <c r="F2048" s="6">
        <v>39.0</v>
      </c>
      <c r="G2048" s="6">
        <v>46238.0</v>
      </c>
      <c r="H2048" s="6">
        <v>53.3559</v>
      </c>
      <c r="I2048" s="6">
        <v>8.0E-4</v>
      </c>
      <c r="J2048" s="6">
        <v>53.3551</v>
      </c>
    </row>
    <row r="2049">
      <c r="A2049" s="5" t="s">
        <v>58</v>
      </c>
      <c r="B2049" s="5" t="s">
        <v>163</v>
      </c>
      <c r="C2049" s="5" t="s">
        <v>75</v>
      </c>
      <c r="D2049" s="6">
        <v>2.0</v>
      </c>
      <c r="E2049" s="6">
        <v>1629542.0</v>
      </c>
      <c r="F2049" s="6">
        <v>0.0</v>
      </c>
      <c r="G2049" s="6">
        <v>46238.0</v>
      </c>
      <c r="H2049" s="6">
        <v>35.2425</v>
      </c>
      <c r="I2049" s="6">
        <v>0.0</v>
      </c>
      <c r="J2049" s="6">
        <v>35.2425</v>
      </c>
    </row>
    <row r="2050">
      <c r="A2050" s="5" t="s">
        <v>58</v>
      </c>
      <c r="B2050" s="5" t="s">
        <v>163</v>
      </c>
      <c r="C2050" s="5" t="s">
        <v>75</v>
      </c>
      <c r="D2050" s="6">
        <v>3.0</v>
      </c>
      <c r="E2050" s="6">
        <v>2449208.0</v>
      </c>
      <c r="F2050" s="6">
        <v>18.0</v>
      </c>
      <c r="G2050" s="6">
        <v>46238.0</v>
      </c>
      <c r="H2050" s="6">
        <v>52.9696</v>
      </c>
      <c r="I2050" s="6">
        <v>4.0E-4</v>
      </c>
      <c r="J2050" s="6">
        <v>52.9692</v>
      </c>
    </row>
    <row r="2051">
      <c r="A2051" s="5" t="s">
        <v>58</v>
      </c>
      <c r="B2051" s="5" t="s">
        <v>163</v>
      </c>
      <c r="C2051" s="5" t="s">
        <v>75</v>
      </c>
      <c r="D2051" s="6">
        <v>4.0</v>
      </c>
      <c r="E2051" s="6">
        <v>1761439.0</v>
      </c>
      <c r="F2051" s="6">
        <v>0.0</v>
      </c>
      <c r="G2051" s="6">
        <v>46238.0</v>
      </c>
      <c r="H2051" s="6">
        <v>38.0951</v>
      </c>
      <c r="I2051" s="6">
        <v>0.0</v>
      </c>
      <c r="J2051" s="6">
        <v>38.0951</v>
      </c>
    </row>
    <row r="2052">
      <c r="A2052" s="5" t="s">
        <v>58</v>
      </c>
      <c r="B2052" s="5" t="s">
        <v>163</v>
      </c>
      <c r="C2052" s="5" t="s">
        <v>75</v>
      </c>
      <c r="D2052" s="6">
        <v>5.0</v>
      </c>
      <c r="E2052" s="6">
        <v>2351656.0</v>
      </c>
      <c r="F2052" s="6">
        <v>47.0</v>
      </c>
      <c r="G2052" s="6">
        <v>46238.0</v>
      </c>
      <c r="H2052" s="6">
        <v>50.8598</v>
      </c>
      <c r="I2052" s="6">
        <v>0.001</v>
      </c>
      <c r="J2052" s="6">
        <v>50.8588</v>
      </c>
    </row>
    <row r="2053">
      <c r="A2053" s="5" t="s">
        <v>58</v>
      </c>
      <c r="B2053" s="5" t="s">
        <v>163</v>
      </c>
      <c r="C2053" s="5" t="s">
        <v>75</v>
      </c>
      <c r="D2053" s="6">
        <v>6.0</v>
      </c>
      <c r="E2053" s="6">
        <v>2814811.0</v>
      </c>
      <c r="F2053" s="6">
        <v>0.0</v>
      </c>
      <c r="G2053" s="6">
        <v>46238.0</v>
      </c>
      <c r="H2053" s="6">
        <v>60.8766</v>
      </c>
      <c r="I2053" s="6">
        <v>0.0</v>
      </c>
      <c r="J2053" s="6">
        <v>60.8766</v>
      </c>
    </row>
    <row r="2054">
      <c r="A2054" s="5" t="s">
        <v>58</v>
      </c>
      <c r="B2054" s="5" t="s">
        <v>163</v>
      </c>
      <c r="C2054" s="5" t="s">
        <v>75</v>
      </c>
      <c r="D2054" s="6">
        <v>7.0</v>
      </c>
      <c r="E2054" s="6">
        <v>1796539.0</v>
      </c>
      <c r="F2054" s="6">
        <v>0.0</v>
      </c>
      <c r="G2054" s="6">
        <v>46238.0</v>
      </c>
      <c r="H2054" s="6">
        <v>38.8542</v>
      </c>
      <c r="I2054" s="6">
        <v>0.0</v>
      </c>
      <c r="J2054" s="6">
        <v>38.8542</v>
      </c>
    </row>
    <row r="2055">
      <c r="A2055" s="5" t="s">
        <v>58</v>
      </c>
      <c r="B2055" s="5" t="s">
        <v>163</v>
      </c>
      <c r="C2055" s="5" t="s">
        <v>75</v>
      </c>
      <c r="D2055" s="6">
        <v>8.0</v>
      </c>
      <c r="E2055" s="6">
        <v>2527054.0</v>
      </c>
      <c r="F2055" s="6">
        <v>7.0</v>
      </c>
      <c r="G2055" s="6">
        <v>46238.0</v>
      </c>
      <c r="H2055" s="6">
        <v>54.6532</v>
      </c>
      <c r="I2055" s="6">
        <v>2.0E-4</v>
      </c>
      <c r="J2055" s="6">
        <v>54.653</v>
      </c>
    </row>
    <row r="2056">
      <c r="A2056" s="5" t="s">
        <v>58</v>
      </c>
      <c r="B2056" s="5" t="s">
        <v>163</v>
      </c>
      <c r="C2056" s="5" t="s">
        <v>75</v>
      </c>
      <c r="D2056" s="6">
        <v>9.0</v>
      </c>
      <c r="E2056" s="6">
        <v>1704578.0</v>
      </c>
      <c r="F2056" s="6">
        <v>25.0</v>
      </c>
      <c r="G2056" s="6">
        <v>46238.0</v>
      </c>
      <c r="H2056" s="6">
        <v>36.8653</v>
      </c>
      <c r="I2056" s="6">
        <v>5.0E-4</v>
      </c>
      <c r="J2056" s="6">
        <v>36.8648</v>
      </c>
    </row>
    <row r="2057">
      <c r="A2057" s="5" t="s">
        <v>58</v>
      </c>
      <c r="B2057" s="5" t="s">
        <v>163</v>
      </c>
      <c r="C2057" s="5" t="s">
        <v>75</v>
      </c>
      <c r="D2057" s="6">
        <v>10.0</v>
      </c>
      <c r="E2057" s="6">
        <v>2707855.0</v>
      </c>
      <c r="F2057" s="6">
        <v>10.0</v>
      </c>
      <c r="G2057" s="6">
        <v>46238.0</v>
      </c>
      <c r="H2057" s="6">
        <v>58.5634</v>
      </c>
      <c r="I2057" s="6">
        <v>2.0E-4</v>
      </c>
      <c r="J2057" s="6">
        <v>58.5632</v>
      </c>
    </row>
    <row r="2058">
      <c r="A2058" s="5" t="s">
        <v>58</v>
      </c>
      <c r="B2058" s="5" t="s">
        <v>163</v>
      </c>
      <c r="C2058" s="5" t="s">
        <v>75</v>
      </c>
      <c r="D2058" s="6">
        <v>11.0</v>
      </c>
      <c r="E2058" s="6">
        <v>1831356.0</v>
      </c>
      <c r="F2058" s="6">
        <v>0.0</v>
      </c>
      <c r="G2058" s="6">
        <v>46238.0</v>
      </c>
      <c r="H2058" s="6">
        <v>39.6072</v>
      </c>
      <c r="I2058" s="6">
        <v>0.0</v>
      </c>
      <c r="J2058" s="6">
        <v>39.6072</v>
      </c>
    </row>
    <row r="2059">
      <c r="A2059" s="5" t="s">
        <v>58</v>
      </c>
      <c r="B2059" s="5" t="s">
        <v>163</v>
      </c>
      <c r="C2059" s="5" t="s">
        <v>75</v>
      </c>
      <c r="D2059" s="6">
        <v>12.0</v>
      </c>
      <c r="E2059" s="6">
        <v>2431002.0</v>
      </c>
      <c r="F2059" s="6">
        <v>10.0</v>
      </c>
      <c r="G2059" s="6">
        <v>46238.0</v>
      </c>
      <c r="H2059" s="6">
        <v>52.5758</v>
      </c>
      <c r="I2059" s="6">
        <v>2.0E-4</v>
      </c>
      <c r="J2059" s="6">
        <v>52.5756</v>
      </c>
    </row>
    <row r="2060">
      <c r="A2060" s="5" t="s">
        <v>58</v>
      </c>
      <c r="B2060" s="5" t="s">
        <v>163</v>
      </c>
      <c r="C2060" s="5" t="s">
        <v>75</v>
      </c>
      <c r="D2060" s="6">
        <v>13.0</v>
      </c>
      <c r="E2060" s="6">
        <v>2868484.0</v>
      </c>
      <c r="F2060" s="6">
        <v>0.0</v>
      </c>
      <c r="G2060" s="6">
        <v>46238.0</v>
      </c>
      <c r="H2060" s="6">
        <v>62.0374</v>
      </c>
      <c r="I2060" s="6">
        <v>0.0</v>
      </c>
      <c r="J2060" s="6">
        <v>62.0374</v>
      </c>
    </row>
    <row r="2061">
      <c r="A2061" s="5" t="s">
        <v>58</v>
      </c>
      <c r="B2061" s="5" t="s">
        <v>163</v>
      </c>
      <c r="C2061" s="5" t="s">
        <v>75</v>
      </c>
      <c r="D2061" s="6">
        <v>14.0</v>
      </c>
      <c r="E2061" s="6">
        <v>1833149.0</v>
      </c>
      <c r="F2061" s="6">
        <v>36.0</v>
      </c>
      <c r="G2061" s="6">
        <v>46238.0</v>
      </c>
      <c r="H2061" s="6">
        <v>39.6459</v>
      </c>
      <c r="I2061" s="6">
        <v>8.0E-4</v>
      </c>
      <c r="J2061" s="6">
        <v>39.6452</v>
      </c>
    </row>
    <row r="2062">
      <c r="A2062" s="5" t="s">
        <v>58</v>
      </c>
      <c r="B2062" s="5" t="s">
        <v>163</v>
      </c>
      <c r="C2062" s="5" t="s">
        <v>75</v>
      </c>
      <c r="D2062" s="6">
        <v>15.0</v>
      </c>
      <c r="E2062" s="6">
        <v>2584969.0</v>
      </c>
      <c r="F2062" s="6">
        <v>0.0</v>
      </c>
      <c r="G2062" s="6">
        <v>46238.0</v>
      </c>
      <c r="H2062" s="6">
        <v>55.9057</v>
      </c>
      <c r="I2062" s="6">
        <v>0.0</v>
      </c>
      <c r="J2062" s="6">
        <v>55.9057</v>
      </c>
    </row>
    <row r="2063">
      <c r="A2063" s="5" t="s">
        <v>58</v>
      </c>
      <c r="B2063" s="5" t="s">
        <v>163</v>
      </c>
      <c r="C2063" s="5" t="s">
        <v>75</v>
      </c>
      <c r="D2063" s="6">
        <v>16.0</v>
      </c>
      <c r="E2063" s="6">
        <v>1598027.0</v>
      </c>
      <c r="F2063" s="6">
        <v>1.0</v>
      </c>
      <c r="G2063" s="6">
        <v>46238.0</v>
      </c>
      <c r="H2063" s="6">
        <v>34.5609</v>
      </c>
      <c r="I2063" s="6">
        <v>0.0</v>
      </c>
      <c r="J2063" s="6">
        <v>34.5609</v>
      </c>
    </row>
    <row r="2064">
      <c r="A2064" s="5" t="s">
        <v>58</v>
      </c>
      <c r="B2064" s="5" t="s">
        <v>163</v>
      </c>
      <c r="C2064" s="5" t="s">
        <v>75</v>
      </c>
      <c r="D2064" s="6">
        <v>17.0</v>
      </c>
      <c r="E2064" s="6">
        <v>2505954.0</v>
      </c>
      <c r="F2064" s="6">
        <v>1.0</v>
      </c>
      <c r="G2064" s="6">
        <v>46238.0</v>
      </c>
      <c r="H2064" s="6">
        <v>54.1969</v>
      </c>
      <c r="I2064" s="6">
        <v>0.0</v>
      </c>
      <c r="J2064" s="6">
        <v>54.1968</v>
      </c>
    </row>
    <row r="2065">
      <c r="A2065" s="5" t="s">
        <v>58</v>
      </c>
      <c r="B2065" s="5" t="s">
        <v>163</v>
      </c>
      <c r="C2065" s="5" t="s">
        <v>75</v>
      </c>
      <c r="D2065" s="6">
        <v>18.0</v>
      </c>
      <c r="E2065" s="6">
        <v>1765464.0</v>
      </c>
      <c r="F2065" s="6">
        <v>0.0</v>
      </c>
      <c r="G2065" s="6">
        <v>46238.0</v>
      </c>
      <c r="H2065" s="6">
        <v>38.1821</v>
      </c>
      <c r="I2065" s="6">
        <v>0.0</v>
      </c>
      <c r="J2065" s="6">
        <v>38.1821</v>
      </c>
    </row>
    <row r="2066">
      <c r="A2066" s="5" t="s">
        <v>58</v>
      </c>
      <c r="B2066" s="5" t="s">
        <v>163</v>
      </c>
      <c r="C2066" s="5" t="s">
        <v>75</v>
      </c>
      <c r="D2066" s="6">
        <v>19.0</v>
      </c>
      <c r="E2066" s="6">
        <v>2353293.0</v>
      </c>
      <c r="F2066" s="6">
        <v>23.0</v>
      </c>
      <c r="G2066" s="6">
        <v>46238.0</v>
      </c>
      <c r="H2066" s="6">
        <v>50.8952</v>
      </c>
      <c r="I2066" s="6">
        <v>5.0E-4</v>
      </c>
      <c r="J2066" s="6">
        <v>50.8947</v>
      </c>
    </row>
    <row r="2067">
      <c r="A2067" s="5" t="s">
        <v>58</v>
      </c>
      <c r="B2067" s="5" t="s">
        <v>163</v>
      </c>
      <c r="C2067" s="5" t="s">
        <v>75</v>
      </c>
      <c r="D2067" s="6">
        <v>20.0</v>
      </c>
      <c r="E2067" s="6">
        <v>2826943.0</v>
      </c>
      <c r="F2067" s="6">
        <v>0.0</v>
      </c>
      <c r="G2067" s="6">
        <v>46238.0</v>
      </c>
      <c r="H2067" s="6">
        <v>61.139</v>
      </c>
      <c r="I2067" s="6">
        <v>0.0</v>
      </c>
      <c r="J2067" s="6">
        <v>61.139</v>
      </c>
    </row>
    <row r="2068">
      <c r="A2068" s="5" t="s">
        <v>58</v>
      </c>
      <c r="B2068" s="5" t="s">
        <v>163</v>
      </c>
      <c r="C2068" s="5" t="s">
        <v>75</v>
      </c>
      <c r="D2068" s="6">
        <v>21.0</v>
      </c>
      <c r="E2068" s="6">
        <v>3688815.0</v>
      </c>
      <c r="F2068" s="6">
        <v>0.0</v>
      </c>
      <c r="G2068" s="6">
        <v>46238.0</v>
      </c>
      <c r="H2068" s="6">
        <v>79.7789</v>
      </c>
      <c r="I2068" s="6">
        <v>0.0</v>
      </c>
      <c r="J2068" s="6">
        <v>79.7789</v>
      </c>
    </row>
    <row r="2069">
      <c r="A2069" s="5" t="s">
        <v>58</v>
      </c>
      <c r="B2069" s="5" t="s">
        <v>163</v>
      </c>
      <c r="C2069" s="5" t="s">
        <v>75</v>
      </c>
      <c r="D2069" s="6">
        <v>22.0</v>
      </c>
      <c r="E2069" s="6">
        <v>2963412.0</v>
      </c>
      <c r="F2069" s="6">
        <v>42.0</v>
      </c>
      <c r="G2069" s="6">
        <v>46238.0</v>
      </c>
      <c r="H2069" s="6">
        <v>64.0904</v>
      </c>
      <c r="I2069" s="6">
        <v>9.0E-4</v>
      </c>
      <c r="J2069" s="6">
        <v>64.0895</v>
      </c>
    </row>
    <row r="2070">
      <c r="A2070" s="5" t="s">
        <v>58</v>
      </c>
      <c r="B2070" s="5" t="s">
        <v>163</v>
      </c>
      <c r="C2070" s="5" t="s">
        <v>75</v>
      </c>
      <c r="D2070" s="6">
        <v>23.0</v>
      </c>
      <c r="E2070" s="6">
        <v>2085968.0</v>
      </c>
      <c r="F2070" s="6">
        <v>1.0</v>
      </c>
      <c r="G2070" s="6">
        <v>46238.0</v>
      </c>
      <c r="H2070" s="6">
        <v>45.1137</v>
      </c>
      <c r="I2070" s="6">
        <v>0.0</v>
      </c>
      <c r="J2070" s="6">
        <v>45.1137</v>
      </c>
    </row>
    <row r="2071">
      <c r="A2071" s="5" t="s">
        <v>58</v>
      </c>
      <c r="B2071" s="5" t="s">
        <v>163</v>
      </c>
      <c r="C2071" s="5" t="s">
        <v>75</v>
      </c>
      <c r="D2071" s="6">
        <v>24.0</v>
      </c>
      <c r="E2071" s="6">
        <v>2985967.0</v>
      </c>
      <c r="F2071" s="6">
        <v>0.0</v>
      </c>
      <c r="G2071" s="6">
        <v>46238.0</v>
      </c>
      <c r="H2071" s="6">
        <v>64.5782</v>
      </c>
      <c r="I2071" s="6">
        <v>0.0</v>
      </c>
      <c r="J2071" s="6">
        <v>64.5782</v>
      </c>
    </row>
    <row r="2072">
      <c r="A2072" s="5" t="s">
        <v>58</v>
      </c>
      <c r="B2072" s="5" t="s">
        <v>163</v>
      </c>
      <c r="C2072" s="5" t="s">
        <v>75</v>
      </c>
      <c r="D2072" s="6">
        <v>25.0</v>
      </c>
      <c r="E2072" s="6">
        <v>2077581.0</v>
      </c>
      <c r="F2072" s="6">
        <v>3.0</v>
      </c>
      <c r="G2072" s="6">
        <v>46238.0</v>
      </c>
      <c r="H2072" s="6">
        <v>44.9323</v>
      </c>
      <c r="I2072" s="6">
        <v>1.0E-4</v>
      </c>
      <c r="J2072" s="6">
        <v>44.9323</v>
      </c>
    </row>
    <row r="2073">
      <c r="A2073" s="5" t="s">
        <v>58</v>
      </c>
      <c r="B2073" s="5" t="s">
        <v>163</v>
      </c>
      <c r="C2073" s="5" t="s">
        <v>75</v>
      </c>
      <c r="D2073" s="6">
        <v>26.0</v>
      </c>
      <c r="E2073" s="6">
        <v>2615116.0</v>
      </c>
      <c r="F2073" s="6">
        <v>26.0</v>
      </c>
      <c r="G2073" s="6">
        <v>46238.0</v>
      </c>
      <c r="H2073" s="6">
        <v>56.5577</v>
      </c>
      <c r="I2073" s="6">
        <v>6.0E-4</v>
      </c>
      <c r="J2073" s="6">
        <v>56.5572</v>
      </c>
    </row>
    <row r="2074">
      <c r="A2074" s="5" t="s">
        <v>58</v>
      </c>
      <c r="B2074" s="5" t="s">
        <v>163</v>
      </c>
      <c r="C2074" s="5" t="s">
        <v>75</v>
      </c>
      <c r="D2074" s="6">
        <v>27.0</v>
      </c>
      <c r="E2074" s="6">
        <v>2983965.0</v>
      </c>
      <c r="F2074" s="6">
        <v>1.0</v>
      </c>
      <c r="G2074" s="6">
        <v>46238.0</v>
      </c>
      <c r="H2074" s="6">
        <v>64.5349</v>
      </c>
      <c r="I2074" s="6">
        <v>0.0</v>
      </c>
      <c r="J2074" s="6">
        <v>64.5349</v>
      </c>
    </row>
    <row r="2075">
      <c r="A2075" s="5" t="s">
        <v>58</v>
      </c>
      <c r="B2075" s="5" t="s">
        <v>163</v>
      </c>
      <c r="C2075" s="5" t="s">
        <v>75</v>
      </c>
      <c r="D2075" s="6">
        <v>28.0</v>
      </c>
      <c r="E2075" s="6">
        <v>1828223.0</v>
      </c>
      <c r="F2075" s="6">
        <v>6.0</v>
      </c>
      <c r="G2075" s="6">
        <v>46238.0</v>
      </c>
      <c r="H2075" s="6">
        <v>39.5394</v>
      </c>
      <c r="I2075" s="6">
        <v>1.0E-4</v>
      </c>
      <c r="J2075" s="6">
        <v>39.5393</v>
      </c>
    </row>
    <row r="2076">
      <c r="A2076" s="5" t="s">
        <v>58</v>
      </c>
      <c r="B2076" s="5" t="s">
        <v>163</v>
      </c>
      <c r="C2076" s="5" t="s">
        <v>75</v>
      </c>
      <c r="D2076" s="6">
        <v>29.0</v>
      </c>
      <c r="E2076" s="6">
        <v>2634193.0</v>
      </c>
      <c r="F2076" s="6">
        <v>0.0</v>
      </c>
      <c r="G2076" s="6">
        <v>46238.0</v>
      </c>
      <c r="H2076" s="6">
        <v>56.9703</v>
      </c>
      <c r="I2076" s="6">
        <v>0.0</v>
      </c>
      <c r="J2076" s="6">
        <v>56.9703</v>
      </c>
    </row>
    <row r="2077">
      <c r="A2077" s="5" t="s">
        <v>58</v>
      </c>
      <c r="B2077" s="5" t="s">
        <v>163</v>
      </c>
      <c r="C2077" s="5" t="s">
        <v>75</v>
      </c>
      <c r="D2077" s="6">
        <v>30.0</v>
      </c>
      <c r="E2077" s="6">
        <v>1673840.0</v>
      </c>
      <c r="F2077" s="6">
        <v>4.0</v>
      </c>
      <c r="G2077" s="6">
        <v>46238.0</v>
      </c>
      <c r="H2077" s="6">
        <v>36.2005</v>
      </c>
      <c r="I2077" s="6">
        <v>1.0E-4</v>
      </c>
      <c r="J2077" s="6">
        <v>36.2004</v>
      </c>
    </row>
    <row r="2078">
      <c r="A2078" s="5" t="s">
        <v>58</v>
      </c>
      <c r="B2078" s="5" t="s">
        <v>163</v>
      </c>
      <c r="C2078" s="5" t="s">
        <v>75</v>
      </c>
      <c r="D2078" s="6">
        <v>31.0</v>
      </c>
      <c r="E2078" s="6">
        <v>2523413.0</v>
      </c>
      <c r="F2078" s="6">
        <v>37.0</v>
      </c>
      <c r="G2078" s="6">
        <v>46238.0</v>
      </c>
      <c r="H2078" s="6">
        <v>54.5744</v>
      </c>
      <c r="I2078" s="6">
        <v>8.0E-4</v>
      </c>
      <c r="J2078" s="6">
        <v>54.5736</v>
      </c>
    </row>
    <row r="2079">
      <c r="A2079" s="5" t="s">
        <v>58</v>
      </c>
      <c r="B2079" s="5" t="s">
        <v>163</v>
      </c>
      <c r="C2079" s="5" t="s">
        <v>75</v>
      </c>
      <c r="D2079" s="6">
        <v>32.0</v>
      </c>
      <c r="E2079" s="6">
        <v>1797306.0</v>
      </c>
      <c r="F2079" s="6">
        <v>22.0</v>
      </c>
      <c r="G2079" s="6">
        <v>46238.0</v>
      </c>
      <c r="H2079" s="6">
        <v>38.8708</v>
      </c>
      <c r="I2079" s="6">
        <v>5.0E-4</v>
      </c>
      <c r="J2079" s="6">
        <v>38.8703</v>
      </c>
    </row>
    <row r="2080">
      <c r="A2080" s="5" t="s">
        <v>58</v>
      </c>
      <c r="B2080" s="5" t="s">
        <v>163</v>
      </c>
      <c r="C2080" s="5" t="s">
        <v>75</v>
      </c>
      <c r="D2080" s="6">
        <v>33.0</v>
      </c>
      <c r="E2080" s="6">
        <v>2380820.0</v>
      </c>
      <c r="F2080" s="6">
        <v>1.0</v>
      </c>
      <c r="G2080" s="6">
        <v>46238.0</v>
      </c>
      <c r="H2080" s="6">
        <v>51.4905</v>
      </c>
      <c r="I2080" s="6">
        <v>0.0</v>
      </c>
      <c r="J2080" s="6">
        <v>51.4905</v>
      </c>
    </row>
    <row r="2081">
      <c r="A2081" s="5" t="s">
        <v>58</v>
      </c>
      <c r="B2081" s="5" t="s">
        <v>163</v>
      </c>
      <c r="C2081" s="5" t="s">
        <v>68</v>
      </c>
      <c r="D2081" s="6">
        <v>1.0</v>
      </c>
      <c r="E2081" s="6">
        <v>264251.0</v>
      </c>
      <c r="F2081" s="6">
        <v>0.0</v>
      </c>
      <c r="G2081" s="6">
        <v>41407.0</v>
      </c>
      <c r="H2081" s="6">
        <v>6.3818</v>
      </c>
      <c r="I2081" s="6">
        <v>0.0</v>
      </c>
      <c r="J2081" s="6">
        <v>6.3818</v>
      </c>
    </row>
    <row r="2082">
      <c r="A2082" s="5" t="s">
        <v>58</v>
      </c>
      <c r="B2082" s="5" t="s">
        <v>163</v>
      </c>
      <c r="C2082" s="5" t="s">
        <v>68</v>
      </c>
      <c r="D2082" s="6">
        <v>2.0</v>
      </c>
      <c r="E2082" s="6">
        <v>1047696.0</v>
      </c>
      <c r="F2082" s="6">
        <v>0.0</v>
      </c>
      <c r="G2082" s="6">
        <v>41407.0</v>
      </c>
      <c r="H2082" s="6">
        <v>25.3024</v>
      </c>
      <c r="I2082" s="6">
        <v>0.0</v>
      </c>
      <c r="J2082" s="6">
        <v>25.3024</v>
      </c>
    </row>
    <row r="2083">
      <c r="A2083" s="5" t="s">
        <v>58</v>
      </c>
      <c r="B2083" s="5" t="s">
        <v>163</v>
      </c>
      <c r="C2083" s="5" t="s">
        <v>68</v>
      </c>
      <c r="D2083" s="6">
        <v>3.0</v>
      </c>
      <c r="E2083" s="6">
        <v>599987.0</v>
      </c>
      <c r="F2083" s="6">
        <v>0.0</v>
      </c>
      <c r="G2083" s="6">
        <v>41407.0</v>
      </c>
      <c r="H2083" s="6">
        <v>14.49</v>
      </c>
      <c r="I2083" s="6">
        <v>0.0</v>
      </c>
      <c r="J2083" s="6">
        <v>14.49</v>
      </c>
    </row>
    <row r="2084">
      <c r="A2084" s="5" t="s">
        <v>58</v>
      </c>
      <c r="B2084" s="5" t="s">
        <v>163</v>
      </c>
      <c r="C2084" s="5" t="s">
        <v>68</v>
      </c>
      <c r="D2084" s="6">
        <v>4.0</v>
      </c>
      <c r="E2084" s="6">
        <v>504812.0</v>
      </c>
      <c r="F2084" s="6">
        <v>0.0</v>
      </c>
      <c r="G2084" s="6">
        <v>41407.0</v>
      </c>
      <c r="H2084" s="6">
        <v>12.1915</v>
      </c>
      <c r="I2084" s="6">
        <v>0.0</v>
      </c>
      <c r="J2084" s="6">
        <v>12.1915</v>
      </c>
    </row>
    <row r="2085">
      <c r="A2085" s="5" t="s">
        <v>58</v>
      </c>
      <c r="B2085" s="5" t="s">
        <v>163</v>
      </c>
      <c r="C2085" s="5" t="s">
        <v>68</v>
      </c>
      <c r="D2085" s="6">
        <v>5.0</v>
      </c>
      <c r="E2085" s="6">
        <v>346927.0</v>
      </c>
      <c r="F2085" s="6">
        <v>0.0</v>
      </c>
      <c r="G2085" s="6">
        <v>41407.0</v>
      </c>
      <c r="H2085" s="6">
        <v>8.3785</v>
      </c>
      <c r="I2085" s="6">
        <v>0.0</v>
      </c>
      <c r="J2085" s="6">
        <v>8.3785</v>
      </c>
    </row>
    <row r="2086">
      <c r="A2086" s="5" t="s">
        <v>58</v>
      </c>
      <c r="B2086" s="5" t="s">
        <v>163</v>
      </c>
      <c r="C2086" s="5" t="s">
        <v>68</v>
      </c>
      <c r="D2086" s="6">
        <v>6.0</v>
      </c>
      <c r="E2086" s="6">
        <v>220037.0</v>
      </c>
      <c r="F2086" s="6">
        <v>0.0</v>
      </c>
      <c r="G2086" s="6">
        <v>41407.0</v>
      </c>
      <c r="H2086" s="6">
        <v>5.314</v>
      </c>
      <c r="I2086" s="6">
        <v>0.0</v>
      </c>
      <c r="J2086" s="6">
        <v>5.314</v>
      </c>
    </row>
    <row r="2087">
      <c r="A2087" s="5" t="s">
        <v>58</v>
      </c>
      <c r="B2087" s="5" t="s">
        <v>163</v>
      </c>
      <c r="C2087" s="5" t="s">
        <v>68</v>
      </c>
      <c r="D2087" s="6">
        <v>7.0</v>
      </c>
      <c r="E2087" s="6">
        <v>466463.0</v>
      </c>
      <c r="F2087" s="6">
        <v>0.0</v>
      </c>
      <c r="G2087" s="6">
        <v>41407.0</v>
      </c>
      <c r="H2087" s="6">
        <v>11.2653</v>
      </c>
      <c r="I2087" s="6">
        <v>0.0</v>
      </c>
      <c r="J2087" s="6">
        <v>11.2653</v>
      </c>
    </row>
    <row r="2088">
      <c r="A2088" s="5" t="s">
        <v>58</v>
      </c>
      <c r="B2088" s="5" t="s">
        <v>163</v>
      </c>
      <c r="C2088" s="5" t="s">
        <v>68</v>
      </c>
      <c r="D2088" s="6">
        <v>8.0</v>
      </c>
      <c r="E2088" s="6">
        <v>295244.0</v>
      </c>
      <c r="F2088" s="6">
        <v>0.0</v>
      </c>
      <c r="G2088" s="6">
        <v>41407.0</v>
      </c>
      <c r="H2088" s="6">
        <v>7.1303</v>
      </c>
      <c r="I2088" s="6">
        <v>0.0</v>
      </c>
      <c r="J2088" s="6">
        <v>7.1303</v>
      </c>
    </row>
    <row r="2089">
      <c r="A2089" s="5" t="s">
        <v>58</v>
      </c>
      <c r="B2089" s="5" t="s">
        <v>163</v>
      </c>
      <c r="C2089" s="5" t="s">
        <v>68</v>
      </c>
      <c r="D2089" s="6">
        <v>9.0</v>
      </c>
      <c r="E2089" s="6">
        <v>378035.0</v>
      </c>
      <c r="F2089" s="6">
        <v>0.0</v>
      </c>
      <c r="G2089" s="6">
        <v>41407.0</v>
      </c>
      <c r="H2089" s="6">
        <v>9.1297</v>
      </c>
      <c r="I2089" s="6">
        <v>0.0</v>
      </c>
      <c r="J2089" s="6">
        <v>9.1297</v>
      </c>
    </row>
    <row r="2090">
      <c r="A2090" s="5" t="s">
        <v>58</v>
      </c>
      <c r="B2090" s="5" t="s">
        <v>163</v>
      </c>
      <c r="C2090" s="5" t="s">
        <v>68</v>
      </c>
      <c r="D2090" s="6">
        <v>10.0</v>
      </c>
      <c r="E2090" s="6">
        <v>606691.0</v>
      </c>
      <c r="F2090" s="6">
        <v>0.0</v>
      </c>
      <c r="G2090" s="6">
        <v>41407.0</v>
      </c>
      <c r="H2090" s="6">
        <v>14.6519</v>
      </c>
      <c r="I2090" s="6">
        <v>0.0</v>
      </c>
      <c r="J2090" s="6">
        <v>14.6519</v>
      </c>
    </row>
    <row r="2091">
      <c r="A2091" s="5" t="s">
        <v>58</v>
      </c>
      <c r="B2091" s="5" t="s">
        <v>163</v>
      </c>
      <c r="C2091" s="5" t="s">
        <v>68</v>
      </c>
      <c r="D2091" s="6">
        <v>11.0</v>
      </c>
      <c r="E2091" s="6">
        <v>474191.0</v>
      </c>
      <c r="F2091" s="6">
        <v>0.0</v>
      </c>
      <c r="G2091" s="6">
        <v>41407.0</v>
      </c>
      <c r="H2091" s="6">
        <v>11.452</v>
      </c>
      <c r="I2091" s="6">
        <v>0.0</v>
      </c>
      <c r="J2091" s="6">
        <v>11.452</v>
      </c>
    </row>
    <row r="2092">
      <c r="A2092" s="5" t="s">
        <v>58</v>
      </c>
      <c r="B2092" s="5" t="s">
        <v>163</v>
      </c>
      <c r="C2092" s="5" t="s">
        <v>68</v>
      </c>
      <c r="D2092" s="6">
        <v>12.0</v>
      </c>
      <c r="E2092" s="6">
        <v>298373.0</v>
      </c>
      <c r="F2092" s="6">
        <v>0.0</v>
      </c>
      <c r="G2092" s="6">
        <v>41407.0</v>
      </c>
      <c r="H2092" s="6">
        <v>7.2059</v>
      </c>
      <c r="I2092" s="6">
        <v>0.0</v>
      </c>
      <c r="J2092" s="6">
        <v>7.2059</v>
      </c>
    </row>
    <row r="2093">
      <c r="A2093" s="5" t="s">
        <v>58</v>
      </c>
      <c r="B2093" s="5" t="s">
        <v>163</v>
      </c>
      <c r="C2093" s="5" t="s">
        <v>68</v>
      </c>
      <c r="D2093" s="6">
        <v>13.0</v>
      </c>
      <c r="E2093" s="6">
        <v>175241.0</v>
      </c>
      <c r="F2093" s="6">
        <v>0.0</v>
      </c>
      <c r="G2093" s="6">
        <v>41407.0</v>
      </c>
      <c r="H2093" s="6">
        <v>4.2322</v>
      </c>
      <c r="I2093" s="6">
        <v>0.0</v>
      </c>
      <c r="J2093" s="6">
        <v>4.2322</v>
      </c>
    </row>
    <row r="2094">
      <c r="A2094" s="5" t="s">
        <v>58</v>
      </c>
      <c r="B2094" s="5" t="s">
        <v>163</v>
      </c>
      <c r="C2094" s="5" t="s">
        <v>68</v>
      </c>
      <c r="D2094" s="6">
        <v>14.0</v>
      </c>
      <c r="E2094" s="6">
        <v>427980.0</v>
      </c>
      <c r="F2094" s="6">
        <v>0.0</v>
      </c>
      <c r="G2094" s="6">
        <v>41407.0</v>
      </c>
      <c r="H2094" s="6">
        <v>10.3359</v>
      </c>
      <c r="I2094" s="6">
        <v>0.0</v>
      </c>
      <c r="J2094" s="6">
        <v>10.3359</v>
      </c>
    </row>
    <row r="2095">
      <c r="A2095" s="5" t="s">
        <v>58</v>
      </c>
      <c r="B2095" s="5" t="s">
        <v>163</v>
      </c>
      <c r="C2095" s="5" t="s">
        <v>68</v>
      </c>
      <c r="D2095" s="6">
        <v>15.0</v>
      </c>
      <c r="E2095" s="6">
        <v>248320.0</v>
      </c>
      <c r="F2095" s="6">
        <v>0.0</v>
      </c>
      <c r="G2095" s="6">
        <v>41407.0</v>
      </c>
      <c r="H2095" s="6">
        <v>5.9971</v>
      </c>
      <c r="I2095" s="6">
        <v>0.0</v>
      </c>
      <c r="J2095" s="6">
        <v>5.9971</v>
      </c>
    </row>
    <row r="2096">
      <c r="A2096" s="5" t="s">
        <v>58</v>
      </c>
      <c r="B2096" s="5" t="s">
        <v>163</v>
      </c>
      <c r="C2096" s="5" t="s">
        <v>68</v>
      </c>
      <c r="D2096" s="6">
        <v>16.0</v>
      </c>
      <c r="E2096" s="6">
        <v>951166.0</v>
      </c>
      <c r="F2096" s="6">
        <v>0.0</v>
      </c>
      <c r="G2096" s="6">
        <v>41407.0</v>
      </c>
      <c r="H2096" s="6">
        <v>22.9711</v>
      </c>
      <c r="I2096" s="6">
        <v>0.0</v>
      </c>
      <c r="J2096" s="6">
        <v>22.9711</v>
      </c>
    </row>
    <row r="2097">
      <c r="A2097" s="5" t="s">
        <v>58</v>
      </c>
      <c r="B2097" s="5" t="s">
        <v>163</v>
      </c>
      <c r="C2097" s="5" t="s">
        <v>68</v>
      </c>
      <c r="D2097" s="6">
        <v>17.0</v>
      </c>
      <c r="E2097" s="6">
        <v>627901.0</v>
      </c>
      <c r="F2097" s="6">
        <v>0.0</v>
      </c>
      <c r="G2097" s="6">
        <v>41407.0</v>
      </c>
      <c r="H2097" s="6">
        <v>15.1641</v>
      </c>
      <c r="I2097" s="6">
        <v>0.0</v>
      </c>
      <c r="J2097" s="6">
        <v>15.1641</v>
      </c>
    </row>
    <row r="2098">
      <c r="A2098" s="5" t="s">
        <v>58</v>
      </c>
      <c r="B2098" s="5" t="s">
        <v>163</v>
      </c>
      <c r="C2098" s="5" t="s">
        <v>68</v>
      </c>
      <c r="D2098" s="6">
        <v>18.0</v>
      </c>
      <c r="E2098" s="6">
        <v>474265.0</v>
      </c>
      <c r="F2098" s="6">
        <v>0.0</v>
      </c>
      <c r="G2098" s="6">
        <v>41407.0</v>
      </c>
      <c r="H2098" s="6">
        <v>11.4537</v>
      </c>
      <c r="I2098" s="6">
        <v>0.0</v>
      </c>
      <c r="J2098" s="6">
        <v>11.4537</v>
      </c>
    </row>
    <row r="2099">
      <c r="A2099" s="5" t="s">
        <v>58</v>
      </c>
      <c r="B2099" s="5" t="s">
        <v>163</v>
      </c>
      <c r="C2099" s="5" t="s">
        <v>68</v>
      </c>
      <c r="D2099" s="6">
        <v>19.0</v>
      </c>
      <c r="E2099" s="6">
        <v>320670.0</v>
      </c>
      <c r="F2099" s="6">
        <v>0.0</v>
      </c>
      <c r="G2099" s="6">
        <v>41407.0</v>
      </c>
      <c r="H2099" s="6">
        <v>7.7443</v>
      </c>
      <c r="I2099" s="6">
        <v>0.0</v>
      </c>
      <c r="J2099" s="6">
        <v>7.7443</v>
      </c>
    </row>
    <row r="2100">
      <c r="A2100" s="5" t="s">
        <v>58</v>
      </c>
      <c r="B2100" s="5" t="s">
        <v>163</v>
      </c>
      <c r="C2100" s="5" t="s">
        <v>68</v>
      </c>
      <c r="D2100" s="6">
        <v>20.0</v>
      </c>
      <c r="E2100" s="6">
        <v>205875.0</v>
      </c>
      <c r="F2100" s="6">
        <v>0.0</v>
      </c>
      <c r="G2100" s="6">
        <v>41407.0</v>
      </c>
      <c r="H2100" s="6">
        <v>4.972</v>
      </c>
      <c r="I2100" s="6">
        <v>0.0</v>
      </c>
      <c r="J2100" s="6">
        <v>4.972</v>
      </c>
    </row>
    <row r="2101">
      <c r="A2101" s="5" t="s">
        <v>58</v>
      </c>
      <c r="B2101" s="5" t="s">
        <v>163</v>
      </c>
      <c r="C2101" s="5" t="s">
        <v>68</v>
      </c>
      <c r="D2101" s="6">
        <v>21.0</v>
      </c>
      <c r="E2101" s="6">
        <v>451720.0</v>
      </c>
      <c r="F2101" s="6">
        <v>0.0</v>
      </c>
      <c r="G2101" s="6">
        <v>41407.0</v>
      </c>
      <c r="H2101" s="6">
        <v>10.9093</v>
      </c>
      <c r="I2101" s="6">
        <v>0.0</v>
      </c>
      <c r="J2101" s="6">
        <v>10.9093</v>
      </c>
    </row>
    <row r="2102">
      <c r="A2102" s="5" t="s">
        <v>58</v>
      </c>
      <c r="B2102" s="5" t="s">
        <v>163</v>
      </c>
      <c r="C2102" s="5" t="s">
        <v>68</v>
      </c>
      <c r="D2102" s="6">
        <v>22.0</v>
      </c>
      <c r="E2102" s="6">
        <v>275925.0</v>
      </c>
      <c r="F2102" s="6">
        <v>0.0</v>
      </c>
      <c r="G2102" s="6">
        <v>41407.0</v>
      </c>
      <c r="H2102" s="6">
        <v>6.6637</v>
      </c>
      <c r="I2102" s="6">
        <v>0.0</v>
      </c>
      <c r="J2102" s="6">
        <v>6.6637</v>
      </c>
    </row>
    <row r="2103">
      <c r="A2103" s="5" t="s">
        <v>58</v>
      </c>
      <c r="B2103" s="5" t="s">
        <v>163</v>
      </c>
      <c r="C2103" s="5" t="s">
        <v>68</v>
      </c>
      <c r="D2103" s="6">
        <v>23.0</v>
      </c>
      <c r="E2103" s="6">
        <v>358356.0</v>
      </c>
      <c r="F2103" s="6">
        <v>0.0</v>
      </c>
      <c r="G2103" s="6">
        <v>41407.0</v>
      </c>
      <c r="H2103" s="6">
        <v>8.6545</v>
      </c>
      <c r="I2103" s="6">
        <v>0.0</v>
      </c>
      <c r="J2103" s="6">
        <v>8.6545</v>
      </c>
    </row>
    <row r="2104">
      <c r="A2104" s="5" t="s">
        <v>58</v>
      </c>
      <c r="B2104" s="5" t="s">
        <v>163</v>
      </c>
      <c r="C2104" s="5" t="s">
        <v>68</v>
      </c>
      <c r="D2104" s="6">
        <v>24.0</v>
      </c>
      <c r="E2104" s="6">
        <v>563461.0</v>
      </c>
      <c r="F2104" s="6">
        <v>0.0</v>
      </c>
      <c r="G2104" s="6">
        <v>41407.0</v>
      </c>
      <c r="H2104" s="6">
        <v>13.6079</v>
      </c>
      <c r="I2104" s="6">
        <v>0.0</v>
      </c>
      <c r="J2104" s="6">
        <v>13.6079</v>
      </c>
    </row>
    <row r="2105">
      <c r="A2105" s="5" t="s">
        <v>58</v>
      </c>
      <c r="B2105" s="5" t="s">
        <v>163</v>
      </c>
      <c r="C2105" s="5" t="s">
        <v>68</v>
      </c>
      <c r="D2105" s="6">
        <v>25.0</v>
      </c>
      <c r="E2105" s="6">
        <v>458246.0</v>
      </c>
      <c r="F2105" s="6">
        <v>0.0</v>
      </c>
      <c r="G2105" s="6">
        <v>41407.0</v>
      </c>
      <c r="H2105" s="6">
        <v>11.0669</v>
      </c>
      <c r="I2105" s="6">
        <v>0.0</v>
      </c>
      <c r="J2105" s="6">
        <v>11.0669</v>
      </c>
    </row>
    <row r="2106">
      <c r="A2106" s="5" t="s">
        <v>58</v>
      </c>
      <c r="B2106" s="5" t="s">
        <v>163</v>
      </c>
      <c r="C2106" s="5" t="s">
        <v>68</v>
      </c>
      <c r="D2106" s="6">
        <v>26.0</v>
      </c>
      <c r="E2106" s="6">
        <v>278143.0</v>
      </c>
      <c r="F2106" s="6">
        <v>0.0</v>
      </c>
      <c r="G2106" s="6">
        <v>41407.0</v>
      </c>
      <c r="H2106" s="6">
        <v>6.7173</v>
      </c>
      <c r="I2106" s="6">
        <v>0.0</v>
      </c>
      <c r="J2106" s="6">
        <v>6.7173</v>
      </c>
    </row>
    <row r="2107">
      <c r="A2107" s="5" t="s">
        <v>58</v>
      </c>
      <c r="B2107" s="5" t="s">
        <v>163</v>
      </c>
      <c r="C2107" s="5" t="s">
        <v>68</v>
      </c>
      <c r="D2107" s="6">
        <v>27.0</v>
      </c>
      <c r="E2107" s="6">
        <v>164573.0</v>
      </c>
      <c r="F2107" s="6">
        <v>0.0</v>
      </c>
      <c r="G2107" s="6">
        <v>41407.0</v>
      </c>
      <c r="H2107" s="6">
        <v>3.9745</v>
      </c>
      <c r="I2107" s="6">
        <v>0.0</v>
      </c>
      <c r="J2107" s="6">
        <v>3.9745</v>
      </c>
    </row>
    <row r="2108">
      <c r="A2108" s="5" t="s">
        <v>58</v>
      </c>
      <c r="B2108" s="5" t="s">
        <v>163</v>
      </c>
      <c r="C2108" s="5" t="s">
        <v>68</v>
      </c>
      <c r="D2108" s="6">
        <v>28.0</v>
      </c>
      <c r="E2108" s="6">
        <v>396468.0</v>
      </c>
      <c r="F2108" s="6">
        <v>0.0</v>
      </c>
      <c r="G2108" s="6">
        <v>41407.0</v>
      </c>
      <c r="H2108" s="6">
        <v>9.5749</v>
      </c>
      <c r="I2108" s="6">
        <v>0.0</v>
      </c>
      <c r="J2108" s="6">
        <v>9.5749</v>
      </c>
    </row>
    <row r="2109">
      <c r="A2109" s="5" t="s">
        <v>58</v>
      </c>
      <c r="B2109" s="5" t="s">
        <v>163</v>
      </c>
      <c r="C2109" s="5" t="s">
        <v>68</v>
      </c>
      <c r="D2109" s="6">
        <v>29.0</v>
      </c>
      <c r="E2109" s="6">
        <v>231196.0</v>
      </c>
      <c r="F2109" s="6">
        <v>0.0</v>
      </c>
      <c r="G2109" s="6">
        <v>41407.0</v>
      </c>
      <c r="H2109" s="6">
        <v>5.5835</v>
      </c>
      <c r="I2109" s="6">
        <v>0.0</v>
      </c>
      <c r="J2109" s="6">
        <v>5.5835</v>
      </c>
    </row>
    <row r="2110">
      <c r="A2110" s="5" t="s">
        <v>58</v>
      </c>
      <c r="B2110" s="5" t="s">
        <v>163</v>
      </c>
      <c r="C2110" s="5" t="s">
        <v>68</v>
      </c>
      <c r="D2110" s="6">
        <v>30.0</v>
      </c>
      <c r="E2110" s="6">
        <v>957139.0</v>
      </c>
      <c r="F2110" s="6">
        <v>0.0</v>
      </c>
      <c r="G2110" s="6">
        <v>41407.0</v>
      </c>
      <c r="H2110" s="6">
        <v>23.1154</v>
      </c>
      <c r="I2110" s="6">
        <v>0.0</v>
      </c>
      <c r="J2110" s="6">
        <v>23.1154</v>
      </c>
    </row>
    <row r="2111">
      <c r="A2111" s="5" t="s">
        <v>58</v>
      </c>
      <c r="B2111" s="5" t="s">
        <v>163</v>
      </c>
      <c r="C2111" s="5" t="s">
        <v>68</v>
      </c>
      <c r="D2111" s="6">
        <v>31.0</v>
      </c>
      <c r="E2111" s="6">
        <v>670773.0</v>
      </c>
      <c r="F2111" s="6">
        <v>0.0</v>
      </c>
      <c r="G2111" s="6">
        <v>41407.0</v>
      </c>
      <c r="H2111" s="6">
        <v>16.1995</v>
      </c>
      <c r="I2111" s="6">
        <v>0.0</v>
      </c>
      <c r="J2111" s="6">
        <v>16.1995</v>
      </c>
    </row>
    <row r="2112">
      <c r="A2112" s="5" t="s">
        <v>58</v>
      </c>
      <c r="B2112" s="5" t="s">
        <v>163</v>
      </c>
      <c r="C2112" s="5" t="s">
        <v>68</v>
      </c>
      <c r="D2112" s="6">
        <v>32.0</v>
      </c>
      <c r="E2112" s="6">
        <v>495217.0</v>
      </c>
      <c r="F2112" s="6">
        <v>0.0</v>
      </c>
      <c r="G2112" s="6">
        <v>41407.0</v>
      </c>
      <c r="H2112" s="6">
        <v>11.9597</v>
      </c>
      <c r="I2112" s="6">
        <v>0.0</v>
      </c>
      <c r="J2112" s="6">
        <v>11.9597</v>
      </c>
    </row>
    <row r="2113">
      <c r="A2113" s="5" t="s">
        <v>58</v>
      </c>
      <c r="B2113" s="5" t="s">
        <v>163</v>
      </c>
      <c r="C2113" s="5" t="s">
        <v>68</v>
      </c>
      <c r="D2113" s="6">
        <v>33.0</v>
      </c>
      <c r="E2113" s="6">
        <v>313924.0</v>
      </c>
      <c r="F2113" s="6">
        <v>0.0</v>
      </c>
      <c r="G2113" s="6">
        <v>41407.0</v>
      </c>
      <c r="H2113" s="6">
        <v>7.5814</v>
      </c>
      <c r="I2113" s="6">
        <v>0.0</v>
      </c>
      <c r="J2113" s="6">
        <v>7.5814</v>
      </c>
    </row>
    <row r="2114">
      <c r="A2114" s="5" t="s">
        <v>58</v>
      </c>
      <c r="B2114" s="5" t="s">
        <v>163</v>
      </c>
      <c r="C2114" s="5" t="s">
        <v>2035</v>
      </c>
      <c r="D2114" s="6">
        <v>1.0</v>
      </c>
      <c r="E2114" s="6">
        <v>60.0</v>
      </c>
      <c r="F2114" s="6">
        <v>0.0</v>
      </c>
      <c r="G2114" s="6">
        <v>7063.0</v>
      </c>
      <c r="H2114" s="6">
        <v>0.0085</v>
      </c>
      <c r="I2114" s="6">
        <v>0.0</v>
      </c>
      <c r="J2114" s="6">
        <v>0.0085</v>
      </c>
    </row>
    <row r="2115">
      <c r="A2115" s="5" t="s">
        <v>58</v>
      </c>
      <c r="B2115" s="5" t="s">
        <v>163</v>
      </c>
      <c r="C2115" s="5" t="s">
        <v>2035</v>
      </c>
      <c r="D2115" s="6">
        <v>2.0</v>
      </c>
      <c r="E2115" s="6">
        <v>10185.0</v>
      </c>
      <c r="F2115" s="6">
        <v>0.0</v>
      </c>
      <c r="G2115" s="6">
        <v>7063.0</v>
      </c>
      <c r="H2115" s="6">
        <v>1.442</v>
      </c>
      <c r="I2115" s="6">
        <v>0.0</v>
      </c>
      <c r="J2115" s="6">
        <v>1.442</v>
      </c>
    </row>
    <row r="2116">
      <c r="A2116" s="5" t="s">
        <v>58</v>
      </c>
      <c r="B2116" s="5" t="s">
        <v>163</v>
      </c>
      <c r="C2116" s="5" t="s">
        <v>2035</v>
      </c>
      <c r="D2116" s="6">
        <v>3.0</v>
      </c>
      <c r="E2116" s="6">
        <v>7855.0</v>
      </c>
      <c r="F2116" s="6">
        <v>0.0</v>
      </c>
      <c r="G2116" s="6">
        <v>7063.0</v>
      </c>
      <c r="H2116" s="6">
        <v>1.1121</v>
      </c>
      <c r="I2116" s="6">
        <v>0.0</v>
      </c>
      <c r="J2116" s="6">
        <v>1.1121</v>
      </c>
    </row>
    <row r="2117">
      <c r="A2117" s="5" t="s">
        <v>58</v>
      </c>
      <c r="B2117" s="5" t="s">
        <v>163</v>
      </c>
      <c r="C2117" s="5" t="s">
        <v>2035</v>
      </c>
      <c r="D2117" s="6">
        <v>4.0</v>
      </c>
      <c r="E2117" s="6">
        <v>7505.0</v>
      </c>
      <c r="F2117" s="6">
        <v>0.0</v>
      </c>
      <c r="G2117" s="6">
        <v>7063.0</v>
      </c>
      <c r="H2117" s="6">
        <v>1.0626</v>
      </c>
      <c r="I2117" s="6">
        <v>0.0</v>
      </c>
      <c r="J2117" s="6">
        <v>1.0626</v>
      </c>
    </row>
    <row r="2118">
      <c r="A2118" s="5" t="s">
        <v>58</v>
      </c>
      <c r="B2118" s="5" t="s">
        <v>163</v>
      </c>
      <c r="C2118" s="5" t="s">
        <v>2035</v>
      </c>
      <c r="D2118" s="6">
        <v>5.0</v>
      </c>
      <c r="E2118" s="6">
        <v>7285.0</v>
      </c>
      <c r="F2118" s="6">
        <v>0.0</v>
      </c>
      <c r="G2118" s="6">
        <v>7063.0</v>
      </c>
      <c r="H2118" s="6">
        <v>1.0314</v>
      </c>
      <c r="I2118" s="6">
        <v>0.0</v>
      </c>
      <c r="J2118" s="6">
        <v>1.0314</v>
      </c>
    </row>
    <row r="2119">
      <c r="A2119" s="5" t="s">
        <v>58</v>
      </c>
      <c r="B2119" s="5" t="s">
        <v>163</v>
      </c>
      <c r="C2119" s="5" t="s">
        <v>2035</v>
      </c>
      <c r="D2119" s="6">
        <v>6.0</v>
      </c>
      <c r="E2119" s="6">
        <v>7620.0</v>
      </c>
      <c r="F2119" s="6">
        <v>0.0</v>
      </c>
      <c r="G2119" s="6">
        <v>7063.0</v>
      </c>
      <c r="H2119" s="6">
        <v>1.0789</v>
      </c>
      <c r="I2119" s="6">
        <v>0.0</v>
      </c>
      <c r="J2119" s="6">
        <v>1.0789</v>
      </c>
    </row>
    <row r="2120">
      <c r="A2120" s="5" t="s">
        <v>58</v>
      </c>
      <c r="B2120" s="5" t="s">
        <v>163</v>
      </c>
      <c r="C2120" s="5" t="s">
        <v>2035</v>
      </c>
      <c r="D2120" s="6">
        <v>7.0</v>
      </c>
      <c r="E2120" s="6">
        <v>7215.0</v>
      </c>
      <c r="F2120" s="6">
        <v>0.0</v>
      </c>
      <c r="G2120" s="6">
        <v>7063.0</v>
      </c>
      <c r="H2120" s="6">
        <v>1.0215</v>
      </c>
      <c r="I2120" s="6">
        <v>0.0</v>
      </c>
      <c r="J2120" s="6">
        <v>1.0215</v>
      </c>
    </row>
    <row r="2121">
      <c r="A2121" s="5" t="s">
        <v>58</v>
      </c>
      <c r="B2121" s="5" t="s">
        <v>163</v>
      </c>
      <c r="C2121" s="5" t="s">
        <v>2035</v>
      </c>
      <c r="D2121" s="6">
        <v>8.0</v>
      </c>
      <c r="E2121" s="6">
        <v>6290.0</v>
      </c>
      <c r="F2121" s="6">
        <v>0.0</v>
      </c>
      <c r="G2121" s="6">
        <v>7063.0</v>
      </c>
      <c r="H2121" s="6">
        <v>0.8906</v>
      </c>
      <c r="I2121" s="6">
        <v>0.0</v>
      </c>
      <c r="J2121" s="6">
        <v>0.8906</v>
      </c>
    </row>
    <row r="2122">
      <c r="A2122" s="5" t="s">
        <v>58</v>
      </c>
      <c r="B2122" s="5" t="s">
        <v>163</v>
      </c>
      <c r="C2122" s="5" t="s">
        <v>2035</v>
      </c>
      <c r="D2122" s="6">
        <v>9.0</v>
      </c>
      <c r="E2122" s="6">
        <v>250.0</v>
      </c>
      <c r="F2122" s="6">
        <v>0.0</v>
      </c>
      <c r="G2122" s="6">
        <v>7063.0</v>
      </c>
      <c r="H2122" s="6">
        <v>0.0354</v>
      </c>
      <c r="I2122" s="6">
        <v>0.0</v>
      </c>
      <c r="J2122" s="6">
        <v>0.0354</v>
      </c>
    </row>
    <row r="2123">
      <c r="A2123" s="5" t="s">
        <v>58</v>
      </c>
      <c r="B2123" s="5" t="s">
        <v>163</v>
      </c>
      <c r="C2123" s="5" t="s">
        <v>2035</v>
      </c>
      <c r="D2123" s="6">
        <v>10.0</v>
      </c>
      <c r="E2123" s="6">
        <v>15.0</v>
      </c>
      <c r="F2123" s="6">
        <v>0.0</v>
      </c>
      <c r="G2123" s="6">
        <v>7063.0</v>
      </c>
      <c r="H2123" s="6">
        <v>0.0021</v>
      </c>
      <c r="I2123" s="6">
        <v>0.0</v>
      </c>
      <c r="J2123" s="6">
        <v>0.0021</v>
      </c>
    </row>
    <row r="2124">
      <c r="A2124" s="5" t="s">
        <v>58</v>
      </c>
      <c r="B2124" s="5" t="s">
        <v>163</v>
      </c>
      <c r="C2124" s="5" t="s">
        <v>2035</v>
      </c>
      <c r="D2124" s="6">
        <v>11.0</v>
      </c>
      <c r="E2124" s="6">
        <v>45.0</v>
      </c>
      <c r="F2124" s="6">
        <v>0.0</v>
      </c>
      <c r="G2124" s="6">
        <v>7063.0</v>
      </c>
      <c r="H2124" s="6">
        <v>0.0064</v>
      </c>
      <c r="I2124" s="6">
        <v>0.0</v>
      </c>
      <c r="J2124" s="6">
        <v>0.0064</v>
      </c>
    </row>
    <row r="2125">
      <c r="A2125" s="5" t="s">
        <v>58</v>
      </c>
      <c r="B2125" s="5" t="s">
        <v>163</v>
      </c>
      <c r="C2125" s="5" t="s">
        <v>2035</v>
      </c>
      <c r="D2125" s="6">
        <v>12.0</v>
      </c>
      <c r="E2125" s="6">
        <v>25.0</v>
      </c>
      <c r="F2125" s="6">
        <v>0.0</v>
      </c>
      <c r="G2125" s="6">
        <v>7063.0</v>
      </c>
      <c r="H2125" s="6">
        <v>0.0035</v>
      </c>
      <c r="I2125" s="6">
        <v>0.0</v>
      </c>
      <c r="J2125" s="6">
        <v>0.0035</v>
      </c>
    </row>
    <row r="2126">
      <c r="A2126" s="5" t="s">
        <v>58</v>
      </c>
      <c r="B2126" s="5" t="s">
        <v>163</v>
      </c>
      <c r="C2126" s="5" t="s">
        <v>2035</v>
      </c>
      <c r="D2126" s="6">
        <v>13.0</v>
      </c>
      <c r="E2126" s="6">
        <v>0.0</v>
      </c>
      <c r="F2126" s="6">
        <v>0.0</v>
      </c>
      <c r="G2126" s="6">
        <v>7063.0</v>
      </c>
      <c r="H2126" s="6">
        <v>0.0</v>
      </c>
      <c r="I2126" s="6">
        <v>0.0</v>
      </c>
      <c r="J2126" s="6">
        <v>0.0</v>
      </c>
    </row>
    <row r="2127">
      <c r="A2127" s="5" t="s">
        <v>58</v>
      </c>
      <c r="B2127" s="5" t="s">
        <v>163</v>
      </c>
      <c r="C2127" s="5" t="s">
        <v>2035</v>
      </c>
      <c r="D2127" s="6">
        <v>14.0</v>
      </c>
      <c r="E2127" s="6">
        <v>15.0</v>
      </c>
      <c r="F2127" s="6">
        <v>0.0</v>
      </c>
      <c r="G2127" s="6">
        <v>7063.0</v>
      </c>
      <c r="H2127" s="6">
        <v>0.0021</v>
      </c>
      <c r="I2127" s="6">
        <v>0.0</v>
      </c>
      <c r="J2127" s="6">
        <v>0.0021</v>
      </c>
    </row>
    <row r="2128">
      <c r="A2128" s="5" t="s">
        <v>58</v>
      </c>
      <c r="B2128" s="5" t="s">
        <v>163</v>
      </c>
      <c r="C2128" s="5" t="s">
        <v>2035</v>
      </c>
      <c r="D2128" s="6">
        <v>15.0</v>
      </c>
      <c r="E2128" s="6">
        <v>30.0</v>
      </c>
      <c r="F2128" s="6">
        <v>0.0</v>
      </c>
      <c r="G2128" s="6">
        <v>7063.0</v>
      </c>
      <c r="H2128" s="6">
        <v>0.0042</v>
      </c>
      <c r="I2128" s="6">
        <v>0.0</v>
      </c>
      <c r="J2128" s="6">
        <v>0.0042</v>
      </c>
    </row>
    <row r="2129">
      <c r="A2129" s="5" t="s">
        <v>58</v>
      </c>
      <c r="B2129" s="5" t="s">
        <v>163</v>
      </c>
      <c r="C2129" s="5" t="s">
        <v>2035</v>
      </c>
      <c r="D2129" s="6">
        <v>16.0</v>
      </c>
      <c r="E2129" s="6">
        <v>8475.0</v>
      </c>
      <c r="F2129" s="6">
        <v>0.0</v>
      </c>
      <c r="G2129" s="6">
        <v>7063.0</v>
      </c>
      <c r="H2129" s="6">
        <v>1.1999</v>
      </c>
      <c r="I2129" s="6">
        <v>0.0</v>
      </c>
      <c r="J2129" s="6">
        <v>1.1999</v>
      </c>
    </row>
    <row r="2130">
      <c r="A2130" s="5" t="s">
        <v>58</v>
      </c>
      <c r="B2130" s="5" t="s">
        <v>163</v>
      </c>
      <c r="C2130" s="5" t="s">
        <v>2035</v>
      </c>
      <c r="D2130" s="6">
        <v>17.0</v>
      </c>
      <c r="E2130" s="6">
        <v>6205.0</v>
      </c>
      <c r="F2130" s="6">
        <v>0.0</v>
      </c>
      <c r="G2130" s="6">
        <v>7063.0</v>
      </c>
      <c r="H2130" s="6">
        <v>0.8785</v>
      </c>
      <c r="I2130" s="6">
        <v>0.0</v>
      </c>
      <c r="J2130" s="6">
        <v>0.8785</v>
      </c>
    </row>
    <row r="2131">
      <c r="A2131" s="5" t="s">
        <v>58</v>
      </c>
      <c r="B2131" s="5" t="s">
        <v>163</v>
      </c>
      <c r="C2131" s="5" t="s">
        <v>2035</v>
      </c>
      <c r="D2131" s="6">
        <v>18.0</v>
      </c>
      <c r="E2131" s="6">
        <v>6345.0</v>
      </c>
      <c r="F2131" s="6">
        <v>0.0</v>
      </c>
      <c r="G2131" s="6">
        <v>7063.0</v>
      </c>
      <c r="H2131" s="6">
        <v>0.8983</v>
      </c>
      <c r="I2131" s="6">
        <v>0.0</v>
      </c>
      <c r="J2131" s="6">
        <v>0.8983</v>
      </c>
    </row>
    <row r="2132">
      <c r="A2132" s="5" t="s">
        <v>58</v>
      </c>
      <c r="B2132" s="5" t="s">
        <v>163</v>
      </c>
      <c r="C2132" s="5" t="s">
        <v>2035</v>
      </c>
      <c r="D2132" s="6">
        <v>19.0</v>
      </c>
      <c r="E2132" s="6">
        <v>7345.0</v>
      </c>
      <c r="F2132" s="6">
        <v>0.0</v>
      </c>
      <c r="G2132" s="6">
        <v>7063.0</v>
      </c>
      <c r="H2132" s="6">
        <v>1.0399</v>
      </c>
      <c r="I2132" s="6">
        <v>0.0</v>
      </c>
      <c r="J2132" s="6">
        <v>1.0399</v>
      </c>
    </row>
    <row r="2133">
      <c r="A2133" s="5" t="s">
        <v>58</v>
      </c>
      <c r="B2133" s="5" t="s">
        <v>163</v>
      </c>
      <c r="C2133" s="5" t="s">
        <v>2035</v>
      </c>
      <c r="D2133" s="6">
        <v>20.0</v>
      </c>
      <c r="E2133" s="6">
        <v>6965.0</v>
      </c>
      <c r="F2133" s="6">
        <v>0.0</v>
      </c>
      <c r="G2133" s="6">
        <v>7063.0</v>
      </c>
      <c r="H2133" s="6">
        <v>0.9861</v>
      </c>
      <c r="I2133" s="6">
        <v>0.0</v>
      </c>
      <c r="J2133" s="6">
        <v>0.9861</v>
      </c>
    </row>
    <row r="2134">
      <c r="A2134" s="5" t="s">
        <v>58</v>
      </c>
      <c r="B2134" s="5" t="s">
        <v>163</v>
      </c>
      <c r="C2134" s="5" t="s">
        <v>2035</v>
      </c>
      <c r="D2134" s="6">
        <v>21.0</v>
      </c>
      <c r="E2134" s="6">
        <v>7345.0</v>
      </c>
      <c r="F2134" s="6">
        <v>0.0</v>
      </c>
      <c r="G2134" s="6">
        <v>7063.0</v>
      </c>
      <c r="H2134" s="6">
        <v>1.0399</v>
      </c>
      <c r="I2134" s="6">
        <v>0.0</v>
      </c>
      <c r="J2134" s="6">
        <v>1.0399</v>
      </c>
    </row>
    <row r="2135">
      <c r="A2135" s="5" t="s">
        <v>58</v>
      </c>
      <c r="B2135" s="5" t="s">
        <v>163</v>
      </c>
      <c r="C2135" s="5" t="s">
        <v>2035</v>
      </c>
      <c r="D2135" s="6">
        <v>22.0</v>
      </c>
      <c r="E2135" s="6">
        <v>5775.0</v>
      </c>
      <c r="F2135" s="6">
        <v>0.0</v>
      </c>
      <c r="G2135" s="6">
        <v>7063.0</v>
      </c>
      <c r="H2135" s="6">
        <v>0.8176</v>
      </c>
      <c r="I2135" s="6">
        <v>0.0</v>
      </c>
      <c r="J2135" s="6">
        <v>0.8176</v>
      </c>
    </row>
    <row r="2136">
      <c r="A2136" s="5" t="s">
        <v>58</v>
      </c>
      <c r="B2136" s="5" t="s">
        <v>163</v>
      </c>
      <c r="C2136" s="5" t="s">
        <v>2035</v>
      </c>
      <c r="D2136" s="6">
        <v>23.0</v>
      </c>
      <c r="E2136" s="6">
        <v>210.0</v>
      </c>
      <c r="F2136" s="6">
        <v>0.0</v>
      </c>
      <c r="G2136" s="6">
        <v>7063.0</v>
      </c>
      <c r="H2136" s="6">
        <v>0.0297</v>
      </c>
      <c r="I2136" s="6">
        <v>0.0</v>
      </c>
      <c r="J2136" s="6">
        <v>0.0297</v>
      </c>
    </row>
    <row r="2137">
      <c r="A2137" s="5" t="s">
        <v>58</v>
      </c>
      <c r="B2137" s="5" t="s">
        <v>163</v>
      </c>
      <c r="C2137" s="5" t="s">
        <v>2035</v>
      </c>
      <c r="D2137" s="6">
        <v>24.0</v>
      </c>
      <c r="E2137" s="6">
        <v>75.0</v>
      </c>
      <c r="F2137" s="6">
        <v>0.0</v>
      </c>
      <c r="G2137" s="6">
        <v>7063.0</v>
      </c>
      <c r="H2137" s="6">
        <v>0.0106</v>
      </c>
      <c r="I2137" s="6">
        <v>0.0</v>
      </c>
      <c r="J2137" s="6">
        <v>0.0106</v>
      </c>
    </row>
    <row r="2138">
      <c r="A2138" s="5" t="s">
        <v>58</v>
      </c>
      <c r="B2138" s="5" t="s">
        <v>163</v>
      </c>
      <c r="C2138" s="5" t="s">
        <v>2035</v>
      </c>
      <c r="D2138" s="6">
        <v>25.0</v>
      </c>
      <c r="E2138" s="6">
        <v>0.0</v>
      </c>
      <c r="F2138" s="6">
        <v>0.0</v>
      </c>
      <c r="G2138" s="6">
        <v>7063.0</v>
      </c>
      <c r="H2138" s="6">
        <v>0.0</v>
      </c>
      <c r="I2138" s="6">
        <v>0.0</v>
      </c>
      <c r="J2138" s="6">
        <v>0.0</v>
      </c>
    </row>
    <row r="2139">
      <c r="A2139" s="5" t="s">
        <v>58</v>
      </c>
      <c r="B2139" s="5" t="s">
        <v>163</v>
      </c>
      <c r="C2139" s="5" t="s">
        <v>2035</v>
      </c>
      <c r="D2139" s="6">
        <v>26.0</v>
      </c>
      <c r="E2139" s="6">
        <v>0.0</v>
      </c>
      <c r="F2139" s="6">
        <v>0.0</v>
      </c>
      <c r="G2139" s="6">
        <v>7063.0</v>
      </c>
      <c r="H2139" s="6">
        <v>0.0</v>
      </c>
      <c r="I2139" s="6">
        <v>0.0</v>
      </c>
      <c r="J2139" s="6">
        <v>0.0</v>
      </c>
    </row>
    <row r="2140">
      <c r="A2140" s="5" t="s">
        <v>58</v>
      </c>
      <c r="B2140" s="5" t="s">
        <v>163</v>
      </c>
      <c r="C2140" s="5" t="s">
        <v>2035</v>
      </c>
      <c r="D2140" s="6">
        <v>27.0</v>
      </c>
      <c r="E2140" s="6">
        <v>60.0</v>
      </c>
      <c r="F2140" s="6">
        <v>0.0</v>
      </c>
      <c r="G2140" s="6">
        <v>7063.0</v>
      </c>
      <c r="H2140" s="6">
        <v>0.0085</v>
      </c>
      <c r="I2140" s="6">
        <v>0.0</v>
      </c>
      <c r="J2140" s="6">
        <v>0.0085</v>
      </c>
    </row>
    <row r="2141">
      <c r="A2141" s="5" t="s">
        <v>58</v>
      </c>
      <c r="B2141" s="5" t="s">
        <v>163</v>
      </c>
      <c r="C2141" s="5" t="s">
        <v>2035</v>
      </c>
      <c r="D2141" s="6">
        <v>28.0</v>
      </c>
      <c r="E2141" s="6">
        <v>25.0</v>
      </c>
      <c r="F2141" s="6">
        <v>0.0</v>
      </c>
      <c r="G2141" s="6">
        <v>7063.0</v>
      </c>
      <c r="H2141" s="6">
        <v>0.0035</v>
      </c>
      <c r="I2141" s="6">
        <v>0.0</v>
      </c>
      <c r="J2141" s="6">
        <v>0.0035</v>
      </c>
    </row>
    <row r="2142">
      <c r="A2142" s="5" t="s">
        <v>58</v>
      </c>
      <c r="B2142" s="5" t="s">
        <v>163</v>
      </c>
      <c r="C2142" s="5" t="s">
        <v>2035</v>
      </c>
      <c r="D2142" s="6">
        <v>29.0</v>
      </c>
      <c r="E2142" s="6">
        <v>0.0</v>
      </c>
      <c r="F2142" s="6">
        <v>0.0</v>
      </c>
      <c r="G2142" s="6">
        <v>7063.0</v>
      </c>
      <c r="H2142" s="6">
        <v>0.0</v>
      </c>
      <c r="I2142" s="6">
        <v>0.0</v>
      </c>
      <c r="J2142" s="6">
        <v>0.0</v>
      </c>
    </row>
    <row r="2143">
      <c r="A2143" s="5" t="s">
        <v>58</v>
      </c>
      <c r="B2143" s="5" t="s">
        <v>163</v>
      </c>
      <c r="C2143" s="5" t="s">
        <v>2035</v>
      </c>
      <c r="D2143" s="6">
        <v>30.0</v>
      </c>
      <c r="E2143" s="6">
        <v>9275.0</v>
      </c>
      <c r="F2143" s="6">
        <v>0.0</v>
      </c>
      <c r="G2143" s="6">
        <v>7063.0</v>
      </c>
      <c r="H2143" s="6">
        <v>1.3132</v>
      </c>
      <c r="I2143" s="6">
        <v>0.0</v>
      </c>
      <c r="J2143" s="6">
        <v>1.3132</v>
      </c>
    </row>
    <row r="2144">
      <c r="A2144" s="5" t="s">
        <v>58</v>
      </c>
      <c r="B2144" s="5" t="s">
        <v>163</v>
      </c>
      <c r="C2144" s="5" t="s">
        <v>2035</v>
      </c>
      <c r="D2144" s="6">
        <v>31.0</v>
      </c>
      <c r="E2144" s="6">
        <v>7485.0</v>
      </c>
      <c r="F2144" s="6">
        <v>0.0</v>
      </c>
      <c r="G2144" s="6">
        <v>7063.0</v>
      </c>
      <c r="H2144" s="6">
        <v>1.0597</v>
      </c>
      <c r="I2144" s="6">
        <v>0.0</v>
      </c>
      <c r="J2144" s="6">
        <v>1.0597</v>
      </c>
    </row>
    <row r="2145">
      <c r="A2145" s="5" t="s">
        <v>58</v>
      </c>
      <c r="B2145" s="5" t="s">
        <v>163</v>
      </c>
      <c r="C2145" s="5" t="s">
        <v>2035</v>
      </c>
      <c r="D2145" s="6">
        <v>32.0</v>
      </c>
      <c r="E2145" s="6">
        <v>6850.0</v>
      </c>
      <c r="F2145" s="6">
        <v>0.0</v>
      </c>
      <c r="G2145" s="6">
        <v>7063.0</v>
      </c>
      <c r="H2145" s="6">
        <v>0.9698</v>
      </c>
      <c r="I2145" s="6">
        <v>0.0</v>
      </c>
      <c r="J2145" s="6">
        <v>0.9698</v>
      </c>
    </row>
    <row r="2146">
      <c r="A2146" s="5" t="s">
        <v>58</v>
      </c>
      <c r="B2146" s="5" t="s">
        <v>163</v>
      </c>
      <c r="C2146" s="5" t="s">
        <v>2035</v>
      </c>
      <c r="D2146" s="6">
        <v>33.0</v>
      </c>
      <c r="E2146" s="6">
        <v>6240.0</v>
      </c>
      <c r="F2146" s="6">
        <v>0.0</v>
      </c>
      <c r="G2146" s="6">
        <v>7063.0</v>
      </c>
      <c r="H2146" s="6">
        <v>0.8835</v>
      </c>
      <c r="I2146" s="6">
        <v>0.0</v>
      </c>
      <c r="J2146" s="6">
        <v>0.8835</v>
      </c>
    </row>
    <row r="2147">
      <c r="A2147" s="5" t="s">
        <v>58</v>
      </c>
      <c r="B2147" s="5" t="s">
        <v>1867</v>
      </c>
      <c r="C2147" s="5" t="s">
        <v>1882</v>
      </c>
      <c r="D2147" s="6">
        <v>1.0</v>
      </c>
      <c r="E2147" s="6">
        <v>2292200.0</v>
      </c>
      <c r="F2147" s="6">
        <v>2464300.0</v>
      </c>
      <c r="G2147" s="6">
        <v>24679.0</v>
      </c>
      <c r="H2147" s="6">
        <v>92.8806</v>
      </c>
      <c r="I2147" s="6">
        <v>99.8541</v>
      </c>
      <c r="J2147" s="6">
        <v>-6.9735</v>
      </c>
    </row>
    <row r="2148">
      <c r="A2148" s="5" t="s">
        <v>58</v>
      </c>
      <c r="B2148" s="5" t="s">
        <v>1867</v>
      </c>
      <c r="C2148" s="5" t="s">
        <v>1882</v>
      </c>
      <c r="D2148" s="6">
        <v>2.0</v>
      </c>
      <c r="E2148" s="6">
        <v>2603638.0</v>
      </c>
      <c r="F2148" s="6">
        <v>2538400.0</v>
      </c>
      <c r="G2148" s="6">
        <v>24679.0</v>
      </c>
      <c r="H2148" s="6">
        <v>105.5001</v>
      </c>
      <c r="I2148" s="6">
        <v>102.8567</v>
      </c>
      <c r="J2148" s="6">
        <v>2.6435</v>
      </c>
    </row>
    <row r="2149">
      <c r="A2149" s="5" t="s">
        <v>58</v>
      </c>
      <c r="B2149" s="5" t="s">
        <v>1867</v>
      </c>
      <c r="C2149" s="5" t="s">
        <v>1882</v>
      </c>
      <c r="D2149" s="6">
        <v>3.0</v>
      </c>
      <c r="E2149" s="6">
        <v>2622572.0</v>
      </c>
      <c r="F2149" s="6">
        <v>2559150.0</v>
      </c>
      <c r="G2149" s="6">
        <v>24679.0</v>
      </c>
      <c r="H2149" s="6">
        <v>106.2674</v>
      </c>
      <c r="I2149" s="6">
        <v>103.6975</v>
      </c>
      <c r="J2149" s="6">
        <v>2.5699</v>
      </c>
    </row>
    <row r="2150">
      <c r="A2150" s="5" t="s">
        <v>58</v>
      </c>
      <c r="B2150" s="5" t="s">
        <v>1867</v>
      </c>
      <c r="C2150" s="5" t="s">
        <v>1882</v>
      </c>
      <c r="D2150" s="6">
        <v>4.0</v>
      </c>
      <c r="E2150" s="6">
        <v>2474796.0</v>
      </c>
      <c r="F2150" s="6">
        <v>2487200.0</v>
      </c>
      <c r="G2150" s="6">
        <v>24679.0</v>
      </c>
      <c r="H2150" s="6">
        <v>100.2794</v>
      </c>
      <c r="I2150" s="6">
        <v>100.782</v>
      </c>
      <c r="J2150" s="6">
        <v>-0.5026</v>
      </c>
    </row>
    <row r="2151">
      <c r="A2151" s="5" t="s">
        <v>58</v>
      </c>
      <c r="B2151" s="5" t="s">
        <v>1867</v>
      </c>
      <c r="C2151" s="5" t="s">
        <v>1882</v>
      </c>
      <c r="D2151" s="6">
        <v>5.0</v>
      </c>
      <c r="E2151" s="6">
        <v>2429389.0</v>
      </c>
      <c r="F2151" s="6">
        <v>2569600.0</v>
      </c>
      <c r="G2151" s="6">
        <v>24679.0</v>
      </c>
      <c r="H2151" s="6">
        <v>98.4395</v>
      </c>
      <c r="I2151" s="6">
        <v>104.1209</v>
      </c>
      <c r="J2151" s="6">
        <v>-5.6814</v>
      </c>
    </row>
    <row r="2152">
      <c r="A2152" s="5" t="s">
        <v>58</v>
      </c>
      <c r="B2152" s="5" t="s">
        <v>1867</v>
      </c>
      <c r="C2152" s="5" t="s">
        <v>1882</v>
      </c>
      <c r="D2152" s="6">
        <v>6.0</v>
      </c>
      <c r="E2152" s="6">
        <v>3208676.0</v>
      </c>
      <c r="F2152" s="6">
        <v>3177100.0</v>
      </c>
      <c r="G2152" s="6">
        <v>24679.0</v>
      </c>
      <c r="H2152" s="6">
        <v>130.0165</v>
      </c>
      <c r="I2152" s="6">
        <v>128.737</v>
      </c>
      <c r="J2152" s="6">
        <v>1.2795</v>
      </c>
    </row>
    <row r="2153">
      <c r="A2153" s="5" t="s">
        <v>58</v>
      </c>
      <c r="B2153" s="5" t="s">
        <v>1867</v>
      </c>
      <c r="C2153" s="5" t="s">
        <v>1882</v>
      </c>
      <c r="D2153" s="6">
        <v>7.0</v>
      </c>
      <c r="E2153" s="6">
        <v>2759717.0</v>
      </c>
      <c r="F2153" s="6">
        <v>2703150.0</v>
      </c>
      <c r="G2153" s="6">
        <v>24679.0</v>
      </c>
      <c r="H2153" s="6">
        <v>111.8245</v>
      </c>
      <c r="I2153" s="6">
        <v>109.5324</v>
      </c>
      <c r="J2153" s="6">
        <v>2.2921</v>
      </c>
    </row>
    <row r="2154">
      <c r="A2154" s="5" t="s">
        <v>58</v>
      </c>
      <c r="B2154" s="5" t="s">
        <v>1867</v>
      </c>
      <c r="C2154" s="5" t="s">
        <v>1882</v>
      </c>
      <c r="D2154" s="6">
        <v>8.0</v>
      </c>
      <c r="E2154" s="6">
        <v>2148696.0</v>
      </c>
      <c r="F2154" s="6">
        <v>2275100.0</v>
      </c>
      <c r="G2154" s="6">
        <v>24679.0</v>
      </c>
      <c r="H2154" s="6">
        <v>87.0658</v>
      </c>
      <c r="I2154" s="6">
        <v>92.1877</v>
      </c>
      <c r="J2154" s="6">
        <v>-5.1219</v>
      </c>
    </row>
    <row r="2155">
      <c r="A2155" s="5" t="s">
        <v>58</v>
      </c>
      <c r="B2155" s="5" t="s">
        <v>1867</v>
      </c>
      <c r="C2155" s="5" t="s">
        <v>1882</v>
      </c>
      <c r="D2155" s="6">
        <v>9.0</v>
      </c>
      <c r="E2155" s="6">
        <v>2295072.0</v>
      </c>
      <c r="F2155" s="6">
        <v>2291050.0</v>
      </c>
      <c r="G2155" s="6">
        <v>24679.0</v>
      </c>
      <c r="H2155" s="6">
        <v>92.997</v>
      </c>
      <c r="I2155" s="6">
        <v>92.834</v>
      </c>
      <c r="J2155" s="6">
        <v>0.163</v>
      </c>
    </row>
    <row r="2156">
      <c r="A2156" s="5" t="s">
        <v>58</v>
      </c>
      <c r="B2156" s="5" t="s">
        <v>1867</v>
      </c>
      <c r="C2156" s="5" t="s">
        <v>1882</v>
      </c>
      <c r="D2156" s="6">
        <v>10.0</v>
      </c>
      <c r="E2156" s="6">
        <v>2488019.0</v>
      </c>
      <c r="F2156" s="6">
        <v>2480350.0</v>
      </c>
      <c r="G2156" s="6">
        <v>24679.0</v>
      </c>
      <c r="H2156" s="6">
        <v>100.8152</v>
      </c>
      <c r="I2156" s="6">
        <v>100.5045</v>
      </c>
      <c r="J2156" s="6">
        <v>0.3108</v>
      </c>
    </row>
    <row r="2157">
      <c r="A2157" s="5" t="s">
        <v>58</v>
      </c>
      <c r="B2157" s="5" t="s">
        <v>1867</v>
      </c>
      <c r="C2157" s="5" t="s">
        <v>1882</v>
      </c>
      <c r="D2157" s="6">
        <v>11.0</v>
      </c>
      <c r="E2157" s="6">
        <v>2401813.0</v>
      </c>
      <c r="F2157" s="6">
        <v>2420650.0</v>
      </c>
      <c r="G2157" s="6">
        <v>24679.0</v>
      </c>
      <c r="H2157" s="6">
        <v>97.3221</v>
      </c>
      <c r="I2157" s="6">
        <v>98.0854</v>
      </c>
      <c r="J2157" s="6">
        <v>-0.7633</v>
      </c>
    </row>
    <row r="2158">
      <c r="A2158" s="5" t="s">
        <v>58</v>
      </c>
      <c r="B2158" s="5" t="s">
        <v>1867</v>
      </c>
      <c r="C2158" s="5" t="s">
        <v>1882</v>
      </c>
      <c r="D2158" s="6">
        <v>12.0</v>
      </c>
      <c r="E2158" s="6">
        <v>2267448.0</v>
      </c>
      <c r="F2158" s="6">
        <v>2438550.0</v>
      </c>
      <c r="G2158" s="6">
        <v>24679.0</v>
      </c>
      <c r="H2158" s="6">
        <v>91.8776</v>
      </c>
      <c r="I2158" s="6">
        <v>98.8107</v>
      </c>
      <c r="J2158" s="6">
        <v>-6.9331</v>
      </c>
    </row>
    <row r="2159">
      <c r="A2159" s="5" t="s">
        <v>58</v>
      </c>
      <c r="B2159" s="5" t="s">
        <v>1867</v>
      </c>
      <c r="C2159" s="5" t="s">
        <v>1882</v>
      </c>
      <c r="D2159" s="6">
        <v>13.0</v>
      </c>
      <c r="E2159" s="6">
        <v>3222611.0</v>
      </c>
      <c r="F2159" s="6">
        <v>3149200.0</v>
      </c>
      <c r="G2159" s="6">
        <v>24679.0</v>
      </c>
      <c r="H2159" s="6">
        <v>130.5811</v>
      </c>
      <c r="I2159" s="6">
        <v>127.6065</v>
      </c>
      <c r="J2159" s="6">
        <v>2.9746</v>
      </c>
    </row>
    <row r="2160">
      <c r="A2160" s="5" t="s">
        <v>58</v>
      </c>
      <c r="B2160" s="5" t="s">
        <v>1867</v>
      </c>
      <c r="C2160" s="5" t="s">
        <v>1882</v>
      </c>
      <c r="D2160" s="6">
        <v>14.0</v>
      </c>
      <c r="E2160" s="6">
        <v>2643817.0</v>
      </c>
      <c r="F2160" s="6">
        <v>2673700.0</v>
      </c>
      <c r="G2160" s="6">
        <v>24679.0</v>
      </c>
      <c r="H2160" s="6">
        <v>107.1282</v>
      </c>
      <c r="I2160" s="6">
        <v>108.3391</v>
      </c>
      <c r="J2160" s="6">
        <v>-1.2109</v>
      </c>
    </row>
    <row r="2161">
      <c r="A2161" s="5" t="s">
        <v>58</v>
      </c>
      <c r="B2161" s="5" t="s">
        <v>1867</v>
      </c>
      <c r="C2161" s="5" t="s">
        <v>1882</v>
      </c>
      <c r="D2161" s="6">
        <v>15.0</v>
      </c>
      <c r="E2161" s="6">
        <v>2159670.0</v>
      </c>
      <c r="F2161" s="6">
        <v>2292850.0</v>
      </c>
      <c r="G2161" s="6">
        <v>24679.0</v>
      </c>
      <c r="H2161" s="6">
        <v>87.5104</v>
      </c>
      <c r="I2161" s="6">
        <v>92.9069</v>
      </c>
      <c r="J2161" s="6">
        <v>-5.3965</v>
      </c>
    </row>
    <row r="2162">
      <c r="A2162" s="5" t="s">
        <v>58</v>
      </c>
      <c r="B2162" s="5" t="s">
        <v>1867</v>
      </c>
      <c r="C2162" s="5" t="s">
        <v>1882</v>
      </c>
      <c r="D2162" s="6">
        <v>16.0</v>
      </c>
      <c r="E2162" s="6">
        <v>2404710.0</v>
      </c>
      <c r="F2162" s="6">
        <v>2349900.0</v>
      </c>
      <c r="G2162" s="6">
        <v>24679.0</v>
      </c>
      <c r="H2162" s="6">
        <v>97.4395</v>
      </c>
      <c r="I2162" s="6">
        <v>95.2186</v>
      </c>
      <c r="J2162" s="6">
        <v>2.2209</v>
      </c>
    </row>
    <row r="2163">
      <c r="A2163" s="5" t="s">
        <v>58</v>
      </c>
      <c r="B2163" s="5" t="s">
        <v>1867</v>
      </c>
      <c r="C2163" s="5" t="s">
        <v>1882</v>
      </c>
      <c r="D2163" s="6">
        <v>17.0</v>
      </c>
      <c r="E2163" s="6">
        <v>2479378.0</v>
      </c>
      <c r="F2163" s="6">
        <v>2469700.0</v>
      </c>
      <c r="G2163" s="6">
        <v>24679.0</v>
      </c>
      <c r="H2163" s="6">
        <v>100.4651</v>
      </c>
      <c r="I2163" s="6">
        <v>100.0729</v>
      </c>
      <c r="J2163" s="6">
        <v>0.3922</v>
      </c>
    </row>
    <row r="2164">
      <c r="A2164" s="5" t="s">
        <v>58</v>
      </c>
      <c r="B2164" s="5" t="s">
        <v>1867</v>
      </c>
      <c r="C2164" s="5" t="s">
        <v>1882</v>
      </c>
      <c r="D2164" s="6">
        <v>18.0</v>
      </c>
      <c r="E2164" s="6">
        <v>2401947.0</v>
      </c>
      <c r="F2164" s="6">
        <v>2430800.0</v>
      </c>
      <c r="G2164" s="6">
        <v>24679.0</v>
      </c>
      <c r="H2164" s="6">
        <v>97.3276</v>
      </c>
      <c r="I2164" s="6">
        <v>98.4967</v>
      </c>
      <c r="J2164" s="6">
        <v>-1.1691</v>
      </c>
    </row>
    <row r="2165">
      <c r="A2165" s="5" t="s">
        <v>58</v>
      </c>
      <c r="B2165" s="5" t="s">
        <v>1867</v>
      </c>
      <c r="C2165" s="5" t="s">
        <v>1882</v>
      </c>
      <c r="D2165" s="6">
        <v>19.0</v>
      </c>
      <c r="E2165" s="6">
        <v>2182014.0</v>
      </c>
      <c r="F2165" s="6">
        <v>2345800.0</v>
      </c>
      <c r="G2165" s="6">
        <v>24679.0</v>
      </c>
      <c r="H2165" s="6">
        <v>88.4158</v>
      </c>
      <c r="I2165" s="6">
        <v>95.0525</v>
      </c>
      <c r="J2165" s="6">
        <v>-6.6367</v>
      </c>
    </row>
    <row r="2166">
      <c r="A2166" s="5" t="s">
        <v>58</v>
      </c>
      <c r="B2166" s="5" t="s">
        <v>1867</v>
      </c>
      <c r="C2166" s="5" t="s">
        <v>1882</v>
      </c>
      <c r="D2166" s="6">
        <v>20.0</v>
      </c>
      <c r="E2166" s="6">
        <v>3108637.0</v>
      </c>
      <c r="F2166" s="6">
        <v>3021050.0</v>
      </c>
      <c r="G2166" s="6">
        <v>24679.0</v>
      </c>
      <c r="H2166" s="6">
        <v>125.9628</v>
      </c>
      <c r="I2166" s="6">
        <v>122.4138</v>
      </c>
      <c r="J2166" s="6">
        <v>3.549</v>
      </c>
    </row>
    <row r="2167">
      <c r="A2167" s="5" t="s">
        <v>58</v>
      </c>
      <c r="B2167" s="5" t="s">
        <v>1867</v>
      </c>
      <c r="C2167" s="5" t="s">
        <v>1882</v>
      </c>
      <c r="D2167" s="6">
        <v>21.0</v>
      </c>
      <c r="E2167" s="6">
        <v>3284400.0</v>
      </c>
      <c r="F2167" s="6">
        <v>3050800.0</v>
      </c>
      <c r="G2167" s="6">
        <v>24679.0</v>
      </c>
      <c r="H2167" s="6">
        <v>133.0848</v>
      </c>
      <c r="I2167" s="6">
        <v>123.6193</v>
      </c>
      <c r="J2167" s="6">
        <v>9.4655</v>
      </c>
    </row>
    <row r="2168">
      <c r="A2168" s="5" t="s">
        <v>58</v>
      </c>
      <c r="B2168" s="5" t="s">
        <v>1867</v>
      </c>
      <c r="C2168" s="5" t="s">
        <v>1882</v>
      </c>
      <c r="D2168" s="6">
        <v>22.0</v>
      </c>
      <c r="E2168" s="6">
        <v>2235251.0</v>
      </c>
      <c r="F2168" s="6">
        <v>2408000.0</v>
      </c>
      <c r="G2168" s="6">
        <v>24679.0</v>
      </c>
      <c r="H2168" s="6">
        <v>90.573</v>
      </c>
      <c r="I2168" s="6">
        <v>97.5728</v>
      </c>
      <c r="J2168" s="6">
        <v>-6.9998</v>
      </c>
    </row>
    <row r="2169">
      <c r="A2169" s="5" t="s">
        <v>58</v>
      </c>
      <c r="B2169" s="5" t="s">
        <v>1867</v>
      </c>
      <c r="C2169" s="5" t="s">
        <v>1882</v>
      </c>
      <c r="D2169" s="6">
        <v>23.0</v>
      </c>
      <c r="E2169" s="6">
        <v>2362091.0</v>
      </c>
      <c r="F2169" s="6">
        <v>2367800.0</v>
      </c>
      <c r="G2169" s="6">
        <v>24679.0</v>
      </c>
      <c r="H2169" s="6">
        <v>95.7126</v>
      </c>
      <c r="I2169" s="6">
        <v>95.9439</v>
      </c>
      <c r="J2169" s="6">
        <v>-0.2313</v>
      </c>
    </row>
    <row r="2170">
      <c r="A2170" s="5" t="s">
        <v>58</v>
      </c>
      <c r="B2170" s="5" t="s">
        <v>1867</v>
      </c>
      <c r="C2170" s="5" t="s">
        <v>1882</v>
      </c>
      <c r="D2170" s="6">
        <v>24.0</v>
      </c>
      <c r="E2170" s="6">
        <v>2564464.0</v>
      </c>
      <c r="F2170" s="6">
        <v>2494450.0</v>
      </c>
      <c r="G2170" s="6">
        <v>24679.0</v>
      </c>
      <c r="H2170" s="6">
        <v>103.9128</v>
      </c>
      <c r="I2170" s="6">
        <v>101.0758</v>
      </c>
      <c r="J2170" s="6">
        <v>2.837</v>
      </c>
    </row>
    <row r="2171">
      <c r="A2171" s="5" t="s">
        <v>58</v>
      </c>
      <c r="B2171" s="5" t="s">
        <v>1867</v>
      </c>
      <c r="C2171" s="5" t="s">
        <v>1882</v>
      </c>
      <c r="D2171" s="6">
        <v>25.0</v>
      </c>
      <c r="E2171" s="6">
        <v>2486197.0</v>
      </c>
      <c r="F2171" s="6">
        <v>2505350.0</v>
      </c>
      <c r="G2171" s="6">
        <v>24679.0</v>
      </c>
      <c r="H2171" s="6">
        <v>100.7414</v>
      </c>
      <c r="I2171" s="6">
        <v>101.5175</v>
      </c>
      <c r="J2171" s="6">
        <v>-0.7761</v>
      </c>
    </row>
    <row r="2172">
      <c r="A2172" s="5" t="s">
        <v>58</v>
      </c>
      <c r="B2172" s="5" t="s">
        <v>1867</v>
      </c>
      <c r="C2172" s="5" t="s">
        <v>1882</v>
      </c>
      <c r="D2172" s="6">
        <v>26.0</v>
      </c>
      <c r="E2172" s="6">
        <v>2309752.0</v>
      </c>
      <c r="F2172" s="6">
        <v>2512050.0</v>
      </c>
      <c r="G2172" s="6">
        <v>24679.0</v>
      </c>
      <c r="H2172" s="6">
        <v>93.5918</v>
      </c>
      <c r="I2172" s="6">
        <v>101.789</v>
      </c>
      <c r="J2172" s="6">
        <v>-8.1972</v>
      </c>
    </row>
    <row r="2173">
      <c r="A2173" s="5" t="s">
        <v>58</v>
      </c>
      <c r="B2173" s="5" t="s">
        <v>1867</v>
      </c>
      <c r="C2173" s="5" t="s">
        <v>1882</v>
      </c>
      <c r="D2173" s="6">
        <v>27.0</v>
      </c>
      <c r="E2173" s="6">
        <v>3196228.0</v>
      </c>
      <c r="F2173" s="6">
        <v>3111300.0</v>
      </c>
      <c r="G2173" s="6">
        <v>24679.0</v>
      </c>
      <c r="H2173" s="6">
        <v>129.5121</v>
      </c>
      <c r="I2173" s="6">
        <v>126.0707</v>
      </c>
      <c r="J2173" s="6">
        <v>3.4413</v>
      </c>
    </row>
    <row r="2174">
      <c r="A2174" s="5" t="s">
        <v>58</v>
      </c>
      <c r="B2174" s="5" t="s">
        <v>1867</v>
      </c>
      <c r="C2174" s="5" t="s">
        <v>1882</v>
      </c>
      <c r="D2174" s="6">
        <v>28.0</v>
      </c>
      <c r="E2174" s="6">
        <v>2681466.0</v>
      </c>
      <c r="F2174" s="6">
        <v>2686000.0</v>
      </c>
      <c r="G2174" s="6">
        <v>24679.0</v>
      </c>
      <c r="H2174" s="6">
        <v>108.6538</v>
      </c>
      <c r="I2174" s="6">
        <v>108.8375</v>
      </c>
      <c r="J2174" s="6">
        <v>-0.1837</v>
      </c>
    </row>
    <row r="2175">
      <c r="A2175" s="5" t="s">
        <v>58</v>
      </c>
      <c r="B2175" s="5" t="s">
        <v>1867</v>
      </c>
      <c r="C2175" s="5" t="s">
        <v>1882</v>
      </c>
      <c r="D2175" s="6">
        <v>29.0</v>
      </c>
      <c r="E2175" s="6">
        <v>2203639.0</v>
      </c>
      <c r="F2175" s="6">
        <v>2337700.0</v>
      </c>
      <c r="G2175" s="6">
        <v>24679.0</v>
      </c>
      <c r="H2175" s="6">
        <v>89.2921</v>
      </c>
      <c r="I2175" s="6">
        <v>94.7243</v>
      </c>
      <c r="J2175" s="6">
        <v>-5.4322</v>
      </c>
    </row>
    <row r="2176">
      <c r="A2176" s="5" t="s">
        <v>58</v>
      </c>
      <c r="B2176" s="5" t="s">
        <v>1867</v>
      </c>
      <c r="C2176" s="5" t="s">
        <v>1882</v>
      </c>
      <c r="D2176" s="6">
        <v>30.0</v>
      </c>
      <c r="E2176" s="6">
        <v>2564721.0</v>
      </c>
      <c r="F2176" s="6">
        <v>2445250.0</v>
      </c>
      <c r="G2176" s="6">
        <v>24679.0</v>
      </c>
      <c r="H2176" s="6">
        <v>103.9232</v>
      </c>
      <c r="I2176" s="6">
        <v>99.0822</v>
      </c>
      <c r="J2176" s="6">
        <v>4.841</v>
      </c>
    </row>
    <row r="2177">
      <c r="A2177" s="5" t="s">
        <v>58</v>
      </c>
      <c r="B2177" s="5" t="s">
        <v>1867</v>
      </c>
      <c r="C2177" s="5" t="s">
        <v>1882</v>
      </c>
      <c r="D2177" s="6">
        <v>31.0</v>
      </c>
      <c r="E2177" s="6">
        <v>2486670.0</v>
      </c>
      <c r="F2177" s="6">
        <v>2471100.0</v>
      </c>
      <c r="G2177" s="6">
        <v>24679.0</v>
      </c>
      <c r="H2177" s="6">
        <v>100.7606</v>
      </c>
      <c r="I2177" s="6">
        <v>100.1297</v>
      </c>
      <c r="J2177" s="6">
        <v>0.6309</v>
      </c>
    </row>
    <row r="2178">
      <c r="A2178" s="5" t="s">
        <v>58</v>
      </c>
      <c r="B2178" s="5" t="s">
        <v>1867</v>
      </c>
      <c r="C2178" s="5" t="s">
        <v>1882</v>
      </c>
      <c r="D2178" s="6">
        <v>32.0</v>
      </c>
      <c r="E2178" s="6">
        <v>2350564.0</v>
      </c>
      <c r="F2178" s="6">
        <v>2330900.0</v>
      </c>
      <c r="G2178" s="6">
        <v>24679.0</v>
      </c>
      <c r="H2178" s="6">
        <v>95.2455</v>
      </c>
      <c r="I2178" s="6">
        <v>94.4487</v>
      </c>
      <c r="J2178" s="6">
        <v>0.7968</v>
      </c>
    </row>
    <row r="2179">
      <c r="A2179" s="5" t="s">
        <v>58</v>
      </c>
      <c r="B2179" s="5" t="s">
        <v>1867</v>
      </c>
      <c r="C2179" s="5" t="s">
        <v>1882</v>
      </c>
      <c r="D2179" s="6">
        <v>33.0</v>
      </c>
      <c r="E2179" s="6">
        <v>2154913.0</v>
      </c>
      <c r="F2179" s="6">
        <v>2275400.0</v>
      </c>
      <c r="G2179" s="6">
        <v>24679.0</v>
      </c>
      <c r="H2179" s="6">
        <v>87.3177</v>
      </c>
      <c r="I2179" s="6">
        <v>92.1998</v>
      </c>
      <c r="J2179" s="6">
        <v>-4.8822</v>
      </c>
    </row>
    <row r="2180">
      <c r="A2180" s="5" t="s">
        <v>58</v>
      </c>
      <c r="B2180" s="5" t="s">
        <v>1867</v>
      </c>
      <c r="C2180" s="5" t="s">
        <v>72</v>
      </c>
      <c r="D2180" s="6">
        <v>1.0</v>
      </c>
      <c r="E2180" s="6">
        <v>11422.0</v>
      </c>
      <c r="F2180" s="6">
        <v>16168.0</v>
      </c>
      <c r="G2180" s="6">
        <v>22808.0</v>
      </c>
      <c r="H2180" s="6">
        <v>0.5008</v>
      </c>
      <c r="I2180" s="6">
        <v>0.7089</v>
      </c>
      <c r="J2180" s="6">
        <v>-0.2081</v>
      </c>
    </row>
    <row r="2181">
      <c r="A2181" s="5" t="s">
        <v>58</v>
      </c>
      <c r="B2181" s="5" t="s">
        <v>1867</v>
      </c>
      <c r="C2181" s="5" t="s">
        <v>72</v>
      </c>
      <c r="D2181" s="6">
        <v>2.0</v>
      </c>
      <c r="E2181" s="6">
        <v>13024.0</v>
      </c>
      <c r="F2181" s="6">
        <v>16113.0</v>
      </c>
      <c r="G2181" s="6">
        <v>22808.0</v>
      </c>
      <c r="H2181" s="6">
        <v>0.571</v>
      </c>
      <c r="I2181" s="6">
        <v>0.7065</v>
      </c>
      <c r="J2181" s="6">
        <v>-0.1354</v>
      </c>
    </row>
    <row r="2182">
      <c r="A2182" s="5" t="s">
        <v>58</v>
      </c>
      <c r="B2182" s="5" t="s">
        <v>1867</v>
      </c>
      <c r="C2182" s="5" t="s">
        <v>72</v>
      </c>
      <c r="D2182" s="6">
        <v>3.0</v>
      </c>
      <c r="E2182" s="6">
        <v>15831.0</v>
      </c>
      <c r="F2182" s="6">
        <v>17809.0</v>
      </c>
      <c r="G2182" s="6">
        <v>22808.0</v>
      </c>
      <c r="H2182" s="6">
        <v>0.6941</v>
      </c>
      <c r="I2182" s="6">
        <v>0.7808</v>
      </c>
      <c r="J2182" s="6">
        <v>-0.0867</v>
      </c>
    </row>
    <row r="2183">
      <c r="A2183" s="5" t="s">
        <v>58</v>
      </c>
      <c r="B2183" s="5" t="s">
        <v>1867</v>
      </c>
      <c r="C2183" s="5" t="s">
        <v>72</v>
      </c>
      <c r="D2183" s="6">
        <v>4.0</v>
      </c>
      <c r="E2183" s="6">
        <v>13766.0</v>
      </c>
      <c r="F2183" s="6">
        <v>17108.0</v>
      </c>
      <c r="G2183" s="6">
        <v>22808.0</v>
      </c>
      <c r="H2183" s="6">
        <v>0.6036</v>
      </c>
      <c r="I2183" s="6">
        <v>0.7501</v>
      </c>
      <c r="J2183" s="6">
        <v>-0.1465</v>
      </c>
    </row>
    <row r="2184">
      <c r="A2184" s="5" t="s">
        <v>58</v>
      </c>
      <c r="B2184" s="5" t="s">
        <v>1867</v>
      </c>
      <c r="C2184" s="5" t="s">
        <v>72</v>
      </c>
      <c r="D2184" s="6">
        <v>5.0</v>
      </c>
      <c r="E2184" s="6">
        <v>13586.0</v>
      </c>
      <c r="F2184" s="6">
        <v>17886.0</v>
      </c>
      <c r="G2184" s="6">
        <v>22808.0</v>
      </c>
      <c r="H2184" s="6">
        <v>0.5957</v>
      </c>
      <c r="I2184" s="6">
        <v>0.7842</v>
      </c>
      <c r="J2184" s="6">
        <v>-0.1885</v>
      </c>
    </row>
    <row r="2185">
      <c r="A2185" s="5" t="s">
        <v>58</v>
      </c>
      <c r="B2185" s="5" t="s">
        <v>1867</v>
      </c>
      <c r="C2185" s="5" t="s">
        <v>72</v>
      </c>
      <c r="D2185" s="6">
        <v>6.0</v>
      </c>
      <c r="E2185" s="6">
        <v>18161.0</v>
      </c>
      <c r="F2185" s="6">
        <v>20632.0</v>
      </c>
      <c r="G2185" s="6">
        <v>22808.0</v>
      </c>
      <c r="H2185" s="6">
        <v>0.7963</v>
      </c>
      <c r="I2185" s="6">
        <v>0.9046</v>
      </c>
      <c r="J2185" s="6">
        <v>-0.1083</v>
      </c>
    </row>
    <row r="2186">
      <c r="A2186" s="5" t="s">
        <v>58</v>
      </c>
      <c r="B2186" s="5" t="s">
        <v>1867</v>
      </c>
      <c r="C2186" s="5" t="s">
        <v>72</v>
      </c>
      <c r="D2186" s="6">
        <v>7.0</v>
      </c>
      <c r="E2186" s="6">
        <v>13748.0</v>
      </c>
      <c r="F2186" s="6">
        <v>17752.0</v>
      </c>
      <c r="G2186" s="6">
        <v>22808.0</v>
      </c>
      <c r="H2186" s="6">
        <v>0.6028</v>
      </c>
      <c r="I2186" s="6">
        <v>0.7783</v>
      </c>
      <c r="J2186" s="6">
        <v>-0.1756</v>
      </c>
    </row>
    <row r="2187">
      <c r="A2187" s="5" t="s">
        <v>58</v>
      </c>
      <c r="B2187" s="5" t="s">
        <v>1867</v>
      </c>
      <c r="C2187" s="5" t="s">
        <v>72</v>
      </c>
      <c r="D2187" s="6">
        <v>8.0</v>
      </c>
      <c r="E2187" s="6">
        <v>11114.0</v>
      </c>
      <c r="F2187" s="6">
        <v>15184.0</v>
      </c>
      <c r="G2187" s="6">
        <v>22808.0</v>
      </c>
      <c r="H2187" s="6">
        <v>0.4873</v>
      </c>
      <c r="I2187" s="6">
        <v>0.6657</v>
      </c>
      <c r="J2187" s="6">
        <v>-0.1784</v>
      </c>
    </row>
    <row r="2188">
      <c r="A2188" s="5" t="s">
        <v>58</v>
      </c>
      <c r="B2188" s="5" t="s">
        <v>1867</v>
      </c>
      <c r="C2188" s="5" t="s">
        <v>72</v>
      </c>
      <c r="D2188" s="6">
        <v>9.0</v>
      </c>
      <c r="E2188" s="6">
        <v>11481.0</v>
      </c>
      <c r="F2188" s="6">
        <v>14810.0</v>
      </c>
      <c r="G2188" s="6">
        <v>22808.0</v>
      </c>
      <c r="H2188" s="6">
        <v>0.5034</v>
      </c>
      <c r="I2188" s="6">
        <v>0.6493</v>
      </c>
      <c r="J2188" s="6">
        <v>-0.146</v>
      </c>
    </row>
    <row r="2189">
      <c r="A2189" s="5" t="s">
        <v>58</v>
      </c>
      <c r="B2189" s="5" t="s">
        <v>1867</v>
      </c>
      <c r="C2189" s="5" t="s">
        <v>72</v>
      </c>
      <c r="D2189" s="6">
        <v>10.0</v>
      </c>
      <c r="E2189" s="6">
        <v>14884.0</v>
      </c>
      <c r="F2189" s="6">
        <v>17157.0</v>
      </c>
      <c r="G2189" s="6">
        <v>22808.0</v>
      </c>
      <c r="H2189" s="6">
        <v>0.6526</v>
      </c>
      <c r="I2189" s="6">
        <v>0.7522</v>
      </c>
      <c r="J2189" s="6">
        <v>-0.0997</v>
      </c>
    </row>
    <row r="2190">
      <c r="A2190" s="5" t="s">
        <v>58</v>
      </c>
      <c r="B2190" s="5" t="s">
        <v>1867</v>
      </c>
      <c r="C2190" s="5" t="s">
        <v>72</v>
      </c>
      <c r="D2190" s="6">
        <v>11.0</v>
      </c>
      <c r="E2190" s="6">
        <v>12527.0</v>
      </c>
      <c r="F2190" s="6">
        <v>16227.0</v>
      </c>
      <c r="G2190" s="6">
        <v>22808.0</v>
      </c>
      <c r="H2190" s="6">
        <v>0.5492</v>
      </c>
      <c r="I2190" s="6">
        <v>0.7115</v>
      </c>
      <c r="J2190" s="6">
        <v>-0.1622</v>
      </c>
    </row>
    <row r="2191">
      <c r="A2191" s="5" t="s">
        <v>58</v>
      </c>
      <c r="B2191" s="5" t="s">
        <v>1867</v>
      </c>
      <c r="C2191" s="5" t="s">
        <v>72</v>
      </c>
      <c r="D2191" s="6">
        <v>12.0</v>
      </c>
      <c r="E2191" s="6">
        <v>12264.0</v>
      </c>
      <c r="F2191" s="6">
        <v>16646.0</v>
      </c>
      <c r="G2191" s="6">
        <v>22808.0</v>
      </c>
      <c r="H2191" s="6">
        <v>0.5377</v>
      </c>
      <c r="I2191" s="6">
        <v>0.7298</v>
      </c>
      <c r="J2191" s="6">
        <v>-0.1921</v>
      </c>
    </row>
    <row r="2192">
      <c r="A2192" s="5" t="s">
        <v>58</v>
      </c>
      <c r="B2192" s="5" t="s">
        <v>1867</v>
      </c>
      <c r="C2192" s="5" t="s">
        <v>72</v>
      </c>
      <c r="D2192" s="6">
        <v>13.0</v>
      </c>
      <c r="E2192" s="6">
        <v>17218.0</v>
      </c>
      <c r="F2192" s="6">
        <v>20267.0</v>
      </c>
      <c r="G2192" s="6">
        <v>22808.0</v>
      </c>
      <c r="H2192" s="6">
        <v>0.7549</v>
      </c>
      <c r="I2192" s="6">
        <v>0.8886</v>
      </c>
      <c r="J2192" s="6">
        <v>-0.1337</v>
      </c>
    </row>
    <row r="2193">
      <c r="A2193" s="5" t="s">
        <v>58</v>
      </c>
      <c r="B2193" s="5" t="s">
        <v>1867</v>
      </c>
      <c r="C2193" s="5" t="s">
        <v>72</v>
      </c>
      <c r="D2193" s="6">
        <v>14.0</v>
      </c>
      <c r="E2193" s="6">
        <v>12932.0</v>
      </c>
      <c r="F2193" s="6">
        <v>17061.0</v>
      </c>
      <c r="G2193" s="6">
        <v>22808.0</v>
      </c>
      <c r="H2193" s="6">
        <v>0.567</v>
      </c>
      <c r="I2193" s="6">
        <v>0.748</v>
      </c>
      <c r="J2193" s="6">
        <v>-0.181</v>
      </c>
    </row>
    <row r="2194">
      <c r="A2194" s="5" t="s">
        <v>58</v>
      </c>
      <c r="B2194" s="5" t="s">
        <v>1867</v>
      </c>
      <c r="C2194" s="5" t="s">
        <v>72</v>
      </c>
      <c r="D2194" s="6">
        <v>15.0</v>
      </c>
      <c r="E2194" s="6">
        <v>10659.0</v>
      </c>
      <c r="F2194" s="6">
        <v>15209.0</v>
      </c>
      <c r="G2194" s="6">
        <v>22808.0</v>
      </c>
      <c r="H2194" s="6">
        <v>0.4673</v>
      </c>
      <c r="I2194" s="6">
        <v>0.6668</v>
      </c>
      <c r="J2194" s="6">
        <v>-0.1995</v>
      </c>
    </row>
    <row r="2195">
      <c r="A2195" s="5" t="s">
        <v>58</v>
      </c>
      <c r="B2195" s="5" t="s">
        <v>1867</v>
      </c>
      <c r="C2195" s="5" t="s">
        <v>72</v>
      </c>
      <c r="D2195" s="6">
        <v>16.0</v>
      </c>
      <c r="E2195" s="6">
        <v>11827.0</v>
      </c>
      <c r="F2195" s="6">
        <v>14827.0</v>
      </c>
      <c r="G2195" s="6">
        <v>22808.0</v>
      </c>
      <c r="H2195" s="6">
        <v>0.5185</v>
      </c>
      <c r="I2195" s="6">
        <v>0.6501</v>
      </c>
      <c r="J2195" s="6">
        <v>-0.1315</v>
      </c>
    </row>
    <row r="2196">
      <c r="A2196" s="5" t="s">
        <v>58</v>
      </c>
      <c r="B2196" s="5" t="s">
        <v>1867</v>
      </c>
      <c r="C2196" s="5" t="s">
        <v>72</v>
      </c>
      <c r="D2196" s="6">
        <v>17.0</v>
      </c>
      <c r="E2196" s="6">
        <v>14832.0</v>
      </c>
      <c r="F2196" s="6">
        <v>17038.0</v>
      </c>
      <c r="G2196" s="6">
        <v>22808.0</v>
      </c>
      <c r="H2196" s="6">
        <v>0.6503</v>
      </c>
      <c r="I2196" s="6">
        <v>0.747</v>
      </c>
      <c r="J2196" s="6">
        <v>-0.0967</v>
      </c>
    </row>
    <row r="2197">
      <c r="A2197" s="5" t="s">
        <v>58</v>
      </c>
      <c r="B2197" s="5" t="s">
        <v>1867</v>
      </c>
      <c r="C2197" s="5" t="s">
        <v>72</v>
      </c>
      <c r="D2197" s="6">
        <v>18.0</v>
      </c>
      <c r="E2197" s="6">
        <v>13047.0</v>
      </c>
      <c r="F2197" s="6">
        <v>16544.0</v>
      </c>
      <c r="G2197" s="6">
        <v>22808.0</v>
      </c>
      <c r="H2197" s="6">
        <v>0.572</v>
      </c>
      <c r="I2197" s="6">
        <v>0.7254</v>
      </c>
      <c r="J2197" s="6">
        <v>-0.1533</v>
      </c>
    </row>
    <row r="2198">
      <c r="A2198" s="5" t="s">
        <v>58</v>
      </c>
      <c r="B2198" s="5" t="s">
        <v>1867</v>
      </c>
      <c r="C2198" s="5" t="s">
        <v>72</v>
      </c>
      <c r="D2198" s="6">
        <v>19.0</v>
      </c>
      <c r="E2198" s="6">
        <v>12018.0</v>
      </c>
      <c r="F2198" s="6">
        <v>15981.0</v>
      </c>
      <c r="G2198" s="6">
        <v>22808.0</v>
      </c>
      <c r="H2198" s="6">
        <v>0.5269</v>
      </c>
      <c r="I2198" s="6">
        <v>0.7007</v>
      </c>
      <c r="J2198" s="6">
        <v>-0.1738</v>
      </c>
    </row>
    <row r="2199">
      <c r="A2199" s="5" t="s">
        <v>58</v>
      </c>
      <c r="B2199" s="5" t="s">
        <v>1867</v>
      </c>
      <c r="C2199" s="5" t="s">
        <v>72</v>
      </c>
      <c r="D2199" s="6">
        <v>20.0</v>
      </c>
      <c r="E2199" s="6">
        <v>17339.0</v>
      </c>
      <c r="F2199" s="6">
        <v>19450.0</v>
      </c>
      <c r="G2199" s="6">
        <v>22808.0</v>
      </c>
      <c r="H2199" s="6">
        <v>0.7602</v>
      </c>
      <c r="I2199" s="6">
        <v>0.8528</v>
      </c>
      <c r="J2199" s="6">
        <v>-0.0926</v>
      </c>
    </row>
    <row r="2200">
      <c r="A2200" s="5" t="s">
        <v>58</v>
      </c>
      <c r="B2200" s="5" t="s">
        <v>1867</v>
      </c>
      <c r="C2200" s="5" t="s">
        <v>72</v>
      </c>
      <c r="D2200" s="6">
        <v>21.0</v>
      </c>
      <c r="E2200" s="6">
        <v>17978.0</v>
      </c>
      <c r="F2200" s="6">
        <v>19969.0</v>
      </c>
      <c r="G2200" s="6">
        <v>22808.0</v>
      </c>
      <c r="H2200" s="6">
        <v>0.7882</v>
      </c>
      <c r="I2200" s="6">
        <v>0.8755</v>
      </c>
      <c r="J2200" s="6">
        <v>-0.0873</v>
      </c>
    </row>
    <row r="2201">
      <c r="A2201" s="5" t="s">
        <v>58</v>
      </c>
      <c r="B2201" s="5" t="s">
        <v>1867</v>
      </c>
      <c r="C2201" s="5" t="s">
        <v>72</v>
      </c>
      <c r="D2201" s="6">
        <v>22.0</v>
      </c>
      <c r="E2201" s="6">
        <v>12421.0</v>
      </c>
      <c r="F2201" s="6">
        <v>15956.0</v>
      </c>
      <c r="G2201" s="6">
        <v>22808.0</v>
      </c>
      <c r="H2201" s="6">
        <v>0.5446</v>
      </c>
      <c r="I2201" s="6">
        <v>0.6996</v>
      </c>
      <c r="J2201" s="6">
        <v>-0.155</v>
      </c>
    </row>
    <row r="2202">
      <c r="A2202" s="5" t="s">
        <v>58</v>
      </c>
      <c r="B2202" s="5" t="s">
        <v>1867</v>
      </c>
      <c r="C2202" s="5" t="s">
        <v>72</v>
      </c>
      <c r="D2202" s="6">
        <v>23.0</v>
      </c>
      <c r="E2202" s="6">
        <v>12488.0</v>
      </c>
      <c r="F2202" s="6">
        <v>15541.0</v>
      </c>
      <c r="G2202" s="6">
        <v>22808.0</v>
      </c>
      <c r="H2202" s="6">
        <v>0.5475</v>
      </c>
      <c r="I2202" s="6">
        <v>0.6814</v>
      </c>
      <c r="J2202" s="6">
        <v>-0.1339</v>
      </c>
    </row>
    <row r="2203">
      <c r="A2203" s="5" t="s">
        <v>58</v>
      </c>
      <c r="B2203" s="5" t="s">
        <v>1867</v>
      </c>
      <c r="C2203" s="5" t="s">
        <v>72</v>
      </c>
      <c r="D2203" s="6">
        <v>24.0</v>
      </c>
      <c r="E2203" s="6">
        <v>16542.0</v>
      </c>
      <c r="F2203" s="6">
        <v>18254.0</v>
      </c>
      <c r="G2203" s="6">
        <v>22808.0</v>
      </c>
      <c r="H2203" s="6">
        <v>0.7253</v>
      </c>
      <c r="I2203" s="6">
        <v>0.8003</v>
      </c>
      <c r="J2203" s="6">
        <v>-0.0751</v>
      </c>
    </row>
    <row r="2204">
      <c r="A2204" s="5" t="s">
        <v>58</v>
      </c>
      <c r="B2204" s="5" t="s">
        <v>1867</v>
      </c>
      <c r="C2204" s="5" t="s">
        <v>72</v>
      </c>
      <c r="D2204" s="6">
        <v>25.0</v>
      </c>
      <c r="E2204" s="6">
        <v>14670.0</v>
      </c>
      <c r="F2204" s="6">
        <v>17731.0</v>
      </c>
      <c r="G2204" s="6">
        <v>22808.0</v>
      </c>
      <c r="H2204" s="6">
        <v>0.6432</v>
      </c>
      <c r="I2204" s="6">
        <v>0.7774</v>
      </c>
      <c r="J2204" s="6">
        <v>-0.1342</v>
      </c>
    </row>
    <row r="2205">
      <c r="A2205" s="5" t="s">
        <v>58</v>
      </c>
      <c r="B2205" s="5" t="s">
        <v>1867</v>
      </c>
      <c r="C2205" s="5" t="s">
        <v>72</v>
      </c>
      <c r="D2205" s="6">
        <v>26.0</v>
      </c>
      <c r="E2205" s="6">
        <v>13647.0</v>
      </c>
      <c r="F2205" s="6">
        <v>17671.0</v>
      </c>
      <c r="G2205" s="6">
        <v>22808.0</v>
      </c>
      <c r="H2205" s="6">
        <v>0.5983</v>
      </c>
      <c r="I2205" s="6">
        <v>0.7748</v>
      </c>
      <c r="J2205" s="6">
        <v>-0.1764</v>
      </c>
    </row>
    <row r="2206">
      <c r="A2206" s="5" t="s">
        <v>58</v>
      </c>
      <c r="B2206" s="5" t="s">
        <v>1867</v>
      </c>
      <c r="C2206" s="5" t="s">
        <v>72</v>
      </c>
      <c r="D2206" s="6">
        <v>27.0</v>
      </c>
      <c r="E2206" s="6">
        <v>18905.0</v>
      </c>
      <c r="F2206" s="6">
        <v>21298.0</v>
      </c>
      <c r="G2206" s="6">
        <v>22808.0</v>
      </c>
      <c r="H2206" s="6">
        <v>0.8289</v>
      </c>
      <c r="I2206" s="6">
        <v>0.9338</v>
      </c>
      <c r="J2206" s="6">
        <v>-0.1049</v>
      </c>
    </row>
    <row r="2207">
      <c r="A2207" s="5" t="s">
        <v>58</v>
      </c>
      <c r="B2207" s="5" t="s">
        <v>1867</v>
      </c>
      <c r="C2207" s="5" t="s">
        <v>72</v>
      </c>
      <c r="D2207" s="6">
        <v>28.0</v>
      </c>
      <c r="E2207" s="6">
        <v>14067.0</v>
      </c>
      <c r="F2207" s="6">
        <v>17631.0</v>
      </c>
      <c r="G2207" s="6">
        <v>22808.0</v>
      </c>
      <c r="H2207" s="6">
        <v>0.6168</v>
      </c>
      <c r="I2207" s="6">
        <v>0.773</v>
      </c>
      <c r="J2207" s="6">
        <v>-0.1563</v>
      </c>
    </row>
    <row r="2208">
      <c r="A2208" s="5" t="s">
        <v>58</v>
      </c>
      <c r="B2208" s="5" t="s">
        <v>1867</v>
      </c>
      <c r="C2208" s="5" t="s">
        <v>72</v>
      </c>
      <c r="D2208" s="6">
        <v>29.0</v>
      </c>
      <c r="E2208" s="6">
        <v>11494.0</v>
      </c>
      <c r="F2208" s="6">
        <v>15591.0</v>
      </c>
      <c r="G2208" s="6">
        <v>22808.0</v>
      </c>
      <c r="H2208" s="6">
        <v>0.5039</v>
      </c>
      <c r="I2208" s="6">
        <v>0.6836</v>
      </c>
      <c r="J2208" s="6">
        <v>-0.1796</v>
      </c>
    </row>
    <row r="2209">
      <c r="A2209" s="5" t="s">
        <v>58</v>
      </c>
      <c r="B2209" s="5" t="s">
        <v>1867</v>
      </c>
      <c r="C2209" s="5" t="s">
        <v>72</v>
      </c>
      <c r="D2209" s="6">
        <v>30.0</v>
      </c>
      <c r="E2209" s="6">
        <v>13151.0</v>
      </c>
      <c r="F2209" s="6">
        <v>15828.0</v>
      </c>
      <c r="G2209" s="6">
        <v>22808.0</v>
      </c>
      <c r="H2209" s="6">
        <v>0.5766</v>
      </c>
      <c r="I2209" s="6">
        <v>0.694</v>
      </c>
      <c r="J2209" s="6">
        <v>-0.1174</v>
      </c>
    </row>
    <row r="2210">
      <c r="A2210" s="5" t="s">
        <v>58</v>
      </c>
      <c r="B2210" s="5" t="s">
        <v>1867</v>
      </c>
      <c r="C2210" s="5" t="s">
        <v>72</v>
      </c>
      <c r="D2210" s="6">
        <v>31.0</v>
      </c>
      <c r="E2210" s="6">
        <v>15584.0</v>
      </c>
      <c r="F2210" s="6">
        <v>17262.0</v>
      </c>
      <c r="G2210" s="6">
        <v>22808.0</v>
      </c>
      <c r="H2210" s="6">
        <v>0.6833</v>
      </c>
      <c r="I2210" s="6">
        <v>0.7568</v>
      </c>
      <c r="J2210" s="6">
        <v>-0.0736</v>
      </c>
    </row>
    <row r="2211">
      <c r="A2211" s="5" t="s">
        <v>58</v>
      </c>
      <c r="B2211" s="5" t="s">
        <v>1867</v>
      </c>
      <c r="C2211" s="5" t="s">
        <v>72</v>
      </c>
      <c r="D2211" s="6">
        <v>32.0</v>
      </c>
      <c r="E2211" s="6">
        <v>12869.0</v>
      </c>
      <c r="F2211" s="6">
        <v>15954.0</v>
      </c>
      <c r="G2211" s="6">
        <v>22808.0</v>
      </c>
      <c r="H2211" s="6">
        <v>0.5642</v>
      </c>
      <c r="I2211" s="6">
        <v>0.6995</v>
      </c>
      <c r="J2211" s="6">
        <v>-0.1353</v>
      </c>
    </row>
    <row r="2212">
      <c r="A2212" s="5" t="s">
        <v>58</v>
      </c>
      <c r="B2212" s="5" t="s">
        <v>1867</v>
      </c>
      <c r="C2212" s="5" t="s">
        <v>72</v>
      </c>
      <c r="D2212" s="6">
        <v>33.0</v>
      </c>
      <c r="E2212" s="6">
        <v>12187.0</v>
      </c>
      <c r="F2212" s="6">
        <v>15826.0</v>
      </c>
      <c r="G2212" s="6">
        <v>22808.0</v>
      </c>
      <c r="H2212" s="6">
        <v>0.5343</v>
      </c>
      <c r="I2212" s="6">
        <v>0.6939</v>
      </c>
      <c r="J2212" s="6">
        <v>-0.1595</v>
      </c>
    </row>
    <row r="2213">
      <c r="A2213" s="5" t="s">
        <v>58</v>
      </c>
      <c r="B2213" s="5" t="s">
        <v>1867</v>
      </c>
      <c r="C2213" s="5" t="s">
        <v>73</v>
      </c>
      <c r="D2213" s="6">
        <v>1.0</v>
      </c>
      <c r="E2213" s="6">
        <v>10524.0</v>
      </c>
      <c r="F2213" s="6">
        <v>16008.0</v>
      </c>
      <c r="G2213" s="6">
        <v>22989.0</v>
      </c>
      <c r="H2213" s="6">
        <v>0.4578</v>
      </c>
      <c r="I2213" s="6">
        <v>0.6963</v>
      </c>
      <c r="J2213" s="6">
        <v>-0.2385</v>
      </c>
    </row>
    <row r="2214">
      <c r="A2214" s="5" t="s">
        <v>58</v>
      </c>
      <c r="B2214" s="5" t="s">
        <v>1867</v>
      </c>
      <c r="C2214" s="5" t="s">
        <v>73</v>
      </c>
      <c r="D2214" s="6">
        <v>2.0</v>
      </c>
      <c r="E2214" s="6">
        <v>14755.0</v>
      </c>
      <c r="F2214" s="6">
        <v>16775.0</v>
      </c>
      <c r="G2214" s="6">
        <v>22989.0</v>
      </c>
      <c r="H2214" s="6">
        <v>0.6418</v>
      </c>
      <c r="I2214" s="6">
        <v>0.7297</v>
      </c>
      <c r="J2214" s="6">
        <v>-0.0879</v>
      </c>
    </row>
    <row r="2215">
      <c r="A2215" s="5" t="s">
        <v>58</v>
      </c>
      <c r="B2215" s="5" t="s">
        <v>1867</v>
      </c>
      <c r="C2215" s="5" t="s">
        <v>73</v>
      </c>
      <c r="D2215" s="6">
        <v>3.0</v>
      </c>
      <c r="E2215" s="6">
        <v>13904.0</v>
      </c>
      <c r="F2215" s="6">
        <v>16749.0</v>
      </c>
      <c r="G2215" s="6">
        <v>22989.0</v>
      </c>
      <c r="H2215" s="6">
        <v>0.6048</v>
      </c>
      <c r="I2215" s="6">
        <v>0.7286</v>
      </c>
      <c r="J2215" s="6">
        <v>-0.1238</v>
      </c>
    </row>
    <row r="2216">
      <c r="A2216" s="5" t="s">
        <v>58</v>
      </c>
      <c r="B2216" s="5" t="s">
        <v>1867</v>
      </c>
      <c r="C2216" s="5" t="s">
        <v>73</v>
      </c>
      <c r="D2216" s="6">
        <v>4.0</v>
      </c>
      <c r="E2216" s="6">
        <v>14777.0</v>
      </c>
      <c r="F2216" s="6">
        <v>17254.0</v>
      </c>
      <c r="G2216" s="6">
        <v>22989.0</v>
      </c>
      <c r="H2216" s="6">
        <v>0.6428</v>
      </c>
      <c r="I2216" s="6">
        <v>0.7505</v>
      </c>
      <c r="J2216" s="6">
        <v>-0.1077</v>
      </c>
    </row>
    <row r="2217">
      <c r="A2217" s="5" t="s">
        <v>58</v>
      </c>
      <c r="B2217" s="5" t="s">
        <v>1867</v>
      </c>
      <c r="C2217" s="5" t="s">
        <v>73</v>
      </c>
      <c r="D2217" s="6">
        <v>5.0</v>
      </c>
      <c r="E2217" s="6">
        <v>12961.0</v>
      </c>
      <c r="F2217" s="6">
        <v>17684.0</v>
      </c>
      <c r="G2217" s="6">
        <v>22989.0</v>
      </c>
      <c r="H2217" s="6">
        <v>0.5638</v>
      </c>
      <c r="I2217" s="6">
        <v>0.7692</v>
      </c>
      <c r="J2217" s="6">
        <v>-0.2054</v>
      </c>
    </row>
    <row r="2218">
      <c r="A2218" s="5" t="s">
        <v>58</v>
      </c>
      <c r="B2218" s="5" t="s">
        <v>1867</v>
      </c>
      <c r="C2218" s="5" t="s">
        <v>73</v>
      </c>
      <c r="D2218" s="6">
        <v>6.0</v>
      </c>
      <c r="E2218" s="6">
        <v>19363.0</v>
      </c>
      <c r="F2218" s="6">
        <v>20701.0</v>
      </c>
      <c r="G2218" s="6">
        <v>22989.0</v>
      </c>
      <c r="H2218" s="6">
        <v>0.8423</v>
      </c>
      <c r="I2218" s="6">
        <v>0.9005</v>
      </c>
      <c r="J2218" s="6">
        <v>-0.0582</v>
      </c>
    </row>
    <row r="2219">
      <c r="A2219" s="5" t="s">
        <v>58</v>
      </c>
      <c r="B2219" s="5" t="s">
        <v>1867</v>
      </c>
      <c r="C2219" s="5" t="s">
        <v>73</v>
      </c>
      <c r="D2219" s="6">
        <v>7.0</v>
      </c>
      <c r="E2219" s="6">
        <v>14468.0</v>
      </c>
      <c r="F2219" s="6">
        <v>18192.0</v>
      </c>
      <c r="G2219" s="6">
        <v>22989.0</v>
      </c>
      <c r="H2219" s="6">
        <v>0.6293</v>
      </c>
      <c r="I2219" s="6">
        <v>0.7913</v>
      </c>
      <c r="J2219" s="6">
        <v>-0.162</v>
      </c>
    </row>
    <row r="2220">
      <c r="A2220" s="5" t="s">
        <v>58</v>
      </c>
      <c r="B2220" s="5" t="s">
        <v>1867</v>
      </c>
      <c r="C2220" s="5" t="s">
        <v>73</v>
      </c>
      <c r="D2220" s="6">
        <v>8.0</v>
      </c>
      <c r="E2220" s="6">
        <v>10218.0</v>
      </c>
      <c r="F2220" s="6">
        <v>14949.0</v>
      </c>
      <c r="G2220" s="6">
        <v>22989.0</v>
      </c>
      <c r="H2220" s="6">
        <v>0.4445</v>
      </c>
      <c r="I2220" s="6">
        <v>0.6503</v>
      </c>
      <c r="J2220" s="6">
        <v>-0.2058</v>
      </c>
    </row>
    <row r="2221">
      <c r="A2221" s="5" t="s">
        <v>58</v>
      </c>
      <c r="B2221" s="5" t="s">
        <v>1867</v>
      </c>
      <c r="C2221" s="5" t="s">
        <v>73</v>
      </c>
      <c r="D2221" s="6">
        <v>9.0</v>
      </c>
      <c r="E2221" s="6">
        <v>11703.0</v>
      </c>
      <c r="F2221" s="6">
        <v>15017.0</v>
      </c>
      <c r="G2221" s="6">
        <v>22989.0</v>
      </c>
      <c r="H2221" s="6">
        <v>0.5091</v>
      </c>
      <c r="I2221" s="6">
        <v>0.6532</v>
      </c>
      <c r="J2221" s="6">
        <v>-0.1442</v>
      </c>
    </row>
    <row r="2222">
      <c r="A2222" s="5" t="s">
        <v>58</v>
      </c>
      <c r="B2222" s="5" t="s">
        <v>1867</v>
      </c>
      <c r="C2222" s="5" t="s">
        <v>73</v>
      </c>
      <c r="D2222" s="6">
        <v>10.0</v>
      </c>
      <c r="E2222" s="6">
        <v>11911.0</v>
      </c>
      <c r="F2222" s="6">
        <v>15486.0</v>
      </c>
      <c r="G2222" s="6">
        <v>22989.0</v>
      </c>
      <c r="H2222" s="6">
        <v>0.5181</v>
      </c>
      <c r="I2222" s="6">
        <v>0.6736</v>
      </c>
      <c r="J2222" s="6">
        <v>-0.1555</v>
      </c>
    </row>
    <row r="2223">
      <c r="A2223" s="5" t="s">
        <v>58</v>
      </c>
      <c r="B2223" s="5" t="s">
        <v>1867</v>
      </c>
      <c r="C2223" s="5" t="s">
        <v>73</v>
      </c>
      <c r="D2223" s="6">
        <v>11.0</v>
      </c>
      <c r="E2223" s="6">
        <v>13138.0</v>
      </c>
      <c r="F2223" s="6">
        <v>16103.0</v>
      </c>
      <c r="G2223" s="6">
        <v>22989.0</v>
      </c>
      <c r="H2223" s="6">
        <v>0.5715</v>
      </c>
      <c r="I2223" s="6">
        <v>0.7005</v>
      </c>
      <c r="J2223" s="6">
        <v>-0.129</v>
      </c>
    </row>
    <row r="2224">
      <c r="A2224" s="5" t="s">
        <v>58</v>
      </c>
      <c r="B2224" s="5" t="s">
        <v>1867</v>
      </c>
      <c r="C2224" s="5" t="s">
        <v>73</v>
      </c>
      <c r="D2224" s="6">
        <v>12.0</v>
      </c>
      <c r="E2224" s="6">
        <v>11244.0</v>
      </c>
      <c r="F2224" s="6">
        <v>15927.0</v>
      </c>
      <c r="G2224" s="6">
        <v>22989.0</v>
      </c>
      <c r="H2224" s="6">
        <v>0.4891</v>
      </c>
      <c r="I2224" s="6">
        <v>0.6928</v>
      </c>
      <c r="J2224" s="6">
        <v>-0.2037</v>
      </c>
    </row>
    <row r="2225">
      <c r="A2225" s="5" t="s">
        <v>58</v>
      </c>
      <c r="B2225" s="5" t="s">
        <v>1867</v>
      </c>
      <c r="C2225" s="5" t="s">
        <v>73</v>
      </c>
      <c r="D2225" s="6">
        <v>13.0</v>
      </c>
      <c r="E2225" s="6">
        <v>18085.0</v>
      </c>
      <c r="F2225" s="6">
        <v>20013.0</v>
      </c>
      <c r="G2225" s="6">
        <v>22989.0</v>
      </c>
      <c r="H2225" s="6">
        <v>0.7867</v>
      </c>
      <c r="I2225" s="6">
        <v>0.8705</v>
      </c>
      <c r="J2225" s="6">
        <v>-0.0839</v>
      </c>
    </row>
    <row r="2226">
      <c r="A2226" s="5" t="s">
        <v>58</v>
      </c>
      <c r="B2226" s="5" t="s">
        <v>1867</v>
      </c>
      <c r="C2226" s="5" t="s">
        <v>73</v>
      </c>
      <c r="D2226" s="6">
        <v>14.0</v>
      </c>
      <c r="E2226" s="6">
        <v>13457.0</v>
      </c>
      <c r="F2226" s="6">
        <v>17322.0</v>
      </c>
      <c r="G2226" s="6">
        <v>22989.0</v>
      </c>
      <c r="H2226" s="6">
        <v>0.5854</v>
      </c>
      <c r="I2226" s="6">
        <v>0.7535</v>
      </c>
      <c r="J2226" s="6">
        <v>-0.1681</v>
      </c>
    </row>
    <row r="2227">
      <c r="A2227" s="5" t="s">
        <v>58</v>
      </c>
      <c r="B2227" s="5" t="s">
        <v>1867</v>
      </c>
      <c r="C2227" s="5" t="s">
        <v>73</v>
      </c>
      <c r="D2227" s="6">
        <v>15.0</v>
      </c>
      <c r="E2227" s="6">
        <v>9375.0</v>
      </c>
      <c r="F2227" s="6">
        <v>14668.0</v>
      </c>
      <c r="G2227" s="6">
        <v>22989.0</v>
      </c>
      <c r="H2227" s="6">
        <v>0.4078</v>
      </c>
      <c r="I2227" s="6">
        <v>0.638</v>
      </c>
      <c r="J2227" s="6">
        <v>-0.2302</v>
      </c>
    </row>
    <row r="2228">
      <c r="A2228" s="5" t="s">
        <v>58</v>
      </c>
      <c r="B2228" s="5" t="s">
        <v>1867</v>
      </c>
      <c r="C2228" s="5" t="s">
        <v>73</v>
      </c>
      <c r="D2228" s="6">
        <v>16.0</v>
      </c>
      <c r="E2228" s="6">
        <v>12995.0</v>
      </c>
      <c r="F2228" s="6">
        <v>14893.0</v>
      </c>
      <c r="G2228" s="6">
        <v>22989.0</v>
      </c>
      <c r="H2228" s="6">
        <v>0.5653</v>
      </c>
      <c r="I2228" s="6">
        <v>0.6478</v>
      </c>
      <c r="J2228" s="6">
        <v>-0.0826</v>
      </c>
    </row>
    <row r="2229">
      <c r="A2229" s="5" t="s">
        <v>58</v>
      </c>
      <c r="B2229" s="5" t="s">
        <v>1867</v>
      </c>
      <c r="C2229" s="5" t="s">
        <v>73</v>
      </c>
      <c r="D2229" s="6">
        <v>17.0</v>
      </c>
      <c r="E2229" s="6">
        <v>12937.0</v>
      </c>
      <c r="F2229" s="6">
        <v>15685.0</v>
      </c>
      <c r="G2229" s="6">
        <v>22989.0</v>
      </c>
      <c r="H2229" s="6">
        <v>0.5627</v>
      </c>
      <c r="I2229" s="6">
        <v>0.6823</v>
      </c>
      <c r="J2229" s="6">
        <v>-0.1195</v>
      </c>
    </row>
    <row r="2230">
      <c r="A2230" s="5" t="s">
        <v>58</v>
      </c>
      <c r="B2230" s="5" t="s">
        <v>1867</v>
      </c>
      <c r="C2230" s="5" t="s">
        <v>73</v>
      </c>
      <c r="D2230" s="6">
        <v>18.0</v>
      </c>
      <c r="E2230" s="6">
        <v>13596.0</v>
      </c>
      <c r="F2230" s="6">
        <v>16282.0</v>
      </c>
      <c r="G2230" s="6">
        <v>22989.0</v>
      </c>
      <c r="H2230" s="6">
        <v>0.5914</v>
      </c>
      <c r="I2230" s="6">
        <v>0.7083</v>
      </c>
      <c r="J2230" s="6">
        <v>-0.1168</v>
      </c>
    </row>
    <row r="2231">
      <c r="A2231" s="5" t="s">
        <v>58</v>
      </c>
      <c r="B2231" s="5" t="s">
        <v>1867</v>
      </c>
      <c r="C2231" s="5" t="s">
        <v>73</v>
      </c>
      <c r="D2231" s="6">
        <v>19.0</v>
      </c>
      <c r="E2231" s="6">
        <v>11371.0</v>
      </c>
      <c r="F2231" s="6">
        <v>15931.0</v>
      </c>
      <c r="G2231" s="6">
        <v>22989.0</v>
      </c>
      <c r="H2231" s="6">
        <v>0.4946</v>
      </c>
      <c r="I2231" s="6">
        <v>0.693</v>
      </c>
      <c r="J2231" s="6">
        <v>-0.1984</v>
      </c>
    </row>
    <row r="2232">
      <c r="A2232" s="5" t="s">
        <v>58</v>
      </c>
      <c r="B2232" s="5" t="s">
        <v>1867</v>
      </c>
      <c r="C2232" s="5" t="s">
        <v>73</v>
      </c>
      <c r="D2232" s="6">
        <v>20.0</v>
      </c>
      <c r="E2232" s="6">
        <v>18131.0</v>
      </c>
      <c r="F2232" s="6">
        <v>19214.0</v>
      </c>
      <c r="G2232" s="6">
        <v>22989.0</v>
      </c>
      <c r="H2232" s="6">
        <v>0.7887</v>
      </c>
      <c r="I2232" s="6">
        <v>0.8358</v>
      </c>
      <c r="J2232" s="6">
        <v>-0.0471</v>
      </c>
    </row>
    <row r="2233">
      <c r="A2233" s="5" t="s">
        <v>58</v>
      </c>
      <c r="B2233" s="5" t="s">
        <v>1867</v>
      </c>
      <c r="C2233" s="5" t="s">
        <v>73</v>
      </c>
      <c r="D2233" s="6">
        <v>21.0</v>
      </c>
      <c r="E2233" s="6">
        <v>21368.0</v>
      </c>
      <c r="F2233" s="6">
        <v>20635.0</v>
      </c>
      <c r="G2233" s="6">
        <v>22989.0</v>
      </c>
      <c r="H2233" s="6">
        <v>0.9295</v>
      </c>
      <c r="I2233" s="6">
        <v>0.8976</v>
      </c>
      <c r="J2233" s="6">
        <v>0.0319</v>
      </c>
    </row>
    <row r="2234">
      <c r="A2234" s="5" t="s">
        <v>58</v>
      </c>
      <c r="B2234" s="5" t="s">
        <v>1867</v>
      </c>
      <c r="C2234" s="5" t="s">
        <v>73</v>
      </c>
      <c r="D2234" s="6">
        <v>22.0</v>
      </c>
      <c r="E2234" s="6">
        <v>13260.0</v>
      </c>
      <c r="F2234" s="6">
        <v>16728.0</v>
      </c>
      <c r="G2234" s="6">
        <v>22989.0</v>
      </c>
      <c r="H2234" s="6">
        <v>0.5768</v>
      </c>
      <c r="I2234" s="6">
        <v>0.7277</v>
      </c>
      <c r="J2234" s="6">
        <v>-0.1509</v>
      </c>
    </row>
    <row r="2235">
      <c r="A2235" s="5" t="s">
        <v>58</v>
      </c>
      <c r="B2235" s="5" t="s">
        <v>1867</v>
      </c>
      <c r="C2235" s="5" t="s">
        <v>73</v>
      </c>
      <c r="D2235" s="6">
        <v>23.0</v>
      </c>
      <c r="E2235" s="6">
        <v>14199.0</v>
      </c>
      <c r="F2235" s="6">
        <v>16473.0</v>
      </c>
      <c r="G2235" s="6">
        <v>22989.0</v>
      </c>
      <c r="H2235" s="6">
        <v>0.6176</v>
      </c>
      <c r="I2235" s="6">
        <v>0.7166</v>
      </c>
      <c r="J2235" s="6">
        <v>-0.0989</v>
      </c>
    </row>
    <row r="2236">
      <c r="A2236" s="5" t="s">
        <v>58</v>
      </c>
      <c r="B2236" s="5" t="s">
        <v>1867</v>
      </c>
      <c r="C2236" s="5" t="s">
        <v>73</v>
      </c>
      <c r="D2236" s="6">
        <v>24.0</v>
      </c>
      <c r="E2236" s="6">
        <v>14463.0</v>
      </c>
      <c r="F2236" s="6">
        <v>17057.0</v>
      </c>
      <c r="G2236" s="6">
        <v>22989.0</v>
      </c>
      <c r="H2236" s="6">
        <v>0.6291</v>
      </c>
      <c r="I2236" s="6">
        <v>0.742</v>
      </c>
      <c r="J2236" s="6">
        <v>-0.1128</v>
      </c>
    </row>
    <row r="2237">
      <c r="A2237" s="5" t="s">
        <v>58</v>
      </c>
      <c r="B2237" s="5" t="s">
        <v>1867</v>
      </c>
      <c r="C2237" s="5" t="s">
        <v>73</v>
      </c>
      <c r="D2237" s="6">
        <v>25.0</v>
      </c>
      <c r="E2237" s="6">
        <v>15091.0</v>
      </c>
      <c r="F2237" s="6">
        <v>17525.0</v>
      </c>
      <c r="G2237" s="6">
        <v>22989.0</v>
      </c>
      <c r="H2237" s="6">
        <v>0.6564</v>
      </c>
      <c r="I2237" s="6">
        <v>0.7623</v>
      </c>
      <c r="J2237" s="6">
        <v>-0.1059</v>
      </c>
    </row>
    <row r="2238">
      <c r="A2238" s="5" t="s">
        <v>58</v>
      </c>
      <c r="B2238" s="5" t="s">
        <v>1867</v>
      </c>
      <c r="C2238" s="5" t="s">
        <v>73</v>
      </c>
      <c r="D2238" s="6">
        <v>26.0</v>
      </c>
      <c r="E2238" s="6">
        <v>12845.0</v>
      </c>
      <c r="F2238" s="6">
        <v>17314.0</v>
      </c>
      <c r="G2238" s="6">
        <v>22989.0</v>
      </c>
      <c r="H2238" s="6">
        <v>0.5587</v>
      </c>
      <c r="I2238" s="6">
        <v>0.7531</v>
      </c>
      <c r="J2238" s="6">
        <v>-0.1944</v>
      </c>
    </row>
    <row r="2239">
      <c r="A2239" s="5" t="s">
        <v>58</v>
      </c>
      <c r="B2239" s="5" t="s">
        <v>1867</v>
      </c>
      <c r="C2239" s="5" t="s">
        <v>73</v>
      </c>
      <c r="D2239" s="6">
        <v>27.0</v>
      </c>
      <c r="E2239" s="6">
        <v>19797.0</v>
      </c>
      <c r="F2239" s="6">
        <v>20654.0</v>
      </c>
      <c r="G2239" s="6">
        <v>22989.0</v>
      </c>
      <c r="H2239" s="6">
        <v>0.8612</v>
      </c>
      <c r="I2239" s="6">
        <v>0.8984</v>
      </c>
      <c r="J2239" s="6">
        <v>-0.0373</v>
      </c>
    </row>
    <row r="2240">
      <c r="A2240" s="5" t="s">
        <v>58</v>
      </c>
      <c r="B2240" s="5" t="s">
        <v>1867</v>
      </c>
      <c r="C2240" s="5" t="s">
        <v>73</v>
      </c>
      <c r="D2240" s="6">
        <v>28.0</v>
      </c>
      <c r="E2240" s="6">
        <v>14737.0</v>
      </c>
      <c r="F2240" s="6">
        <v>17981.0</v>
      </c>
      <c r="G2240" s="6">
        <v>22989.0</v>
      </c>
      <c r="H2240" s="6">
        <v>0.641</v>
      </c>
      <c r="I2240" s="6">
        <v>0.7822</v>
      </c>
      <c r="J2240" s="6">
        <v>-0.1411</v>
      </c>
    </row>
    <row r="2241">
      <c r="A2241" s="5" t="s">
        <v>58</v>
      </c>
      <c r="B2241" s="5" t="s">
        <v>1867</v>
      </c>
      <c r="C2241" s="5" t="s">
        <v>73</v>
      </c>
      <c r="D2241" s="6">
        <v>29.0</v>
      </c>
      <c r="E2241" s="6">
        <v>10607.0</v>
      </c>
      <c r="F2241" s="6">
        <v>15522.0</v>
      </c>
      <c r="G2241" s="6">
        <v>22989.0</v>
      </c>
      <c r="H2241" s="6">
        <v>0.4614</v>
      </c>
      <c r="I2241" s="6">
        <v>0.6752</v>
      </c>
      <c r="J2241" s="6">
        <v>-0.2138</v>
      </c>
    </row>
    <row r="2242">
      <c r="A2242" s="5" t="s">
        <v>58</v>
      </c>
      <c r="B2242" s="5" t="s">
        <v>1867</v>
      </c>
      <c r="C2242" s="5" t="s">
        <v>73</v>
      </c>
      <c r="D2242" s="6">
        <v>30.0</v>
      </c>
      <c r="E2242" s="6">
        <v>14574.0</v>
      </c>
      <c r="F2242" s="6">
        <v>15985.0</v>
      </c>
      <c r="G2242" s="6">
        <v>22989.0</v>
      </c>
      <c r="H2242" s="6">
        <v>0.634</v>
      </c>
      <c r="I2242" s="6">
        <v>0.6953</v>
      </c>
      <c r="J2242" s="6">
        <v>-0.0614</v>
      </c>
    </row>
    <row r="2243">
      <c r="A2243" s="5" t="s">
        <v>58</v>
      </c>
      <c r="B2243" s="5" t="s">
        <v>1867</v>
      </c>
      <c r="C2243" s="5" t="s">
        <v>73</v>
      </c>
      <c r="D2243" s="6">
        <v>31.0</v>
      </c>
      <c r="E2243" s="6">
        <v>13481.0</v>
      </c>
      <c r="F2243" s="6">
        <v>16266.0</v>
      </c>
      <c r="G2243" s="6">
        <v>22989.0</v>
      </c>
      <c r="H2243" s="6">
        <v>0.5864</v>
      </c>
      <c r="I2243" s="6">
        <v>0.7076</v>
      </c>
      <c r="J2243" s="6">
        <v>-0.1211</v>
      </c>
    </row>
    <row r="2244">
      <c r="A2244" s="5" t="s">
        <v>58</v>
      </c>
      <c r="B2244" s="5" t="s">
        <v>1867</v>
      </c>
      <c r="C2244" s="5" t="s">
        <v>73</v>
      </c>
      <c r="D2244" s="6">
        <v>32.0</v>
      </c>
      <c r="E2244" s="6">
        <v>13843.0</v>
      </c>
      <c r="F2244" s="6">
        <v>15896.0</v>
      </c>
      <c r="G2244" s="6">
        <v>22989.0</v>
      </c>
      <c r="H2244" s="6">
        <v>0.6022</v>
      </c>
      <c r="I2244" s="6">
        <v>0.6915</v>
      </c>
      <c r="J2244" s="6">
        <v>-0.0893</v>
      </c>
    </row>
    <row r="2245">
      <c r="A2245" s="5" t="s">
        <v>58</v>
      </c>
      <c r="B2245" s="5" t="s">
        <v>1867</v>
      </c>
      <c r="C2245" s="5" t="s">
        <v>73</v>
      </c>
      <c r="D2245" s="6">
        <v>33.0</v>
      </c>
      <c r="E2245" s="6">
        <v>11535.0</v>
      </c>
      <c r="F2245" s="6">
        <v>15840.0</v>
      </c>
      <c r="G2245" s="6">
        <v>22989.0</v>
      </c>
      <c r="H2245" s="6">
        <v>0.5018</v>
      </c>
      <c r="I2245" s="6">
        <v>0.689</v>
      </c>
      <c r="J2245" s="6">
        <v>-0.1873</v>
      </c>
    </row>
    <row r="2246">
      <c r="A2246" s="5" t="s">
        <v>58</v>
      </c>
      <c r="B2246" s="5" t="s">
        <v>1867</v>
      </c>
      <c r="C2246" s="5" t="s">
        <v>74</v>
      </c>
      <c r="D2246" s="6">
        <v>1.0</v>
      </c>
      <c r="E2246" s="6">
        <v>6088.0</v>
      </c>
      <c r="F2246" s="6">
        <v>9887.0</v>
      </c>
      <c r="G2246" s="6">
        <v>22001.0</v>
      </c>
      <c r="H2246" s="6">
        <v>0.2767</v>
      </c>
      <c r="I2246" s="6">
        <v>0.4494</v>
      </c>
      <c r="J2246" s="6">
        <v>-0.1727</v>
      </c>
    </row>
    <row r="2247">
      <c r="A2247" s="5" t="s">
        <v>58</v>
      </c>
      <c r="B2247" s="5" t="s">
        <v>1867</v>
      </c>
      <c r="C2247" s="5" t="s">
        <v>74</v>
      </c>
      <c r="D2247" s="6">
        <v>2.0</v>
      </c>
      <c r="E2247" s="6">
        <v>8629.0</v>
      </c>
      <c r="F2247" s="6">
        <v>10380.0</v>
      </c>
      <c r="G2247" s="6">
        <v>22001.0</v>
      </c>
      <c r="H2247" s="6">
        <v>0.3922</v>
      </c>
      <c r="I2247" s="6">
        <v>0.4718</v>
      </c>
      <c r="J2247" s="6">
        <v>-0.0796</v>
      </c>
    </row>
    <row r="2248">
      <c r="A2248" s="5" t="s">
        <v>58</v>
      </c>
      <c r="B2248" s="5" t="s">
        <v>1867</v>
      </c>
      <c r="C2248" s="5" t="s">
        <v>74</v>
      </c>
      <c r="D2248" s="6">
        <v>3.0</v>
      </c>
      <c r="E2248" s="6">
        <v>7944.0</v>
      </c>
      <c r="F2248" s="6">
        <v>10321.0</v>
      </c>
      <c r="G2248" s="6">
        <v>22001.0</v>
      </c>
      <c r="H2248" s="6">
        <v>0.3611</v>
      </c>
      <c r="I2248" s="6">
        <v>0.4691</v>
      </c>
      <c r="J2248" s="6">
        <v>-0.108</v>
      </c>
    </row>
    <row r="2249">
      <c r="A2249" s="5" t="s">
        <v>58</v>
      </c>
      <c r="B2249" s="5" t="s">
        <v>1867</v>
      </c>
      <c r="C2249" s="5" t="s">
        <v>74</v>
      </c>
      <c r="D2249" s="6">
        <v>4.0</v>
      </c>
      <c r="E2249" s="6">
        <v>8190.0</v>
      </c>
      <c r="F2249" s="6">
        <v>10335.0</v>
      </c>
      <c r="G2249" s="6">
        <v>22001.0</v>
      </c>
      <c r="H2249" s="6">
        <v>0.3723</v>
      </c>
      <c r="I2249" s="6">
        <v>0.4698</v>
      </c>
      <c r="J2249" s="6">
        <v>-0.0975</v>
      </c>
    </row>
    <row r="2250">
      <c r="A2250" s="5" t="s">
        <v>58</v>
      </c>
      <c r="B2250" s="5" t="s">
        <v>1867</v>
      </c>
      <c r="C2250" s="5" t="s">
        <v>74</v>
      </c>
      <c r="D2250" s="6">
        <v>5.0</v>
      </c>
      <c r="E2250" s="6">
        <v>7933.0</v>
      </c>
      <c r="F2250" s="6">
        <v>11141.0</v>
      </c>
      <c r="G2250" s="6">
        <v>22001.0</v>
      </c>
      <c r="H2250" s="6">
        <v>0.3606</v>
      </c>
      <c r="I2250" s="6">
        <v>0.5064</v>
      </c>
      <c r="J2250" s="6">
        <v>-0.1458</v>
      </c>
    </row>
    <row r="2251">
      <c r="A2251" s="5" t="s">
        <v>58</v>
      </c>
      <c r="B2251" s="5" t="s">
        <v>1867</v>
      </c>
      <c r="C2251" s="5" t="s">
        <v>74</v>
      </c>
      <c r="D2251" s="6">
        <v>6.0</v>
      </c>
      <c r="E2251" s="6">
        <v>14456.0</v>
      </c>
      <c r="F2251" s="6">
        <v>15427.0</v>
      </c>
      <c r="G2251" s="6">
        <v>22001.0</v>
      </c>
      <c r="H2251" s="6">
        <v>0.6571</v>
      </c>
      <c r="I2251" s="6">
        <v>0.7012</v>
      </c>
      <c r="J2251" s="6">
        <v>-0.0441</v>
      </c>
    </row>
    <row r="2252">
      <c r="A2252" s="5" t="s">
        <v>58</v>
      </c>
      <c r="B2252" s="5" t="s">
        <v>1867</v>
      </c>
      <c r="C2252" s="5" t="s">
        <v>74</v>
      </c>
      <c r="D2252" s="6">
        <v>7.0</v>
      </c>
      <c r="E2252" s="6">
        <v>9342.0</v>
      </c>
      <c r="F2252" s="6">
        <v>12209.0</v>
      </c>
      <c r="G2252" s="6">
        <v>22001.0</v>
      </c>
      <c r="H2252" s="6">
        <v>0.4246</v>
      </c>
      <c r="I2252" s="6">
        <v>0.5549</v>
      </c>
      <c r="J2252" s="6">
        <v>-0.1303</v>
      </c>
    </row>
    <row r="2253">
      <c r="A2253" s="5" t="s">
        <v>58</v>
      </c>
      <c r="B2253" s="5" t="s">
        <v>1867</v>
      </c>
      <c r="C2253" s="5" t="s">
        <v>74</v>
      </c>
      <c r="D2253" s="6">
        <v>8.0</v>
      </c>
      <c r="E2253" s="6">
        <v>6431.0</v>
      </c>
      <c r="F2253" s="6">
        <v>9659.0</v>
      </c>
      <c r="G2253" s="6">
        <v>22001.0</v>
      </c>
      <c r="H2253" s="6">
        <v>0.2923</v>
      </c>
      <c r="I2253" s="6">
        <v>0.439</v>
      </c>
      <c r="J2253" s="6">
        <v>-0.1467</v>
      </c>
    </row>
    <row r="2254">
      <c r="A2254" s="5" t="s">
        <v>58</v>
      </c>
      <c r="B2254" s="5" t="s">
        <v>1867</v>
      </c>
      <c r="C2254" s="5" t="s">
        <v>74</v>
      </c>
      <c r="D2254" s="6">
        <v>9.0</v>
      </c>
      <c r="E2254" s="6">
        <v>6658.0</v>
      </c>
      <c r="F2254" s="6">
        <v>9177.0</v>
      </c>
      <c r="G2254" s="6">
        <v>22001.0</v>
      </c>
      <c r="H2254" s="6">
        <v>0.3026</v>
      </c>
      <c r="I2254" s="6">
        <v>0.4171</v>
      </c>
      <c r="J2254" s="6">
        <v>-0.1145</v>
      </c>
    </row>
    <row r="2255">
      <c r="A2255" s="5" t="s">
        <v>58</v>
      </c>
      <c r="B2255" s="5" t="s">
        <v>1867</v>
      </c>
      <c r="C2255" s="5" t="s">
        <v>74</v>
      </c>
      <c r="D2255" s="6">
        <v>10.0</v>
      </c>
      <c r="E2255" s="6">
        <v>6499.0</v>
      </c>
      <c r="F2255" s="6">
        <v>9508.0</v>
      </c>
      <c r="G2255" s="6">
        <v>22001.0</v>
      </c>
      <c r="H2255" s="6">
        <v>0.2954</v>
      </c>
      <c r="I2255" s="6">
        <v>0.4322</v>
      </c>
      <c r="J2255" s="6">
        <v>-0.1368</v>
      </c>
    </row>
    <row r="2256">
      <c r="A2256" s="5" t="s">
        <v>58</v>
      </c>
      <c r="B2256" s="5" t="s">
        <v>1867</v>
      </c>
      <c r="C2256" s="5" t="s">
        <v>74</v>
      </c>
      <c r="D2256" s="6">
        <v>11.0</v>
      </c>
      <c r="E2256" s="6">
        <v>6717.0</v>
      </c>
      <c r="F2256" s="6">
        <v>9560.0</v>
      </c>
      <c r="G2256" s="6">
        <v>22001.0</v>
      </c>
      <c r="H2256" s="6">
        <v>0.3053</v>
      </c>
      <c r="I2256" s="6">
        <v>0.4345</v>
      </c>
      <c r="J2256" s="6">
        <v>-0.1292</v>
      </c>
    </row>
    <row r="2257">
      <c r="A2257" s="5" t="s">
        <v>58</v>
      </c>
      <c r="B2257" s="5" t="s">
        <v>1867</v>
      </c>
      <c r="C2257" s="5" t="s">
        <v>74</v>
      </c>
      <c r="D2257" s="6">
        <v>12.0</v>
      </c>
      <c r="E2257" s="6">
        <v>6476.0</v>
      </c>
      <c r="F2257" s="6">
        <v>9743.0</v>
      </c>
      <c r="G2257" s="6">
        <v>22001.0</v>
      </c>
      <c r="H2257" s="6">
        <v>0.2944</v>
      </c>
      <c r="I2257" s="6">
        <v>0.4428</v>
      </c>
      <c r="J2257" s="6">
        <v>-0.1485</v>
      </c>
    </row>
    <row r="2258">
      <c r="A2258" s="5" t="s">
        <v>58</v>
      </c>
      <c r="B2258" s="5" t="s">
        <v>1867</v>
      </c>
      <c r="C2258" s="5" t="s">
        <v>74</v>
      </c>
      <c r="D2258" s="6">
        <v>13.0</v>
      </c>
      <c r="E2258" s="6">
        <v>13163.0</v>
      </c>
      <c r="F2258" s="6">
        <v>14645.0</v>
      </c>
      <c r="G2258" s="6">
        <v>22001.0</v>
      </c>
      <c r="H2258" s="6">
        <v>0.5983</v>
      </c>
      <c r="I2258" s="6">
        <v>0.6657</v>
      </c>
      <c r="J2258" s="6">
        <v>-0.0674</v>
      </c>
    </row>
    <row r="2259">
      <c r="A2259" s="5" t="s">
        <v>58</v>
      </c>
      <c r="B2259" s="5" t="s">
        <v>1867</v>
      </c>
      <c r="C2259" s="5" t="s">
        <v>74</v>
      </c>
      <c r="D2259" s="6">
        <v>14.0</v>
      </c>
      <c r="E2259" s="6">
        <v>8149.0</v>
      </c>
      <c r="F2259" s="6">
        <v>11405.0</v>
      </c>
      <c r="G2259" s="6">
        <v>22001.0</v>
      </c>
      <c r="H2259" s="6">
        <v>0.3704</v>
      </c>
      <c r="I2259" s="6">
        <v>0.5184</v>
      </c>
      <c r="J2259" s="6">
        <v>-0.148</v>
      </c>
    </row>
    <row r="2260">
      <c r="A2260" s="5" t="s">
        <v>58</v>
      </c>
      <c r="B2260" s="5" t="s">
        <v>1867</v>
      </c>
      <c r="C2260" s="5" t="s">
        <v>74</v>
      </c>
      <c r="D2260" s="6">
        <v>15.0</v>
      </c>
      <c r="E2260" s="6">
        <v>5528.0</v>
      </c>
      <c r="F2260" s="6">
        <v>9302.0</v>
      </c>
      <c r="G2260" s="6">
        <v>22001.0</v>
      </c>
      <c r="H2260" s="6">
        <v>0.2513</v>
      </c>
      <c r="I2260" s="6">
        <v>0.4228</v>
      </c>
      <c r="J2260" s="6">
        <v>-0.1715</v>
      </c>
    </row>
    <row r="2261">
      <c r="A2261" s="5" t="s">
        <v>58</v>
      </c>
      <c r="B2261" s="5" t="s">
        <v>1867</v>
      </c>
      <c r="C2261" s="5" t="s">
        <v>74</v>
      </c>
      <c r="D2261" s="6">
        <v>16.0</v>
      </c>
      <c r="E2261" s="6">
        <v>7577.0</v>
      </c>
      <c r="F2261" s="6">
        <v>9436.0</v>
      </c>
      <c r="G2261" s="6">
        <v>22001.0</v>
      </c>
      <c r="H2261" s="6">
        <v>0.3444</v>
      </c>
      <c r="I2261" s="6">
        <v>0.4289</v>
      </c>
      <c r="J2261" s="6">
        <v>-0.0845</v>
      </c>
    </row>
    <row r="2262">
      <c r="A2262" s="5" t="s">
        <v>58</v>
      </c>
      <c r="B2262" s="5" t="s">
        <v>1867</v>
      </c>
      <c r="C2262" s="5" t="s">
        <v>74</v>
      </c>
      <c r="D2262" s="6">
        <v>17.0</v>
      </c>
      <c r="E2262" s="6">
        <v>7367.0</v>
      </c>
      <c r="F2262" s="6">
        <v>9826.0</v>
      </c>
      <c r="G2262" s="6">
        <v>22001.0</v>
      </c>
      <c r="H2262" s="6">
        <v>0.3348</v>
      </c>
      <c r="I2262" s="6">
        <v>0.4466</v>
      </c>
      <c r="J2262" s="6">
        <v>-0.1118</v>
      </c>
    </row>
    <row r="2263">
      <c r="A2263" s="5" t="s">
        <v>58</v>
      </c>
      <c r="B2263" s="5" t="s">
        <v>1867</v>
      </c>
      <c r="C2263" s="5" t="s">
        <v>74</v>
      </c>
      <c r="D2263" s="6">
        <v>18.0</v>
      </c>
      <c r="E2263" s="6">
        <v>7563.0</v>
      </c>
      <c r="F2263" s="6">
        <v>10215.0</v>
      </c>
      <c r="G2263" s="6">
        <v>22001.0</v>
      </c>
      <c r="H2263" s="6">
        <v>0.3438</v>
      </c>
      <c r="I2263" s="6">
        <v>0.4643</v>
      </c>
      <c r="J2263" s="6">
        <v>-0.1205</v>
      </c>
    </row>
    <row r="2264">
      <c r="A2264" s="5" t="s">
        <v>58</v>
      </c>
      <c r="B2264" s="5" t="s">
        <v>1867</v>
      </c>
      <c r="C2264" s="5" t="s">
        <v>74</v>
      </c>
      <c r="D2264" s="6">
        <v>19.0</v>
      </c>
      <c r="E2264" s="6">
        <v>6865.0</v>
      </c>
      <c r="F2264" s="6">
        <v>10060.0</v>
      </c>
      <c r="G2264" s="6">
        <v>22001.0</v>
      </c>
      <c r="H2264" s="6">
        <v>0.312</v>
      </c>
      <c r="I2264" s="6">
        <v>0.4573</v>
      </c>
      <c r="J2264" s="6">
        <v>-0.1452</v>
      </c>
    </row>
    <row r="2265">
      <c r="A2265" s="5" t="s">
        <v>58</v>
      </c>
      <c r="B2265" s="5" t="s">
        <v>1867</v>
      </c>
      <c r="C2265" s="5" t="s">
        <v>74</v>
      </c>
      <c r="D2265" s="6">
        <v>20.0</v>
      </c>
      <c r="E2265" s="6">
        <v>13604.0</v>
      </c>
      <c r="F2265" s="6">
        <v>14695.0</v>
      </c>
      <c r="G2265" s="6">
        <v>22001.0</v>
      </c>
      <c r="H2265" s="6">
        <v>0.6183</v>
      </c>
      <c r="I2265" s="6">
        <v>0.6679</v>
      </c>
      <c r="J2265" s="6">
        <v>-0.0496</v>
      </c>
    </row>
    <row r="2266">
      <c r="A2266" s="5" t="s">
        <v>58</v>
      </c>
      <c r="B2266" s="5" t="s">
        <v>1867</v>
      </c>
      <c r="C2266" s="5" t="s">
        <v>74</v>
      </c>
      <c r="D2266" s="6">
        <v>21.0</v>
      </c>
      <c r="E2266" s="6">
        <v>11217.0</v>
      </c>
      <c r="F2266" s="6">
        <v>13277.0</v>
      </c>
      <c r="G2266" s="6">
        <v>22001.0</v>
      </c>
      <c r="H2266" s="6">
        <v>0.5098</v>
      </c>
      <c r="I2266" s="6">
        <v>0.6035</v>
      </c>
      <c r="J2266" s="6">
        <v>-0.0936</v>
      </c>
    </row>
    <row r="2267">
      <c r="A2267" s="5" t="s">
        <v>58</v>
      </c>
      <c r="B2267" s="5" t="s">
        <v>1867</v>
      </c>
      <c r="C2267" s="5" t="s">
        <v>74</v>
      </c>
      <c r="D2267" s="6">
        <v>22.0</v>
      </c>
      <c r="E2267" s="6">
        <v>7484.0</v>
      </c>
      <c r="F2267" s="6">
        <v>10307.0</v>
      </c>
      <c r="G2267" s="6">
        <v>22001.0</v>
      </c>
      <c r="H2267" s="6">
        <v>0.3402</v>
      </c>
      <c r="I2267" s="6">
        <v>0.4685</v>
      </c>
      <c r="J2267" s="6">
        <v>-0.1283</v>
      </c>
    </row>
    <row r="2268">
      <c r="A2268" s="5" t="s">
        <v>58</v>
      </c>
      <c r="B2268" s="5" t="s">
        <v>1867</v>
      </c>
      <c r="C2268" s="5" t="s">
        <v>74</v>
      </c>
      <c r="D2268" s="6">
        <v>23.0</v>
      </c>
      <c r="E2268" s="6">
        <v>7410.0</v>
      </c>
      <c r="F2268" s="6">
        <v>9903.0</v>
      </c>
      <c r="G2268" s="6">
        <v>22001.0</v>
      </c>
      <c r="H2268" s="6">
        <v>0.3368</v>
      </c>
      <c r="I2268" s="6">
        <v>0.4501</v>
      </c>
      <c r="J2268" s="6">
        <v>-0.1133</v>
      </c>
    </row>
    <row r="2269">
      <c r="A2269" s="5" t="s">
        <v>58</v>
      </c>
      <c r="B2269" s="5" t="s">
        <v>1867</v>
      </c>
      <c r="C2269" s="5" t="s">
        <v>74</v>
      </c>
      <c r="D2269" s="6">
        <v>24.0</v>
      </c>
      <c r="E2269" s="6">
        <v>7463.0</v>
      </c>
      <c r="F2269" s="6">
        <v>9986.0</v>
      </c>
      <c r="G2269" s="6">
        <v>22001.0</v>
      </c>
      <c r="H2269" s="6">
        <v>0.3392</v>
      </c>
      <c r="I2269" s="6">
        <v>0.4539</v>
      </c>
      <c r="J2269" s="6">
        <v>-0.1147</v>
      </c>
    </row>
    <row r="2270">
      <c r="A2270" s="5" t="s">
        <v>58</v>
      </c>
      <c r="B2270" s="5" t="s">
        <v>1867</v>
      </c>
      <c r="C2270" s="5" t="s">
        <v>74</v>
      </c>
      <c r="D2270" s="6">
        <v>25.0</v>
      </c>
      <c r="E2270" s="6">
        <v>7923.0</v>
      </c>
      <c r="F2270" s="6">
        <v>10423.0</v>
      </c>
      <c r="G2270" s="6">
        <v>22001.0</v>
      </c>
      <c r="H2270" s="6">
        <v>0.3601</v>
      </c>
      <c r="I2270" s="6">
        <v>0.4738</v>
      </c>
      <c r="J2270" s="6">
        <v>-0.1136</v>
      </c>
    </row>
    <row r="2271">
      <c r="A2271" s="5" t="s">
        <v>58</v>
      </c>
      <c r="B2271" s="5" t="s">
        <v>1867</v>
      </c>
      <c r="C2271" s="5" t="s">
        <v>74</v>
      </c>
      <c r="D2271" s="6">
        <v>26.0</v>
      </c>
      <c r="E2271" s="6">
        <v>7289.0</v>
      </c>
      <c r="F2271" s="6">
        <v>10421.0</v>
      </c>
      <c r="G2271" s="6">
        <v>22001.0</v>
      </c>
      <c r="H2271" s="6">
        <v>0.3313</v>
      </c>
      <c r="I2271" s="6">
        <v>0.4737</v>
      </c>
      <c r="J2271" s="6">
        <v>-0.1424</v>
      </c>
    </row>
    <row r="2272">
      <c r="A2272" s="5" t="s">
        <v>58</v>
      </c>
      <c r="B2272" s="5" t="s">
        <v>1867</v>
      </c>
      <c r="C2272" s="5" t="s">
        <v>74</v>
      </c>
      <c r="D2272" s="6">
        <v>27.0</v>
      </c>
      <c r="E2272" s="6">
        <v>14188.0</v>
      </c>
      <c r="F2272" s="6">
        <v>15199.0</v>
      </c>
      <c r="G2272" s="6">
        <v>22001.0</v>
      </c>
      <c r="H2272" s="6">
        <v>0.6449</v>
      </c>
      <c r="I2272" s="6">
        <v>0.6908</v>
      </c>
      <c r="J2272" s="6">
        <v>-0.046</v>
      </c>
    </row>
    <row r="2273">
      <c r="A2273" s="5" t="s">
        <v>58</v>
      </c>
      <c r="B2273" s="5" t="s">
        <v>1867</v>
      </c>
      <c r="C2273" s="5" t="s">
        <v>74</v>
      </c>
      <c r="D2273" s="6">
        <v>28.0</v>
      </c>
      <c r="E2273" s="6">
        <v>8573.0</v>
      </c>
      <c r="F2273" s="6">
        <v>11758.0</v>
      </c>
      <c r="G2273" s="6">
        <v>22001.0</v>
      </c>
      <c r="H2273" s="6">
        <v>0.3897</v>
      </c>
      <c r="I2273" s="6">
        <v>0.5344</v>
      </c>
      <c r="J2273" s="6">
        <v>-0.1448</v>
      </c>
    </row>
    <row r="2274">
      <c r="A2274" s="5" t="s">
        <v>58</v>
      </c>
      <c r="B2274" s="5" t="s">
        <v>1867</v>
      </c>
      <c r="C2274" s="5" t="s">
        <v>74</v>
      </c>
      <c r="D2274" s="6">
        <v>29.0</v>
      </c>
      <c r="E2274" s="6">
        <v>5961.0</v>
      </c>
      <c r="F2274" s="6">
        <v>9551.0</v>
      </c>
      <c r="G2274" s="6">
        <v>22001.0</v>
      </c>
      <c r="H2274" s="6">
        <v>0.2709</v>
      </c>
      <c r="I2274" s="6">
        <v>0.4341</v>
      </c>
      <c r="J2274" s="6">
        <v>-0.1632</v>
      </c>
    </row>
    <row r="2275">
      <c r="A2275" s="5" t="s">
        <v>58</v>
      </c>
      <c r="B2275" s="5" t="s">
        <v>1867</v>
      </c>
      <c r="C2275" s="5" t="s">
        <v>74</v>
      </c>
      <c r="D2275" s="6">
        <v>30.0</v>
      </c>
      <c r="E2275" s="6">
        <v>8522.0</v>
      </c>
      <c r="F2275" s="6">
        <v>10275.0</v>
      </c>
      <c r="G2275" s="6">
        <v>22001.0</v>
      </c>
      <c r="H2275" s="6">
        <v>0.3873</v>
      </c>
      <c r="I2275" s="6">
        <v>0.467</v>
      </c>
      <c r="J2275" s="6">
        <v>-0.0797</v>
      </c>
    </row>
    <row r="2276">
      <c r="A2276" s="5" t="s">
        <v>58</v>
      </c>
      <c r="B2276" s="5" t="s">
        <v>1867</v>
      </c>
      <c r="C2276" s="5" t="s">
        <v>74</v>
      </c>
      <c r="D2276" s="6">
        <v>31.0</v>
      </c>
      <c r="E2276" s="6">
        <v>7609.0</v>
      </c>
      <c r="F2276" s="6">
        <v>10073.0</v>
      </c>
      <c r="G2276" s="6">
        <v>22001.0</v>
      </c>
      <c r="H2276" s="6">
        <v>0.3458</v>
      </c>
      <c r="I2276" s="6">
        <v>0.4578</v>
      </c>
      <c r="J2276" s="6">
        <v>-0.112</v>
      </c>
    </row>
    <row r="2277">
      <c r="A2277" s="5" t="s">
        <v>58</v>
      </c>
      <c r="B2277" s="5" t="s">
        <v>1867</v>
      </c>
      <c r="C2277" s="5" t="s">
        <v>74</v>
      </c>
      <c r="D2277" s="6">
        <v>32.0</v>
      </c>
      <c r="E2277" s="6">
        <v>7605.0</v>
      </c>
      <c r="F2277" s="6">
        <v>9885.0</v>
      </c>
      <c r="G2277" s="6">
        <v>22001.0</v>
      </c>
      <c r="H2277" s="6">
        <v>0.3457</v>
      </c>
      <c r="I2277" s="6">
        <v>0.4493</v>
      </c>
      <c r="J2277" s="6">
        <v>-0.1036</v>
      </c>
    </row>
    <row r="2278">
      <c r="A2278" s="5" t="s">
        <v>58</v>
      </c>
      <c r="B2278" s="5" t="s">
        <v>1867</v>
      </c>
      <c r="C2278" s="5" t="s">
        <v>74</v>
      </c>
      <c r="D2278" s="6">
        <v>33.0</v>
      </c>
      <c r="E2278" s="6">
        <v>7057.0</v>
      </c>
      <c r="F2278" s="6">
        <v>9796.0</v>
      </c>
      <c r="G2278" s="6">
        <v>22001.0</v>
      </c>
      <c r="H2278" s="6">
        <v>0.3208</v>
      </c>
      <c r="I2278" s="6">
        <v>0.4453</v>
      </c>
      <c r="J2278" s="6">
        <v>-0.1245</v>
      </c>
    </row>
    <row r="2279">
      <c r="A2279" s="5" t="s">
        <v>58</v>
      </c>
      <c r="B2279" s="5" t="s">
        <v>1867</v>
      </c>
      <c r="C2279" s="5" t="s">
        <v>69</v>
      </c>
      <c r="D2279" s="6">
        <v>1.0</v>
      </c>
      <c r="E2279" s="6">
        <v>15360.0</v>
      </c>
      <c r="F2279" s="6">
        <v>21556.0</v>
      </c>
      <c r="G2279" s="6">
        <v>24029.0</v>
      </c>
      <c r="H2279" s="6">
        <v>0.6392</v>
      </c>
      <c r="I2279" s="6">
        <v>0.8971</v>
      </c>
      <c r="J2279" s="6">
        <v>-0.2579</v>
      </c>
    </row>
    <row r="2280">
      <c r="A2280" s="5" t="s">
        <v>58</v>
      </c>
      <c r="B2280" s="5" t="s">
        <v>1867</v>
      </c>
      <c r="C2280" s="5" t="s">
        <v>69</v>
      </c>
      <c r="D2280" s="6">
        <v>2.0</v>
      </c>
      <c r="E2280" s="6">
        <v>15245.0</v>
      </c>
      <c r="F2280" s="6">
        <v>20553.0</v>
      </c>
      <c r="G2280" s="6">
        <v>24029.0</v>
      </c>
      <c r="H2280" s="6">
        <v>0.6344</v>
      </c>
      <c r="I2280" s="6">
        <v>0.8553</v>
      </c>
      <c r="J2280" s="6">
        <v>-0.2209</v>
      </c>
    </row>
    <row r="2281">
      <c r="A2281" s="5" t="s">
        <v>58</v>
      </c>
      <c r="B2281" s="5" t="s">
        <v>1867</v>
      </c>
      <c r="C2281" s="5" t="s">
        <v>69</v>
      </c>
      <c r="D2281" s="6">
        <v>3.0</v>
      </c>
      <c r="E2281" s="6">
        <v>22216.0</v>
      </c>
      <c r="F2281" s="6">
        <v>24261.0</v>
      </c>
      <c r="G2281" s="6">
        <v>24029.0</v>
      </c>
      <c r="H2281" s="6">
        <v>0.9245</v>
      </c>
      <c r="I2281" s="6">
        <v>1.0097</v>
      </c>
      <c r="J2281" s="6">
        <v>-0.0851</v>
      </c>
    </row>
    <row r="2282">
      <c r="A2282" s="5" t="s">
        <v>58</v>
      </c>
      <c r="B2282" s="5" t="s">
        <v>1867</v>
      </c>
      <c r="C2282" s="5" t="s">
        <v>69</v>
      </c>
      <c r="D2282" s="6">
        <v>4.0</v>
      </c>
      <c r="E2282" s="6">
        <v>17180.0</v>
      </c>
      <c r="F2282" s="6">
        <v>22222.0</v>
      </c>
      <c r="G2282" s="6">
        <v>24029.0</v>
      </c>
      <c r="H2282" s="6">
        <v>0.715</v>
      </c>
      <c r="I2282" s="6">
        <v>0.9248</v>
      </c>
      <c r="J2282" s="6">
        <v>-0.2098</v>
      </c>
    </row>
    <row r="2283">
      <c r="A2283" s="5" t="s">
        <v>58</v>
      </c>
      <c r="B2283" s="5" t="s">
        <v>1867</v>
      </c>
      <c r="C2283" s="5" t="s">
        <v>69</v>
      </c>
      <c r="D2283" s="6">
        <v>5.0</v>
      </c>
      <c r="E2283" s="6">
        <v>17570.0</v>
      </c>
      <c r="F2283" s="6">
        <v>24268.0</v>
      </c>
      <c r="G2283" s="6">
        <v>24029.0</v>
      </c>
      <c r="H2283" s="6">
        <v>0.7312</v>
      </c>
      <c r="I2283" s="6">
        <v>1.0099</v>
      </c>
      <c r="J2283" s="6">
        <v>-0.2787</v>
      </c>
    </row>
    <row r="2284">
      <c r="A2284" s="5" t="s">
        <v>58</v>
      </c>
      <c r="B2284" s="5" t="s">
        <v>1867</v>
      </c>
      <c r="C2284" s="5" t="s">
        <v>69</v>
      </c>
      <c r="D2284" s="6">
        <v>6.0</v>
      </c>
      <c r="E2284" s="6">
        <v>19049.0</v>
      </c>
      <c r="F2284" s="6">
        <v>25137.0</v>
      </c>
      <c r="G2284" s="6">
        <v>24029.0</v>
      </c>
      <c r="H2284" s="6">
        <v>0.7928</v>
      </c>
      <c r="I2284" s="6">
        <v>1.0461</v>
      </c>
      <c r="J2284" s="6">
        <v>-0.2534</v>
      </c>
    </row>
    <row r="2285">
      <c r="A2285" s="5" t="s">
        <v>58</v>
      </c>
      <c r="B2285" s="5" t="s">
        <v>1867</v>
      </c>
      <c r="C2285" s="5" t="s">
        <v>69</v>
      </c>
      <c r="D2285" s="6">
        <v>7.0</v>
      </c>
      <c r="E2285" s="6">
        <v>15506.0</v>
      </c>
      <c r="F2285" s="6">
        <v>22236.0</v>
      </c>
      <c r="G2285" s="6">
        <v>24029.0</v>
      </c>
      <c r="H2285" s="6">
        <v>0.6453</v>
      </c>
      <c r="I2285" s="6">
        <v>0.9254</v>
      </c>
      <c r="J2285" s="6">
        <v>-0.2801</v>
      </c>
    </row>
    <row r="2286">
      <c r="A2286" s="5" t="s">
        <v>58</v>
      </c>
      <c r="B2286" s="5" t="s">
        <v>1867</v>
      </c>
      <c r="C2286" s="5" t="s">
        <v>69</v>
      </c>
      <c r="D2286" s="6">
        <v>8.0</v>
      </c>
      <c r="E2286" s="6">
        <v>15141.0</v>
      </c>
      <c r="F2286" s="6">
        <v>20473.0</v>
      </c>
      <c r="G2286" s="6">
        <v>24029.0</v>
      </c>
      <c r="H2286" s="6">
        <v>0.6301</v>
      </c>
      <c r="I2286" s="6">
        <v>0.852</v>
      </c>
      <c r="J2286" s="6">
        <v>-0.2219</v>
      </c>
    </row>
    <row r="2287">
      <c r="A2287" s="5" t="s">
        <v>58</v>
      </c>
      <c r="B2287" s="5" t="s">
        <v>1867</v>
      </c>
      <c r="C2287" s="5" t="s">
        <v>69</v>
      </c>
      <c r="D2287" s="6">
        <v>9.0</v>
      </c>
      <c r="E2287" s="6">
        <v>13187.0</v>
      </c>
      <c r="F2287" s="6">
        <v>19222.0</v>
      </c>
      <c r="G2287" s="6">
        <v>24029.0</v>
      </c>
      <c r="H2287" s="6">
        <v>0.5488</v>
      </c>
      <c r="I2287" s="6">
        <v>0.8</v>
      </c>
      <c r="J2287" s="6">
        <v>-0.2512</v>
      </c>
    </row>
    <row r="2288">
      <c r="A2288" s="5" t="s">
        <v>58</v>
      </c>
      <c r="B2288" s="5" t="s">
        <v>1867</v>
      </c>
      <c r="C2288" s="5" t="s">
        <v>69</v>
      </c>
      <c r="D2288" s="6">
        <v>10.0</v>
      </c>
      <c r="E2288" s="6">
        <v>22093.0</v>
      </c>
      <c r="F2288" s="6">
        <v>24183.0</v>
      </c>
      <c r="G2288" s="6">
        <v>24029.0</v>
      </c>
      <c r="H2288" s="6">
        <v>0.9194</v>
      </c>
      <c r="I2288" s="6">
        <v>1.0064</v>
      </c>
      <c r="J2288" s="6">
        <v>-0.087</v>
      </c>
    </row>
    <row r="2289">
      <c r="A2289" s="5" t="s">
        <v>58</v>
      </c>
      <c r="B2289" s="5" t="s">
        <v>1867</v>
      </c>
      <c r="C2289" s="5" t="s">
        <v>69</v>
      </c>
      <c r="D2289" s="6">
        <v>11.0</v>
      </c>
      <c r="E2289" s="6">
        <v>15592.0</v>
      </c>
      <c r="F2289" s="6">
        <v>21229.0</v>
      </c>
      <c r="G2289" s="6">
        <v>24029.0</v>
      </c>
      <c r="H2289" s="6">
        <v>0.6489</v>
      </c>
      <c r="I2289" s="6">
        <v>0.8835</v>
      </c>
      <c r="J2289" s="6">
        <v>-0.2346</v>
      </c>
    </row>
    <row r="2290">
      <c r="A2290" s="5" t="s">
        <v>58</v>
      </c>
      <c r="B2290" s="5" t="s">
        <v>1867</v>
      </c>
      <c r="C2290" s="5" t="s">
        <v>69</v>
      </c>
      <c r="D2290" s="6">
        <v>12.0</v>
      </c>
      <c r="E2290" s="6">
        <v>15336.0</v>
      </c>
      <c r="F2290" s="6">
        <v>22255.0</v>
      </c>
      <c r="G2290" s="6">
        <v>24029.0</v>
      </c>
      <c r="H2290" s="6">
        <v>0.6382</v>
      </c>
      <c r="I2290" s="6">
        <v>0.9262</v>
      </c>
      <c r="J2290" s="6">
        <v>-0.2879</v>
      </c>
    </row>
    <row r="2291">
      <c r="A2291" s="5" t="s">
        <v>58</v>
      </c>
      <c r="B2291" s="5" t="s">
        <v>1867</v>
      </c>
      <c r="C2291" s="5" t="s">
        <v>69</v>
      </c>
      <c r="D2291" s="6">
        <v>13.0</v>
      </c>
      <c r="E2291" s="6">
        <v>17483.0</v>
      </c>
      <c r="F2291" s="6">
        <v>24227.0</v>
      </c>
      <c r="G2291" s="6">
        <v>24029.0</v>
      </c>
      <c r="H2291" s="6">
        <v>0.7276</v>
      </c>
      <c r="I2291" s="6">
        <v>1.0082</v>
      </c>
      <c r="J2291" s="6">
        <v>-0.2807</v>
      </c>
    </row>
    <row r="2292">
      <c r="A2292" s="5" t="s">
        <v>58</v>
      </c>
      <c r="B2292" s="5" t="s">
        <v>1867</v>
      </c>
      <c r="C2292" s="5" t="s">
        <v>69</v>
      </c>
      <c r="D2292" s="6">
        <v>14.0</v>
      </c>
      <c r="E2292" s="6">
        <v>13776.0</v>
      </c>
      <c r="F2292" s="6">
        <v>20699.0</v>
      </c>
      <c r="G2292" s="6">
        <v>24029.0</v>
      </c>
      <c r="H2292" s="6">
        <v>0.5733</v>
      </c>
      <c r="I2292" s="6">
        <v>0.8614</v>
      </c>
      <c r="J2292" s="6">
        <v>-0.2881</v>
      </c>
    </row>
    <row r="2293">
      <c r="A2293" s="5" t="s">
        <v>58</v>
      </c>
      <c r="B2293" s="5" t="s">
        <v>1867</v>
      </c>
      <c r="C2293" s="5" t="s">
        <v>69</v>
      </c>
      <c r="D2293" s="6">
        <v>15.0</v>
      </c>
      <c r="E2293" s="6">
        <v>13800.0</v>
      </c>
      <c r="F2293" s="6">
        <v>19628.0</v>
      </c>
      <c r="G2293" s="6">
        <v>24029.0</v>
      </c>
      <c r="H2293" s="6">
        <v>0.5743</v>
      </c>
      <c r="I2293" s="6">
        <v>0.8168</v>
      </c>
      <c r="J2293" s="6">
        <v>-0.2425</v>
      </c>
    </row>
    <row r="2294">
      <c r="A2294" s="5" t="s">
        <v>58</v>
      </c>
      <c r="B2294" s="5" t="s">
        <v>1867</v>
      </c>
      <c r="C2294" s="5" t="s">
        <v>69</v>
      </c>
      <c r="D2294" s="6">
        <v>16.0</v>
      </c>
      <c r="E2294" s="6">
        <v>13377.0</v>
      </c>
      <c r="F2294" s="6">
        <v>18250.0</v>
      </c>
      <c r="G2294" s="6">
        <v>24029.0</v>
      </c>
      <c r="H2294" s="6">
        <v>0.5567</v>
      </c>
      <c r="I2294" s="6">
        <v>0.7595</v>
      </c>
      <c r="J2294" s="6">
        <v>-0.2028</v>
      </c>
    </row>
    <row r="2295">
      <c r="A2295" s="5" t="s">
        <v>58</v>
      </c>
      <c r="B2295" s="5" t="s">
        <v>1867</v>
      </c>
      <c r="C2295" s="5" t="s">
        <v>69</v>
      </c>
      <c r="D2295" s="6">
        <v>17.0</v>
      </c>
      <c r="E2295" s="6">
        <v>21612.0</v>
      </c>
      <c r="F2295" s="6">
        <v>22918.0</v>
      </c>
      <c r="G2295" s="6">
        <v>24029.0</v>
      </c>
      <c r="H2295" s="6">
        <v>0.8994</v>
      </c>
      <c r="I2295" s="6">
        <v>0.9538</v>
      </c>
      <c r="J2295" s="6">
        <v>-0.0544</v>
      </c>
    </row>
    <row r="2296">
      <c r="A2296" s="5" t="s">
        <v>58</v>
      </c>
      <c r="B2296" s="5" t="s">
        <v>1867</v>
      </c>
      <c r="C2296" s="5" t="s">
        <v>69</v>
      </c>
      <c r="D2296" s="6">
        <v>18.0</v>
      </c>
      <c r="E2296" s="6">
        <v>16388.0</v>
      </c>
      <c r="F2296" s="6">
        <v>21295.0</v>
      </c>
      <c r="G2296" s="6">
        <v>24029.0</v>
      </c>
      <c r="H2296" s="6">
        <v>0.682</v>
      </c>
      <c r="I2296" s="6">
        <v>0.8862</v>
      </c>
      <c r="J2296" s="6">
        <v>-0.2042</v>
      </c>
    </row>
    <row r="2297">
      <c r="A2297" s="5" t="s">
        <v>58</v>
      </c>
      <c r="B2297" s="5" t="s">
        <v>1867</v>
      </c>
      <c r="C2297" s="5" t="s">
        <v>69</v>
      </c>
      <c r="D2297" s="6">
        <v>19.0</v>
      </c>
      <c r="E2297" s="6">
        <v>15868.0</v>
      </c>
      <c r="F2297" s="6">
        <v>21461.0</v>
      </c>
      <c r="G2297" s="6">
        <v>24029.0</v>
      </c>
      <c r="H2297" s="6">
        <v>0.6604</v>
      </c>
      <c r="I2297" s="6">
        <v>0.8931</v>
      </c>
      <c r="J2297" s="6">
        <v>-0.2328</v>
      </c>
    </row>
    <row r="2298">
      <c r="A2298" s="5" t="s">
        <v>58</v>
      </c>
      <c r="B2298" s="5" t="s">
        <v>1867</v>
      </c>
      <c r="C2298" s="5" t="s">
        <v>69</v>
      </c>
      <c r="D2298" s="6">
        <v>20.0</v>
      </c>
      <c r="E2298" s="6">
        <v>17374.0</v>
      </c>
      <c r="F2298" s="6">
        <v>23420.0</v>
      </c>
      <c r="G2298" s="6">
        <v>24029.0</v>
      </c>
      <c r="H2298" s="6">
        <v>0.723</v>
      </c>
      <c r="I2298" s="6">
        <v>0.9747</v>
      </c>
      <c r="J2298" s="6">
        <v>-0.2516</v>
      </c>
    </row>
    <row r="2299">
      <c r="A2299" s="5" t="s">
        <v>58</v>
      </c>
      <c r="B2299" s="5" t="s">
        <v>1867</v>
      </c>
      <c r="C2299" s="5" t="s">
        <v>69</v>
      </c>
      <c r="D2299" s="6">
        <v>21.0</v>
      </c>
      <c r="E2299" s="6">
        <v>26204.0</v>
      </c>
      <c r="F2299" s="6">
        <v>26653.0</v>
      </c>
      <c r="G2299" s="6">
        <v>24029.0</v>
      </c>
      <c r="H2299" s="6">
        <v>1.0905</v>
      </c>
      <c r="I2299" s="6">
        <v>1.1092</v>
      </c>
      <c r="J2299" s="6">
        <v>-0.0187</v>
      </c>
    </row>
    <row r="2300">
      <c r="A2300" s="5" t="s">
        <v>58</v>
      </c>
      <c r="B2300" s="5" t="s">
        <v>1867</v>
      </c>
      <c r="C2300" s="5" t="s">
        <v>69</v>
      </c>
      <c r="D2300" s="6">
        <v>22.0</v>
      </c>
      <c r="E2300" s="6">
        <v>22372.0</v>
      </c>
      <c r="F2300" s="6">
        <v>25663.0</v>
      </c>
      <c r="G2300" s="6">
        <v>24029.0</v>
      </c>
      <c r="H2300" s="6">
        <v>0.931</v>
      </c>
      <c r="I2300" s="6">
        <v>1.068</v>
      </c>
      <c r="J2300" s="6">
        <v>-0.137</v>
      </c>
    </row>
    <row r="2301">
      <c r="A2301" s="5" t="s">
        <v>58</v>
      </c>
      <c r="B2301" s="5" t="s">
        <v>1867</v>
      </c>
      <c r="C2301" s="5" t="s">
        <v>69</v>
      </c>
      <c r="D2301" s="6">
        <v>23.0</v>
      </c>
      <c r="E2301" s="6">
        <v>19732.0</v>
      </c>
      <c r="F2301" s="6">
        <v>24508.0</v>
      </c>
      <c r="G2301" s="6">
        <v>24029.0</v>
      </c>
      <c r="H2301" s="6">
        <v>0.8212</v>
      </c>
      <c r="I2301" s="6">
        <v>1.0199</v>
      </c>
      <c r="J2301" s="6">
        <v>-0.1988</v>
      </c>
    </row>
    <row r="2302">
      <c r="A2302" s="5" t="s">
        <v>58</v>
      </c>
      <c r="B2302" s="5" t="s">
        <v>1867</v>
      </c>
      <c r="C2302" s="5" t="s">
        <v>69</v>
      </c>
      <c r="D2302" s="6">
        <v>24.0</v>
      </c>
      <c r="E2302" s="6">
        <v>28013.0</v>
      </c>
      <c r="F2302" s="6">
        <v>28848.0</v>
      </c>
      <c r="G2302" s="6">
        <v>24029.0</v>
      </c>
      <c r="H2302" s="6">
        <v>1.1658</v>
      </c>
      <c r="I2302" s="6">
        <v>1.2005</v>
      </c>
      <c r="J2302" s="6">
        <v>-0.0347</v>
      </c>
    </row>
    <row r="2303">
      <c r="A2303" s="5" t="s">
        <v>58</v>
      </c>
      <c r="B2303" s="5" t="s">
        <v>1867</v>
      </c>
      <c r="C2303" s="5" t="s">
        <v>69</v>
      </c>
      <c r="D2303" s="6">
        <v>25.0</v>
      </c>
      <c r="E2303" s="6">
        <v>21350.0</v>
      </c>
      <c r="F2303" s="6">
        <v>26347.0</v>
      </c>
      <c r="G2303" s="6">
        <v>24029.0</v>
      </c>
      <c r="H2303" s="6">
        <v>0.8885</v>
      </c>
      <c r="I2303" s="6">
        <v>1.0965</v>
      </c>
      <c r="J2303" s="6">
        <v>-0.208</v>
      </c>
    </row>
    <row r="2304">
      <c r="A2304" s="5" t="s">
        <v>58</v>
      </c>
      <c r="B2304" s="5" t="s">
        <v>1867</v>
      </c>
      <c r="C2304" s="5" t="s">
        <v>69</v>
      </c>
      <c r="D2304" s="6">
        <v>26.0</v>
      </c>
      <c r="E2304" s="6">
        <v>19967.0</v>
      </c>
      <c r="F2304" s="6">
        <v>27040.0</v>
      </c>
      <c r="G2304" s="6">
        <v>24029.0</v>
      </c>
      <c r="H2304" s="6">
        <v>0.831</v>
      </c>
      <c r="I2304" s="6">
        <v>1.1253</v>
      </c>
      <c r="J2304" s="6">
        <v>-0.2944</v>
      </c>
    </row>
    <row r="2305">
      <c r="A2305" s="5" t="s">
        <v>58</v>
      </c>
      <c r="B2305" s="5" t="s">
        <v>1867</v>
      </c>
      <c r="C2305" s="5" t="s">
        <v>69</v>
      </c>
      <c r="D2305" s="6">
        <v>27.0</v>
      </c>
      <c r="E2305" s="6">
        <v>21068.0</v>
      </c>
      <c r="F2305" s="6">
        <v>26339.0</v>
      </c>
      <c r="G2305" s="6">
        <v>24029.0</v>
      </c>
      <c r="H2305" s="6">
        <v>0.8768</v>
      </c>
      <c r="I2305" s="6">
        <v>1.0961</v>
      </c>
      <c r="J2305" s="6">
        <v>-0.2194</v>
      </c>
    </row>
    <row r="2306">
      <c r="A2306" s="5" t="s">
        <v>58</v>
      </c>
      <c r="B2306" s="5" t="s">
        <v>1867</v>
      </c>
      <c r="C2306" s="5" t="s">
        <v>69</v>
      </c>
      <c r="D2306" s="6">
        <v>28.0</v>
      </c>
      <c r="E2306" s="6">
        <v>16338.0</v>
      </c>
      <c r="F2306" s="6">
        <v>22697.0</v>
      </c>
      <c r="G2306" s="6">
        <v>24029.0</v>
      </c>
      <c r="H2306" s="6">
        <v>0.6799</v>
      </c>
      <c r="I2306" s="6">
        <v>0.9446</v>
      </c>
      <c r="J2306" s="6">
        <v>-0.2646</v>
      </c>
    </row>
    <row r="2307">
      <c r="A2307" s="5" t="s">
        <v>58</v>
      </c>
      <c r="B2307" s="5" t="s">
        <v>1867</v>
      </c>
      <c r="C2307" s="5" t="s">
        <v>69</v>
      </c>
      <c r="D2307" s="6">
        <v>29.0</v>
      </c>
      <c r="E2307" s="6">
        <v>15163.0</v>
      </c>
      <c r="F2307" s="6">
        <v>21077.0</v>
      </c>
      <c r="G2307" s="6">
        <v>24029.0</v>
      </c>
      <c r="H2307" s="6">
        <v>0.631</v>
      </c>
      <c r="I2307" s="6">
        <v>0.8771</v>
      </c>
      <c r="J2307" s="6">
        <v>-0.2461</v>
      </c>
    </row>
    <row r="2308">
      <c r="A2308" s="5" t="s">
        <v>58</v>
      </c>
      <c r="B2308" s="5" t="s">
        <v>1867</v>
      </c>
      <c r="C2308" s="5" t="s">
        <v>69</v>
      </c>
      <c r="D2308" s="6">
        <v>30.0</v>
      </c>
      <c r="E2308" s="6">
        <v>14652.0</v>
      </c>
      <c r="F2308" s="6">
        <v>18957.0</v>
      </c>
      <c r="G2308" s="6">
        <v>24029.0</v>
      </c>
      <c r="H2308" s="6">
        <v>0.6098</v>
      </c>
      <c r="I2308" s="6">
        <v>0.7889</v>
      </c>
      <c r="J2308" s="6">
        <v>-0.1792</v>
      </c>
    </row>
    <row r="2309">
      <c r="A2309" s="5" t="s">
        <v>58</v>
      </c>
      <c r="B2309" s="5" t="s">
        <v>1867</v>
      </c>
      <c r="C2309" s="5" t="s">
        <v>69</v>
      </c>
      <c r="D2309" s="6">
        <v>31.0</v>
      </c>
      <c r="E2309" s="6">
        <v>22657.0</v>
      </c>
      <c r="F2309" s="6">
        <v>22925.0</v>
      </c>
      <c r="G2309" s="6">
        <v>24029.0</v>
      </c>
      <c r="H2309" s="6">
        <v>0.9429</v>
      </c>
      <c r="I2309" s="6">
        <v>0.9541</v>
      </c>
      <c r="J2309" s="6">
        <v>-0.0112</v>
      </c>
    </row>
    <row r="2310">
      <c r="A2310" s="5" t="s">
        <v>58</v>
      </c>
      <c r="B2310" s="5" t="s">
        <v>1867</v>
      </c>
      <c r="C2310" s="5" t="s">
        <v>69</v>
      </c>
      <c r="D2310" s="6">
        <v>32.0</v>
      </c>
      <c r="E2310" s="6">
        <v>16637.0</v>
      </c>
      <c r="F2310" s="6">
        <v>20844.0</v>
      </c>
      <c r="G2310" s="6">
        <v>24029.0</v>
      </c>
      <c r="H2310" s="6">
        <v>0.6924</v>
      </c>
      <c r="I2310" s="6">
        <v>0.8675</v>
      </c>
      <c r="J2310" s="6">
        <v>-0.1751</v>
      </c>
    </row>
    <row r="2311">
      <c r="A2311" s="5" t="s">
        <v>58</v>
      </c>
      <c r="B2311" s="5" t="s">
        <v>1867</v>
      </c>
      <c r="C2311" s="5" t="s">
        <v>69</v>
      </c>
      <c r="D2311" s="6">
        <v>33.0</v>
      </c>
      <c r="E2311" s="6">
        <v>15980.0</v>
      </c>
      <c r="F2311" s="6">
        <v>21077.0</v>
      </c>
      <c r="G2311" s="6">
        <v>24029.0</v>
      </c>
      <c r="H2311" s="6">
        <v>0.665</v>
      </c>
      <c r="I2311" s="6">
        <v>0.8771</v>
      </c>
      <c r="J2311" s="6">
        <v>-0.2121</v>
      </c>
    </row>
    <row r="2312">
      <c r="A2312" s="5" t="s">
        <v>58</v>
      </c>
      <c r="B2312" s="5" t="s">
        <v>1867</v>
      </c>
      <c r="C2312" s="5" t="s">
        <v>70</v>
      </c>
      <c r="D2312" s="6">
        <v>1.0</v>
      </c>
      <c r="E2312" s="6">
        <v>16103.0</v>
      </c>
      <c r="F2312" s="6">
        <v>21903.0</v>
      </c>
      <c r="G2312" s="6">
        <v>24071.0</v>
      </c>
      <c r="H2312" s="6">
        <v>0.669</v>
      </c>
      <c r="I2312" s="6">
        <v>0.9099</v>
      </c>
      <c r="J2312" s="6">
        <v>-0.241</v>
      </c>
    </row>
    <row r="2313">
      <c r="A2313" s="5" t="s">
        <v>58</v>
      </c>
      <c r="B2313" s="5" t="s">
        <v>1867</v>
      </c>
      <c r="C2313" s="5" t="s">
        <v>70</v>
      </c>
      <c r="D2313" s="6">
        <v>2.0</v>
      </c>
      <c r="E2313" s="6">
        <v>15692.0</v>
      </c>
      <c r="F2313" s="6">
        <v>20919.0</v>
      </c>
      <c r="G2313" s="6">
        <v>24071.0</v>
      </c>
      <c r="H2313" s="6">
        <v>0.6519</v>
      </c>
      <c r="I2313" s="6">
        <v>0.8691</v>
      </c>
      <c r="J2313" s="6">
        <v>-0.2171</v>
      </c>
    </row>
    <row r="2314">
      <c r="A2314" s="5" t="s">
        <v>58</v>
      </c>
      <c r="B2314" s="5" t="s">
        <v>1867</v>
      </c>
      <c r="C2314" s="5" t="s">
        <v>70</v>
      </c>
      <c r="D2314" s="6">
        <v>3.0</v>
      </c>
      <c r="E2314" s="6">
        <v>21664.0</v>
      </c>
      <c r="F2314" s="6">
        <v>23611.0</v>
      </c>
      <c r="G2314" s="6">
        <v>24071.0</v>
      </c>
      <c r="H2314" s="6">
        <v>0.9</v>
      </c>
      <c r="I2314" s="6">
        <v>0.9809</v>
      </c>
      <c r="J2314" s="6">
        <v>-0.0809</v>
      </c>
    </row>
    <row r="2315">
      <c r="A2315" s="5" t="s">
        <v>58</v>
      </c>
      <c r="B2315" s="5" t="s">
        <v>1867</v>
      </c>
      <c r="C2315" s="5" t="s">
        <v>70</v>
      </c>
      <c r="D2315" s="6">
        <v>4.0</v>
      </c>
      <c r="E2315" s="6">
        <v>17383.0</v>
      </c>
      <c r="F2315" s="6">
        <v>22278.0</v>
      </c>
      <c r="G2315" s="6">
        <v>24071.0</v>
      </c>
      <c r="H2315" s="6">
        <v>0.7222</v>
      </c>
      <c r="I2315" s="6">
        <v>0.9255</v>
      </c>
      <c r="J2315" s="6">
        <v>-0.2034</v>
      </c>
    </row>
    <row r="2316">
      <c r="A2316" s="5" t="s">
        <v>58</v>
      </c>
      <c r="B2316" s="5" t="s">
        <v>1867</v>
      </c>
      <c r="C2316" s="5" t="s">
        <v>70</v>
      </c>
      <c r="D2316" s="6">
        <v>5.0</v>
      </c>
      <c r="E2316" s="6">
        <v>17564.0</v>
      </c>
      <c r="F2316" s="6">
        <v>24158.0</v>
      </c>
      <c r="G2316" s="6">
        <v>24071.0</v>
      </c>
      <c r="H2316" s="6">
        <v>0.7297</v>
      </c>
      <c r="I2316" s="6">
        <v>1.0036</v>
      </c>
      <c r="J2316" s="6">
        <v>-0.2739</v>
      </c>
    </row>
    <row r="2317">
      <c r="A2317" s="5" t="s">
        <v>58</v>
      </c>
      <c r="B2317" s="5" t="s">
        <v>1867</v>
      </c>
      <c r="C2317" s="5" t="s">
        <v>70</v>
      </c>
      <c r="D2317" s="6">
        <v>6.0</v>
      </c>
      <c r="E2317" s="6">
        <v>23106.0</v>
      </c>
      <c r="F2317" s="6">
        <v>26931.0</v>
      </c>
      <c r="G2317" s="6">
        <v>24071.0</v>
      </c>
      <c r="H2317" s="6">
        <v>0.9599</v>
      </c>
      <c r="I2317" s="6">
        <v>1.1188</v>
      </c>
      <c r="J2317" s="6">
        <v>-0.1589</v>
      </c>
    </row>
    <row r="2318">
      <c r="A2318" s="5" t="s">
        <v>58</v>
      </c>
      <c r="B2318" s="5" t="s">
        <v>1867</v>
      </c>
      <c r="C2318" s="5" t="s">
        <v>70</v>
      </c>
      <c r="D2318" s="6">
        <v>7.0</v>
      </c>
      <c r="E2318" s="6">
        <v>16127.0</v>
      </c>
      <c r="F2318" s="6">
        <v>23085.0</v>
      </c>
      <c r="G2318" s="6">
        <v>24071.0</v>
      </c>
      <c r="H2318" s="6">
        <v>0.67</v>
      </c>
      <c r="I2318" s="6">
        <v>0.959</v>
      </c>
      <c r="J2318" s="6">
        <v>-0.2891</v>
      </c>
    </row>
    <row r="2319">
      <c r="A2319" s="5" t="s">
        <v>58</v>
      </c>
      <c r="B2319" s="5" t="s">
        <v>1867</v>
      </c>
      <c r="C2319" s="5" t="s">
        <v>70</v>
      </c>
      <c r="D2319" s="6">
        <v>8.0</v>
      </c>
      <c r="E2319" s="6">
        <v>14491.0</v>
      </c>
      <c r="F2319" s="6">
        <v>20376.0</v>
      </c>
      <c r="G2319" s="6">
        <v>24071.0</v>
      </c>
      <c r="H2319" s="6">
        <v>0.602</v>
      </c>
      <c r="I2319" s="6">
        <v>0.8465</v>
      </c>
      <c r="J2319" s="6">
        <v>-0.2445</v>
      </c>
    </row>
    <row r="2320">
      <c r="A2320" s="5" t="s">
        <v>58</v>
      </c>
      <c r="B2320" s="5" t="s">
        <v>1867</v>
      </c>
      <c r="C2320" s="5" t="s">
        <v>70</v>
      </c>
      <c r="D2320" s="6">
        <v>9.0</v>
      </c>
      <c r="E2320" s="6">
        <v>12627.0</v>
      </c>
      <c r="F2320" s="6">
        <v>18386.0</v>
      </c>
      <c r="G2320" s="6">
        <v>24071.0</v>
      </c>
      <c r="H2320" s="6">
        <v>0.5246</v>
      </c>
      <c r="I2320" s="6">
        <v>0.7638</v>
      </c>
      <c r="J2320" s="6">
        <v>-0.2393</v>
      </c>
    </row>
    <row r="2321">
      <c r="A2321" s="5" t="s">
        <v>58</v>
      </c>
      <c r="B2321" s="5" t="s">
        <v>1867</v>
      </c>
      <c r="C2321" s="5" t="s">
        <v>70</v>
      </c>
      <c r="D2321" s="6">
        <v>10.0</v>
      </c>
      <c r="E2321" s="6">
        <v>21066.0</v>
      </c>
      <c r="F2321" s="6">
        <v>23289.0</v>
      </c>
      <c r="G2321" s="6">
        <v>24071.0</v>
      </c>
      <c r="H2321" s="6">
        <v>0.8752</v>
      </c>
      <c r="I2321" s="6">
        <v>0.9675</v>
      </c>
      <c r="J2321" s="6">
        <v>-0.0924</v>
      </c>
    </row>
    <row r="2322">
      <c r="A2322" s="5" t="s">
        <v>58</v>
      </c>
      <c r="B2322" s="5" t="s">
        <v>1867</v>
      </c>
      <c r="C2322" s="5" t="s">
        <v>70</v>
      </c>
      <c r="D2322" s="6">
        <v>11.0</v>
      </c>
      <c r="E2322" s="6">
        <v>15770.0</v>
      </c>
      <c r="F2322" s="6">
        <v>20875.0</v>
      </c>
      <c r="G2322" s="6">
        <v>24071.0</v>
      </c>
      <c r="H2322" s="6">
        <v>0.6551</v>
      </c>
      <c r="I2322" s="6">
        <v>0.8672</v>
      </c>
      <c r="J2322" s="6">
        <v>-0.2121</v>
      </c>
    </row>
    <row r="2323">
      <c r="A2323" s="5" t="s">
        <v>58</v>
      </c>
      <c r="B2323" s="5" t="s">
        <v>1867</v>
      </c>
      <c r="C2323" s="5" t="s">
        <v>70</v>
      </c>
      <c r="D2323" s="6">
        <v>12.0</v>
      </c>
      <c r="E2323" s="6">
        <v>15589.0</v>
      </c>
      <c r="F2323" s="6">
        <v>21836.0</v>
      </c>
      <c r="G2323" s="6">
        <v>24071.0</v>
      </c>
      <c r="H2323" s="6">
        <v>0.6476</v>
      </c>
      <c r="I2323" s="6">
        <v>0.9071</v>
      </c>
      <c r="J2323" s="6">
        <v>-0.2595</v>
      </c>
    </row>
    <row r="2324">
      <c r="A2324" s="5" t="s">
        <v>58</v>
      </c>
      <c r="B2324" s="5" t="s">
        <v>1867</v>
      </c>
      <c r="C2324" s="5" t="s">
        <v>70</v>
      </c>
      <c r="D2324" s="6">
        <v>13.0</v>
      </c>
      <c r="E2324" s="6">
        <v>22114.0</v>
      </c>
      <c r="F2324" s="6">
        <v>26288.0</v>
      </c>
      <c r="G2324" s="6">
        <v>24071.0</v>
      </c>
      <c r="H2324" s="6">
        <v>0.9187</v>
      </c>
      <c r="I2324" s="6">
        <v>1.0921</v>
      </c>
      <c r="J2324" s="6">
        <v>-0.1734</v>
      </c>
    </row>
    <row r="2325">
      <c r="A2325" s="5" t="s">
        <v>58</v>
      </c>
      <c r="B2325" s="5" t="s">
        <v>1867</v>
      </c>
      <c r="C2325" s="5" t="s">
        <v>70</v>
      </c>
      <c r="D2325" s="6">
        <v>14.0</v>
      </c>
      <c r="E2325" s="6">
        <v>14922.0</v>
      </c>
      <c r="F2325" s="6">
        <v>21576.0</v>
      </c>
      <c r="G2325" s="6">
        <v>24071.0</v>
      </c>
      <c r="H2325" s="6">
        <v>0.6199</v>
      </c>
      <c r="I2325" s="6">
        <v>0.8963</v>
      </c>
      <c r="J2325" s="6">
        <v>-0.2764</v>
      </c>
    </row>
    <row r="2326">
      <c r="A2326" s="5" t="s">
        <v>58</v>
      </c>
      <c r="B2326" s="5" t="s">
        <v>1867</v>
      </c>
      <c r="C2326" s="5" t="s">
        <v>70</v>
      </c>
      <c r="D2326" s="6">
        <v>15.0</v>
      </c>
      <c r="E2326" s="6">
        <v>13637.0</v>
      </c>
      <c r="F2326" s="6">
        <v>19846.0</v>
      </c>
      <c r="G2326" s="6">
        <v>24071.0</v>
      </c>
      <c r="H2326" s="6">
        <v>0.5665</v>
      </c>
      <c r="I2326" s="6">
        <v>0.8245</v>
      </c>
      <c r="J2326" s="6">
        <v>-0.2579</v>
      </c>
    </row>
    <row r="2327">
      <c r="A2327" s="5" t="s">
        <v>58</v>
      </c>
      <c r="B2327" s="5" t="s">
        <v>1867</v>
      </c>
      <c r="C2327" s="5" t="s">
        <v>70</v>
      </c>
      <c r="D2327" s="6">
        <v>16.0</v>
      </c>
      <c r="E2327" s="6">
        <v>12904.0</v>
      </c>
      <c r="F2327" s="6">
        <v>18133.0</v>
      </c>
      <c r="G2327" s="6">
        <v>24071.0</v>
      </c>
      <c r="H2327" s="6">
        <v>0.5361</v>
      </c>
      <c r="I2327" s="6">
        <v>0.7533</v>
      </c>
      <c r="J2327" s="6">
        <v>-0.2172</v>
      </c>
    </row>
    <row r="2328">
      <c r="A2328" s="5" t="s">
        <v>58</v>
      </c>
      <c r="B2328" s="5" t="s">
        <v>1867</v>
      </c>
      <c r="C2328" s="5" t="s">
        <v>70</v>
      </c>
      <c r="D2328" s="6">
        <v>17.0</v>
      </c>
      <c r="E2328" s="6">
        <v>20531.0</v>
      </c>
      <c r="F2328" s="6">
        <v>22127.0</v>
      </c>
      <c r="G2328" s="6">
        <v>24071.0</v>
      </c>
      <c r="H2328" s="6">
        <v>0.8529</v>
      </c>
      <c r="I2328" s="6">
        <v>0.9192</v>
      </c>
      <c r="J2328" s="6">
        <v>-0.0663</v>
      </c>
    </row>
    <row r="2329">
      <c r="A2329" s="5" t="s">
        <v>58</v>
      </c>
      <c r="B2329" s="5" t="s">
        <v>1867</v>
      </c>
      <c r="C2329" s="5" t="s">
        <v>70</v>
      </c>
      <c r="D2329" s="6">
        <v>18.0</v>
      </c>
      <c r="E2329" s="6">
        <v>16111.0</v>
      </c>
      <c r="F2329" s="6">
        <v>21254.0</v>
      </c>
      <c r="G2329" s="6">
        <v>24071.0</v>
      </c>
      <c r="H2329" s="6">
        <v>0.6693</v>
      </c>
      <c r="I2329" s="6">
        <v>0.883</v>
      </c>
      <c r="J2329" s="6">
        <v>-0.2137</v>
      </c>
    </row>
    <row r="2330">
      <c r="A2330" s="5" t="s">
        <v>58</v>
      </c>
      <c r="B2330" s="5" t="s">
        <v>1867</v>
      </c>
      <c r="C2330" s="5" t="s">
        <v>70</v>
      </c>
      <c r="D2330" s="6">
        <v>19.0</v>
      </c>
      <c r="E2330" s="6">
        <v>15328.0</v>
      </c>
      <c r="F2330" s="6">
        <v>21068.0</v>
      </c>
      <c r="G2330" s="6">
        <v>24071.0</v>
      </c>
      <c r="H2330" s="6">
        <v>0.6368</v>
      </c>
      <c r="I2330" s="6">
        <v>0.8752</v>
      </c>
      <c r="J2330" s="6">
        <v>-0.2385</v>
      </c>
    </row>
    <row r="2331">
      <c r="A2331" s="5" t="s">
        <v>58</v>
      </c>
      <c r="B2331" s="5" t="s">
        <v>1867</v>
      </c>
      <c r="C2331" s="5" t="s">
        <v>70</v>
      </c>
      <c r="D2331" s="6">
        <v>20.0</v>
      </c>
      <c r="E2331" s="6">
        <v>21573.0</v>
      </c>
      <c r="F2331" s="6">
        <v>25270.0</v>
      </c>
      <c r="G2331" s="6">
        <v>24071.0</v>
      </c>
      <c r="H2331" s="6">
        <v>0.8962</v>
      </c>
      <c r="I2331" s="6">
        <v>1.0498</v>
      </c>
      <c r="J2331" s="6">
        <v>-0.1536</v>
      </c>
    </row>
    <row r="2332">
      <c r="A2332" s="5" t="s">
        <v>58</v>
      </c>
      <c r="B2332" s="5" t="s">
        <v>1867</v>
      </c>
      <c r="C2332" s="5" t="s">
        <v>70</v>
      </c>
      <c r="D2332" s="6">
        <v>21.0</v>
      </c>
      <c r="E2332" s="6">
        <v>29608.0</v>
      </c>
      <c r="F2332" s="6">
        <v>27411.0</v>
      </c>
      <c r="G2332" s="6">
        <v>24071.0</v>
      </c>
      <c r="H2332" s="6">
        <v>1.23</v>
      </c>
      <c r="I2332" s="6">
        <v>1.1388</v>
      </c>
      <c r="J2332" s="6">
        <v>0.0913</v>
      </c>
    </row>
    <row r="2333">
      <c r="A2333" s="5" t="s">
        <v>58</v>
      </c>
      <c r="B2333" s="5" t="s">
        <v>1867</v>
      </c>
      <c r="C2333" s="5" t="s">
        <v>70</v>
      </c>
      <c r="D2333" s="6">
        <v>22.0</v>
      </c>
      <c r="E2333" s="6">
        <v>21217.0</v>
      </c>
      <c r="F2333" s="6">
        <v>24765.0</v>
      </c>
      <c r="G2333" s="6">
        <v>24071.0</v>
      </c>
      <c r="H2333" s="6">
        <v>0.8814</v>
      </c>
      <c r="I2333" s="6">
        <v>1.0288</v>
      </c>
      <c r="J2333" s="6">
        <v>-0.1474</v>
      </c>
    </row>
    <row r="2334">
      <c r="A2334" s="5" t="s">
        <v>58</v>
      </c>
      <c r="B2334" s="5" t="s">
        <v>1867</v>
      </c>
      <c r="C2334" s="5" t="s">
        <v>70</v>
      </c>
      <c r="D2334" s="6">
        <v>23.0</v>
      </c>
      <c r="E2334" s="6">
        <v>17463.0</v>
      </c>
      <c r="F2334" s="6">
        <v>22358.0</v>
      </c>
      <c r="G2334" s="6">
        <v>24071.0</v>
      </c>
      <c r="H2334" s="6">
        <v>0.7255</v>
      </c>
      <c r="I2334" s="6">
        <v>0.9288</v>
      </c>
      <c r="J2334" s="6">
        <v>-0.2034</v>
      </c>
    </row>
    <row r="2335">
      <c r="A2335" s="5" t="s">
        <v>58</v>
      </c>
      <c r="B2335" s="5" t="s">
        <v>1867</v>
      </c>
      <c r="C2335" s="5" t="s">
        <v>70</v>
      </c>
      <c r="D2335" s="6">
        <v>24.0</v>
      </c>
      <c r="E2335" s="6">
        <v>25709.0</v>
      </c>
      <c r="F2335" s="6">
        <v>26628.0</v>
      </c>
      <c r="G2335" s="6">
        <v>24071.0</v>
      </c>
      <c r="H2335" s="6">
        <v>1.068</v>
      </c>
      <c r="I2335" s="6">
        <v>1.1062</v>
      </c>
      <c r="J2335" s="6">
        <v>-0.0382</v>
      </c>
    </row>
    <row r="2336">
      <c r="A2336" s="5" t="s">
        <v>58</v>
      </c>
      <c r="B2336" s="5" t="s">
        <v>1867</v>
      </c>
      <c r="C2336" s="5" t="s">
        <v>70</v>
      </c>
      <c r="D2336" s="6">
        <v>25.0</v>
      </c>
      <c r="E2336" s="6">
        <v>21333.0</v>
      </c>
      <c r="F2336" s="6">
        <v>25288.0</v>
      </c>
      <c r="G2336" s="6">
        <v>24071.0</v>
      </c>
      <c r="H2336" s="6">
        <v>0.8863</v>
      </c>
      <c r="I2336" s="6">
        <v>1.0506</v>
      </c>
      <c r="J2336" s="6">
        <v>-0.1643</v>
      </c>
    </row>
    <row r="2337">
      <c r="A2337" s="5" t="s">
        <v>58</v>
      </c>
      <c r="B2337" s="5" t="s">
        <v>1867</v>
      </c>
      <c r="C2337" s="5" t="s">
        <v>70</v>
      </c>
      <c r="D2337" s="6">
        <v>26.0</v>
      </c>
      <c r="E2337" s="6">
        <v>20128.0</v>
      </c>
      <c r="F2337" s="6">
        <v>26189.0</v>
      </c>
      <c r="G2337" s="6">
        <v>24071.0</v>
      </c>
      <c r="H2337" s="6">
        <v>0.8362</v>
      </c>
      <c r="I2337" s="6">
        <v>1.088</v>
      </c>
      <c r="J2337" s="6">
        <v>-0.2518</v>
      </c>
    </row>
    <row r="2338">
      <c r="A2338" s="5" t="s">
        <v>58</v>
      </c>
      <c r="B2338" s="5" t="s">
        <v>1867</v>
      </c>
      <c r="C2338" s="5" t="s">
        <v>70</v>
      </c>
      <c r="D2338" s="6">
        <v>27.0</v>
      </c>
      <c r="E2338" s="6">
        <v>24325.0</v>
      </c>
      <c r="F2338" s="6">
        <v>27363.0</v>
      </c>
      <c r="G2338" s="6">
        <v>24071.0</v>
      </c>
      <c r="H2338" s="6">
        <v>1.0106</v>
      </c>
      <c r="I2338" s="6">
        <v>1.1368</v>
      </c>
      <c r="J2338" s="6">
        <v>-0.1262</v>
      </c>
    </row>
    <row r="2339">
      <c r="A2339" s="5" t="s">
        <v>58</v>
      </c>
      <c r="B2339" s="5" t="s">
        <v>1867</v>
      </c>
      <c r="C2339" s="5" t="s">
        <v>70</v>
      </c>
      <c r="D2339" s="6">
        <v>28.0</v>
      </c>
      <c r="E2339" s="6">
        <v>18030.0</v>
      </c>
      <c r="F2339" s="6">
        <v>23276.0</v>
      </c>
      <c r="G2339" s="6">
        <v>24071.0</v>
      </c>
      <c r="H2339" s="6">
        <v>0.749</v>
      </c>
      <c r="I2339" s="6">
        <v>0.967</v>
      </c>
      <c r="J2339" s="6">
        <v>-0.2179</v>
      </c>
    </row>
    <row r="2340">
      <c r="A2340" s="5" t="s">
        <v>58</v>
      </c>
      <c r="B2340" s="5" t="s">
        <v>1867</v>
      </c>
      <c r="C2340" s="5" t="s">
        <v>70</v>
      </c>
      <c r="D2340" s="6">
        <v>29.0</v>
      </c>
      <c r="E2340" s="6">
        <v>15769.0</v>
      </c>
      <c r="F2340" s="6">
        <v>21221.0</v>
      </c>
      <c r="G2340" s="6">
        <v>24071.0</v>
      </c>
      <c r="H2340" s="6">
        <v>0.6551</v>
      </c>
      <c r="I2340" s="6">
        <v>0.8816</v>
      </c>
      <c r="J2340" s="6">
        <v>-0.2265</v>
      </c>
    </row>
    <row r="2341">
      <c r="A2341" s="5" t="s">
        <v>58</v>
      </c>
      <c r="B2341" s="5" t="s">
        <v>1867</v>
      </c>
      <c r="C2341" s="5" t="s">
        <v>70</v>
      </c>
      <c r="D2341" s="6">
        <v>30.0</v>
      </c>
      <c r="E2341" s="6">
        <v>15436.0</v>
      </c>
      <c r="F2341" s="6">
        <v>19239.0</v>
      </c>
      <c r="G2341" s="6">
        <v>24071.0</v>
      </c>
      <c r="H2341" s="6">
        <v>0.6413</v>
      </c>
      <c r="I2341" s="6">
        <v>0.7993</v>
      </c>
      <c r="J2341" s="6">
        <v>-0.158</v>
      </c>
    </row>
    <row r="2342">
      <c r="A2342" s="5" t="s">
        <v>58</v>
      </c>
      <c r="B2342" s="5" t="s">
        <v>1867</v>
      </c>
      <c r="C2342" s="5" t="s">
        <v>70</v>
      </c>
      <c r="D2342" s="6">
        <v>31.0</v>
      </c>
      <c r="E2342" s="6">
        <v>22021.0</v>
      </c>
      <c r="F2342" s="6">
        <v>22528.0</v>
      </c>
      <c r="G2342" s="6">
        <v>24071.0</v>
      </c>
      <c r="H2342" s="6">
        <v>0.9148</v>
      </c>
      <c r="I2342" s="6">
        <v>0.9359</v>
      </c>
      <c r="J2342" s="6">
        <v>-0.0211</v>
      </c>
    </row>
    <row r="2343">
      <c r="A2343" s="5" t="s">
        <v>58</v>
      </c>
      <c r="B2343" s="5" t="s">
        <v>1867</v>
      </c>
      <c r="C2343" s="5" t="s">
        <v>70</v>
      </c>
      <c r="D2343" s="6">
        <v>32.0</v>
      </c>
      <c r="E2343" s="6">
        <v>16308.0</v>
      </c>
      <c r="F2343" s="6">
        <v>20411.0</v>
      </c>
      <c r="G2343" s="6">
        <v>24071.0</v>
      </c>
      <c r="H2343" s="6">
        <v>0.6775</v>
      </c>
      <c r="I2343" s="6">
        <v>0.8479</v>
      </c>
      <c r="J2343" s="6">
        <v>-0.1705</v>
      </c>
    </row>
    <row r="2344">
      <c r="A2344" s="5" t="s">
        <v>58</v>
      </c>
      <c r="B2344" s="5" t="s">
        <v>1867</v>
      </c>
      <c r="C2344" s="5" t="s">
        <v>70</v>
      </c>
      <c r="D2344" s="6">
        <v>33.0</v>
      </c>
      <c r="E2344" s="6">
        <v>15968.0</v>
      </c>
      <c r="F2344" s="6">
        <v>20807.0</v>
      </c>
      <c r="G2344" s="6">
        <v>24071.0</v>
      </c>
      <c r="H2344" s="6">
        <v>0.6634</v>
      </c>
      <c r="I2344" s="6">
        <v>0.8644</v>
      </c>
      <c r="J2344" s="6">
        <v>-0.201</v>
      </c>
    </row>
    <row r="2345">
      <c r="A2345" s="5" t="s">
        <v>58</v>
      </c>
      <c r="B2345" s="5" t="s">
        <v>1867</v>
      </c>
      <c r="C2345" s="5" t="s">
        <v>71</v>
      </c>
      <c r="D2345" s="6">
        <v>1.0</v>
      </c>
      <c r="E2345" s="6">
        <v>9466.0</v>
      </c>
      <c r="F2345" s="6">
        <v>13578.0</v>
      </c>
      <c r="G2345" s="6">
        <v>23365.0</v>
      </c>
      <c r="H2345" s="6">
        <v>0.4051</v>
      </c>
      <c r="I2345" s="6">
        <v>0.5811</v>
      </c>
      <c r="J2345" s="6">
        <v>-0.176</v>
      </c>
    </row>
    <row r="2346">
      <c r="A2346" s="5" t="s">
        <v>58</v>
      </c>
      <c r="B2346" s="5" t="s">
        <v>1867</v>
      </c>
      <c r="C2346" s="5" t="s">
        <v>71</v>
      </c>
      <c r="D2346" s="6">
        <v>2.0</v>
      </c>
      <c r="E2346" s="6">
        <v>9493.0</v>
      </c>
      <c r="F2346" s="6">
        <v>13197.0</v>
      </c>
      <c r="G2346" s="6">
        <v>23365.0</v>
      </c>
      <c r="H2346" s="6">
        <v>0.4063</v>
      </c>
      <c r="I2346" s="6">
        <v>0.5648</v>
      </c>
      <c r="J2346" s="6">
        <v>-0.1585</v>
      </c>
    </row>
    <row r="2347">
      <c r="A2347" s="5" t="s">
        <v>58</v>
      </c>
      <c r="B2347" s="5" t="s">
        <v>1867</v>
      </c>
      <c r="C2347" s="5" t="s">
        <v>71</v>
      </c>
      <c r="D2347" s="6">
        <v>3.0</v>
      </c>
      <c r="E2347" s="6">
        <v>14734.0</v>
      </c>
      <c r="F2347" s="6">
        <v>16225.0</v>
      </c>
      <c r="G2347" s="6">
        <v>23365.0</v>
      </c>
      <c r="H2347" s="6">
        <v>0.6306</v>
      </c>
      <c r="I2347" s="6">
        <v>0.6944</v>
      </c>
      <c r="J2347" s="6">
        <v>-0.0638</v>
      </c>
    </row>
    <row r="2348">
      <c r="A2348" s="5" t="s">
        <v>58</v>
      </c>
      <c r="B2348" s="5" t="s">
        <v>1867</v>
      </c>
      <c r="C2348" s="5" t="s">
        <v>71</v>
      </c>
      <c r="D2348" s="6">
        <v>4.0</v>
      </c>
      <c r="E2348" s="6">
        <v>11904.0</v>
      </c>
      <c r="F2348" s="6">
        <v>15477.0</v>
      </c>
      <c r="G2348" s="6">
        <v>23365.0</v>
      </c>
      <c r="H2348" s="6">
        <v>0.5095</v>
      </c>
      <c r="I2348" s="6">
        <v>0.6624</v>
      </c>
      <c r="J2348" s="6">
        <v>-0.1529</v>
      </c>
    </row>
    <row r="2349">
      <c r="A2349" s="5" t="s">
        <v>58</v>
      </c>
      <c r="B2349" s="5" t="s">
        <v>1867</v>
      </c>
      <c r="C2349" s="5" t="s">
        <v>71</v>
      </c>
      <c r="D2349" s="6">
        <v>5.0</v>
      </c>
      <c r="E2349" s="6">
        <v>12123.0</v>
      </c>
      <c r="F2349" s="6">
        <v>16447.0</v>
      </c>
      <c r="G2349" s="6">
        <v>23365.0</v>
      </c>
      <c r="H2349" s="6">
        <v>0.5189</v>
      </c>
      <c r="I2349" s="6">
        <v>0.7039</v>
      </c>
      <c r="J2349" s="6">
        <v>-0.1851</v>
      </c>
    </row>
    <row r="2350">
      <c r="A2350" s="5" t="s">
        <v>58</v>
      </c>
      <c r="B2350" s="5" t="s">
        <v>1867</v>
      </c>
      <c r="C2350" s="5" t="s">
        <v>71</v>
      </c>
      <c r="D2350" s="6">
        <v>6.0</v>
      </c>
      <c r="E2350" s="6">
        <v>14153.0</v>
      </c>
      <c r="F2350" s="6">
        <v>16911.0</v>
      </c>
      <c r="G2350" s="6">
        <v>23365.0</v>
      </c>
      <c r="H2350" s="6">
        <v>0.6057</v>
      </c>
      <c r="I2350" s="6">
        <v>0.7238</v>
      </c>
      <c r="J2350" s="6">
        <v>-0.118</v>
      </c>
    </row>
    <row r="2351">
      <c r="A2351" s="5" t="s">
        <v>58</v>
      </c>
      <c r="B2351" s="5" t="s">
        <v>1867</v>
      </c>
      <c r="C2351" s="5" t="s">
        <v>71</v>
      </c>
      <c r="D2351" s="6">
        <v>7.0</v>
      </c>
      <c r="E2351" s="6">
        <v>8980.0</v>
      </c>
      <c r="F2351" s="6">
        <v>14521.0</v>
      </c>
      <c r="G2351" s="6">
        <v>23365.0</v>
      </c>
      <c r="H2351" s="6">
        <v>0.3843</v>
      </c>
      <c r="I2351" s="6">
        <v>0.6215</v>
      </c>
      <c r="J2351" s="6">
        <v>-0.2371</v>
      </c>
    </row>
    <row r="2352">
      <c r="A2352" s="5" t="s">
        <v>58</v>
      </c>
      <c r="B2352" s="5" t="s">
        <v>1867</v>
      </c>
      <c r="C2352" s="5" t="s">
        <v>71</v>
      </c>
      <c r="D2352" s="6">
        <v>8.0</v>
      </c>
      <c r="E2352" s="6">
        <v>8474.0</v>
      </c>
      <c r="F2352" s="6">
        <v>13317.0</v>
      </c>
      <c r="G2352" s="6">
        <v>23365.0</v>
      </c>
      <c r="H2352" s="6">
        <v>0.3627</v>
      </c>
      <c r="I2352" s="6">
        <v>0.57</v>
      </c>
      <c r="J2352" s="6">
        <v>-0.2073</v>
      </c>
    </row>
    <row r="2353">
      <c r="A2353" s="5" t="s">
        <v>58</v>
      </c>
      <c r="B2353" s="5" t="s">
        <v>1867</v>
      </c>
      <c r="C2353" s="5" t="s">
        <v>71</v>
      </c>
      <c r="D2353" s="6">
        <v>9.0</v>
      </c>
      <c r="E2353" s="6">
        <v>7537.0</v>
      </c>
      <c r="F2353" s="6">
        <v>12343.0</v>
      </c>
      <c r="G2353" s="6">
        <v>23365.0</v>
      </c>
      <c r="H2353" s="6">
        <v>0.3226</v>
      </c>
      <c r="I2353" s="6">
        <v>0.5283</v>
      </c>
      <c r="J2353" s="6">
        <v>-0.2057</v>
      </c>
    </row>
    <row r="2354">
      <c r="A2354" s="5" t="s">
        <v>58</v>
      </c>
      <c r="B2354" s="5" t="s">
        <v>1867</v>
      </c>
      <c r="C2354" s="5" t="s">
        <v>71</v>
      </c>
      <c r="D2354" s="6">
        <v>10.0</v>
      </c>
      <c r="E2354" s="6">
        <v>14324.0</v>
      </c>
      <c r="F2354" s="6">
        <v>16208.0</v>
      </c>
      <c r="G2354" s="6">
        <v>23365.0</v>
      </c>
      <c r="H2354" s="6">
        <v>0.6131</v>
      </c>
      <c r="I2354" s="6">
        <v>0.6937</v>
      </c>
      <c r="J2354" s="6">
        <v>-0.0806</v>
      </c>
    </row>
    <row r="2355">
      <c r="A2355" s="5" t="s">
        <v>58</v>
      </c>
      <c r="B2355" s="5" t="s">
        <v>1867</v>
      </c>
      <c r="C2355" s="5" t="s">
        <v>71</v>
      </c>
      <c r="D2355" s="6">
        <v>11.0</v>
      </c>
      <c r="E2355" s="6">
        <v>10690.0</v>
      </c>
      <c r="F2355" s="6">
        <v>14296.0</v>
      </c>
      <c r="G2355" s="6">
        <v>23365.0</v>
      </c>
      <c r="H2355" s="6">
        <v>0.4575</v>
      </c>
      <c r="I2355" s="6">
        <v>0.6119</v>
      </c>
      <c r="J2355" s="6">
        <v>-0.1543</v>
      </c>
    </row>
    <row r="2356">
      <c r="A2356" s="5" t="s">
        <v>58</v>
      </c>
      <c r="B2356" s="5" t="s">
        <v>1867</v>
      </c>
      <c r="C2356" s="5" t="s">
        <v>71</v>
      </c>
      <c r="D2356" s="6">
        <v>12.0</v>
      </c>
      <c r="E2356" s="6">
        <v>10833.0</v>
      </c>
      <c r="F2356" s="6">
        <v>14875.0</v>
      </c>
      <c r="G2356" s="6">
        <v>23365.0</v>
      </c>
      <c r="H2356" s="6">
        <v>0.4636</v>
      </c>
      <c r="I2356" s="6">
        <v>0.6366</v>
      </c>
      <c r="J2356" s="6">
        <v>-0.173</v>
      </c>
    </row>
    <row r="2357">
      <c r="A2357" s="5" t="s">
        <v>58</v>
      </c>
      <c r="B2357" s="5" t="s">
        <v>1867</v>
      </c>
      <c r="C2357" s="5" t="s">
        <v>71</v>
      </c>
      <c r="D2357" s="6">
        <v>13.0</v>
      </c>
      <c r="E2357" s="6">
        <v>13356.0</v>
      </c>
      <c r="F2357" s="6">
        <v>16583.0</v>
      </c>
      <c r="G2357" s="6">
        <v>23365.0</v>
      </c>
      <c r="H2357" s="6">
        <v>0.5716</v>
      </c>
      <c r="I2357" s="6">
        <v>0.7097</v>
      </c>
      <c r="J2357" s="6">
        <v>-0.1381</v>
      </c>
    </row>
    <row r="2358">
      <c r="A2358" s="5" t="s">
        <v>58</v>
      </c>
      <c r="B2358" s="5" t="s">
        <v>1867</v>
      </c>
      <c r="C2358" s="5" t="s">
        <v>71</v>
      </c>
      <c r="D2358" s="6">
        <v>14.0</v>
      </c>
      <c r="E2358" s="6">
        <v>8512.0</v>
      </c>
      <c r="F2358" s="6">
        <v>13996.0</v>
      </c>
      <c r="G2358" s="6">
        <v>23365.0</v>
      </c>
      <c r="H2358" s="6">
        <v>0.3643</v>
      </c>
      <c r="I2358" s="6">
        <v>0.599</v>
      </c>
      <c r="J2358" s="6">
        <v>-0.2347</v>
      </c>
    </row>
    <row r="2359">
      <c r="A2359" s="5" t="s">
        <v>58</v>
      </c>
      <c r="B2359" s="5" t="s">
        <v>1867</v>
      </c>
      <c r="C2359" s="5" t="s">
        <v>71</v>
      </c>
      <c r="D2359" s="6">
        <v>15.0</v>
      </c>
      <c r="E2359" s="6">
        <v>7939.0</v>
      </c>
      <c r="F2359" s="6">
        <v>13133.0</v>
      </c>
      <c r="G2359" s="6">
        <v>23365.0</v>
      </c>
      <c r="H2359" s="6">
        <v>0.3398</v>
      </c>
      <c r="I2359" s="6">
        <v>0.5621</v>
      </c>
      <c r="J2359" s="6">
        <v>-0.2223</v>
      </c>
    </row>
    <row r="2360">
      <c r="A2360" s="5" t="s">
        <v>58</v>
      </c>
      <c r="B2360" s="5" t="s">
        <v>1867</v>
      </c>
      <c r="C2360" s="5" t="s">
        <v>71</v>
      </c>
      <c r="D2360" s="6">
        <v>16.0</v>
      </c>
      <c r="E2360" s="6">
        <v>7598.0</v>
      </c>
      <c r="F2360" s="6">
        <v>12267.0</v>
      </c>
      <c r="G2360" s="6">
        <v>23365.0</v>
      </c>
      <c r="H2360" s="6">
        <v>0.3252</v>
      </c>
      <c r="I2360" s="6">
        <v>0.525</v>
      </c>
      <c r="J2360" s="6">
        <v>-0.1998</v>
      </c>
    </row>
    <row r="2361">
      <c r="A2361" s="5" t="s">
        <v>58</v>
      </c>
      <c r="B2361" s="5" t="s">
        <v>1867</v>
      </c>
      <c r="C2361" s="5" t="s">
        <v>71</v>
      </c>
      <c r="D2361" s="6">
        <v>17.0</v>
      </c>
      <c r="E2361" s="6">
        <v>14024.0</v>
      </c>
      <c r="F2361" s="6">
        <v>15519.0</v>
      </c>
      <c r="G2361" s="6">
        <v>23365.0</v>
      </c>
      <c r="H2361" s="6">
        <v>0.6002</v>
      </c>
      <c r="I2361" s="6">
        <v>0.6642</v>
      </c>
      <c r="J2361" s="6">
        <v>-0.064</v>
      </c>
    </row>
    <row r="2362">
      <c r="A2362" s="5" t="s">
        <v>58</v>
      </c>
      <c r="B2362" s="5" t="s">
        <v>1867</v>
      </c>
      <c r="C2362" s="5" t="s">
        <v>71</v>
      </c>
      <c r="D2362" s="6">
        <v>18.0</v>
      </c>
      <c r="E2362" s="6">
        <v>10859.0</v>
      </c>
      <c r="F2362" s="6">
        <v>14591.0</v>
      </c>
      <c r="G2362" s="6">
        <v>23365.0</v>
      </c>
      <c r="H2362" s="6">
        <v>0.4648</v>
      </c>
      <c r="I2362" s="6">
        <v>0.6245</v>
      </c>
      <c r="J2362" s="6">
        <v>-0.1597</v>
      </c>
    </row>
    <row r="2363">
      <c r="A2363" s="5" t="s">
        <v>58</v>
      </c>
      <c r="B2363" s="5" t="s">
        <v>1867</v>
      </c>
      <c r="C2363" s="5" t="s">
        <v>71</v>
      </c>
      <c r="D2363" s="6">
        <v>19.0</v>
      </c>
      <c r="E2363" s="6">
        <v>10670.0</v>
      </c>
      <c r="F2363" s="6">
        <v>14492.0</v>
      </c>
      <c r="G2363" s="6">
        <v>23365.0</v>
      </c>
      <c r="H2363" s="6">
        <v>0.4567</v>
      </c>
      <c r="I2363" s="6">
        <v>0.6202</v>
      </c>
      <c r="J2363" s="6">
        <v>-0.1636</v>
      </c>
    </row>
    <row r="2364">
      <c r="A2364" s="5" t="s">
        <v>58</v>
      </c>
      <c r="B2364" s="5" t="s">
        <v>1867</v>
      </c>
      <c r="C2364" s="5" t="s">
        <v>71</v>
      </c>
      <c r="D2364" s="6">
        <v>20.0</v>
      </c>
      <c r="E2364" s="6">
        <v>13215.0</v>
      </c>
      <c r="F2364" s="6">
        <v>15910.0</v>
      </c>
      <c r="G2364" s="6">
        <v>23365.0</v>
      </c>
      <c r="H2364" s="6">
        <v>0.5656</v>
      </c>
      <c r="I2364" s="6">
        <v>0.6809</v>
      </c>
      <c r="J2364" s="6">
        <v>-0.1153</v>
      </c>
    </row>
    <row r="2365">
      <c r="A2365" s="5" t="s">
        <v>58</v>
      </c>
      <c r="B2365" s="5" t="s">
        <v>1867</v>
      </c>
      <c r="C2365" s="5" t="s">
        <v>71</v>
      </c>
      <c r="D2365" s="6">
        <v>21.0</v>
      </c>
      <c r="E2365" s="6">
        <v>13646.0</v>
      </c>
      <c r="F2365" s="6">
        <v>15882.0</v>
      </c>
      <c r="G2365" s="6">
        <v>23365.0</v>
      </c>
      <c r="H2365" s="6">
        <v>0.584</v>
      </c>
      <c r="I2365" s="6">
        <v>0.6797</v>
      </c>
      <c r="J2365" s="6">
        <v>-0.0957</v>
      </c>
    </row>
    <row r="2366">
      <c r="A2366" s="5" t="s">
        <v>58</v>
      </c>
      <c r="B2366" s="5" t="s">
        <v>1867</v>
      </c>
      <c r="C2366" s="5" t="s">
        <v>71</v>
      </c>
      <c r="D2366" s="6">
        <v>22.0</v>
      </c>
      <c r="E2366" s="6">
        <v>10341.0</v>
      </c>
      <c r="F2366" s="6">
        <v>14334.0</v>
      </c>
      <c r="G2366" s="6">
        <v>23365.0</v>
      </c>
      <c r="H2366" s="6">
        <v>0.4426</v>
      </c>
      <c r="I2366" s="6">
        <v>0.6135</v>
      </c>
      <c r="J2366" s="6">
        <v>-0.1709</v>
      </c>
    </row>
    <row r="2367">
      <c r="A2367" s="5" t="s">
        <v>58</v>
      </c>
      <c r="B2367" s="5" t="s">
        <v>1867</v>
      </c>
      <c r="C2367" s="5" t="s">
        <v>71</v>
      </c>
      <c r="D2367" s="6">
        <v>23.0</v>
      </c>
      <c r="E2367" s="6">
        <v>9198.0</v>
      </c>
      <c r="F2367" s="6">
        <v>13647.0</v>
      </c>
      <c r="G2367" s="6">
        <v>23365.0</v>
      </c>
      <c r="H2367" s="6">
        <v>0.3937</v>
      </c>
      <c r="I2367" s="6">
        <v>0.5841</v>
      </c>
      <c r="J2367" s="6">
        <v>-0.1904</v>
      </c>
    </row>
    <row r="2368">
      <c r="A2368" s="5" t="s">
        <v>58</v>
      </c>
      <c r="B2368" s="5" t="s">
        <v>1867</v>
      </c>
      <c r="C2368" s="5" t="s">
        <v>71</v>
      </c>
      <c r="D2368" s="6">
        <v>24.0</v>
      </c>
      <c r="E2368" s="6">
        <v>16504.0</v>
      </c>
      <c r="F2368" s="6">
        <v>17478.0</v>
      </c>
      <c r="G2368" s="6">
        <v>23365.0</v>
      </c>
      <c r="H2368" s="6">
        <v>0.7064</v>
      </c>
      <c r="I2368" s="6">
        <v>0.748</v>
      </c>
      <c r="J2368" s="6">
        <v>-0.0417</v>
      </c>
    </row>
    <row r="2369">
      <c r="A2369" s="5" t="s">
        <v>58</v>
      </c>
      <c r="B2369" s="5" t="s">
        <v>1867</v>
      </c>
      <c r="C2369" s="5" t="s">
        <v>71</v>
      </c>
      <c r="D2369" s="6">
        <v>25.0</v>
      </c>
      <c r="E2369" s="6">
        <v>13422.0</v>
      </c>
      <c r="F2369" s="6">
        <v>16475.0</v>
      </c>
      <c r="G2369" s="6">
        <v>23365.0</v>
      </c>
      <c r="H2369" s="6">
        <v>0.5744</v>
      </c>
      <c r="I2369" s="6">
        <v>0.7051</v>
      </c>
      <c r="J2369" s="6">
        <v>-0.1307</v>
      </c>
    </row>
    <row r="2370">
      <c r="A2370" s="5" t="s">
        <v>58</v>
      </c>
      <c r="B2370" s="5" t="s">
        <v>1867</v>
      </c>
      <c r="C2370" s="5" t="s">
        <v>71</v>
      </c>
      <c r="D2370" s="6">
        <v>26.0</v>
      </c>
      <c r="E2370" s="6">
        <v>13259.0</v>
      </c>
      <c r="F2370" s="6">
        <v>17156.0</v>
      </c>
      <c r="G2370" s="6">
        <v>23365.0</v>
      </c>
      <c r="H2370" s="6">
        <v>0.5675</v>
      </c>
      <c r="I2370" s="6">
        <v>0.7343</v>
      </c>
      <c r="J2370" s="6">
        <v>-0.1668</v>
      </c>
    </row>
    <row r="2371">
      <c r="A2371" s="5" t="s">
        <v>58</v>
      </c>
      <c r="B2371" s="5" t="s">
        <v>1867</v>
      </c>
      <c r="C2371" s="5" t="s">
        <v>71</v>
      </c>
      <c r="D2371" s="6">
        <v>27.0</v>
      </c>
      <c r="E2371" s="6">
        <v>15730.0</v>
      </c>
      <c r="F2371" s="6">
        <v>18343.0</v>
      </c>
      <c r="G2371" s="6">
        <v>23365.0</v>
      </c>
      <c r="H2371" s="6">
        <v>0.6732</v>
      </c>
      <c r="I2371" s="6">
        <v>0.7851</v>
      </c>
      <c r="J2371" s="6">
        <v>-0.1118</v>
      </c>
    </row>
    <row r="2372">
      <c r="A2372" s="5" t="s">
        <v>58</v>
      </c>
      <c r="B2372" s="5" t="s">
        <v>1867</v>
      </c>
      <c r="C2372" s="5" t="s">
        <v>71</v>
      </c>
      <c r="D2372" s="6">
        <v>28.0</v>
      </c>
      <c r="E2372" s="6">
        <v>10168.0</v>
      </c>
      <c r="F2372" s="6">
        <v>14790.0</v>
      </c>
      <c r="G2372" s="6">
        <v>23365.0</v>
      </c>
      <c r="H2372" s="6">
        <v>0.4352</v>
      </c>
      <c r="I2372" s="6">
        <v>0.633</v>
      </c>
      <c r="J2372" s="6">
        <v>-0.1978</v>
      </c>
    </row>
    <row r="2373">
      <c r="A2373" s="5" t="s">
        <v>58</v>
      </c>
      <c r="B2373" s="5" t="s">
        <v>1867</v>
      </c>
      <c r="C2373" s="5" t="s">
        <v>71</v>
      </c>
      <c r="D2373" s="6">
        <v>29.0</v>
      </c>
      <c r="E2373" s="6">
        <v>9329.0</v>
      </c>
      <c r="F2373" s="6">
        <v>13655.0</v>
      </c>
      <c r="G2373" s="6">
        <v>23365.0</v>
      </c>
      <c r="H2373" s="6">
        <v>0.3993</v>
      </c>
      <c r="I2373" s="6">
        <v>0.5844</v>
      </c>
      <c r="J2373" s="6">
        <v>-0.1851</v>
      </c>
    </row>
    <row r="2374">
      <c r="A2374" s="5" t="s">
        <v>58</v>
      </c>
      <c r="B2374" s="5" t="s">
        <v>1867</v>
      </c>
      <c r="C2374" s="5" t="s">
        <v>71</v>
      </c>
      <c r="D2374" s="6">
        <v>30.0</v>
      </c>
      <c r="E2374" s="6">
        <v>9397.0</v>
      </c>
      <c r="F2374" s="6">
        <v>12491.0</v>
      </c>
      <c r="G2374" s="6">
        <v>23365.0</v>
      </c>
      <c r="H2374" s="6">
        <v>0.4022</v>
      </c>
      <c r="I2374" s="6">
        <v>0.5346</v>
      </c>
      <c r="J2374" s="6">
        <v>-0.1324</v>
      </c>
    </row>
    <row r="2375">
      <c r="A2375" s="5" t="s">
        <v>58</v>
      </c>
      <c r="B2375" s="5" t="s">
        <v>1867</v>
      </c>
      <c r="C2375" s="5" t="s">
        <v>71</v>
      </c>
      <c r="D2375" s="6">
        <v>31.0</v>
      </c>
      <c r="E2375" s="6">
        <v>15374.0</v>
      </c>
      <c r="F2375" s="6">
        <v>15761.0</v>
      </c>
      <c r="G2375" s="6">
        <v>23365.0</v>
      </c>
      <c r="H2375" s="6">
        <v>0.658</v>
      </c>
      <c r="I2375" s="6">
        <v>0.6746</v>
      </c>
      <c r="J2375" s="6">
        <v>-0.0166</v>
      </c>
    </row>
    <row r="2376">
      <c r="A2376" s="5" t="s">
        <v>58</v>
      </c>
      <c r="B2376" s="5" t="s">
        <v>1867</v>
      </c>
      <c r="C2376" s="5" t="s">
        <v>71</v>
      </c>
      <c r="D2376" s="6">
        <v>32.0</v>
      </c>
      <c r="E2376" s="6">
        <v>11253.0</v>
      </c>
      <c r="F2376" s="6">
        <v>14130.0</v>
      </c>
      <c r="G2376" s="6">
        <v>23365.0</v>
      </c>
      <c r="H2376" s="6">
        <v>0.4816</v>
      </c>
      <c r="I2376" s="6">
        <v>0.6048</v>
      </c>
      <c r="J2376" s="6">
        <v>-0.1231</v>
      </c>
    </row>
    <row r="2377">
      <c r="A2377" s="5" t="s">
        <v>58</v>
      </c>
      <c r="B2377" s="5" t="s">
        <v>1867</v>
      </c>
      <c r="C2377" s="5" t="s">
        <v>71</v>
      </c>
      <c r="D2377" s="6">
        <v>33.0</v>
      </c>
      <c r="E2377" s="6">
        <v>11072.0</v>
      </c>
      <c r="F2377" s="6">
        <v>14369.0</v>
      </c>
      <c r="G2377" s="6">
        <v>23365.0</v>
      </c>
      <c r="H2377" s="6">
        <v>0.4739</v>
      </c>
      <c r="I2377" s="6">
        <v>0.615</v>
      </c>
      <c r="J2377" s="6">
        <v>-0.1411</v>
      </c>
    </row>
    <row r="2378">
      <c r="A2378" s="5" t="s">
        <v>58</v>
      </c>
      <c r="B2378" s="5" t="s">
        <v>1867</v>
      </c>
      <c r="C2378" s="5" t="s">
        <v>1883</v>
      </c>
      <c r="D2378" s="6">
        <v>1.0</v>
      </c>
      <c r="E2378" s="6">
        <v>15065.0</v>
      </c>
      <c r="F2378" s="6">
        <v>26919.0</v>
      </c>
      <c r="G2378" s="6">
        <v>14028.0</v>
      </c>
      <c r="H2378" s="6">
        <v>1.0739</v>
      </c>
      <c r="I2378" s="6">
        <v>1.9189</v>
      </c>
      <c r="J2378" s="6">
        <v>-0.845</v>
      </c>
    </row>
    <row r="2379">
      <c r="A2379" s="5" t="s">
        <v>58</v>
      </c>
      <c r="B2379" s="5" t="s">
        <v>1867</v>
      </c>
      <c r="C2379" s="5" t="s">
        <v>1883</v>
      </c>
      <c r="D2379" s="6">
        <v>2.0</v>
      </c>
      <c r="E2379" s="6">
        <v>31845.0</v>
      </c>
      <c r="F2379" s="6">
        <v>35882.0</v>
      </c>
      <c r="G2379" s="6">
        <v>14028.0</v>
      </c>
      <c r="H2379" s="6">
        <v>2.2701</v>
      </c>
      <c r="I2379" s="6">
        <v>2.5579</v>
      </c>
      <c r="J2379" s="6">
        <v>-0.2878</v>
      </c>
    </row>
    <row r="2380">
      <c r="A2380" s="5" t="s">
        <v>58</v>
      </c>
      <c r="B2380" s="5" t="s">
        <v>1867</v>
      </c>
      <c r="C2380" s="5" t="s">
        <v>1883</v>
      </c>
      <c r="D2380" s="6">
        <v>3.0</v>
      </c>
      <c r="E2380" s="6">
        <v>26610.0</v>
      </c>
      <c r="F2380" s="6">
        <v>30950.0</v>
      </c>
      <c r="G2380" s="6">
        <v>14028.0</v>
      </c>
      <c r="H2380" s="6">
        <v>1.8969</v>
      </c>
      <c r="I2380" s="6">
        <v>2.2063</v>
      </c>
      <c r="J2380" s="6">
        <v>-0.3094</v>
      </c>
    </row>
    <row r="2381">
      <c r="A2381" s="5" t="s">
        <v>58</v>
      </c>
      <c r="B2381" s="5" t="s">
        <v>1867</v>
      </c>
      <c r="C2381" s="5" t="s">
        <v>1883</v>
      </c>
      <c r="D2381" s="6">
        <v>4.0</v>
      </c>
      <c r="E2381" s="6">
        <v>23375.0</v>
      </c>
      <c r="F2381" s="6">
        <v>29936.0</v>
      </c>
      <c r="G2381" s="6">
        <v>14028.0</v>
      </c>
      <c r="H2381" s="6">
        <v>1.6663</v>
      </c>
      <c r="I2381" s="6">
        <v>2.134</v>
      </c>
      <c r="J2381" s="6">
        <v>-0.4677</v>
      </c>
    </row>
    <row r="2382">
      <c r="A2382" s="5" t="s">
        <v>58</v>
      </c>
      <c r="B2382" s="5" t="s">
        <v>1867</v>
      </c>
      <c r="C2382" s="5" t="s">
        <v>1883</v>
      </c>
      <c r="D2382" s="6">
        <v>5.0</v>
      </c>
      <c r="E2382" s="6">
        <v>21960.0</v>
      </c>
      <c r="F2382" s="6">
        <v>30779.0</v>
      </c>
      <c r="G2382" s="6">
        <v>14028.0</v>
      </c>
      <c r="H2382" s="6">
        <v>1.5654</v>
      </c>
      <c r="I2382" s="6">
        <v>2.1941</v>
      </c>
      <c r="J2382" s="6">
        <v>-0.6287</v>
      </c>
    </row>
    <row r="2383">
      <c r="A2383" s="5" t="s">
        <v>58</v>
      </c>
      <c r="B2383" s="5" t="s">
        <v>1867</v>
      </c>
      <c r="C2383" s="5" t="s">
        <v>1883</v>
      </c>
      <c r="D2383" s="6">
        <v>6.0</v>
      </c>
      <c r="E2383" s="6">
        <v>24195.0</v>
      </c>
      <c r="F2383" s="6">
        <v>36879.0</v>
      </c>
      <c r="G2383" s="6">
        <v>14028.0</v>
      </c>
      <c r="H2383" s="6">
        <v>1.7248</v>
      </c>
      <c r="I2383" s="6">
        <v>2.629</v>
      </c>
      <c r="J2383" s="6">
        <v>-0.9042</v>
      </c>
    </row>
    <row r="2384">
      <c r="A2384" s="5" t="s">
        <v>58</v>
      </c>
      <c r="B2384" s="5" t="s">
        <v>1867</v>
      </c>
      <c r="C2384" s="5" t="s">
        <v>1883</v>
      </c>
      <c r="D2384" s="6">
        <v>7.0</v>
      </c>
      <c r="E2384" s="6">
        <v>35735.0</v>
      </c>
      <c r="F2384" s="6">
        <v>37632.0</v>
      </c>
      <c r="G2384" s="6">
        <v>14028.0</v>
      </c>
      <c r="H2384" s="6">
        <v>2.5474</v>
      </c>
      <c r="I2384" s="6">
        <v>2.6826</v>
      </c>
      <c r="J2384" s="6">
        <v>-0.1352</v>
      </c>
    </row>
    <row r="2385">
      <c r="A2385" s="5" t="s">
        <v>58</v>
      </c>
      <c r="B2385" s="5" t="s">
        <v>1867</v>
      </c>
      <c r="C2385" s="5" t="s">
        <v>1883</v>
      </c>
      <c r="D2385" s="6">
        <v>8.0</v>
      </c>
      <c r="E2385" s="6">
        <v>31670.0</v>
      </c>
      <c r="F2385" s="6">
        <v>34976.0</v>
      </c>
      <c r="G2385" s="6">
        <v>14028.0</v>
      </c>
      <c r="H2385" s="6">
        <v>2.2576</v>
      </c>
      <c r="I2385" s="6">
        <v>2.4933</v>
      </c>
      <c r="J2385" s="6">
        <v>-0.2357</v>
      </c>
    </row>
    <row r="2386">
      <c r="A2386" s="5" t="s">
        <v>58</v>
      </c>
      <c r="B2386" s="5" t="s">
        <v>1867</v>
      </c>
      <c r="C2386" s="5" t="s">
        <v>1883</v>
      </c>
      <c r="D2386" s="6">
        <v>9.0</v>
      </c>
      <c r="E2386" s="6">
        <v>24030.0</v>
      </c>
      <c r="F2386" s="6">
        <v>29836.0</v>
      </c>
      <c r="G2386" s="6">
        <v>14028.0</v>
      </c>
      <c r="H2386" s="6">
        <v>1.713</v>
      </c>
      <c r="I2386" s="6">
        <v>2.1269</v>
      </c>
      <c r="J2386" s="6">
        <v>-0.4139</v>
      </c>
    </row>
    <row r="2387">
      <c r="A2387" s="5" t="s">
        <v>58</v>
      </c>
      <c r="B2387" s="5" t="s">
        <v>1867</v>
      </c>
      <c r="C2387" s="5" t="s">
        <v>1883</v>
      </c>
      <c r="D2387" s="6">
        <v>10.0</v>
      </c>
      <c r="E2387" s="6">
        <v>19285.0</v>
      </c>
      <c r="F2387" s="6">
        <v>25902.0</v>
      </c>
      <c r="G2387" s="6">
        <v>14028.0</v>
      </c>
      <c r="H2387" s="6">
        <v>1.3748</v>
      </c>
      <c r="I2387" s="6">
        <v>1.8464</v>
      </c>
      <c r="J2387" s="6">
        <v>-0.4717</v>
      </c>
    </row>
    <row r="2388">
      <c r="A2388" s="5" t="s">
        <v>58</v>
      </c>
      <c r="B2388" s="5" t="s">
        <v>1867</v>
      </c>
      <c r="C2388" s="5" t="s">
        <v>1883</v>
      </c>
      <c r="D2388" s="6">
        <v>11.0</v>
      </c>
      <c r="E2388" s="6">
        <v>11520.0</v>
      </c>
      <c r="F2388" s="6">
        <v>21441.0</v>
      </c>
      <c r="G2388" s="6">
        <v>14028.0</v>
      </c>
      <c r="H2388" s="6">
        <v>0.8212</v>
      </c>
      <c r="I2388" s="6">
        <v>1.5284</v>
      </c>
      <c r="J2388" s="6">
        <v>-0.7072</v>
      </c>
    </row>
    <row r="2389">
      <c r="A2389" s="5" t="s">
        <v>58</v>
      </c>
      <c r="B2389" s="5" t="s">
        <v>1867</v>
      </c>
      <c r="C2389" s="5" t="s">
        <v>1883</v>
      </c>
      <c r="D2389" s="6">
        <v>12.0</v>
      </c>
      <c r="E2389" s="6">
        <v>10585.0</v>
      </c>
      <c r="F2389" s="6">
        <v>24423.0</v>
      </c>
      <c r="G2389" s="6">
        <v>14028.0</v>
      </c>
      <c r="H2389" s="6">
        <v>0.7546</v>
      </c>
      <c r="I2389" s="6">
        <v>1.741</v>
      </c>
      <c r="J2389" s="6">
        <v>-0.9865</v>
      </c>
    </row>
    <row r="2390">
      <c r="A2390" s="5" t="s">
        <v>58</v>
      </c>
      <c r="B2390" s="5" t="s">
        <v>1867</v>
      </c>
      <c r="C2390" s="5" t="s">
        <v>1883</v>
      </c>
      <c r="D2390" s="6">
        <v>13.0</v>
      </c>
      <c r="E2390" s="6">
        <v>17225.0</v>
      </c>
      <c r="F2390" s="6">
        <v>33105.0</v>
      </c>
      <c r="G2390" s="6">
        <v>14028.0</v>
      </c>
      <c r="H2390" s="6">
        <v>1.2279</v>
      </c>
      <c r="I2390" s="6">
        <v>2.3599</v>
      </c>
      <c r="J2390" s="6">
        <v>-1.132</v>
      </c>
    </row>
    <row r="2391">
      <c r="A2391" s="5" t="s">
        <v>58</v>
      </c>
      <c r="B2391" s="5" t="s">
        <v>1867</v>
      </c>
      <c r="C2391" s="5" t="s">
        <v>1883</v>
      </c>
      <c r="D2391" s="6">
        <v>14.0</v>
      </c>
      <c r="E2391" s="6">
        <v>24655.0</v>
      </c>
      <c r="F2391" s="6">
        <v>34343.0</v>
      </c>
      <c r="G2391" s="6">
        <v>14028.0</v>
      </c>
      <c r="H2391" s="6">
        <v>1.7576</v>
      </c>
      <c r="I2391" s="6">
        <v>2.4482</v>
      </c>
      <c r="J2391" s="6">
        <v>-0.6906</v>
      </c>
    </row>
    <row r="2392">
      <c r="A2392" s="5" t="s">
        <v>58</v>
      </c>
      <c r="B2392" s="5" t="s">
        <v>1867</v>
      </c>
      <c r="C2392" s="5" t="s">
        <v>1883</v>
      </c>
      <c r="D2392" s="6">
        <v>15.0</v>
      </c>
      <c r="E2392" s="6">
        <v>24940.0</v>
      </c>
      <c r="F2392" s="6">
        <v>33567.0</v>
      </c>
      <c r="G2392" s="6">
        <v>14028.0</v>
      </c>
      <c r="H2392" s="6">
        <v>1.7779</v>
      </c>
      <c r="I2392" s="6">
        <v>2.3929</v>
      </c>
      <c r="J2392" s="6">
        <v>-0.615</v>
      </c>
    </row>
    <row r="2393">
      <c r="A2393" s="5" t="s">
        <v>58</v>
      </c>
      <c r="B2393" s="5" t="s">
        <v>1867</v>
      </c>
      <c r="C2393" s="5" t="s">
        <v>1883</v>
      </c>
      <c r="D2393" s="6">
        <v>16.0</v>
      </c>
      <c r="E2393" s="6">
        <v>35375.0</v>
      </c>
      <c r="F2393" s="6">
        <v>36634.0</v>
      </c>
      <c r="G2393" s="6">
        <v>14028.0</v>
      </c>
      <c r="H2393" s="6">
        <v>2.5217</v>
      </c>
      <c r="I2393" s="6">
        <v>2.6115</v>
      </c>
      <c r="J2393" s="6">
        <v>-0.0897</v>
      </c>
    </row>
    <row r="2394">
      <c r="A2394" s="5" t="s">
        <v>58</v>
      </c>
      <c r="B2394" s="5" t="s">
        <v>1867</v>
      </c>
      <c r="C2394" s="5" t="s">
        <v>1883</v>
      </c>
      <c r="D2394" s="6">
        <v>17.0</v>
      </c>
      <c r="E2394" s="6">
        <v>26595.0</v>
      </c>
      <c r="F2394" s="6">
        <v>31994.0</v>
      </c>
      <c r="G2394" s="6">
        <v>14028.0</v>
      </c>
      <c r="H2394" s="6">
        <v>1.8959</v>
      </c>
      <c r="I2394" s="6">
        <v>2.2807</v>
      </c>
      <c r="J2394" s="6">
        <v>-0.3849</v>
      </c>
    </row>
    <row r="2395">
      <c r="A2395" s="5" t="s">
        <v>58</v>
      </c>
      <c r="B2395" s="5" t="s">
        <v>1867</v>
      </c>
      <c r="C2395" s="5" t="s">
        <v>1883</v>
      </c>
      <c r="D2395" s="6">
        <v>18.0</v>
      </c>
      <c r="E2395" s="6">
        <v>19980.0</v>
      </c>
      <c r="F2395" s="6">
        <v>29076.0</v>
      </c>
      <c r="G2395" s="6">
        <v>14028.0</v>
      </c>
      <c r="H2395" s="6">
        <v>1.4243</v>
      </c>
      <c r="I2395" s="6">
        <v>2.0727</v>
      </c>
      <c r="J2395" s="6">
        <v>-0.6484</v>
      </c>
    </row>
    <row r="2396">
      <c r="A2396" s="5" t="s">
        <v>58</v>
      </c>
      <c r="B2396" s="5" t="s">
        <v>1867</v>
      </c>
      <c r="C2396" s="5" t="s">
        <v>1883</v>
      </c>
      <c r="D2396" s="6">
        <v>19.0</v>
      </c>
      <c r="E2396" s="6">
        <v>17925.0</v>
      </c>
      <c r="F2396" s="6">
        <v>27506.0</v>
      </c>
      <c r="G2396" s="6">
        <v>14028.0</v>
      </c>
      <c r="H2396" s="6">
        <v>1.2778</v>
      </c>
      <c r="I2396" s="6">
        <v>1.9608</v>
      </c>
      <c r="J2396" s="6">
        <v>-0.683</v>
      </c>
    </row>
    <row r="2397">
      <c r="A2397" s="5" t="s">
        <v>58</v>
      </c>
      <c r="B2397" s="5" t="s">
        <v>1867</v>
      </c>
      <c r="C2397" s="5" t="s">
        <v>1883</v>
      </c>
      <c r="D2397" s="6">
        <v>20.0</v>
      </c>
      <c r="E2397" s="6">
        <v>20310.0</v>
      </c>
      <c r="F2397" s="6">
        <v>31449.0</v>
      </c>
      <c r="G2397" s="6">
        <v>14028.0</v>
      </c>
      <c r="H2397" s="6">
        <v>1.4478</v>
      </c>
      <c r="I2397" s="6">
        <v>2.2419</v>
      </c>
      <c r="J2397" s="6">
        <v>-0.7941</v>
      </c>
    </row>
    <row r="2398">
      <c r="A2398" s="5" t="s">
        <v>58</v>
      </c>
      <c r="B2398" s="5" t="s">
        <v>1867</v>
      </c>
      <c r="C2398" s="5" t="s">
        <v>1883</v>
      </c>
      <c r="D2398" s="6">
        <v>21.0</v>
      </c>
      <c r="E2398" s="6">
        <v>53035.0</v>
      </c>
      <c r="F2398" s="6">
        <v>49508.0</v>
      </c>
      <c r="G2398" s="6">
        <v>14028.0</v>
      </c>
      <c r="H2398" s="6">
        <v>3.7807</v>
      </c>
      <c r="I2398" s="6">
        <v>3.5292</v>
      </c>
      <c r="J2398" s="6">
        <v>0.2514</v>
      </c>
    </row>
    <row r="2399">
      <c r="A2399" s="5" t="s">
        <v>58</v>
      </c>
      <c r="B2399" s="5" t="s">
        <v>1867</v>
      </c>
      <c r="C2399" s="5" t="s">
        <v>1883</v>
      </c>
      <c r="D2399" s="6">
        <v>22.0</v>
      </c>
      <c r="E2399" s="6">
        <v>38320.0</v>
      </c>
      <c r="F2399" s="6">
        <v>39206.0</v>
      </c>
      <c r="G2399" s="6">
        <v>14028.0</v>
      </c>
      <c r="H2399" s="6">
        <v>2.7317</v>
      </c>
      <c r="I2399" s="6">
        <v>2.7948</v>
      </c>
      <c r="J2399" s="6">
        <v>-0.0632</v>
      </c>
    </row>
    <row r="2400">
      <c r="A2400" s="5" t="s">
        <v>58</v>
      </c>
      <c r="B2400" s="5" t="s">
        <v>1867</v>
      </c>
      <c r="C2400" s="5" t="s">
        <v>1883</v>
      </c>
      <c r="D2400" s="6">
        <v>23.0</v>
      </c>
      <c r="E2400" s="6">
        <v>28535.0</v>
      </c>
      <c r="F2400" s="6">
        <v>31377.0</v>
      </c>
      <c r="G2400" s="6">
        <v>14028.0</v>
      </c>
      <c r="H2400" s="6">
        <v>2.0341</v>
      </c>
      <c r="I2400" s="6">
        <v>2.2367</v>
      </c>
      <c r="J2400" s="6">
        <v>-0.2026</v>
      </c>
    </row>
    <row r="2401">
      <c r="A2401" s="5" t="s">
        <v>58</v>
      </c>
      <c r="B2401" s="5" t="s">
        <v>1867</v>
      </c>
      <c r="C2401" s="5" t="s">
        <v>1883</v>
      </c>
      <c r="D2401" s="6">
        <v>24.0</v>
      </c>
      <c r="E2401" s="6">
        <v>23500.0</v>
      </c>
      <c r="F2401" s="6">
        <v>28916.0</v>
      </c>
      <c r="G2401" s="6">
        <v>14028.0</v>
      </c>
      <c r="H2401" s="6">
        <v>1.6752</v>
      </c>
      <c r="I2401" s="6">
        <v>2.0613</v>
      </c>
      <c r="J2401" s="6">
        <v>-0.3861</v>
      </c>
    </row>
    <row r="2402">
      <c r="A2402" s="5" t="s">
        <v>58</v>
      </c>
      <c r="B2402" s="5" t="s">
        <v>1867</v>
      </c>
      <c r="C2402" s="5" t="s">
        <v>1883</v>
      </c>
      <c r="D2402" s="6">
        <v>25.0</v>
      </c>
      <c r="E2402" s="6">
        <v>15590.0</v>
      </c>
      <c r="F2402" s="6">
        <v>24294.0</v>
      </c>
      <c r="G2402" s="6">
        <v>14028.0</v>
      </c>
      <c r="H2402" s="6">
        <v>1.1113</v>
      </c>
      <c r="I2402" s="6">
        <v>1.7318</v>
      </c>
      <c r="J2402" s="6">
        <v>-0.6205</v>
      </c>
    </row>
    <row r="2403">
      <c r="A2403" s="5" t="s">
        <v>58</v>
      </c>
      <c r="B2403" s="5" t="s">
        <v>1867</v>
      </c>
      <c r="C2403" s="5" t="s">
        <v>1883</v>
      </c>
      <c r="D2403" s="6">
        <v>26.0</v>
      </c>
      <c r="E2403" s="6">
        <v>14755.0</v>
      </c>
      <c r="F2403" s="6">
        <v>26875.0</v>
      </c>
      <c r="G2403" s="6">
        <v>14028.0</v>
      </c>
      <c r="H2403" s="6">
        <v>1.0518</v>
      </c>
      <c r="I2403" s="6">
        <v>1.9158</v>
      </c>
      <c r="J2403" s="6">
        <v>-0.864</v>
      </c>
    </row>
    <row r="2404">
      <c r="A2404" s="5" t="s">
        <v>58</v>
      </c>
      <c r="B2404" s="5" t="s">
        <v>1867</v>
      </c>
      <c r="C2404" s="5" t="s">
        <v>1883</v>
      </c>
      <c r="D2404" s="6">
        <v>27.0</v>
      </c>
      <c r="E2404" s="6">
        <v>16305.0</v>
      </c>
      <c r="F2404" s="6">
        <v>28808.0</v>
      </c>
      <c r="G2404" s="6">
        <v>14028.0</v>
      </c>
      <c r="H2404" s="6">
        <v>1.1623</v>
      </c>
      <c r="I2404" s="6">
        <v>2.0536</v>
      </c>
      <c r="J2404" s="6">
        <v>-0.8913</v>
      </c>
    </row>
    <row r="2405">
      <c r="A2405" s="5" t="s">
        <v>58</v>
      </c>
      <c r="B2405" s="5" t="s">
        <v>1867</v>
      </c>
      <c r="C2405" s="5" t="s">
        <v>1883</v>
      </c>
      <c r="D2405" s="6">
        <v>28.0</v>
      </c>
      <c r="E2405" s="6">
        <v>16155.0</v>
      </c>
      <c r="F2405" s="6">
        <v>27543.0</v>
      </c>
      <c r="G2405" s="6">
        <v>14028.0</v>
      </c>
      <c r="H2405" s="6">
        <v>1.1516</v>
      </c>
      <c r="I2405" s="6">
        <v>1.9634</v>
      </c>
      <c r="J2405" s="6">
        <v>-0.8118</v>
      </c>
    </row>
    <row r="2406">
      <c r="A2406" s="5" t="s">
        <v>58</v>
      </c>
      <c r="B2406" s="5" t="s">
        <v>1867</v>
      </c>
      <c r="C2406" s="5" t="s">
        <v>1883</v>
      </c>
      <c r="D2406" s="6">
        <v>29.0</v>
      </c>
      <c r="E2406" s="6">
        <v>14970.0</v>
      </c>
      <c r="F2406" s="6">
        <v>26254.0</v>
      </c>
      <c r="G2406" s="6">
        <v>14028.0</v>
      </c>
      <c r="H2406" s="6">
        <v>1.0672</v>
      </c>
      <c r="I2406" s="6">
        <v>1.8715</v>
      </c>
      <c r="J2406" s="6">
        <v>-0.8044</v>
      </c>
    </row>
    <row r="2407">
      <c r="A2407" s="5" t="s">
        <v>58</v>
      </c>
      <c r="B2407" s="5" t="s">
        <v>1867</v>
      </c>
      <c r="C2407" s="5" t="s">
        <v>1883</v>
      </c>
      <c r="D2407" s="6">
        <v>30.0</v>
      </c>
      <c r="E2407" s="6">
        <v>32005.0</v>
      </c>
      <c r="F2407" s="6">
        <v>33741.0</v>
      </c>
      <c r="G2407" s="6">
        <v>14028.0</v>
      </c>
      <c r="H2407" s="6">
        <v>2.2815</v>
      </c>
      <c r="I2407" s="6">
        <v>2.4053</v>
      </c>
      <c r="J2407" s="6">
        <v>-0.1238</v>
      </c>
    </row>
    <row r="2408">
      <c r="A2408" s="5" t="s">
        <v>58</v>
      </c>
      <c r="B2408" s="5" t="s">
        <v>1867</v>
      </c>
      <c r="C2408" s="5" t="s">
        <v>1883</v>
      </c>
      <c r="D2408" s="6">
        <v>31.0</v>
      </c>
      <c r="E2408" s="6">
        <v>25095.0</v>
      </c>
      <c r="F2408" s="6">
        <v>29889.0</v>
      </c>
      <c r="G2408" s="6">
        <v>14028.0</v>
      </c>
      <c r="H2408" s="6">
        <v>1.7889</v>
      </c>
      <c r="I2408" s="6">
        <v>2.1307</v>
      </c>
      <c r="J2408" s="6">
        <v>-0.3417</v>
      </c>
    </row>
    <row r="2409">
      <c r="A2409" s="5" t="s">
        <v>58</v>
      </c>
      <c r="B2409" s="5" t="s">
        <v>1867</v>
      </c>
      <c r="C2409" s="5" t="s">
        <v>1883</v>
      </c>
      <c r="D2409" s="6">
        <v>32.0</v>
      </c>
      <c r="E2409" s="6">
        <v>21390.0</v>
      </c>
      <c r="F2409" s="6">
        <v>26690.0</v>
      </c>
      <c r="G2409" s="6">
        <v>14028.0</v>
      </c>
      <c r="H2409" s="6">
        <v>1.5248</v>
      </c>
      <c r="I2409" s="6">
        <v>1.9026</v>
      </c>
      <c r="J2409" s="6">
        <v>-0.3778</v>
      </c>
    </row>
    <row r="2410">
      <c r="A2410" s="5" t="s">
        <v>58</v>
      </c>
      <c r="B2410" s="5" t="s">
        <v>1867</v>
      </c>
      <c r="C2410" s="5" t="s">
        <v>1883</v>
      </c>
      <c r="D2410" s="6">
        <v>33.0</v>
      </c>
      <c r="E2410" s="6">
        <v>20465.0</v>
      </c>
      <c r="F2410" s="6">
        <v>26503.0</v>
      </c>
      <c r="G2410" s="6">
        <v>14028.0</v>
      </c>
      <c r="H2410" s="6">
        <v>1.4589</v>
      </c>
      <c r="I2410" s="6">
        <v>1.8893</v>
      </c>
      <c r="J2410" s="6">
        <v>-0.4304</v>
      </c>
    </row>
    <row r="2411">
      <c r="A2411" s="5" t="s">
        <v>58</v>
      </c>
      <c r="B2411" s="5" t="s">
        <v>1867</v>
      </c>
      <c r="C2411" s="5" t="s">
        <v>1884</v>
      </c>
      <c r="D2411" s="6">
        <v>1.0</v>
      </c>
      <c r="E2411" s="6">
        <v>44285.0</v>
      </c>
      <c r="F2411" s="6">
        <v>40168.0</v>
      </c>
      <c r="G2411" s="6">
        <v>22199.0</v>
      </c>
      <c r="H2411" s="6">
        <v>1.9949</v>
      </c>
      <c r="I2411" s="6">
        <v>1.8095</v>
      </c>
      <c r="J2411" s="6">
        <v>0.1855</v>
      </c>
    </row>
    <row r="2412">
      <c r="A2412" s="5" t="s">
        <v>58</v>
      </c>
      <c r="B2412" s="5" t="s">
        <v>1867</v>
      </c>
      <c r="C2412" s="5" t="s">
        <v>1884</v>
      </c>
      <c r="D2412" s="6">
        <v>2.0</v>
      </c>
      <c r="E2412" s="6">
        <v>57175.0</v>
      </c>
      <c r="F2412" s="6">
        <v>47968.0</v>
      </c>
      <c r="G2412" s="6">
        <v>22199.0</v>
      </c>
      <c r="H2412" s="6">
        <v>2.5756</v>
      </c>
      <c r="I2412" s="6">
        <v>2.1608</v>
      </c>
      <c r="J2412" s="6">
        <v>0.4147</v>
      </c>
    </row>
    <row r="2413">
      <c r="A2413" s="5" t="s">
        <v>58</v>
      </c>
      <c r="B2413" s="5" t="s">
        <v>1867</v>
      </c>
      <c r="C2413" s="5" t="s">
        <v>1884</v>
      </c>
      <c r="D2413" s="6">
        <v>3.0</v>
      </c>
      <c r="E2413" s="6">
        <v>44370.0</v>
      </c>
      <c r="F2413" s="6">
        <v>38687.0</v>
      </c>
      <c r="G2413" s="6">
        <v>22199.0</v>
      </c>
      <c r="H2413" s="6">
        <v>1.9987</v>
      </c>
      <c r="I2413" s="6">
        <v>1.7427</v>
      </c>
      <c r="J2413" s="6">
        <v>0.256</v>
      </c>
    </row>
    <row r="2414">
      <c r="A2414" s="5" t="s">
        <v>58</v>
      </c>
      <c r="B2414" s="5" t="s">
        <v>1867</v>
      </c>
      <c r="C2414" s="5" t="s">
        <v>1884</v>
      </c>
      <c r="D2414" s="6">
        <v>4.0</v>
      </c>
      <c r="E2414" s="6">
        <v>45300.0</v>
      </c>
      <c r="F2414" s="6">
        <v>39644.0</v>
      </c>
      <c r="G2414" s="6">
        <v>22199.0</v>
      </c>
      <c r="H2414" s="6">
        <v>2.0406</v>
      </c>
      <c r="I2414" s="6">
        <v>1.7858</v>
      </c>
      <c r="J2414" s="6">
        <v>0.2548</v>
      </c>
    </row>
    <row r="2415">
      <c r="A2415" s="5" t="s">
        <v>58</v>
      </c>
      <c r="B2415" s="5" t="s">
        <v>1867</v>
      </c>
      <c r="C2415" s="5" t="s">
        <v>1884</v>
      </c>
      <c r="D2415" s="6">
        <v>5.0</v>
      </c>
      <c r="E2415" s="6">
        <v>50250.0</v>
      </c>
      <c r="F2415" s="6">
        <v>43728.0</v>
      </c>
      <c r="G2415" s="6">
        <v>22199.0</v>
      </c>
      <c r="H2415" s="6">
        <v>2.2636</v>
      </c>
      <c r="I2415" s="6">
        <v>1.9698</v>
      </c>
      <c r="J2415" s="6">
        <v>0.2938</v>
      </c>
    </row>
    <row r="2416">
      <c r="A2416" s="5" t="s">
        <v>58</v>
      </c>
      <c r="B2416" s="5" t="s">
        <v>1867</v>
      </c>
      <c r="C2416" s="5" t="s">
        <v>1884</v>
      </c>
      <c r="D2416" s="6">
        <v>6.0</v>
      </c>
      <c r="E2416" s="6">
        <v>75115.0</v>
      </c>
      <c r="F2416" s="6">
        <v>63461.0</v>
      </c>
      <c r="G2416" s="6">
        <v>22199.0</v>
      </c>
      <c r="H2416" s="6">
        <v>3.3837</v>
      </c>
      <c r="I2416" s="6">
        <v>2.8587</v>
      </c>
      <c r="J2416" s="6">
        <v>0.525</v>
      </c>
    </row>
    <row r="2417">
      <c r="A2417" s="5" t="s">
        <v>58</v>
      </c>
      <c r="B2417" s="5" t="s">
        <v>1867</v>
      </c>
      <c r="C2417" s="5" t="s">
        <v>1884</v>
      </c>
      <c r="D2417" s="6">
        <v>7.0</v>
      </c>
      <c r="E2417" s="6">
        <v>63135.0</v>
      </c>
      <c r="F2417" s="6">
        <v>52204.0</v>
      </c>
      <c r="G2417" s="6">
        <v>22199.0</v>
      </c>
      <c r="H2417" s="6">
        <v>2.844</v>
      </c>
      <c r="I2417" s="6">
        <v>2.3516</v>
      </c>
      <c r="J2417" s="6">
        <v>0.4924</v>
      </c>
    </row>
    <row r="2418">
      <c r="A2418" s="5" t="s">
        <v>58</v>
      </c>
      <c r="B2418" s="5" t="s">
        <v>1867</v>
      </c>
      <c r="C2418" s="5" t="s">
        <v>1884</v>
      </c>
      <c r="D2418" s="6">
        <v>8.0</v>
      </c>
      <c r="E2418" s="6">
        <v>48865.0</v>
      </c>
      <c r="F2418" s="6">
        <v>42627.0</v>
      </c>
      <c r="G2418" s="6">
        <v>22199.0</v>
      </c>
      <c r="H2418" s="6">
        <v>2.2012</v>
      </c>
      <c r="I2418" s="6">
        <v>1.9202</v>
      </c>
      <c r="J2418" s="6">
        <v>0.281</v>
      </c>
    </row>
    <row r="2419">
      <c r="A2419" s="5" t="s">
        <v>58</v>
      </c>
      <c r="B2419" s="5" t="s">
        <v>1867</v>
      </c>
      <c r="C2419" s="5" t="s">
        <v>1884</v>
      </c>
      <c r="D2419" s="6">
        <v>9.0</v>
      </c>
      <c r="E2419" s="6">
        <v>37220.0</v>
      </c>
      <c r="F2419" s="6">
        <v>35233.0</v>
      </c>
      <c r="G2419" s="6">
        <v>22199.0</v>
      </c>
      <c r="H2419" s="6">
        <v>1.6767</v>
      </c>
      <c r="I2419" s="6">
        <v>1.5871</v>
      </c>
      <c r="J2419" s="6">
        <v>0.0895</v>
      </c>
    </row>
    <row r="2420">
      <c r="A2420" s="5" t="s">
        <v>58</v>
      </c>
      <c r="B2420" s="5" t="s">
        <v>1867</v>
      </c>
      <c r="C2420" s="5" t="s">
        <v>1884</v>
      </c>
      <c r="D2420" s="6">
        <v>10.0</v>
      </c>
      <c r="E2420" s="6">
        <v>35625.0</v>
      </c>
      <c r="F2420" s="6">
        <v>32588.0</v>
      </c>
      <c r="G2420" s="6">
        <v>22199.0</v>
      </c>
      <c r="H2420" s="6">
        <v>1.6048</v>
      </c>
      <c r="I2420" s="6">
        <v>1.468</v>
      </c>
      <c r="J2420" s="6">
        <v>0.1368</v>
      </c>
    </row>
    <row r="2421">
      <c r="A2421" s="5" t="s">
        <v>58</v>
      </c>
      <c r="B2421" s="5" t="s">
        <v>1867</v>
      </c>
      <c r="C2421" s="5" t="s">
        <v>1884</v>
      </c>
      <c r="D2421" s="6">
        <v>11.0</v>
      </c>
      <c r="E2421" s="6">
        <v>32200.0</v>
      </c>
      <c r="F2421" s="6">
        <v>30284.0</v>
      </c>
      <c r="G2421" s="6">
        <v>22199.0</v>
      </c>
      <c r="H2421" s="6">
        <v>1.4505</v>
      </c>
      <c r="I2421" s="6">
        <v>1.3642</v>
      </c>
      <c r="J2421" s="6">
        <v>0.0863</v>
      </c>
    </row>
    <row r="2422">
      <c r="A2422" s="5" t="s">
        <v>58</v>
      </c>
      <c r="B2422" s="5" t="s">
        <v>1867</v>
      </c>
      <c r="C2422" s="5" t="s">
        <v>1884</v>
      </c>
      <c r="D2422" s="6">
        <v>12.0</v>
      </c>
      <c r="E2422" s="6">
        <v>33775.0</v>
      </c>
      <c r="F2422" s="6">
        <v>35631.0</v>
      </c>
      <c r="G2422" s="6">
        <v>22199.0</v>
      </c>
      <c r="H2422" s="6">
        <v>1.5215</v>
      </c>
      <c r="I2422" s="6">
        <v>1.6051</v>
      </c>
      <c r="J2422" s="6">
        <v>-0.0836</v>
      </c>
    </row>
    <row r="2423">
      <c r="A2423" s="5" t="s">
        <v>58</v>
      </c>
      <c r="B2423" s="5" t="s">
        <v>1867</v>
      </c>
      <c r="C2423" s="5" t="s">
        <v>1884</v>
      </c>
      <c r="D2423" s="6">
        <v>13.0</v>
      </c>
      <c r="E2423" s="6">
        <v>63840.0</v>
      </c>
      <c r="F2423" s="6">
        <v>57608.0</v>
      </c>
      <c r="G2423" s="6">
        <v>22199.0</v>
      </c>
      <c r="H2423" s="6">
        <v>2.8758</v>
      </c>
      <c r="I2423" s="6">
        <v>2.5951</v>
      </c>
      <c r="J2423" s="6">
        <v>0.2807</v>
      </c>
    </row>
    <row r="2424">
      <c r="A2424" s="5" t="s">
        <v>58</v>
      </c>
      <c r="B2424" s="5" t="s">
        <v>1867</v>
      </c>
      <c r="C2424" s="5" t="s">
        <v>1884</v>
      </c>
      <c r="D2424" s="6">
        <v>14.0</v>
      </c>
      <c r="E2424" s="6">
        <v>48550.0</v>
      </c>
      <c r="F2424" s="6">
        <v>45170.0</v>
      </c>
      <c r="G2424" s="6">
        <v>22199.0</v>
      </c>
      <c r="H2424" s="6">
        <v>2.187</v>
      </c>
      <c r="I2424" s="6">
        <v>2.0348</v>
      </c>
      <c r="J2424" s="6">
        <v>0.1523</v>
      </c>
    </row>
    <row r="2425">
      <c r="A2425" s="5" t="s">
        <v>58</v>
      </c>
      <c r="B2425" s="5" t="s">
        <v>1867</v>
      </c>
      <c r="C2425" s="5" t="s">
        <v>1884</v>
      </c>
      <c r="D2425" s="6">
        <v>15.0</v>
      </c>
      <c r="E2425" s="6">
        <v>38100.0</v>
      </c>
      <c r="F2425" s="6">
        <v>37800.0</v>
      </c>
      <c r="G2425" s="6">
        <v>22199.0</v>
      </c>
      <c r="H2425" s="6">
        <v>1.7163</v>
      </c>
      <c r="I2425" s="6">
        <v>1.7028</v>
      </c>
      <c r="J2425" s="6">
        <v>0.0135</v>
      </c>
    </row>
    <row r="2426">
      <c r="A2426" s="5" t="s">
        <v>58</v>
      </c>
      <c r="B2426" s="5" t="s">
        <v>1867</v>
      </c>
      <c r="C2426" s="5" t="s">
        <v>1884</v>
      </c>
      <c r="D2426" s="6">
        <v>16.0</v>
      </c>
      <c r="E2426" s="6">
        <v>46785.0</v>
      </c>
      <c r="F2426" s="6">
        <v>40475.0</v>
      </c>
      <c r="G2426" s="6">
        <v>22199.0</v>
      </c>
      <c r="H2426" s="6">
        <v>2.1075</v>
      </c>
      <c r="I2426" s="6">
        <v>1.8233</v>
      </c>
      <c r="J2426" s="6">
        <v>0.2842</v>
      </c>
    </row>
    <row r="2427">
      <c r="A2427" s="5" t="s">
        <v>58</v>
      </c>
      <c r="B2427" s="5" t="s">
        <v>1867</v>
      </c>
      <c r="C2427" s="5" t="s">
        <v>1884</v>
      </c>
      <c r="D2427" s="6">
        <v>17.0</v>
      </c>
      <c r="E2427" s="6">
        <v>40505.0</v>
      </c>
      <c r="F2427" s="6">
        <v>36722.0</v>
      </c>
      <c r="G2427" s="6">
        <v>22199.0</v>
      </c>
      <c r="H2427" s="6">
        <v>1.8246</v>
      </c>
      <c r="I2427" s="6">
        <v>1.6542</v>
      </c>
      <c r="J2427" s="6">
        <v>0.1704</v>
      </c>
    </row>
    <row r="2428">
      <c r="A2428" s="5" t="s">
        <v>58</v>
      </c>
      <c r="B2428" s="5" t="s">
        <v>1867</v>
      </c>
      <c r="C2428" s="5" t="s">
        <v>1884</v>
      </c>
      <c r="D2428" s="6">
        <v>18.0</v>
      </c>
      <c r="E2428" s="6">
        <v>37140.0</v>
      </c>
      <c r="F2428" s="6">
        <v>36854.0</v>
      </c>
      <c r="G2428" s="6">
        <v>22199.0</v>
      </c>
      <c r="H2428" s="6">
        <v>1.673</v>
      </c>
      <c r="I2428" s="6">
        <v>1.6602</v>
      </c>
      <c r="J2428" s="6">
        <v>0.0129</v>
      </c>
    </row>
    <row r="2429">
      <c r="A2429" s="5" t="s">
        <v>58</v>
      </c>
      <c r="B2429" s="5" t="s">
        <v>1867</v>
      </c>
      <c r="C2429" s="5" t="s">
        <v>1884</v>
      </c>
      <c r="D2429" s="6">
        <v>19.0</v>
      </c>
      <c r="E2429" s="6">
        <v>40155.0</v>
      </c>
      <c r="F2429" s="6">
        <v>37403.0</v>
      </c>
      <c r="G2429" s="6">
        <v>22199.0</v>
      </c>
      <c r="H2429" s="6">
        <v>1.8089</v>
      </c>
      <c r="I2429" s="6">
        <v>1.6849</v>
      </c>
      <c r="J2429" s="6">
        <v>0.124</v>
      </c>
    </row>
    <row r="2430">
      <c r="A2430" s="5" t="s">
        <v>58</v>
      </c>
      <c r="B2430" s="5" t="s">
        <v>1867</v>
      </c>
      <c r="C2430" s="5" t="s">
        <v>1884</v>
      </c>
      <c r="D2430" s="6">
        <v>20.0</v>
      </c>
      <c r="E2430" s="6">
        <v>65120.0</v>
      </c>
      <c r="F2430" s="6">
        <v>55026.0</v>
      </c>
      <c r="G2430" s="6">
        <v>22199.0</v>
      </c>
      <c r="H2430" s="6">
        <v>2.9335</v>
      </c>
      <c r="I2430" s="6">
        <v>2.4788</v>
      </c>
      <c r="J2430" s="6">
        <v>0.4547</v>
      </c>
    </row>
    <row r="2431">
      <c r="A2431" s="5" t="s">
        <v>58</v>
      </c>
      <c r="B2431" s="5" t="s">
        <v>1867</v>
      </c>
      <c r="C2431" s="5" t="s">
        <v>1884</v>
      </c>
      <c r="D2431" s="6">
        <v>21.0</v>
      </c>
      <c r="E2431" s="6">
        <v>170625.0</v>
      </c>
      <c r="F2431" s="6">
        <v>101013.0</v>
      </c>
      <c r="G2431" s="6">
        <v>22199.0</v>
      </c>
      <c r="H2431" s="6">
        <v>7.6862</v>
      </c>
      <c r="I2431" s="6">
        <v>4.5503</v>
      </c>
      <c r="J2431" s="6">
        <v>3.1358</v>
      </c>
    </row>
    <row r="2432">
      <c r="A2432" s="5" t="s">
        <v>58</v>
      </c>
      <c r="B2432" s="5" t="s">
        <v>1867</v>
      </c>
      <c r="C2432" s="5" t="s">
        <v>1884</v>
      </c>
      <c r="D2432" s="6">
        <v>22.0</v>
      </c>
      <c r="E2432" s="6">
        <v>103950.0</v>
      </c>
      <c r="F2432" s="6">
        <v>69596.0</v>
      </c>
      <c r="G2432" s="6">
        <v>22199.0</v>
      </c>
      <c r="H2432" s="6">
        <v>4.6826</v>
      </c>
      <c r="I2432" s="6">
        <v>3.1351</v>
      </c>
      <c r="J2432" s="6">
        <v>1.5475</v>
      </c>
    </row>
    <row r="2433">
      <c r="A2433" s="5" t="s">
        <v>58</v>
      </c>
      <c r="B2433" s="5" t="s">
        <v>1867</v>
      </c>
      <c r="C2433" s="5" t="s">
        <v>1884</v>
      </c>
      <c r="D2433" s="6">
        <v>23.0</v>
      </c>
      <c r="E2433" s="6">
        <v>78850.0</v>
      </c>
      <c r="F2433" s="6">
        <v>54492.0</v>
      </c>
      <c r="G2433" s="6">
        <v>22199.0</v>
      </c>
      <c r="H2433" s="6">
        <v>3.552</v>
      </c>
      <c r="I2433" s="6">
        <v>2.4547</v>
      </c>
      <c r="J2433" s="6">
        <v>1.0973</v>
      </c>
    </row>
    <row r="2434">
      <c r="A2434" s="5" t="s">
        <v>58</v>
      </c>
      <c r="B2434" s="5" t="s">
        <v>1867</v>
      </c>
      <c r="C2434" s="5" t="s">
        <v>1884</v>
      </c>
      <c r="D2434" s="6">
        <v>24.0</v>
      </c>
      <c r="E2434" s="6">
        <v>71725.0</v>
      </c>
      <c r="F2434" s="6">
        <v>51055.0</v>
      </c>
      <c r="G2434" s="6">
        <v>22199.0</v>
      </c>
      <c r="H2434" s="6">
        <v>3.231</v>
      </c>
      <c r="I2434" s="6">
        <v>2.2999</v>
      </c>
      <c r="J2434" s="6">
        <v>0.9311</v>
      </c>
    </row>
    <row r="2435">
      <c r="A2435" s="5" t="s">
        <v>58</v>
      </c>
      <c r="B2435" s="5" t="s">
        <v>1867</v>
      </c>
      <c r="C2435" s="5" t="s">
        <v>1884</v>
      </c>
      <c r="D2435" s="6">
        <v>25.0</v>
      </c>
      <c r="E2435" s="6">
        <v>62895.0</v>
      </c>
      <c r="F2435" s="6">
        <v>47073.0</v>
      </c>
      <c r="G2435" s="6">
        <v>22199.0</v>
      </c>
      <c r="H2435" s="6">
        <v>2.8332</v>
      </c>
      <c r="I2435" s="6">
        <v>2.1205</v>
      </c>
      <c r="J2435" s="6">
        <v>0.7127</v>
      </c>
    </row>
    <row r="2436">
      <c r="A2436" s="5" t="s">
        <v>58</v>
      </c>
      <c r="B2436" s="5" t="s">
        <v>1867</v>
      </c>
      <c r="C2436" s="5" t="s">
        <v>1884</v>
      </c>
      <c r="D2436" s="6">
        <v>26.0</v>
      </c>
      <c r="E2436" s="6">
        <v>62130.0</v>
      </c>
      <c r="F2436" s="6">
        <v>49794.0</v>
      </c>
      <c r="G2436" s="6">
        <v>22199.0</v>
      </c>
      <c r="H2436" s="6">
        <v>2.7988</v>
      </c>
      <c r="I2436" s="6">
        <v>2.2431</v>
      </c>
      <c r="J2436" s="6">
        <v>0.5557</v>
      </c>
    </row>
    <row r="2437">
      <c r="A2437" s="5" t="s">
        <v>58</v>
      </c>
      <c r="B2437" s="5" t="s">
        <v>1867</v>
      </c>
      <c r="C2437" s="5" t="s">
        <v>1884</v>
      </c>
      <c r="D2437" s="6">
        <v>27.0</v>
      </c>
      <c r="E2437" s="6">
        <v>52210.0</v>
      </c>
      <c r="F2437" s="6">
        <v>46144.0</v>
      </c>
      <c r="G2437" s="6">
        <v>22199.0</v>
      </c>
      <c r="H2437" s="6">
        <v>2.3519</v>
      </c>
      <c r="I2437" s="6">
        <v>2.0787</v>
      </c>
      <c r="J2437" s="6">
        <v>0.2733</v>
      </c>
    </row>
    <row r="2438">
      <c r="A2438" s="5" t="s">
        <v>58</v>
      </c>
      <c r="B2438" s="5" t="s">
        <v>1867</v>
      </c>
      <c r="C2438" s="5" t="s">
        <v>1884</v>
      </c>
      <c r="D2438" s="6">
        <v>28.0</v>
      </c>
      <c r="E2438" s="6">
        <v>46995.0</v>
      </c>
      <c r="F2438" s="6">
        <v>42367.0</v>
      </c>
      <c r="G2438" s="6">
        <v>22199.0</v>
      </c>
      <c r="H2438" s="6">
        <v>2.117</v>
      </c>
      <c r="I2438" s="6">
        <v>1.9085</v>
      </c>
      <c r="J2438" s="6">
        <v>0.2085</v>
      </c>
    </row>
    <row r="2439">
      <c r="A2439" s="5" t="s">
        <v>58</v>
      </c>
      <c r="B2439" s="5" t="s">
        <v>1867</v>
      </c>
      <c r="C2439" s="5" t="s">
        <v>1884</v>
      </c>
      <c r="D2439" s="6">
        <v>29.0</v>
      </c>
      <c r="E2439" s="6">
        <v>41825.0</v>
      </c>
      <c r="F2439" s="6">
        <v>38477.0</v>
      </c>
      <c r="G2439" s="6">
        <v>22199.0</v>
      </c>
      <c r="H2439" s="6">
        <v>1.8841</v>
      </c>
      <c r="I2439" s="6">
        <v>1.7333</v>
      </c>
      <c r="J2439" s="6">
        <v>0.1508</v>
      </c>
    </row>
    <row r="2440">
      <c r="A2440" s="5" t="s">
        <v>58</v>
      </c>
      <c r="B2440" s="5" t="s">
        <v>1867</v>
      </c>
      <c r="C2440" s="5" t="s">
        <v>1884</v>
      </c>
      <c r="D2440" s="6">
        <v>30.0</v>
      </c>
      <c r="E2440" s="6">
        <v>56125.0</v>
      </c>
      <c r="F2440" s="6">
        <v>44380.0</v>
      </c>
      <c r="G2440" s="6">
        <v>22199.0</v>
      </c>
      <c r="H2440" s="6">
        <v>2.5283</v>
      </c>
      <c r="I2440" s="6">
        <v>1.9992</v>
      </c>
      <c r="J2440" s="6">
        <v>0.5291</v>
      </c>
    </row>
    <row r="2441">
      <c r="A2441" s="5" t="s">
        <v>58</v>
      </c>
      <c r="B2441" s="5" t="s">
        <v>1867</v>
      </c>
      <c r="C2441" s="5" t="s">
        <v>1884</v>
      </c>
      <c r="D2441" s="6">
        <v>31.0</v>
      </c>
      <c r="E2441" s="6">
        <v>43115.0</v>
      </c>
      <c r="F2441" s="6">
        <v>37421.0</v>
      </c>
      <c r="G2441" s="6">
        <v>22199.0</v>
      </c>
      <c r="H2441" s="6">
        <v>1.9422</v>
      </c>
      <c r="I2441" s="6">
        <v>1.6857</v>
      </c>
      <c r="J2441" s="6">
        <v>0.2565</v>
      </c>
    </row>
    <row r="2442">
      <c r="A2442" s="5" t="s">
        <v>58</v>
      </c>
      <c r="B2442" s="5" t="s">
        <v>1867</v>
      </c>
      <c r="C2442" s="5" t="s">
        <v>1884</v>
      </c>
      <c r="D2442" s="6">
        <v>32.0</v>
      </c>
      <c r="E2442" s="6">
        <v>40905.0</v>
      </c>
      <c r="F2442" s="6">
        <v>35473.0</v>
      </c>
      <c r="G2442" s="6">
        <v>22199.0</v>
      </c>
      <c r="H2442" s="6">
        <v>1.8427</v>
      </c>
      <c r="I2442" s="6">
        <v>1.598</v>
      </c>
      <c r="J2442" s="6">
        <v>0.2447</v>
      </c>
    </row>
    <row r="2443">
      <c r="A2443" s="5" t="s">
        <v>58</v>
      </c>
      <c r="B2443" s="5" t="s">
        <v>1867</v>
      </c>
      <c r="C2443" s="5" t="s">
        <v>1884</v>
      </c>
      <c r="D2443" s="6">
        <v>33.0</v>
      </c>
      <c r="E2443" s="6">
        <v>45170.0</v>
      </c>
      <c r="F2443" s="6">
        <v>38416.0</v>
      </c>
      <c r="G2443" s="6">
        <v>22199.0</v>
      </c>
      <c r="H2443" s="6">
        <v>2.0348</v>
      </c>
      <c r="I2443" s="6">
        <v>1.7305</v>
      </c>
      <c r="J2443" s="6">
        <v>0.3042</v>
      </c>
    </row>
    <row r="2444">
      <c r="A2444" s="5" t="s">
        <v>58</v>
      </c>
      <c r="B2444" s="5" t="s">
        <v>1867</v>
      </c>
      <c r="C2444" s="5" t="s">
        <v>1885</v>
      </c>
      <c r="D2444" s="6">
        <v>1.0</v>
      </c>
      <c r="E2444" s="6">
        <v>59370.0</v>
      </c>
      <c r="F2444" s="6">
        <v>47120.0</v>
      </c>
      <c r="G2444" s="6">
        <v>22850.0</v>
      </c>
      <c r="H2444" s="6">
        <v>2.5982</v>
      </c>
      <c r="I2444" s="6">
        <v>2.0621</v>
      </c>
      <c r="J2444" s="6">
        <v>0.5361</v>
      </c>
    </row>
    <row r="2445">
      <c r="A2445" s="5" t="s">
        <v>58</v>
      </c>
      <c r="B2445" s="5" t="s">
        <v>1867</v>
      </c>
      <c r="C2445" s="5" t="s">
        <v>1885</v>
      </c>
      <c r="D2445" s="6">
        <v>2.0</v>
      </c>
      <c r="E2445" s="6">
        <v>65445.0</v>
      </c>
      <c r="F2445" s="6">
        <v>51026.0</v>
      </c>
      <c r="G2445" s="6">
        <v>22850.0</v>
      </c>
      <c r="H2445" s="6">
        <v>2.8641</v>
      </c>
      <c r="I2445" s="6">
        <v>2.2331</v>
      </c>
      <c r="J2445" s="6">
        <v>0.631</v>
      </c>
    </row>
    <row r="2446">
      <c r="A2446" s="5" t="s">
        <v>58</v>
      </c>
      <c r="B2446" s="5" t="s">
        <v>1867</v>
      </c>
      <c r="C2446" s="5" t="s">
        <v>1885</v>
      </c>
      <c r="D2446" s="6">
        <v>3.0</v>
      </c>
      <c r="E2446" s="6">
        <v>53855.0</v>
      </c>
      <c r="F2446" s="6">
        <v>42934.0</v>
      </c>
      <c r="G2446" s="6">
        <v>22850.0</v>
      </c>
      <c r="H2446" s="6">
        <v>2.3569</v>
      </c>
      <c r="I2446" s="6">
        <v>1.8789</v>
      </c>
      <c r="J2446" s="6">
        <v>0.4779</v>
      </c>
    </row>
    <row r="2447">
      <c r="A2447" s="5" t="s">
        <v>58</v>
      </c>
      <c r="B2447" s="5" t="s">
        <v>1867</v>
      </c>
      <c r="C2447" s="5" t="s">
        <v>1885</v>
      </c>
      <c r="D2447" s="6">
        <v>4.0</v>
      </c>
      <c r="E2447" s="6">
        <v>56660.0</v>
      </c>
      <c r="F2447" s="6">
        <v>45027.0</v>
      </c>
      <c r="G2447" s="6">
        <v>22850.0</v>
      </c>
      <c r="H2447" s="6">
        <v>2.4796</v>
      </c>
      <c r="I2447" s="6">
        <v>1.9705</v>
      </c>
      <c r="J2447" s="6">
        <v>0.5091</v>
      </c>
    </row>
    <row r="2448">
      <c r="A2448" s="5" t="s">
        <v>58</v>
      </c>
      <c r="B2448" s="5" t="s">
        <v>1867</v>
      </c>
      <c r="C2448" s="5" t="s">
        <v>1885</v>
      </c>
      <c r="D2448" s="6">
        <v>5.0</v>
      </c>
      <c r="E2448" s="6">
        <v>60605.0</v>
      </c>
      <c r="F2448" s="6">
        <v>49748.0</v>
      </c>
      <c r="G2448" s="6">
        <v>22850.0</v>
      </c>
      <c r="H2448" s="6">
        <v>2.6523</v>
      </c>
      <c r="I2448" s="6">
        <v>2.1772</v>
      </c>
      <c r="J2448" s="6">
        <v>0.4751</v>
      </c>
    </row>
    <row r="2449">
      <c r="A2449" s="5" t="s">
        <v>58</v>
      </c>
      <c r="B2449" s="5" t="s">
        <v>1867</v>
      </c>
      <c r="C2449" s="5" t="s">
        <v>1885</v>
      </c>
      <c r="D2449" s="6">
        <v>6.0</v>
      </c>
      <c r="E2449" s="6">
        <v>100220.0</v>
      </c>
      <c r="F2449" s="6">
        <v>74921.0</v>
      </c>
      <c r="G2449" s="6">
        <v>22850.0</v>
      </c>
      <c r="H2449" s="6">
        <v>4.386</v>
      </c>
      <c r="I2449" s="6">
        <v>3.2788</v>
      </c>
      <c r="J2449" s="6">
        <v>1.1072</v>
      </c>
    </row>
    <row r="2450">
      <c r="A2450" s="5" t="s">
        <v>58</v>
      </c>
      <c r="B2450" s="5" t="s">
        <v>1867</v>
      </c>
      <c r="C2450" s="5" t="s">
        <v>1885</v>
      </c>
      <c r="D2450" s="6">
        <v>7.0</v>
      </c>
      <c r="E2450" s="6">
        <v>71465.0</v>
      </c>
      <c r="F2450" s="6">
        <v>56046.0</v>
      </c>
      <c r="G2450" s="6">
        <v>22850.0</v>
      </c>
      <c r="H2450" s="6">
        <v>3.1276</v>
      </c>
      <c r="I2450" s="6">
        <v>2.4528</v>
      </c>
      <c r="J2450" s="6">
        <v>0.6748</v>
      </c>
    </row>
    <row r="2451">
      <c r="A2451" s="5" t="s">
        <v>58</v>
      </c>
      <c r="B2451" s="5" t="s">
        <v>1867</v>
      </c>
      <c r="C2451" s="5" t="s">
        <v>1885</v>
      </c>
      <c r="D2451" s="6">
        <v>8.0</v>
      </c>
      <c r="E2451" s="6">
        <v>58260.0</v>
      </c>
      <c r="F2451" s="6">
        <v>46645.0</v>
      </c>
      <c r="G2451" s="6">
        <v>22850.0</v>
      </c>
      <c r="H2451" s="6">
        <v>2.5497</v>
      </c>
      <c r="I2451" s="6">
        <v>2.0414</v>
      </c>
      <c r="J2451" s="6">
        <v>0.5083</v>
      </c>
    </row>
    <row r="2452">
      <c r="A2452" s="5" t="s">
        <v>58</v>
      </c>
      <c r="B2452" s="5" t="s">
        <v>1867</v>
      </c>
      <c r="C2452" s="5" t="s">
        <v>1885</v>
      </c>
      <c r="D2452" s="6">
        <v>9.0</v>
      </c>
      <c r="E2452" s="6">
        <v>52185.0</v>
      </c>
      <c r="F2452" s="6">
        <v>41624.0</v>
      </c>
      <c r="G2452" s="6">
        <v>22850.0</v>
      </c>
      <c r="H2452" s="6">
        <v>2.2838</v>
      </c>
      <c r="I2452" s="6">
        <v>1.8216</v>
      </c>
      <c r="J2452" s="6">
        <v>0.4622</v>
      </c>
    </row>
    <row r="2453">
      <c r="A2453" s="5" t="s">
        <v>58</v>
      </c>
      <c r="B2453" s="5" t="s">
        <v>1867</v>
      </c>
      <c r="C2453" s="5" t="s">
        <v>1885</v>
      </c>
      <c r="D2453" s="6">
        <v>10.0</v>
      </c>
      <c r="E2453" s="6">
        <v>48100.0</v>
      </c>
      <c r="F2453" s="6">
        <v>37344.0</v>
      </c>
      <c r="G2453" s="6">
        <v>22850.0</v>
      </c>
      <c r="H2453" s="6">
        <v>2.105</v>
      </c>
      <c r="I2453" s="6">
        <v>1.6343</v>
      </c>
      <c r="J2453" s="6">
        <v>0.4707</v>
      </c>
    </row>
    <row r="2454">
      <c r="A2454" s="5" t="s">
        <v>58</v>
      </c>
      <c r="B2454" s="5" t="s">
        <v>1867</v>
      </c>
      <c r="C2454" s="5" t="s">
        <v>1885</v>
      </c>
      <c r="D2454" s="6">
        <v>11.0</v>
      </c>
      <c r="E2454" s="6">
        <v>40995.0</v>
      </c>
      <c r="F2454" s="6">
        <v>35775.0</v>
      </c>
      <c r="G2454" s="6">
        <v>22850.0</v>
      </c>
      <c r="H2454" s="6">
        <v>1.7941</v>
      </c>
      <c r="I2454" s="6">
        <v>1.5656</v>
      </c>
      <c r="J2454" s="6">
        <v>0.2284</v>
      </c>
    </row>
    <row r="2455">
      <c r="A2455" s="5" t="s">
        <v>58</v>
      </c>
      <c r="B2455" s="5" t="s">
        <v>1867</v>
      </c>
      <c r="C2455" s="5" t="s">
        <v>1885</v>
      </c>
      <c r="D2455" s="6">
        <v>12.0</v>
      </c>
      <c r="E2455" s="6">
        <v>45555.0</v>
      </c>
      <c r="F2455" s="6">
        <v>41613.0</v>
      </c>
      <c r="G2455" s="6">
        <v>22850.0</v>
      </c>
      <c r="H2455" s="6">
        <v>1.9937</v>
      </c>
      <c r="I2455" s="6">
        <v>1.8211</v>
      </c>
      <c r="J2455" s="6">
        <v>0.1725</v>
      </c>
    </row>
    <row r="2456">
      <c r="A2456" s="5" t="s">
        <v>58</v>
      </c>
      <c r="B2456" s="5" t="s">
        <v>1867</v>
      </c>
      <c r="C2456" s="5" t="s">
        <v>1885</v>
      </c>
      <c r="D2456" s="6">
        <v>13.0</v>
      </c>
      <c r="E2456" s="6">
        <v>83165.0</v>
      </c>
      <c r="F2456" s="6">
        <v>67244.0</v>
      </c>
      <c r="G2456" s="6">
        <v>22850.0</v>
      </c>
      <c r="H2456" s="6">
        <v>3.6396</v>
      </c>
      <c r="I2456" s="6">
        <v>2.9428</v>
      </c>
      <c r="J2456" s="6">
        <v>0.6968</v>
      </c>
    </row>
    <row r="2457">
      <c r="A2457" s="5" t="s">
        <v>58</v>
      </c>
      <c r="B2457" s="5" t="s">
        <v>1867</v>
      </c>
      <c r="C2457" s="5" t="s">
        <v>1885</v>
      </c>
      <c r="D2457" s="6">
        <v>14.0</v>
      </c>
      <c r="E2457" s="6">
        <v>55630.0</v>
      </c>
      <c r="F2457" s="6">
        <v>48450.0</v>
      </c>
      <c r="G2457" s="6">
        <v>22850.0</v>
      </c>
      <c r="H2457" s="6">
        <v>2.4346</v>
      </c>
      <c r="I2457" s="6">
        <v>2.1204</v>
      </c>
      <c r="J2457" s="6">
        <v>0.3142</v>
      </c>
    </row>
    <row r="2458">
      <c r="A2458" s="5" t="s">
        <v>58</v>
      </c>
      <c r="B2458" s="5" t="s">
        <v>1867</v>
      </c>
      <c r="C2458" s="5" t="s">
        <v>1885</v>
      </c>
      <c r="D2458" s="6">
        <v>15.0</v>
      </c>
      <c r="E2458" s="6">
        <v>44820.0</v>
      </c>
      <c r="F2458" s="6">
        <v>40964.0</v>
      </c>
      <c r="G2458" s="6">
        <v>22850.0</v>
      </c>
      <c r="H2458" s="6">
        <v>1.9615</v>
      </c>
      <c r="I2458" s="6">
        <v>1.7927</v>
      </c>
      <c r="J2458" s="6">
        <v>0.1688</v>
      </c>
    </row>
    <row r="2459">
      <c r="A2459" s="5" t="s">
        <v>58</v>
      </c>
      <c r="B2459" s="5" t="s">
        <v>1867</v>
      </c>
      <c r="C2459" s="5" t="s">
        <v>1885</v>
      </c>
      <c r="D2459" s="6">
        <v>16.0</v>
      </c>
      <c r="E2459" s="6">
        <v>54425.0</v>
      </c>
      <c r="F2459" s="6">
        <v>43122.0</v>
      </c>
      <c r="G2459" s="6">
        <v>22850.0</v>
      </c>
      <c r="H2459" s="6">
        <v>2.3818</v>
      </c>
      <c r="I2459" s="6">
        <v>1.8872</v>
      </c>
      <c r="J2459" s="6">
        <v>0.4947</v>
      </c>
    </row>
    <row r="2460">
      <c r="A2460" s="5" t="s">
        <v>58</v>
      </c>
      <c r="B2460" s="5" t="s">
        <v>1867</v>
      </c>
      <c r="C2460" s="5" t="s">
        <v>1885</v>
      </c>
      <c r="D2460" s="6">
        <v>17.0</v>
      </c>
      <c r="E2460" s="6">
        <v>45120.0</v>
      </c>
      <c r="F2460" s="6">
        <v>38686.0</v>
      </c>
      <c r="G2460" s="6">
        <v>22850.0</v>
      </c>
      <c r="H2460" s="6">
        <v>1.9746</v>
      </c>
      <c r="I2460" s="6">
        <v>1.693</v>
      </c>
      <c r="J2460" s="6">
        <v>0.2816</v>
      </c>
    </row>
    <row r="2461">
      <c r="A2461" s="5" t="s">
        <v>58</v>
      </c>
      <c r="B2461" s="5" t="s">
        <v>1867</v>
      </c>
      <c r="C2461" s="5" t="s">
        <v>1885</v>
      </c>
      <c r="D2461" s="6">
        <v>18.0</v>
      </c>
      <c r="E2461" s="6">
        <v>45070.0</v>
      </c>
      <c r="F2461" s="6">
        <v>40052.0</v>
      </c>
      <c r="G2461" s="6">
        <v>22850.0</v>
      </c>
      <c r="H2461" s="6">
        <v>1.9724</v>
      </c>
      <c r="I2461" s="6">
        <v>1.7528</v>
      </c>
      <c r="J2461" s="6">
        <v>0.2196</v>
      </c>
    </row>
    <row r="2462">
      <c r="A2462" s="5" t="s">
        <v>58</v>
      </c>
      <c r="B2462" s="5" t="s">
        <v>1867</v>
      </c>
      <c r="C2462" s="5" t="s">
        <v>1885</v>
      </c>
      <c r="D2462" s="6">
        <v>19.0</v>
      </c>
      <c r="E2462" s="6">
        <v>47150.0</v>
      </c>
      <c r="F2462" s="6">
        <v>40980.0</v>
      </c>
      <c r="G2462" s="6">
        <v>22850.0</v>
      </c>
      <c r="H2462" s="6">
        <v>2.0635</v>
      </c>
      <c r="I2462" s="6">
        <v>1.7934</v>
      </c>
      <c r="J2462" s="6">
        <v>0.27</v>
      </c>
    </row>
    <row r="2463">
      <c r="A2463" s="5" t="s">
        <v>58</v>
      </c>
      <c r="B2463" s="5" t="s">
        <v>1867</v>
      </c>
      <c r="C2463" s="5" t="s">
        <v>1885</v>
      </c>
      <c r="D2463" s="6">
        <v>20.0</v>
      </c>
      <c r="E2463" s="6">
        <v>88055.0</v>
      </c>
      <c r="F2463" s="6">
        <v>65592.0</v>
      </c>
      <c r="G2463" s="6">
        <v>22850.0</v>
      </c>
      <c r="H2463" s="6">
        <v>3.8536</v>
      </c>
      <c r="I2463" s="6">
        <v>2.8705</v>
      </c>
      <c r="J2463" s="6">
        <v>0.9831</v>
      </c>
    </row>
    <row r="2464">
      <c r="A2464" s="5" t="s">
        <v>58</v>
      </c>
      <c r="B2464" s="5" t="s">
        <v>1867</v>
      </c>
      <c r="C2464" s="5" t="s">
        <v>1885</v>
      </c>
      <c r="D2464" s="6">
        <v>21.0</v>
      </c>
      <c r="E2464" s="6">
        <v>195805.0</v>
      </c>
      <c r="F2464" s="6">
        <v>105476.0</v>
      </c>
      <c r="G2464" s="6">
        <v>22850.0</v>
      </c>
      <c r="H2464" s="6">
        <v>8.5691</v>
      </c>
      <c r="I2464" s="6">
        <v>4.616</v>
      </c>
      <c r="J2464" s="6">
        <v>3.9531</v>
      </c>
    </row>
    <row r="2465">
      <c r="A2465" s="5" t="s">
        <v>58</v>
      </c>
      <c r="B2465" s="5" t="s">
        <v>1867</v>
      </c>
      <c r="C2465" s="5" t="s">
        <v>1885</v>
      </c>
      <c r="D2465" s="6">
        <v>22.0</v>
      </c>
      <c r="E2465" s="6">
        <v>115130.0</v>
      </c>
      <c r="F2465" s="6">
        <v>72688.0</v>
      </c>
      <c r="G2465" s="6">
        <v>22850.0</v>
      </c>
      <c r="H2465" s="6">
        <v>5.0385</v>
      </c>
      <c r="I2465" s="6">
        <v>3.1811</v>
      </c>
      <c r="J2465" s="6">
        <v>1.8574</v>
      </c>
    </row>
    <row r="2466">
      <c r="A2466" s="5" t="s">
        <v>58</v>
      </c>
      <c r="B2466" s="5" t="s">
        <v>1867</v>
      </c>
      <c r="C2466" s="5" t="s">
        <v>1885</v>
      </c>
      <c r="D2466" s="6">
        <v>23.0</v>
      </c>
      <c r="E2466" s="6">
        <v>91305.0</v>
      </c>
      <c r="F2466" s="6">
        <v>59435.0</v>
      </c>
      <c r="G2466" s="6">
        <v>22850.0</v>
      </c>
      <c r="H2466" s="6">
        <v>3.9958</v>
      </c>
      <c r="I2466" s="6">
        <v>2.6011</v>
      </c>
      <c r="J2466" s="6">
        <v>1.3947</v>
      </c>
    </row>
    <row r="2467">
      <c r="A2467" s="5" t="s">
        <v>58</v>
      </c>
      <c r="B2467" s="5" t="s">
        <v>1867</v>
      </c>
      <c r="C2467" s="5" t="s">
        <v>1885</v>
      </c>
      <c r="D2467" s="6">
        <v>24.0</v>
      </c>
      <c r="E2467" s="6">
        <v>83200.0</v>
      </c>
      <c r="F2467" s="6">
        <v>55520.0</v>
      </c>
      <c r="G2467" s="6">
        <v>22850.0</v>
      </c>
      <c r="H2467" s="6">
        <v>3.6411</v>
      </c>
      <c r="I2467" s="6">
        <v>2.4298</v>
      </c>
      <c r="J2467" s="6">
        <v>1.2114</v>
      </c>
    </row>
    <row r="2468">
      <c r="A2468" s="5" t="s">
        <v>58</v>
      </c>
      <c r="B2468" s="5" t="s">
        <v>1867</v>
      </c>
      <c r="C2468" s="5" t="s">
        <v>1885</v>
      </c>
      <c r="D2468" s="6">
        <v>25.0</v>
      </c>
      <c r="E2468" s="6">
        <v>77290.0</v>
      </c>
      <c r="F2468" s="6">
        <v>54072.0</v>
      </c>
      <c r="G2468" s="6">
        <v>22850.0</v>
      </c>
      <c r="H2468" s="6">
        <v>3.3825</v>
      </c>
      <c r="I2468" s="6">
        <v>2.3664</v>
      </c>
      <c r="J2468" s="6">
        <v>1.0161</v>
      </c>
    </row>
    <row r="2469">
      <c r="A2469" s="5" t="s">
        <v>58</v>
      </c>
      <c r="B2469" s="5" t="s">
        <v>1867</v>
      </c>
      <c r="C2469" s="5" t="s">
        <v>1885</v>
      </c>
      <c r="D2469" s="6">
        <v>26.0</v>
      </c>
      <c r="E2469" s="6">
        <v>77700.0</v>
      </c>
      <c r="F2469" s="6">
        <v>57761.0</v>
      </c>
      <c r="G2469" s="6">
        <v>22850.0</v>
      </c>
      <c r="H2469" s="6">
        <v>3.4004</v>
      </c>
      <c r="I2469" s="6">
        <v>2.5278</v>
      </c>
      <c r="J2469" s="6">
        <v>0.8726</v>
      </c>
    </row>
    <row r="2470">
      <c r="A2470" s="5" t="s">
        <v>58</v>
      </c>
      <c r="B2470" s="5" t="s">
        <v>1867</v>
      </c>
      <c r="C2470" s="5" t="s">
        <v>1885</v>
      </c>
      <c r="D2470" s="6">
        <v>27.0</v>
      </c>
      <c r="E2470" s="6">
        <v>74705.0</v>
      </c>
      <c r="F2470" s="6">
        <v>56800.0</v>
      </c>
      <c r="G2470" s="6">
        <v>22850.0</v>
      </c>
      <c r="H2470" s="6">
        <v>3.2694</v>
      </c>
      <c r="I2470" s="6">
        <v>2.4858</v>
      </c>
      <c r="J2470" s="6">
        <v>0.7836</v>
      </c>
    </row>
    <row r="2471">
      <c r="A2471" s="5" t="s">
        <v>58</v>
      </c>
      <c r="B2471" s="5" t="s">
        <v>1867</v>
      </c>
      <c r="C2471" s="5" t="s">
        <v>1885</v>
      </c>
      <c r="D2471" s="6">
        <v>28.0</v>
      </c>
      <c r="E2471" s="6">
        <v>69590.0</v>
      </c>
      <c r="F2471" s="6">
        <v>53226.0</v>
      </c>
      <c r="G2471" s="6">
        <v>22850.0</v>
      </c>
      <c r="H2471" s="6">
        <v>3.0455</v>
      </c>
      <c r="I2471" s="6">
        <v>2.3294</v>
      </c>
      <c r="J2471" s="6">
        <v>0.7161</v>
      </c>
    </row>
    <row r="2472">
      <c r="A2472" s="5" t="s">
        <v>58</v>
      </c>
      <c r="B2472" s="5" t="s">
        <v>1867</v>
      </c>
      <c r="C2472" s="5" t="s">
        <v>1885</v>
      </c>
      <c r="D2472" s="6">
        <v>29.0</v>
      </c>
      <c r="E2472" s="6">
        <v>60780.0</v>
      </c>
      <c r="F2472" s="6">
        <v>46919.0</v>
      </c>
      <c r="G2472" s="6">
        <v>22850.0</v>
      </c>
      <c r="H2472" s="6">
        <v>2.66</v>
      </c>
      <c r="I2472" s="6">
        <v>2.0533</v>
      </c>
      <c r="J2472" s="6">
        <v>0.6066</v>
      </c>
    </row>
    <row r="2473">
      <c r="A2473" s="5" t="s">
        <v>58</v>
      </c>
      <c r="B2473" s="5" t="s">
        <v>1867</v>
      </c>
      <c r="C2473" s="5" t="s">
        <v>1885</v>
      </c>
      <c r="D2473" s="6">
        <v>30.0</v>
      </c>
      <c r="E2473" s="6">
        <v>66225.0</v>
      </c>
      <c r="F2473" s="6">
        <v>48624.0</v>
      </c>
      <c r="G2473" s="6">
        <v>22850.0</v>
      </c>
      <c r="H2473" s="6">
        <v>2.8982</v>
      </c>
      <c r="I2473" s="6">
        <v>2.128</v>
      </c>
      <c r="J2473" s="6">
        <v>0.7703</v>
      </c>
    </row>
    <row r="2474">
      <c r="A2474" s="5" t="s">
        <v>58</v>
      </c>
      <c r="B2474" s="5" t="s">
        <v>1867</v>
      </c>
      <c r="C2474" s="5" t="s">
        <v>1885</v>
      </c>
      <c r="D2474" s="6">
        <v>31.0</v>
      </c>
      <c r="E2474" s="6">
        <v>55755.0</v>
      </c>
      <c r="F2474" s="6">
        <v>43015.0</v>
      </c>
      <c r="G2474" s="6">
        <v>22850.0</v>
      </c>
      <c r="H2474" s="6">
        <v>2.44</v>
      </c>
      <c r="I2474" s="6">
        <v>1.8825</v>
      </c>
      <c r="J2474" s="6">
        <v>0.5575</v>
      </c>
    </row>
    <row r="2475">
      <c r="A2475" s="5" t="s">
        <v>58</v>
      </c>
      <c r="B2475" s="5" t="s">
        <v>1867</v>
      </c>
      <c r="C2475" s="5" t="s">
        <v>1885</v>
      </c>
      <c r="D2475" s="6">
        <v>32.0</v>
      </c>
      <c r="E2475" s="6">
        <v>53590.0</v>
      </c>
      <c r="F2475" s="6">
        <v>41227.0</v>
      </c>
      <c r="G2475" s="6">
        <v>22850.0</v>
      </c>
      <c r="H2475" s="6">
        <v>2.3453</v>
      </c>
      <c r="I2475" s="6">
        <v>1.8042</v>
      </c>
      <c r="J2475" s="6">
        <v>0.5411</v>
      </c>
    </row>
    <row r="2476">
      <c r="A2476" s="5" t="s">
        <v>58</v>
      </c>
      <c r="B2476" s="5" t="s">
        <v>1867</v>
      </c>
      <c r="C2476" s="5" t="s">
        <v>1885</v>
      </c>
      <c r="D2476" s="6">
        <v>33.0</v>
      </c>
      <c r="E2476" s="6">
        <v>54700.0</v>
      </c>
      <c r="F2476" s="6">
        <v>43200.0</v>
      </c>
      <c r="G2476" s="6">
        <v>22850.0</v>
      </c>
      <c r="H2476" s="6">
        <v>2.3939</v>
      </c>
      <c r="I2476" s="6">
        <v>1.8906</v>
      </c>
      <c r="J2476" s="6">
        <v>0.5033</v>
      </c>
    </row>
    <row r="2477">
      <c r="A2477" s="5" t="s">
        <v>58</v>
      </c>
      <c r="B2477" s="5" t="s">
        <v>1867</v>
      </c>
      <c r="C2477" s="5" t="s">
        <v>75</v>
      </c>
      <c r="D2477" s="6">
        <v>1.0</v>
      </c>
      <c r="E2477" s="6">
        <v>1516392.0</v>
      </c>
      <c r="F2477" s="6">
        <v>0.0</v>
      </c>
      <c r="G2477" s="6">
        <v>24210.0</v>
      </c>
      <c r="H2477" s="6">
        <v>62.6349</v>
      </c>
      <c r="I2477" s="6">
        <v>0.0</v>
      </c>
      <c r="J2477" s="6">
        <v>62.6349</v>
      </c>
    </row>
    <row r="2478">
      <c r="A2478" s="5" t="s">
        <v>58</v>
      </c>
      <c r="B2478" s="5" t="s">
        <v>1867</v>
      </c>
      <c r="C2478" s="5" t="s">
        <v>75</v>
      </c>
      <c r="D2478" s="6">
        <v>2.0</v>
      </c>
      <c r="E2478" s="6">
        <v>1076318.0</v>
      </c>
      <c r="F2478" s="6">
        <v>0.0</v>
      </c>
      <c r="G2478" s="6">
        <v>24210.0</v>
      </c>
      <c r="H2478" s="6">
        <v>44.4576</v>
      </c>
      <c r="I2478" s="6">
        <v>0.0</v>
      </c>
      <c r="J2478" s="6">
        <v>44.4576</v>
      </c>
    </row>
    <row r="2479">
      <c r="A2479" s="5" t="s">
        <v>58</v>
      </c>
      <c r="B2479" s="5" t="s">
        <v>1867</v>
      </c>
      <c r="C2479" s="5" t="s">
        <v>75</v>
      </c>
      <c r="D2479" s="6">
        <v>3.0</v>
      </c>
      <c r="E2479" s="6">
        <v>1491359.0</v>
      </c>
      <c r="F2479" s="6">
        <v>0.0</v>
      </c>
      <c r="G2479" s="6">
        <v>24210.0</v>
      </c>
      <c r="H2479" s="6">
        <v>61.601</v>
      </c>
      <c r="I2479" s="6">
        <v>0.0</v>
      </c>
      <c r="J2479" s="6">
        <v>61.601</v>
      </c>
    </row>
    <row r="2480">
      <c r="A2480" s="5" t="s">
        <v>58</v>
      </c>
      <c r="B2480" s="5" t="s">
        <v>1867</v>
      </c>
      <c r="C2480" s="5" t="s">
        <v>75</v>
      </c>
      <c r="D2480" s="6">
        <v>4.0</v>
      </c>
      <c r="E2480" s="6">
        <v>1133860.0</v>
      </c>
      <c r="F2480" s="6">
        <v>0.0</v>
      </c>
      <c r="G2480" s="6">
        <v>24210.0</v>
      </c>
      <c r="H2480" s="6">
        <v>46.8344</v>
      </c>
      <c r="I2480" s="6">
        <v>0.0</v>
      </c>
      <c r="J2480" s="6">
        <v>46.8344</v>
      </c>
    </row>
    <row r="2481">
      <c r="A2481" s="5" t="s">
        <v>58</v>
      </c>
      <c r="B2481" s="5" t="s">
        <v>1867</v>
      </c>
      <c r="C2481" s="5" t="s">
        <v>75</v>
      </c>
      <c r="D2481" s="6">
        <v>5.0</v>
      </c>
      <c r="E2481" s="6">
        <v>1458840.0</v>
      </c>
      <c r="F2481" s="6">
        <v>0.0</v>
      </c>
      <c r="G2481" s="6">
        <v>24210.0</v>
      </c>
      <c r="H2481" s="6">
        <v>60.2577</v>
      </c>
      <c r="I2481" s="6">
        <v>0.0</v>
      </c>
      <c r="J2481" s="6">
        <v>60.2577</v>
      </c>
    </row>
    <row r="2482">
      <c r="A2482" s="5" t="s">
        <v>58</v>
      </c>
      <c r="B2482" s="5" t="s">
        <v>1867</v>
      </c>
      <c r="C2482" s="5" t="s">
        <v>75</v>
      </c>
      <c r="D2482" s="6">
        <v>6.0</v>
      </c>
      <c r="E2482" s="6">
        <v>1558932.0</v>
      </c>
      <c r="F2482" s="6">
        <v>0.0</v>
      </c>
      <c r="G2482" s="6">
        <v>24210.0</v>
      </c>
      <c r="H2482" s="6">
        <v>64.3921</v>
      </c>
      <c r="I2482" s="6">
        <v>0.0</v>
      </c>
      <c r="J2482" s="6">
        <v>64.3921</v>
      </c>
    </row>
    <row r="2483">
      <c r="A2483" s="5" t="s">
        <v>58</v>
      </c>
      <c r="B2483" s="5" t="s">
        <v>1867</v>
      </c>
      <c r="C2483" s="5" t="s">
        <v>75</v>
      </c>
      <c r="D2483" s="6">
        <v>7.0</v>
      </c>
      <c r="E2483" s="6">
        <v>1050691.0</v>
      </c>
      <c r="F2483" s="6">
        <v>0.0</v>
      </c>
      <c r="G2483" s="6">
        <v>24210.0</v>
      </c>
      <c r="H2483" s="6">
        <v>43.399</v>
      </c>
      <c r="I2483" s="6">
        <v>0.0</v>
      </c>
      <c r="J2483" s="6">
        <v>43.399</v>
      </c>
    </row>
    <row r="2484">
      <c r="A2484" s="5" t="s">
        <v>58</v>
      </c>
      <c r="B2484" s="5" t="s">
        <v>1867</v>
      </c>
      <c r="C2484" s="5" t="s">
        <v>75</v>
      </c>
      <c r="D2484" s="6">
        <v>8.0</v>
      </c>
      <c r="E2484" s="6">
        <v>1445728.0</v>
      </c>
      <c r="F2484" s="6">
        <v>0.0</v>
      </c>
      <c r="G2484" s="6">
        <v>24210.0</v>
      </c>
      <c r="H2484" s="6">
        <v>59.7162</v>
      </c>
      <c r="I2484" s="6">
        <v>0.0</v>
      </c>
      <c r="J2484" s="6">
        <v>59.7162</v>
      </c>
    </row>
    <row r="2485">
      <c r="A2485" s="5" t="s">
        <v>58</v>
      </c>
      <c r="B2485" s="5" t="s">
        <v>1867</v>
      </c>
      <c r="C2485" s="5" t="s">
        <v>75</v>
      </c>
      <c r="D2485" s="6">
        <v>9.0</v>
      </c>
      <c r="E2485" s="6">
        <v>1013740.0</v>
      </c>
      <c r="F2485" s="6">
        <v>1.0</v>
      </c>
      <c r="G2485" s="6">
        <v>24210.0</v>
      </c>
      <c r="H2485" s="6">
        <v>41.8728</v>
      </c>
      <c r="I2485" s="6">
        <v>0.0</v>
      </c>
      <c r="J2485" s="6">
        <v>41.8727</v>
      </c>
    </row>
    <row r="2486">
      <c r="A2486" s="5" t="s">
        <v>58</v>
      </c>
      <c r="B2486" s="5" t="s">
        <v>1867</v>
      </c>
      <c r="C2486" s="5" t="s">
        <v>75</v>
      </c>
      <c r="D2486" s="6">
        <v>10.0</v>
      </c>
      <c r="E2486" s="6">
        <v>1524540.0</v>
      </c>
      <c r="F2486" s="6">
        <v>0.0</v>
      </c>
      <c r="G2486" s="6">
        <v>24210.0</v>
      </c>
      <c r="H2486" s="6">
        <v>62.9715</v>
      </c>
      <c r="I2486" s="6">
        <v>0.0</v>
      </c>
      <c r="J2486" s="6">
        <v>62.9715</v>
      </c>
    </row>
    <row r="2487">
      <c r="A2487" s="5" t="s">
        <v>58</v>
      </c>
      <c r="B2487" s="5" t="s">
        <v>1867</v>
      </c>
      <c r="C2487" s="5" t="s">
        <v>75</v>
      </c>
      <c r="D2487" s="6">
        <v>11.0</v>
      </c>
      <c r="E2487" s="6">
        <v>1082902.0</v>
      </c>
      <c r="F2487" s="6">
        <v>0.0</v>
      </c>
      <c r="G2487" s="6">
        <v>24210.0</v>
      </c>
      <c r="H2487" s="6">
        <v>44.7295</v>
      </c>
      <c r="I2487" s="6">
        <v>0.0</v>
      </c>
      <c r="J2487" s="6">
        <v>44.7295</v>
      </c>
    </row>
    <row r="2488">
      <c r="A2488" s="5" t="s">
        <v>58</v>
      </c>
      <c r="B2488" s="5" t="s">
        <v>1867</v>
      </c>
      <c r="C2488" s="5" t="s">
        <v>75</v>
      </c>
      <c r="D2488" s="6">
        <v>12.0</v>
      </c>
      <c r="E2488" s="6">
        <v>1395745.0</v>
      </c>
      <c r="F2488" s="6">
        <v>0.0</v>
      </c>
      <c r="G2488" s="6">
        <v>24210.0</v>
      </c>
      <c r="H2488" s="6">
        <v>57.6516</v>
      </c>
      <c r="I2488" s="6">
        <v>0.0</v>
      </c>
      <c r="J2488" s="6">
        <v>57.6516</v>
      </c>
    </row>
    <row r="2489">
      <c r="A2489" s="5" t="s">
        <v>58</v>
      </c>
      <c r="B2489" s="5" t="s">
        <v>1867</v>
      </c>
      <c r="C2489" s="5" t="s">
        <v>75</v>
      </c>
      <c r="D2489" s="6">
        <v>13.0</v>
      </c>
      <c r="E2489" s="6">
        <v>1556433.0</v>
      </c>
      <c r="F2489" s="6">
        <v>0.0</v>
      </c>
      <c r="G2489" s="6">
        <v>24210.0</v>
      </c>
      <c r="H2489" s="6">
        <v>64.2888</v>
      </c>
      <c r="I2489" s="6">
        <v>0.0</v>
      </c>
      <c r="J2489" s="6">
        <v>64.2888</v>
      </c>
    </row>
    <row r="2490">
      <c r="A2490" s="5" t="s">
        <v>58</v>
      </c>
      <c r="B2490" s="5" t="s">
        <v>1867</v>
      </c>
      <c r="C2490" s="5" t="s">
        <v>75</v>
      </c>
      <c r="D2490" s="6">
        <v>14.0</v>
      </c>
      <c r="E2490" s="6">
        <v>1009892.0</v>
      </c>
      <c r="F2490" s="6">
        <v>0.0</v>
      </c>
      <c r="G2490" s="6">
        <v>24210.0</v>
      </c>
      <c r="H2490" s="6">
        <v>41.7138</v>
      </c>
      <c r="I2490" s="6">
        <v>0.0</v>
      </c>
      <c r="J2490" s="6">
        <v>41.7138</v>
      </c>
    </row>
    <row r="2491">
      <c r="A2491" s="5" t="s">
        <v>58</v>
      </c>
      <c r="B2491" s="5" t="s">
        <v>1867</v>
      </c>
      <c r="C2491" s="5" t="s">
        <v>75</v>
      </c>
      <c r="D2491" s="6">
        <v>15.0</v>
      </c>
      <c r="E2491" s="6">
        <v>1437786.0</v>
      </c>
      <c r="F2491" s="6">
        <v>0.0</v>
      </c>
      <c r="G2491" s="6">
        <v>24210.0</v>
      </c>
      <c r="H2491" s="6">
        <v>59.3881</v>
      </c>
      <c r="I2491" s="6">
        <v>0.0</v>
      </c>
      <c r="J2491" s="6">
        <v>59.3881</v>
      </c>
    </row>
    <row r="2492">
      <c r="A2492" s="5" t="s">
        <v>58</v>
      </c>
      <c r="B2492" s="5" t="s">
        <v>1867</v>
      </c>
      <c r="C2492" s="5" t="s">
        <v>75</v>
      </c>
      <c r="D2492" s="6">
        <v>16.0</v>
      </c>
      <c r="E2492" s="6">
        <v>925700.0</v>
      </c>
      <c r="F2492" s="6">
        <v>0.0</v>
      </c>
      <c r="G2492" s="6">
        <v>24210.0</v>
      </c>
      <c r="H2492" s="6">
        <v>38.2363</v>
      </c>
      <c r="I2492" s="6">
        <v>0.0</v>
      </c>
      <c r="J2492" s="6">
        <v>38.2363</v>
      </c>
    </row>
    <row r="2493">
      <c r="A2493" s="5" t="s">
        <v>58</v>
      </c>
      <c r="B2493" s="5" t="s">
        <v>1867</v>
      </c>
      <c r="C2493" s="5" t="s">
        <v>75</v>
      </c>
      <c r="D2493" s="6">
        <v>17.0</v>
      </c>
      <c r="E2493" s="6">
        <v>1413874.0</v>
      </c>
      <c r="F2493" s="6">
        <v>0.0</v>
      </c>
      <c r="G2493" s="6">
        <v>24210.0</v>
      </c>
      <c r="H2493" s="6">
        <v>58.4004</v>
      </c>
      <c r="I2493" s="6">
        <v>0.0</v>
      </c>
      <c r="J2493" s="6">
        <v>58.4004</v>
      </c>
    </row>
    <row r="2494">
      <c r="A2494" s="5" t="s">
        <v>58</v>
      </c>
      <c r="B2494" s="5" t="s">
        <v>1867</v>
      </c>
      <c r="C2494" s="5" t="s">
        <v>75</v>
      </c>
      <c r="D2494" s="6">
        <v>18.0</v>
      </c>
      <c r="E2494" s="6">
        <v>1050372.0</v>
      </c>
      <c r="F2494" s="6">
        <v>0.0</v>
      </c>
      <c r="G2494" s="6">
        <v>24210.0</v>
      </c>
      <c r="H2494" s="6">
        <v>43.3859</v>
      </c>
      <c r="I2494" s="6">
        <v>0.0</v>
      </c>
      <c r="J2494" s="6">
        <v>43.3859</v>
      </c>
    </row>
    <row r="2495">
      <c r="A2495" s="5" t="s">
        <v>58</v>
      </c>
      <c r="B2495" s="5" t="s">
        <v>1867</v>
      </c>
      <c r="C2495" s="5" t="s">
        <v>75</v>
      </c>
      <c r="D2495" s="6">
        <v>19.0</v>
      </c>
      <c r="E2495" s="6">
        <v>1332942.0</v>
      </c>
      <c r="F2495" s="6">
        <v>0.0</v>
      </c>
      <c r="G2495" s="6">
        <v>24210.0</v>
      </c>
      <c r="H2495" s="6">
        <v>55.0575</v>
      </c>
      <c r="I2495" s="6">
        <v>0.0</v>
      </c>
      <c r="J2495" s="6">
        <v>55.0575</v>
      </c>
    </row>
    <row r="2496">
      <c r="A2496" s="5" t="s">
        <v>58</v>
      </c>
      <c r="B2496" s="5" t="s">
        <v>1867</v>
      </c>
      <c r="C2496" s="5" t="s">
        <v>75</v>
      </c>
      <c r="D2496" s="6">
        <v>20.0</v>
      </c>
      <c r="E2496" s="6">
        <v>1460420.0</v>
      </c>
      <c r="F2496" s="6">
        <v>0.0</v>
      </c>
      <c r="G2496" s="6">
        <v>24210.0</v>
      </c>
      <c r="H2496" s="6">
        <v>60.323</v>
      </c>
      <c r="I2496" s="6">
        <v>0.0</v>
      </c>
      <c r="J2496" s="6">
        <v>60.323</v>
      </c>
    </row>
    <row r="2497">
      <c r="A2497" s="5" t="s">
        <v>58</v>
      </c>
      <c r="B2497" s="5" t="s">
        <v>1867</v>
      </c>
      <c r="C2497" s="5" t="s">
        <v>75</v>
      </c>
      <c r="D2497" s="6">
        <v>21.0</v>
      </c>
      <c r="E2497" s="6">
        <v>2156979.0</v>
      </c>
      <c r="F2497" s="6">
        <v>0.0</v>
      </c>
      <c r="G2497" s="6">
        <v>24210.0</v>
      </c>
      <c r="H2497" s="6">
        <v>89.0945</v>
      </c>
      <c r="I2497" s="6">
        <v>0.0</v>
      </c>
      <c r="J2497" s="6">
        <v>89.0945</v>
      </c>
    </row>
    <row r="2498">
      <c r="A2498" s="5" t="s">
        <v>58</v>
      </c>
      <c r="B2498" s="5" t="s">
        <v>1867</v>
      </c>
      <c r="C2498" s="5" t="s">
        <v>75</v>
      </c>
      <c r="D2498" s="6">
        <v>22.0</v>
      </c>
      <c r="E2498" s="6">
        <v>1738470.0</v>
      </c>
      <c r="F2498" s="6">
        <v>0.0</v>
      </c>
      <c r="G2498" s="6">
        <v>24210.0</v>
      </c>
      <c r="H2498" s="6">
        <v>71.8079</v>
      </c>
      <c r="I2498" s="6">
        <v>0.0</v>
      </c>
      <c r="J2498" s="6">
        <v>71.8079</v>
      </c>
    </row>
    <row r="2499">
      <c r="A2499" s="5" t="s">
        <v>58</v>
      </c>
      <c r="B2499" s="5" t="s">
        <v>1867</v>
      </c>
      <c r="C2499" s="5" t="s">
        <v>75</v>
      </c>
      <c r="D2499" s="6">
        <v>23.0</v>
      </c>
      <c r="E2499" s="6">
        <v>1310151.0</v>
      </c>
      <c r="F2499" s="6">
        <v>0.0</v>
      </c>
      <c r="G2499" s="6">
        <v>24210.0</v>
      </c>
      <c r="H2499" s="6">
        <v>54.1161</v>
      </c>
      <c r="I2499" s="6">
        <v>0.0</v>
      </c>
      <c r="J2499" s="6">
        <v>54.1161</v>
      </c>
    </row>
    <row r="2500">
      <c r="A2500" s="5" t="s">
        <v>58</v>
      </c>
      <c r="B2500" s="5" t="s">
        <v>1867</v>
      </c>
      <c r="C2500" s="5" t="s">
        <v>75</v>
      </c>
      <c r="D2500" s="6">
        <v>24.0</v>
      </c>
      <c r="E2500" s="6">
        <v>1764268.0</v>
      </c>
      <c r="F2500" s="6">
        <v>0.0</v>
      </c>
      <c r="G2500" s="6">
        <v>24210.0</v>
      </c>
      <c r="H2500" s="6">
        <v>72.8735</v>
      </c>
      <c r="I2500" s="6">
        <v>0.0</v>
      </c>
      <c r="J2500" s="6">
        <v>72.8735</v>
      </c>
    </row>
    <row r="2501">
      <c r="A2501" s="5" t="s">
        <v>58</v>
      </c>
      <c r="B2501" s="5" t="s">
        <v>1867</v>
      </c>
      <c r="C2501" s="5" t="s">
        <v>75</v>
      </c>
      <c r="D2501" s="6">
        <v>25.0</v>
      </c>
      <c r="E2501" s="6">
        <v>1351348.0</v>
      </c>
      <c r="F2501" s="6">
        <v>0.0</v>
      </c>
      <c r="G2501" s="6">
        <v>24210.0</v>
      </c>
      <c r="H2501" s="6">
        <v>55.8178</v>
      </c>
      <c r="I2501" s="6">
        <v>0.0</v>
      </c>
      <c r="J2501" s="6">
        <v>55.8178</v>
      </c>
    </row>
    <row r="2502">
      <c r="A2502" s="5" t="s">
        <v>58</v>
      </c>
      <c r="B2502" s="5" t="s">
        <v>1867</v>
      </c>
      <c r="C2502" s="5" t="s">
        <v>75</v>
      </c>
      <c r="D2502" s="6">
        <v>26.0</v>
      </c>
      <c r="E2502" s="6">
        <v>1609222.0</v>
      </c>
      <c r="F2502" s="6">
        <v>0.0</v>
      </c>
      <c r="G2502" s="6">
        <v>24210.0</v>
      </c>
      <c r="H2502" s="6">
        <v>66.4693</v>
      </c>
      <c r="I2502" s="6">
        <v>0.0</v>
      </c>
      <c r="J2502" s="6">
        <v>66.4693</v>
      </c>
    </row>
    <row r="2503">
      <c r="A2503" s="5" t="s">
        <v>58</v>
      </c>
      <c r="B2503" s="5" t="s">
        <v>1867</v>
      </c>
      <c r="C2503" s="5" t="s">
        <v>75</v>
      </c>
      <c r="D2503" s="6">
        <v>27.0</v>
      </c>
      <c r="E2503" s="6">
        <v>1731368.0</v>
      </c>
      <c r="F2503" s="6">
        <v>0.0</v>
      </c>
      <c r="G2503" s="6">
        <v>24210.0</v>
      </c>
      <c r="H2503" s="6">
        <v>71.5146</v>
      </c>
      <c r="I2503" s="6">
        <v>0.0</v>
      </c>
      <c r="J2503" s="6">
        <v>71.5146</v>
      </c>
    </row>
    <row r="2504">
      <c r="A2504" s="5" t="s">
        <v>58</v>
      </c>
      <c r="B2504" s="5" t="s">
        <v>1867</v>
      </c>
      <c r="C2504" s="5" t="s">
        <v>75</v>
      </c>
      <c r="D2504" s="6">
        <v>28.0</v>
      </c>
      <c r="E2504" s="6">
        <v>1180399.0</v>
      </c>
      <c r="F2504" s="6">
        <v>0.0</v>
      </c>
      <c r="G2504" s="6">
        <v>24210.0</v>
      </c>
      <c r="H2504" s="6">
        <v>48.7567</v>
      </c>
      <c r="I2504" s="6">
        <v>0.0</v>
      </c>
      <c r="J2504" s="6">
        <v>48.7567</v>
      </c>
    </row>
    <row r="2505">
      <c r="A2505" s="5" t="s">
        <v>58</v>
      </c>
      <c r="B2505" s="5" t="s">
        <v>1867</v>
      </c>
      <c r="C2505" s="5" t="s">
        <v>75</v>
      </c>
      <c r="D2505" s="6">
        <v>29.0</v>
      </c>
      <c r="E2505" s="6">
        <v>1590501.0</v>
      </c>
      <c r="F2505" s="6">
        <v>0.0</v>
      </c>
      <c r="G2505" s="6">
        <v>24210.0</v>
      </c>
      <c r="H2505" s="6">
        <v>65.696</v>
      </c>
      <c r="I2505" s="6">
        <v>0.0</v>
      </c>
      <c r="J2505" s="6">
        <v>65.696</v>
      </c>
    </row>
    <row r="2506">
      <c r="A2506" s="5" t="s">
        <v>58</v>
      </c>
      <c r="B2506" s="5" t="s">
        <v>1867</v>
      </c>
      <c r="C2506" s="5" t="s">
        <v>75</v>
      </c>
      <c r="D2506" s="6">
        <v>30.0</v>
      </c>
      <c r="E2506" s="6">
        <v>1071413.0</v>
      </c>
      <c r="F2506" s="6">
        <v>0.0</v>
      </c>
      <c r="G2506" s="6">
        <v>24210.0</v>
      </c>
      <c r="H2506" s="6">
        <v>44.255</v>
      </c>
      <c r="I2506" s="6">
        <v>0.0</v>
      </c>
      <c r="J2506" s="6">
        <v>44.255</v>
      </c>
    </row>
    <row r="2507">
      <c r="A2507" s="5" t="s">
        <v>58</v>
      </c>
      <c r="B2507" s="5" t="s">
        <v>1867</v>
      </c>
      <c r="C2507" s="5" t="s">
        <v>75</v>
      </c>
      <c r="D2507" s="6">
        <v>31.0</v>
      </c>
      <c r="E2507" s="6">
        <v>1485766.0</v>
      </c>
      <c r="F2507" s="6">
        <v>0.0</v>
      </c>
      <c r="G2507" s="6">
        <v>24210.0</v>
      </c>
      <c r="H2507" s="6">
        <v>61.3699</v>
      </c>
      <c r="I2507" s="6">
        <v>0.0</v>
      </c>
      <c r="J2507" s="6">
        <v>61.3699</v>
      </c>
    </row>
    <row r="2508">
      <c r="A2508" s="5" t="s">
        <v>58</v>
      </c>
      <c r="B2508" s="5" t="s">
        <v>1867</v>
      </c>
      <c r="C2508" s="5" t="s">
        <v>75</v>
      </c>
      <c r="D2508" s="6">
        <v>32.0</v>
      </c>
      <c r="E2508" s="6">
        <v>1095891.0</v>
      </c>
      <c r="F2508" s="6">
        <v>1.0</v>
      </c>
      <c r="G2508" s="6">
        <v>24210.0</v>
      </c>
      <c r="H2508" s="6">
        <v>45.266</v>
      </c>
      <c r="I2508" s="6">
        <v>0.0</v>
      </c>
      <c r="J2508" s="6">
        <v>45.266</v>
      </c>
    </row>
    <row r="2509">
      <c r="A2509" s="5" t="s">
        <v>58</v>
      </c>
      <c r="B2509" s="5" t="s">
        <v>1867</v>
      </c>
      <c r="C2509" s="5" t="s">
        <v>75</v>
      </c>
      <c r="D2509" s="6">
        <v>33.0</v>
      </c>
      <c r="E2509" s="6">
        <v>1370986.0</v>
      </c>
      <c r="F2509" s="6">
        <v>9.0</v>
      </c>
      <c r="G2509" s="6">
        <v>24210.0</v>
      </c>
      <c r="H2509" s="6">
        <v>56.6289</v>
      </c>
      <c r="I2509" s="6">
        <v>4.0E-4</v>
      </c>
      <c r="J2509" s="6">
        <v>56.6285</v>
      </c>
    </row>
    <row r="2510">
      <c r="A2510" s="5" t="s">
        <v>58</v>
      </c>
      <c r="B2510" s="5" t="s">
        <v>1867</v>
      </c>
      <c r="C2510" s="5" t="s">
        <v>68</v>
      </c>
      <c r="D2510" s="6">
        <v>1.0</v>
      </c>
      <c r="E2510" s="6">
        <v>203797.0</v>
      </c>
      <c r="F2510" s="6">
        <v>0.0</v>
      </c>
      <c r="G2510" s="6">
        <v>22621.0</v>
      </c>
      <c r="H2510" s="6">
        <v>9.0092</v>
      </c>
      <c r="I2510" s="6">
        <v>0.0</v>
      </c>
      <c r="J2510" s="6">
        <v>9.0092</v>
      </c>
    </row>
    <row r="2511">
      <c r="A2511" s="5" t="s">
        <v>58</v>
      </c>
      <c r="B2511" s="5" t="s">
        <v>1867</v>
      </c>
      <c r="C2511" s="5" t="s">
        <v>68</v>
      </c>
      <c r="D2511" s="6">
        <v>2.0</v>
      </c>
      <c r="E2511" s="6">
        <v>669414.0</v>
      </c>
      <c r="F2511" s="6">
        <v>0.0</v>
      </c>
      <c r="G2511" s="6">
        <v>22621.0</v>
      </c>
      <c r="H2511" s="6">
        <v>29.5926</v>
      </c>
      <c r="I2511" s="6">
        <v>0.0</v>
      </c>
      <c r="J2511" s="6">
        <v>29.5926</v>
      </c>
    </row>
    <row r="2512">
      <c r="A2512" s="5" t="s">
        <v>58</v>
      </c>
      <c r="B2512" s="5" t="s">
        <v>1867</v>
      </c>
      <c r="C2512" s="5" t="s">
        <v>68</v>
      </c>
      <c r="D2512" s="6">
        <v>3.0</v>
      </c>
      <c r="E2512" s="6">
        <v>486455.0</v>
      </c>
      <c r="F2512" s="6">
        <v>0.0</v>
      </c>
      <c r="G2512" s="6">
        <v>22621.0</v>
      </c>
      <c r="H2512" s="6">
        <v>21.5046</v>
      </c>
      <c r="I2512" s="6">
        <v>0.0</v>
      </c>
      <c r="J2512" s="6">
        <v>21.5046</v>
      </c>
    </row>
    <row r="2513">
      <c r="A2513" s="5" t="s">
        <v>58</v>
      </c>
      <c r="B2513" s="5" t="s">
        <v>1867</v>
      </c>
      <c r="C2513" s="5" t="s">
        <v>68</v>
      </c>
      <c r="D2513" s="6">
        <v>4.0</v>
      </c>
      <c r="E2513" s="6">
        <v>416517.0</v>
      </c>
      <c r="F2513" s="6">
        <v>0.0</v>
      </c>
      <c r="G2513" s="6">
        <v>22621.0</v>
      </c>
      <c r="H2513" s="6">
        <v>18.4128</v>
      </c>
      <c r="I2513" s="6">
        <v>0.0</v>
      </c>
      <c r="J2513" s="6">
        <v>18.4128</v>
      </c>
    </row>
    <row r="2514">
      <c r="A2514" s="5" t="s">
        <v>58</v>
      </c>
      <c r="B2514" s="5" t="s">
        <v>1867</v>
      </c>
      <c r="C2514" s="5" t="s">
        <v>68</v>
      </c>
      <c r="D2514" s="6">
        <v>5.0</v>
      </c>
      <c r="E2514" s="6">
        <v>285189.0</v>
      </c>
      <c r="F2514" s="6">
        <v>0.0</v>
      </c>
      <c r="G2514" s="6">
        <v>22621.0</v>
      </c>
      <c r="H2514" s="6">
        <v>12.6073</v>
      </c>
      <c r="I2514" s="6">
        <v>0.0</v>
      </c>
      <c r="J2514" s="6">
        <v>12.6073</v>
      </c>
    </row>
    <row r="2515">
      <c r="A2515" s="5" t="s">
        <v>58</v>
      </c>
      <c r="B2515" s="5" t="s">
        <v>1867</v>
      </c>
      <c r="C2515" s="5" t="s">
        <v>68</v>
      </c>
      <c r="D2515" s="6">
        <v>6.0</v>
      </c>
      <c r="E2515" s="6">
        <v>207482.0</v>
      </c>
      <c r="F2515" s="6">
        <v>0.0</v>
      </c>
      <c r="G2515" s="6">
        <v>22621.0</v>
      </c>
      <c r="H2515" s="6">
        <v>9.1721</v>
      </c>
      <c r="I2515" s="6">
        <v>0.0</v>
      </c>
      <c r="J2515" s="6">
        <v>9.1721</v>
      </c>
    </row>
    <row r="2516">
      <c r="A2516" s="5" t="s">
        <v>58</v>
      </c>
      <c r="B2516" s="5" t="s">
        <v>1867</v>
      </c>
      <c r="C2516" s="5" t="s">
        <v>68</v>
      </c>
      <c r="D2516" s="6">
        <v>7.0</v>
      </c>
      <c r="E2516" s="6">
        <v>330552.0</v>
      </c>
      <c r="F2516" s="6">
        <v>0.0</v>
      </c>
      <c r="G2516" s="6">
        <v>22621.0</v>
      </c>
      <c r="H2516" s="6">
        <v>14.6126</v>
      </c>
      <c r="I2516" s="6">
        <v>0.0</v>
      </c>
      <c r="J2516" s="6">
        <v>14.6126</v>
      </c>
    </row>
    <row r="2517">
      <c r="A2517" s="5" t="s">
        <v>58</v>
      </c>
      <c r="B2517" s="5" t="s">
        <v>1867</v>
      </c>
      <c r="C2517" s="5" t="s">
        <v>68</v>
      </c>
      <c r="D2517" s="6">
        <v>8.0</v>
      </c>
      <c r="E2517" s="6">
        <v>213019.0</v>
      </c>
      <c r="F2517" s="6">
        <v>0.0</v>
      </c>
      <c r="G2517" s="6">
        <v>22621.0</v>
      </c>
      <c r="H2517" s="6">
        <v>9.4169</v>
      </c>
      <c r="I2517" s="6">
        <v>0.0</v>
      </c>
      <c r="J2517" s="6">
        <v>9.4169</v>
      </c>
    </row>
    <row r="2518">
      <c r="A2518" s="5" t="s">
        <v>58</v>
      </c>
      <c r="B2518" s="5" t="s">
        <v>1867</v>
      </c>
      <c r="C2518" s="5" t="s">
        <v>68</v>
      </c>
      <c r="D2518" s="6">
        <v>9.0</v>
      </c>
      <c r="E2518" s="6">
        <v>283698.0</v>
      </c>
      <c r="F2518" s="6">
        <v>0.0</v>
      </c>
      <c r="G2518" s="6">
        <v>22621.0</v>
      </c>
      <c r="H2518" s="6">
        <v>12.5414</v>
      </c>
      <c r="I2518" s="6">
        <v>0.0</v>
      </c>
      <c r="J2518" s="6">
        <v>12.5414</v>
      </c>
    </row>
    <row r="2519">
      <c r="A2519" s="5" t="s">
        <v>58</v>
      </c>
      <c r="B2519" s="5" t="s">
        <v>1867</v>
      </c>
      <c r="C2519" s="5" t="s">
        <v>68</v>
      </c>
      <c r="D2519" s="6">
        <v>10.0</v>
      </c>
      <c r="E2519" s="6">
        <v>471200.0</v>
      </c>
      <c r="F2519" s="6">
        <v>0.0</v>
      </c>
      <c r="G2519" s="6">
        <v>22621.0</v>
      </c>
      <c r="H2519" s="6">
        <v>20.8302</v>
      </c>
      <c r="I2519" s="6">
        <v>0.0</v>
      </c>
      <c r="J2519" s="6">
        <v>20.8302</v>
      </c>
    </row>
    <row r="2520">
      <c r="A2520" s="5" t="s">
        <v>58</v>
      </c>
      <c r="B2520" s="5" t="s">
        <v>1867</v>
      </c>
      <c r="C2520" s="5" t="s">
        <v>68</v>
      </c>
      <c r="D2520" s="6">
        <v>11.0</v>
      </c>
      <c r="E2520" s="6">
        <v>391795.0</v>
      </c>
      <c r="F2520" s="6">
        <v>0.0</v>
      </c>
      <c r="G2520" s="6">
        <v>22621.0</v>
      </c>
      <c r="H2520" s="6">
        <v>17.32</v>
      </c>
      <c r="I2520" s="6">
        <v>0.0</v>
      </c>
      <c r="J2520" s="6">
        <v>17.32</v>
      </c>
    </row>
    <row r="2521">
      <c r="A2521" s="5" t="s">
        <v>58</v>
      </c>
      <c r="B2521" s="5" t="s">
        <v>1867</v>
      </c>
      <c r="C2521" s="5" t="s">
        <v>68</v>
      </c>
      <c r="D2521" s="6">
        <v>12.0</v>
      </c>
      <c r="E2521" s="6">
        <v>258436.0</v>
      </c>
      <c r="F2521" s="6">
        <v>0.0</v>
      </c>
      <c r="G2521" s="6">
        <v>22621.0</v>
      </c>
      <c r="H2521" s="6">
        <v>11.4246</v>
      </c>
      <c r="I2521" s="6">
        <v>0.0</v>
      </c>
      <c r="J2521" s="6">
        <v>11.4246</v>
      </c>
    </row>
    <row r="2522">
      <c r="A2522" s="5" t="s">
        <v>58</v>
      </c>
      <c r="B2522" s="5" t="s">
        <v>1867</v>
      </c>
      <c r="C2522" s="5" t="s">
        <v>68</v>
      </c>
      <c r="D2522" s="6">
        <v>13.0</v>
      </c>
      <c r="E2522" s="6">
        <v>200824.0</v>
      </c>
      <c r="F2522" s="6">
        <v>0.0</v>
      </c>
      <c r="G2522" s="6">
        <v>22621.0</v>
      </c>
      <c r="H2522" s="6">
        <v>8.8778</v>
      </c>
      <c r="I2522" s="6">
        <v>0.0</v>
      </c>
      <c r="J2522" s="6">
        <v>8.8778</v>
      </c>
    </row>
    <row r="2523">
      <c r="A2523" s="5" t="s">
        <v>58</v>
      </c>
      <c r="B2523" s="5" t="s">
        <v>1867</v>
      </c>
      <c r="C2523" s="5" t="s">
        <v>68</v>
      </c>
      <c r="D2523" s="6">
        <v>14.0</v>
      </c>
      <c r="E2523" s="6">
        <v>318440.0</v>
      </c>
      <c r="F2523" s="6">
        <v>0.0</v>
      </c>
      <c r="G2523" s="6">
        <v>22621.0</v>
      </c>
      <c r="H2523" s="6">
        <v>14.0772</v>
      </c>
      <c r="I2523" s="6">
        <v>0.0</v>
      </c>
      <c r="J2523" s="6">
        <v>14.0772</v>
      </c>
    </row>
    <row r="2524">
      <c r="A2524" s="5" t="s">
        <v>58</v>
      </c>
      <c r="B2524" s="5" t="s">
        <v>1867</v>
      </c>
      <c r="C2524" s="5" t="s">
        <v>68</v>
      </c>
      <c r="D2524" s="6">
        <v>15.0</v>
      </c>
      <c r="E2524" s="6">
        <v>198549.0</v>
      </c>
      <c r="F2524" s="6">
        <v>0.0</v>
      </c>
      <c r="G2524" s="6">
        <v>22621.0</v>
      </c>
      <c r="H2524" s="6">
        <v>8.7772</v>
      </c>
      <c r="I2524" s="6">
        <v>0.0</v>
      </c>
      <c r="J2524" s="6">
        <v>8.7772</v>
      </c>
    </row>
    <row r="2525">
      <c r="A2525" s="5" t="s">
        <v>58</v>
      </c>
      <c r="B2525" s="5" t="s">
        <v>1867</v>
      </c>
      <c r="C2525" s="5" t="s">
        <v>68</v>
      </c>
      <c r="D2525" s="6">
        <v>16.0</v>
      </c>
      <c r="E2525" s="6">
        <v>593078.0</v>
      </c>
      <c r="F2525" s="6">
        <v>0.0</v>
      </c>
      <c r="G2525" s="6">
        <v>22621.0</v>
      </c>
      <c r="H2525" s="6">
        <v>26.218</v>
      </c>
      <c r="I2525" s="6">
        <v>0.0</v>
      </c>
      <c r="J2525" s="6">
        <v>26.218</v>
      </c>
    </row>
    <row r="2526">
      <c r="A2526" s="5" t="s">
        <v>58</v>
      </c>
      <c r="B2526" s="5" t="s">
        <v>1867</v>
      </c>
      <c r="C2526" s="5" t="s">
        <v>68</v>
      </c>
      <c r="D2526" s="6">
        <v>17.0</v>
      </c>
      <c r="E2526" s="6">
        <v>479416.0</v>
      </c>
      <c r="F2526" s="6">
        <v>0.0</v>
      </c>
      <c r="G2526" s="6">
        <v>22621.0</v>
      </c>
      <c r="H2526" s="6">
        <v>21.1934</v>
      </c>
      <c r="I2526" s="6">
        <v>0.0</v>
      </c>
      <c r="J2526" s="6">
        <v>21.1934</v>
      </c>
    </row>
    <row r="2527">
      <c r="A2527" s="5" t="s">
        <v>58</v>
      </c>
      <c r="B2527" s="5" t="s">
        <v>1867</v>
      </c>
      <c r="C2527" s="5" t="s">
        <v>68</v>
      </c>
      <c r="D2527" s="6">
        <v>18.0</v>
      </c>
      <c r="E2527" s="6">
        <v>405606.0</v>
      </c>
      <c r="F2527" s="6">
        <v>0.0</v>
      </c>
      <c r="G2527" s="6">
        <v>22621.0</v>
      </c>
      <c r="H2527" s="6">
        <v>17.9305</v>
      </c>
      <c r="I2527" s="6">
        <v>0.0</v>
      </c>
      <c r="J2527" s="6">
        <v>17.9305</v>
      </c>
    </row>
    <row r="2528">
      <c r="A2528" s="5" t="s">
        <v>58</v>
      </c>
      <c r="B2528" s="5" t="s">
        <v>1867</v>
      </c>
      <c r="C2528" s="5" t="s">
        <v>68</v>
      </c>
      <c r="D2528" s="6">
        <v>19.0</v>
      </c>
      <c r="E2528" s="6">
        <v>264258.0</v>
      </c>
      <c r="F2528" s="6">
        <v>0.0</v>
      </c>
      <c r="G2528" s="6">
        <v>22621.0</v>
      </c>
      <c r="H2528" s="6">
        <v>11.682</v>
      </c>
      <c r="I2528" s="6">
        <v>0.0</v>
      </c>
      <c r="J2528" s="6">
        <v>11.682</v>
      </c>
    </row>
    <row r="2529">
      <c r="A2529" s="5" t="s">
        <v>58</v>
      </c>
      <c r="B2529" s="5" t="s">
        <v>1867</v>
      </c>
      <c r="C2529" s="5" t="s">
        <v>68</v>
      </c>
      <c r="D2529" s="6">
        <v>20.0</v>
      </c>
      <c r="E2529" s="6">
        <v>191605.0</v>
      </c>
      <c r="F2529" s="6">
        <v>0.0</v>
      </c>
      <c r="G2529" s="6">
        <v>22621.0</v>
      </c>
      <c r="H2529" s="6">
        <v>8.4702</v>
      </c>
      <c r="I2529" s="6">
        <v>0.0</v>
      </c>
      <c r="J2529" s="6">
        <v>8.4702</v>
      </c>
    </row>
    <row r="2530">
      <c r="A2530" s="5" t="s">
        <v>58</v>
      </c>
      <c r="B2530" s="5" t="s">
        <v>1867</v>
      </c>
      <c r="C2530" s="5" t="s">
        <v>68</v>
      </c>
      <c r="D2530" s="6">
        <v>21.0</v>
      </c>
      <c r="E2530" s="6">
        <v>311340.0</v>
      </c>
      <c r="F2530" s="6">
        <v>0.0</v>
      </c>
      <c r="G2530" s="6">
        <v>22621.0</v>
      </c>
      <c r="H2530" s="6">
        <v>13.7633</v>
      </c>
      <c r="I2530" s="6">
        <v>0.0</v>
      </c>
      <c r="J2530" s="6">
        <v>13.7633</v>
      </c>
    </row>
    <row r="2531">
      <c r="A2531" s="5" t="s">
        <v>58</v>
      </c>
      <c r="B2531" s="5" t="s">
        <v>1867</v>
      </c>
      <c r="C2531" s="5" t="s">
        <v>68</v>
      </c>
      <c r="D2531" s="6">
        <v>22.0</v>
      </c>
      <c r="E2531" s="6">
        <v>172771.0</v>
      </c>
      <c r="F2531" s="6">
        <v>0.0</v>
      </c>
      <c r="G2531" s="6">
        <v>22621.0</v>
      </c>
      <c r="H2531" s="6">
        <v>7.6376</v>
      </c>
      <c r="I2531" s="6">
        <v>0.0</v>
      </c>
      <c r="J2531" s="6">
        <v>7.6376</v>
      </c>
    </row>
    <row r="2532">
      <c r="A2532" s="5" t="s">
        <v>58</v>
      </c>
      <c r="B2532" s="5" t="s">
        <v>1867</v>
      </c>
      <c r="C2532" s="5" t="s">
        <v>68</v>
      </c>
      <c r="D2532" s="6">
        <v>23.0</v>
      </c>
      <c r="E2532" s="6">
        <v>247125.0</v>
      </c>
      <c r="F2532" s="6">
        <v>0.0</v>
      </c>
      <c r="G2532" s="6">
        <v>22621.0</v>
      </c>
      <c r="H2532" s="6">
        <v>10.9246</v>
      </c>
      <c r="I2532" s="6">
        <v>0.0</v>
      </c>
      <c r="J2532" s="6">
        <v>10.9246</v>
      </c>
    </row>
    <row r="2533">
      <c r="A2533" s="5" t="s">
        <v>58</v>
      </c>
      <c r="B2533" s="5" t="s">
        <v>1867</v>
      </c>
      <c r="C2533" s="5" t="s">
        <v>68</v>
      </c>
      <c r="D2533" s="6">
        <v>24.0</v>
      </c>
      <c r="E2533" s="6">
        <v>428099.0</v>
      </c>
      <c r="F2533" s="6">
        <v>0.0</v>
      </c>
      <c r="G2533" s="6">
        <v>22621.0</v>
      </c>
      <c r="H2533" s="6">
        <v>18.9248</v>
      </c>
      <c r="I2533" s="6">
        <v>0.0</v>
      </c>
      <c r="J2533" s="6">
        <v>18.9248</v>
      </c>
    </row>
    <row r="2534">
      <c r="A2534" s="5" t="s">
        <v>58</v>
      </c>
      <c r="B2534" s="5" t="s">
        <v>1867</v>
      </c>
      <c r="C2534" s="5" t="s">
        <v>68</v>
      </c>
      <c r="D2534" s="6">
        <v>25.0</v>
      </c>
      <c r="E2534" s="6">
        <v>362496.0</v>
      </c>
      <c r="F2534" s="6">
        <v>0.0</v>
      </c>
      <c r="G2534" s="6">
        <v>22621.0</v>
      </c>
      <c r="H2534" s="6">
        <v>16.0248</v>
      </c>
      <c r="I2534" s="6">
        <v>0.0</v>
      </c>
      <c r="J2534" s="6">
        <v>16.0248</v>
      </c>
    </row>
    <row r="2535">
      <c r="A2535" s="5" t="s">
        <v>58</v>
      </c>
      <c r="B2535" s="5" t="s">
        <v>1867</v>
      </c>
      <c r="C2535" s="5" t="s">
        <v>68</v>
      </c>
      <c r="D2535" s="6">
        <v>26.0</v>
      </c>
      <c r="E2535" s="6">
        <v>226575.0</v>
      </c>
      <c r="F2535" s="6">
        <v>0.0</v>
      </c>
      <c r="G2535" s="6">
        <v>22621.0</v>
      </c>
      <c r="H2535" s="6">
        <v>10.0161</v>
      </c>
      <c r="I2535" s="6">
        <v>0.0</v>
      </c>
      <c r="J2535" s="6">
        <v>10.0161</v>
      </c>
    </row>
    <row r="2536">
      <c r="A2536" s="5" t="s">
        <v>58</v>
      </c>
      <c r="B2536" s="5" t="s">
        <v>1867</v>
      </c>
      <c r="C2536" s="5" t="s">
        <v>68</v>
      </c>
      <c r="D2536" s="6">
        <v>27.0</v>
      </c>
      <c r="E2536" s="6">
        <v>167252.0</v>
      </c>
      <c r="F2536" s="6">
        <v>0.0</v>
      </c>
      <c r="G2536" s="6">
        <v>22621.0</v>
      </c>
      <c r="H2536" s="6">
        <v>7.3937</v>
      </c>
      <c r="I2536" s="6">
        <v>0.0</v>
      </c>
      <c r="J2536" s="6">
        <v>7.3937</v>
      </c>
    </row>
    <row r="2537">
      <c r="A2537" s="5" t="s">
        <v>58</v>
      </c>
      <c r="B2537" s="5" t="s">
        <v>1867</v>
      </c>
      <c r="C2537" s="5" t="s">
        <v>68</v>
      </c>
      <c r="D2537" s="6">
        <v>28.0</v>
      </c>
      <c r="E2537" s="6">
        <v>297803.0</v>
      </c>
      <c r="F2537" s="6">
        <v>0.0</v>
      </c>
      <c r="G2537" s="6">
        <v>22621.0</v>
      </c>
      <c r="H2537" s="6">
        <v>13.1649</v>
      </c>
      <c r="I2537" s="6">
        <v>0.0</v>
      </c>
      <c r="J2537" s="6">
        <v>13.1649</v>
      </c>
    </row>
    <row r="2538">
      <c r="A2538" s="5" t="s">
        <v>58</v>
      </c>
      <c r="B2538" s="5" t="s">
        <v>1867</v>
      </c>
      <c r="C2538" s="5" t="s">
        <v>68</v>
      </c>
      <c r="D2538" s="6">
        <v>29.0</v>
      </c>
      <c r="E2538" s="6">
        <v>185375.0</v>
      </c>
      <c r="F2538" s="6">
        <v>0.0</v>
      </c>
      <c r="G2538" s="6">
        <v>22621.0</v>
      </c>
      <c r="H2538" s="6">
        <v>8.1948</v>
      </c>
      <c r="I2538" s="6">
        <v>0.0</v>
      </c>
      <c r="J2538" s="6">
        <v>8.1948</v>
      </c>
    </row>
    <row r="2539">
      <c r="A2539" s="5" t="s">
        <v>58</v>
      </c>
      <c r="B2539" s="5" t="s">
        <v>1867</v>
      </c>
      <c r="C2539" s="5" t="s">
        <v>68</v>
      </c>
      <c r="D2539" s="6">
        <v>30.0</v>
      </c>
      <c r="E2539" s="6">
        <v>607793.0</v>
      </c>
      <c r="F2539" s="6">
        <v>0.0</v>
      </c>
      <c r="G2539" s="6">
        <v>22621.0</v>
      </c>
      <c r="H2539" s="6">
        <v>26.8685</v>
      </c>
      <c r="I2539" s="6">
        <v>0.0</v>
      </c>
      <c r="J2539" s="6">
        <v>26.8685</v>
      </c>
    </row>
    <row r="2540">
      <c r="A2540" s="5" t="s">
        <v>58</v>
      </c>
      <c r="B2540" s="5" t="s">
        <v>1867</v>
      </c>
      <c r="C2540" s="5" t="s">
        <v>68</v>
      </c>
      <c r="D2540" s="6">
        <v>31.0</v>
      </c>
      <c r="E2540" s="6">
        <v>504973.0</v>
      </c>
      <c r="F2540" s="6">
        <v>0.0</v>
      </c>
      <c r="G2540" s="6">
        <v>22621.0</v>
      </c>
      <c r="H2540" s="6">
        <v>22.3232</v>
      </c>
      <c r="I2540" s="6">
        <v>0.0</v>
      </c>
      <c r="J2540" s="6">
        <v>22.3232</v>
      </c>
    </row>
    <row r="2541">
      <c r="A2541" s="5" t="s">
        <v>58</v>
      </c>
      <c r="B2541" s="5" t="s">
        <v>1867</v>
      </c>
      <c r="C2541" s="5" t="s">
        <v>68</v>
      </c>
      <c r="D2541" s="6">
        <v>32.0</v>
      </c>
      <c r="E2541" s="6">
        <v>381971.0</v>
      </c>
      <c r="F2541" s="6">
        <v>0.0</v>
      </c>
      <c r="G2541" s="6">
        <v>22621.0</v>
      </c>
      <c r="H2541" s="6">
        <v>16.8857</v>
      </c>
      <c r="I2541" s="6">
        <v>0.0</v>
      </c>
      <c r="J2541" s="6">
        <v>16.8857</v>
      </c>
    </row>
    <row r="2542">
      <c r="A2542" s="5" t="s">
        <v>58</v>
      </c>
      <c r="B2542" s="5" t="s">
        <v>1867</v>
      </c>
      <c r="C2542" s="5" t="s">
        <v>68</v>
      </c>
      <c r="D2542" s="6">
        <v>33.0</v>
      </c>
      <c r="E2542" s="6">
        <v>251135.0</v>
      </c>
      <c r="F2542" s="6">
        <v>0.0</v>
      </c>
      <c r="G2542" s="6">
        <v>22621.0</v>
      </c>
      <c r="H2542" s="6">
        <v>11.1019</v>
      </c>
      <c r="I2542" s="6">
        <v>0.0</v>
      </c>
      <c r="J2542" s="6">
        <v>11.1019</v>
      </c>
    </row>
    <row r="2543">
      <c r="A2543" s="5" t="s">
        <v>58</v>
      </c>
      <c r="B2543" s="5" t="s">
        <v>1867</v>
      </c>
      <c r="C2543" s="5" t="s">
        <v>2035</v>
      </c>
      <c r="D2543" s="6">
        <v>1.0</v>
      </c>
      <c r="E2543" s="6">
        <v>0.0</v>
      </c>
      <c r="F2543" s="6">
        <v>0.0</v>
      </c>
      <c r="G2543" s="6">
        <v>4076.0</v>
      </c>
      <c r="H2543" s="6">
        <v>0.0</v>
      </c>
      <c r="I2543" s="6">
        <v>0.0</v>
      </c>
      <c r="J2543" s="6">
        <v>0.0</v>
      </c>
    </row>
    <row r="2544">
      <c r="A2544" s="5" t="s">
        <v>58</v>
      </c>
      <c r="B2544" s="5" t="s">
        <v>1867</v>
      </c>
      <c r="C2544" s="5" t="s">
        <v>2035</v>
      </c>
      <c r="D2544" s="6">
        <v>2.0</v>
      </c>
      <c r="E2544" s="6">
        <v>5430.0</v>
      </c>
      <c r="F2544" s="6">
        <v>0.0</v>
      </c>
      <c r="G2544" s="6">
        <v>4076.0</v>
      </c>
      <c r="H2544" s="6">
        <v>1.3322</v>
      </c>
      <c r="I2544" s="6">
        <v>0.0</v>
      </c>
      <c r="J2544" s="6">
        <v>1.3322</v>
      </c>
    </row>
    <row r="2545">
      <c r="A2545" s="5" t="s">
        <v>58</v>
      </c>
      <c r="B2545" s="5" t="s">
        <v>1867</v>
      </c>
      <c r="C2545" s="5" t="s">
        <v>2035</v>
      </c>
      <c r="D2545" s="6">
        <v>3.0</v>
      </c>
      <c r="E2545" s="6">
        <v>4425.0</v>
      </c>
      <c r="F2545" s="6">
        <v>0.0</v>
      </c>
      <c r="G2545" s="6">
        <v>4076.0</v>
      </c>
      <c r="H2545" s="6">
        <v>1.0856</v>
      </c>
      <c r="I2545" s="6">
        <v>0.0</v>
      </c>
      <c r="J2545" s="6">
        <v>1.0856</v>
      </c>
    </row>
    <row r="2546">
      <c r="A2546" s="5" t="s">
        <v>58</v>
      </c>
      <c r="B2546" s="5" t="s">
        <v>1867</v>
      </c>
      <c r="C2546" s="5" t="s">
        <v>2035</v>
      </c>
      <c r="D2546" s="6">
        <v>4.0</v>
      </c>
      <c r="E2546" s="6">
        <v>4650.0</v>
      </c>
      <c r="F2546" s="6">
        <v>0.0</v>
      </c>
      <c r="G2546" s="6">
        <v>4076.0</v>
      </c>
      <c r="H2546" s="6">
        <v>1.1408</v>
      </c>
      <c r="I2546" s="6">
        <v>0.0</v>
      </c>
      <c r="J2546" s="6">
        <v>1.1408</v>
      </c>
    </row>
    <row r="2547">
      <c r="A2547" s="5" t="s">
        <v>58</v>
      </c>
      <c r="B2547" s="5" t="s">
        <v>1867</v>
      </c>
      <c r="C2547" s="5" t="s">
        <v>2035</v>
      </c>
      <c r="D2547" s="6">
        <v>5.0</v>
      </c>
      <c r="E2547" s="6">
        <v>4165.0</v>
      </c>
      <c r="F2547" s="6">
        <v>0.0</v>
      </c>
      <c r="G2547" s="6">
        <v>4076.0</v>
      </c>
      <c r="H2547" s="6">
        <v>1.0218</v>
      </c>
      <c r="I2547" s="6">
        <v>0.0</v>
      </c>
      <c r="J2547" s="6">
        <v>1.0218</v>
      </c>
    </row>
    <row r="2548">
      <c r="A2548" s="5" t="s">
        <v>58</v>
      </c>
      <c r="B2548" s="5" t="s">
        <v>1867</v>
      </c>
      <c r="C2548" s="5" t="s">
        <v>2035</v>
      </c>
      <c r="D2548" s="6">
        <v>6.0</v>
      </c>
      <c r="E2548" s="6">
        <v>4475.0</v>
      </c>
      <c r="F2548" s="6">
        <v>0.0</v>
      </c>
      <c r="G2548" s="6">
        <v>4076.0</v>
      </c>
      <c r="H2548" s="6">
        <v>1.0979</v>
      </c>
      <c r="I2548" s="6">
        <v>0.0</v>
      </c>
      <c r="J2548" s="6">
        <v>1.0979</v>
      </c>
    </row>
    <row r="2549">
      <c r="A2549" s="5" t="s">
        <v>58</v>
      </c>
      <c r="B2549" s="5" t="s">
        <v>1867</v>
      </c>
      <c r="C2549" s="5" t="s">
        <v>2035</v>
      </c>
      <c r="D2549" s="6">
        <v>7.0</v>
      </c>
      <c r="E2549" s="6">
        <v>3710.0</v>
      </c>
      <c r="F2549" s="6">
        <v>0.0</v>
      </c>
      <c r="G2549" s="6">
        <v>4076.0</v>
      </c>
      <c r="H2549" s="6">
        <v>0.9102</v>
      </c>
      <c r="I2549" s="6">
        <v>0.0</v>
      </c>
      <c r="J2549" s="6">
        <v>0.9102</v>
      </c>
    </row>
    <row r="2550">
      <c r="A2550" s="5" t="s">
        <v>58</v>
      </c>
      <c r="B2550" s="5" t="s">
        <v>1867</v>
      </c>
      <c r="C2550" s="5" t="s">
        <v>2035</v>
      </c>
      <c r="D2550" s="6">
        <v>8.0</v>
      </c>
      <c r="E2550" s="6">
        <v>2885.0</v>
      </c>
      <c r="F2550" s="6">
        <v>0.0</v>
      </c>
      <c r="G2550" s="6">
        <v>4076.0</v>
      </c>
      <c r="H2550" s="6">
        <v>0.7078</v>
      </c>
      <c r="I2550" s="6">
        <v>0.0</v>
      </c>
      <c r="J2550" s="6">
        <v>0.7078</v>
      </c>
    </row>
    <row r="2551">
      <c r="A2551" s="5" t="s">
        <v>58</v>
      </c>
      <c r="B2551" s="5" t="s">
        <v>1867</v>
      </c>
      <c r="C2551" s="5" t="s">
        <v>2035</v>
      </c>
      <c r="D2551" s="6">
        <v>9.0</v>
      </c>
      <c r="E2551" s="6">
        <v>160.0</v>
      </c>
      <c r="F2551" s="6">
        <v>0.0</v>
      </c>
      <c r="G2551" s="6">
        <v>4076.0</v>
      </c>
      <c r="H2551" s="6">
        <v>0.0393</v>
      </c>
      <c r="I2551" s="6">
        <v>0.0</v>
      </c>
      <c r="J2551" s="6">
        <v>0.0393</v>
      </c>
    </row>
    <row r="2552">
      <c r="A2552" s="5" t="s">
        <v>58</v>
      </c>
      <c r="B2552" s="5" t="s">
        <v>1867</v>
      </c>
      <c r="C2552" s="5" t="s">
        <v>2035</v>
      </c>
      <c r="D2552" s="6">
        <v>10.0</v>
      </c>
      <c r="E2552" s="6">
        <v>55.0</v>
      </c>
      <c r="F2552" s="6">
        <v>0.0</v>
      </c>
      <c r="G2552" s="6">
        <v>4076.0</v>
      </c>
      <c r="H2552" s="6">
        <v>0.0135</v>
      </c>
      <c r="I2552" s="6">
        <v>0.0</v>
      </c>
      <c r="J2552" s="6">
        <v>0.0135</v>
      </c>
    </row>
    <row r="2553">
      <c r="A2553" s="5" t="s">
        <v>58</v>
      </c>
      <c r="B2553" s="5" t="s">
        <v>1867</v>
      </c>
      <c r="C2553" s="5" t="s">
        <v>2035</v>
      </c>
      <c r="D2553" s="6">
        <v>11.0</v>
      </c>
      <c r="E2553" s="6">
        <v>15.0</v>
      </c>
      <c r="F2553" s="6">
        <v>0.0</v>
      </c>
      <c r="G2553" s="6">
        <v>4076.0</v>
      </c>
      <c r="H2553" s="6">
        <v>0.0037</v>
      </c>
      <c r="I2553" s="6">
        <v>0.0</v>
      </c>
      <c r="J2553" s="6">
        <v>0.0037</v>
      </c>
    </row>
    <row r="2554">
      <c r="A2554" s="5" t="s">
        <v>58</v>
      </c>
      <c r="B2554" s="5" t="s">
        <v>1867</v>
      </c>
      <c r="C2554" s="5" t="s">
        <v>2035</v>
      </c>
      <c r="D2554" s="6">
        <v>12.0</v>
      </c>
      <c r="E2554" s="6">
        <v>15.0</v>
      </c>
      <c r="F2554" s="6">
        <v>0.0</v>
      </c>
      <c r="G2554" s="6">
        <v>4076.0</v>
      </c>
      <c r="H2554" s="6">
        <v>0.0037</v>
      </c>
      <c r="I2554" s="6">
        <v>0.0</v>
      </c>
      <c r="J2554" s="6">
        <v>0.0037</v>
      </c>
    </row>
    <row r="2555">
      <c r="A2555" s="5" t="s">
        <v>58</v>
      </c>
      <c r="B2555" s="5" t="s">
        <v>1867</v>
      </c>
      <c r="C2555" s="5" t="s">
        <v>2035</v>
      </c>
      <c r="D2555" s="6">
        <v>13.0</v>
      </c>
      <c r="E2555" s="6">
        <v>45.0</v>
      </c>
      <c r="F2555" s="6">
        <v>0.0</v>
      </c>
      <c r="G2555" s="6">
        <v>4076.0</v>
      </c>
      <c r="H2555" s="6">
        <v>0.011</v>
      </c>
      <c r="I2555" s="6">
        <v>0.0</v>
      </c>
      <c r="J2555" s="6">
        <v>0.011</v>
      </c>
    </row>
    <row r="2556">
      <c r="A2556" s="5" t="s">
        <v>58</v>
      </c>
      <c r="B2556" s="5" t="s">
        <v>1867</v>
      </c>
      <c r="C2556" s="5" t="s">
        <v>2035</v>
      </c>
      <c r="D2556" s="6">
        <v>14.0</v>
      </c>
      <c r="E2556" s="6">
        <v>30.0</v>
      </c>
      <c r="F2556" s="6">
        <v>0.0</v>
      </c>
      <c r="G2556" s="6">
        <v>4076.0</v>
      </c>
      <c r="H2556" s="6">
        <v>0.0074</v>
      </c>
      <c r="I2556" s="6">
        <v>0.0</v>
      </c>
      <c r="J2556" s="6">
        <v>0.0074</v>
      </c>
    </row>
    <row r="2557">
      <c r="A2557" s="5" t="s">
        <v>58</v>
      </c>
      <c r="B2557" s="5" t="s">
        <v>1867</v>
      </c>
      <c r="C2557" s="5" t="s">
        <v>2035</v>
      </c>
      <c r="D2557" s="6">
        <v>15.0</v>
      </c>
      <c r="E2557" s="6">
        <v>40.0</v>
      </c>
      <c r="F2557" s="6">
        <v>0.0</v>
      </c>
      <c r="G2557" s="6">
        <v>4076.0</v>
      </c>
      <c r="H2557" s="6">
        <v>0.0098</v>
      </c>
      <c r="I2557" s="6">
        <v>0.0</v>
      </c>
      <c r="J2557" s="6">
        <v>0.0098</v>
      </c>
    </row>
    <row r="2558">
      <c r="A2558" s="5" t="s">
        <v>58</v>
      </c>
      <c r="B2558" s="5" t="s">
        <v>1867</v>
      </c>
      <c r="C2558" s="5" t="s">
        <v>2035</v>
      </c>
      <c r="D2558" s="6">
        <v>16.0</v>
      </c>
      <c r="E2558" s="6">
        <v>4740.0</v>
      </c>
      <c r="F2558" s="6">
        <v>0.0</v>
      </c>
      <c r="G2558" s="6">
        <v>4076.0</v>
      </c>
      <c r="H2558" s="6">
        <v>1.1629</v>
      </c>
      <c r="I2558" s="6">
        <v>0.0</v>
      </c>
      <c r="J2558" s="6">
        <v>1.1629</v>
      </c>
    </row>
    <row r="2559">
      <c r="A2559" s="5" t="s">
        <v>58</v>
      </c>
      <c r="B2559" s="5" t="s">
        <v>1867</v>
      </c>
      <c r="C2559" s="5" t="s">
        <v>2035</v>
      </c>
      <c r="D2559" s="6">
        <v>17.0</v>
      </c>
      <c r="E2559" s="6">
        <v>3825.0</v>
      </c>
      <c r="F2559" s="6">
        <v>0.0</v>
      </c>
      <c r="G2559" s="6">
        <v>4076.0</v>
      </c>
      <c r="H2559" s="6">
        <v>0.9384</v>
      </c>
      <c r="I2559" s="6">
        <v>0.0</v>
      </c>
      <c r="J2559" s="6">
        <v>0.9384</v>
      </c>
    </row>
    <row r="2560">
      <c r="A2560" s="5" t="s">
        <v>58</v>
      </c>
      <c r="B2560" s="5" t="s">
        <v>1867</v>
      </c>
      <c r="C2560" s="5" t="s">
        <v>2035</v>
      </c>
      <c r="D2560" s="6">
        <v>18.0</v>
      </c>
      <c r="E2560" s="6">
        <v>3770.0</v>
      </c>
      <c r="F2560" s="6">
        <v>0.0</v>
      </c>
      <c r="G2560" s="6">
        <v>4076.0</v>
      </c>
      <c r="H2560" s="6">
        <v>0.9249</v>
      </c>
      <c r="I2560" s="6">
        <v>0.0</v>
      </c>
      <c r="J2560" s="6">
        <v>0.9249</v>
      </c>
    </row>
    <row r="2561">
      <c r="A2561" s="5" t="s">
        <v>58</v>
      </c>
      <c r="B2561" s="5" t="s">
        <v>1867</v>
      </c>
      <c r="C2561" s="5" t="s">
        <v>2035</v>
      </c>
      <c r="D2561" s="6">
        <v>19.0</v>
      </c>
      <c r="E2561" s="6">
        <v>3715.0</v>
      </c>
      <c r="F2561" s="6">
        <v>0.0</v>
      </c>
      <c r="G2561" s="6">
        <v>4076.0</v>
      </c>
      <c r="H2561" s="6">
        <v>0.9114</v>
      </c>
      <c r="I2561" s="6">
        <v>0.0</v>
      </c>
      <c r="J2561" s="6">
        <v>0.9114</v>
      </c>
    </row>
    <row r="2562">
      <c r="A2562" s="5" t="s">
        <v>58</v>
      </c>
      <c r="B2562" s="5" t="s">
        <v>1867</v>
      </c>
      <c r="C2562" s="5" t="s">
        <v>2035</v>
      </c>
      <c r="D2562" s="6">
        <v>20.0</v>
      </c>
      <c r="E2562" s="6">
        <v>3585.0</v>
      </c>
      <c r="F2562" s="6">
        <v>0.0</v>
      </c>
      <c r="G2562" s="6">
        <v>4076.0</v>
      </c>
      <c r="H2562" s="6">
        <v>0.8795</v>
      </c>
      <c r="I2562" s="6">
        <v>0.0</v>
      </c>
      <c r="J2562" s="6">
        <v>0.8795</v>
      </c>
    </row>
    <row r="2563">
      <c r="A2563" s="5" t="s">
        <v>58</v>
      </c>
      <c r="B2563" s="5" t="s">
        <v>1867</v>
      </c>
      <c r="C2563" s="5" t="s">
        <v>2035</v>
      </c>
      <c r="D2563" s="6">
        <v>21.0</v>
      </c>
      <c r="E2563" s="6">
        <v>5035.0</v>
      </c>
      <c r="F2563" s="6">
        <v>0.0</v>
      </c>
      <c r="G2563" s="6">
        <v>4076.0</v>
      </c>
      <c r="H2563" s="6">
        <v>1.2353</v>
      </c>
      <c r="I2563" s="6">
        <v>0.0</v>
      </c>
      <c r="J2563" s="6">
        <v>1.2353</v>
      </c>
    </row>
    <row r="2564">
      <c r="A2564" s="5" t="s">
        <v>58</v>
      </c>
      <c r="B2564" s="5" t="s">
        <v>1867</v>
      </c>
      <c r="C2564" s="5" t="s">
        <v>2035</v>
      </c>
      <c r="D2564" s="6">
        <v>22.0</v>
      </c>
      <c r="E2564" s="6">
        <v>3690.0</v>
      </c>
      <c r="F2564" s="6">
        <v>0.0</v>
      </c>
      <c r="G2564" s="6">
        <v>4076.0</v>
      </c>
      <c r="H2564" s="6">
        <v>0.9053</v>
      </c>
      <c r="I2564" s="6">
        <v>0.0</v>
      </c>
      <c r="J2564" s="6">
        <v>0.9053</v>
      </c>
    </row>
    <row r="2565">
      <c r="A2565" s="5" t="s">
        <v>58</v>
      </c>
      <c r="B2565" s="5" t="s">
        <v>1867</v>
      </c>
      <c r="C2565" s="5" t="s">
        <v>2035</v>
      </c>
      <c r="D2565" s="6">
        <v>23.0</v>
      </c>
      <c r="E2565" s="6">
        <v>265.0</v>
      </c>
      <c r="F2565" s="6">
        <v>0.0</v>
      </c>
      <c r="G2565" s="6">
        <v>4076.0</v>
      </c>
      <c r="H2565" s="6">
        <v>0.065</v>
      </c>
      <c r="I2565" s="6">
        <v>0.0</v>
      </c>
      <c r="J2565" s="6">
        <v>0.065</v>
      </c>
    </row>
    <row r="2566">
      <c r="A2566" s="5" t="s">
        <v>58</v>
      </c>
      <c r="B2566" s="5" t="s">
        <v>1867</v>
      </c>
      <c r="C2566" s="5" t="s">
        <v>2035</v>
      </c>
      <c r="D2566" s="6">
        <v>24.0</v>
      </c>
      <c r="E2566" s="6">
        <v>0.0</v>
      </c>
      <c r="F2566" s="6">
        <v>0.0</v>
      </c>
      <c r="G2566" s="6">
        <v>4076.0</v>
      </c>
      <c r="H2566" s="6">
        <v>0.0</v>
      </c>
      <c r="I2566" s="6">
        <v>0.0</v>
      </c>
      <c r="J2566" s="6">
        <v>0.0</v>
      </c>
    </row>
    <row r="2567">
      <c r="A2567" s="5" t="s">
        <v>58</v>
      </c>
      <c r="B2567" s="5" t="s">
        <v>1867</v>
      </c>
      <c r="C2567" s="5" t="s">
        <v>2035</v>
      </c>
      <c r="D2567" s="6">
        <v>25.0</v>
      </c>
      <c r="E2567" s="6">
        <v>0.0</v>
      </c>
      <c r="F2567" s="6">
        <v>0.0</v>
      </c>
      <c r="G2567" s="6">
        <v>4076.0</v>
      </c>
      <c r="H2567" s="6">
        <v>0.0</v>
      </c>
      <c r="I2567" s="6">
        <v>0.0</v>
      </c>
      <c r="J2567" s="6">
        <v>0.0</v>
      </c>
    </row>
    <row r="2568">
      <c r="A2568" s="5" t="s">
        <v>58</v>
      </c>
      <c r="B2568" s="5" t="s">
        <v>1867</v>
      </c>
      <c r="C2568" s="5" t="s">
        <v>2035</v>
      </c>
      <c r="D2568" s="6">
        <v>26.0</v>
      </c>
      <c r="E2568" s="6">
        <v>15.0</v>
      </c>
      <c r="F2568" s="6">
        <v>0.0</v>
      </c>
      <c r="G2568" s="6">
        <v>4076.0</v>
      </c>
      <c r="H2568" s="6">
        <v>0.0037</v>
      </c>
      <c r="I2568" s="6">
        <v>0.0</v>
      </c>
      <c r="J2568" s="6">
        <v>0.0037</v>
      </c>
    </row>
    <row r="2569">
      <c r="A2569" s="5" t="s">
        <v>58</v>
      </c>
      <c r="B2569" s="5" t="s">
        <v>1867</v>
      </c>
      <c r="C2569" s="5" t="s">
        <v>2035</v>
      </c>
      <c r="D2569" s="6">
        <v>27.0</v>
      </c>
      <c r="E2569" s="6">
        <v>15.0</v>
      </c>
      <c r="F2569" s="6">
        <v>0.0</v>
      </c>
      <c r="G2569" s="6">
        <v>4076.0</v>
      </c>
      <c r="H2569" s="6">
        <v>0.0037</v>
      </c>
      <c r="I2569" s="6">
        <v>0.0</v>
      </c>
      <c r="J2569" s="6">
        <v>0.0037</v>
      </c>
    </row>
    <row r="2570">
      <c r="A2570" s="5" t="s">
        <v>58</v>
      </c>
      <c r="B2570" s="5" t="s">
        <v>1867</v>
      </c>
      <c r="C2570" s="5" t="s">
        <v>2035</v>
      </c>
      <c r="D2570" s="6">
        <v>28.0</v>
      </c>
      <c r="E2570" s="6">
        <v>15.0</v>
      </c>
      <c r="F2570" s="6">
        <v>0.0</v>
      </c>
      <c r="G2570" s="6">
        <v>4076.0</v>
      </c>
      <c r="H2570" s="6">
        <v>0.0037</v>
      </c>
      <c r="I2570" s="6">
        <v>0.0</v>
      </c>
      <c r="J2570" s="6">
        <v>0.0037</v>
      </c>
    </row>
    <row r="2571">
      <c r="A2571" s="5" t="s">
        <v>58</v>
      </c>
      <c r="B2571" s="5" t="s">
        <v>1867</v>
      </c>
      <c r="C2571" s="5" t="s">
        <v>2035</v>
      </c>
      <c r="D2571" s="6">
        <v>29.0</v>
      </c>
      <c r="E2571" s="6">
        <v>15.0</v>
      </c>
      <c r="F2571" s="6">
        <v>0.0</v>
      </c>
      <c r="G2571" s="6">
        <v>4076.0</v>
      </c>
      <c r="H2571" s="6">
        <v>0.0037</v>
      </c>
      <c r="I2571" s="6">
        <v>0.0</v>
      </c>
      <c r="J2571" s="6">
        <v>0.0037</v>
      </c>
    </row>
    <row r="2572">
      <c r="A2572" s="5" t="s">
        <v>58</v>
      </c>
      <c r="B2572" s="5" t="s">
        <v>1867</v>
      </c>
      <c r="C2572" s="5" t="s">
        <v>2035</v>
      </c>
      <c r="D2572" s="6">
        <v>30.0</v>
      </c>
      <c r="E2572" s="6">
        <v>4960.0</v>
      </c>
      <c r="F2572" s="6">
        <v>0.0</v>
      </c>
      <c r="G2572" s="6">
        <v>4076.0</v>
      </c>
      <c r="H2572" s="6">
        <v>1.2169</v>
      </c>
      <c r="I2572" s="6">
        <v>0.0</v>
      </c>
      <c r="J2572" s="6">
        <v>1.2169</v>
      </c>
    </row>
    <row r="2573">
      <c r="A2573" s="5" t="s">
        <v>58</v>
      </c>
      <c r="B2573" s="5" t="s">
        <v>1867</v>
      </c>
      <c r="C2573" s="5" t="s">
        <v>2035</v>
      </c>
      <c r="D2573" s="6">
        <v>31.0</v>
      </c>
      <c r="E2573" s="6">
        <v>4120.0</v>
      </c>
      <c r="F2573" s="6">
        <v>0.0</v>
      </c>
      <c r="G2573" s="6">
        <v>4076.0</v>
      </c>
      <c r="H2573" s="6">
        <v>1.0108</v>
      </c>
      <c r="I2573" s="6">
        <v>0.0</v>
      </c>
      <c r="J2573" s="6">
        <v>1.0108</v>
      </c>
    </row>
    <row r="2574">
      <c r="A2574" s="5" t="s">
        <v>58</v>
      </c>
      <c r="B2574" s="5" t="s">
        <v>1867</v>
      </c>
      <c r="C2574" s="5" t="s">
        <v>2035</v>
      </c>
      <c r="D2574" s="6">
        <v>32.0</v>
      </c>
      <c r="E2574" s="6">
        <v>3935.0</v>
      </c>
      <c r="F2574" s="6">
        <v>0.0</v>
      </c>
      <c r="G2574" s="6">
        <v>4076.0</v>
      </c>
      <c r="H2574" s="6">
        <v>0.9654</v>
      </c>
      <c r="I2574" s="6">
        <v>0.0</v>
      </c>
      <c r="J2574" s="6">
        <v>0.9654</v>
      </c>
    </row>
    <row r="2575">
      <c r="A2575" s="5" t="s">
        <v>58</v>
      </c>
      <c r="B2575" s="5" t="s">
        <v>1867</v>
      </c>
      <c r="C2575" s="5" t="s">
        <v>2035</v>
      </c>
      <c r="D2575" s="6">
        <v>33.0</v>
      </c>
      <c r="E2575" s="6">
        <v>4095.0</v>
      </c>
      <c r="F2575" s="6">
        <v>0.0</v>
      </c>
      <c r="G2575" s="6">
        <v>4076.0</v>
      </c>
      <c r="H2575" s="6">
        <v>1.0047</v>
      </c>
      <c r="I2575" s="6">
        <v>0.0</v>
      </c>
      <c r="J2575" s="6">
        <v>1.0047</v>
      </c>
    </row>
    <row r="2576">
      <c r="A2576" s="5" t="s">
        <v>59</v>
      </c>
      <c r="B2576" s="5" t="s">
        <v>163</v>
      </c>
      <c r="C2576" s="5" t="s">
        <v>1882</v>
      </c>
      <c r="D2576" s="6">
        <v>1.0</v>
      </c>
      <c r="E2576" s="6">
        <v>1345453.0</v>
      </c>
      <c r="F2576" s="6">
        <v>1711900.0</v>
      </c>
      <c r="G2576" s="6">
        <v>25273.0</v>
      </c>
      <c r="H2576" s="6">
        <v>53.2368</v>
      </c>
      <c r="I2576" s="6">
        <v>67.7363</v>
      </c>
      <c r="J2576" s="6">
        <v>-14.4995</v>
      </c>
    </row>
    <row r="2577">
      <c r="A2577" s="5" t="s">
        <v>59</v>
      </c>
      <c r="B2577" s="5" t="s">
        <v>163</v>
      </c>
      <c r="C2577" s="5" t="s">
        <v>1882</v>
      </c>
      <c r="D2577" s="6">
        <v>2.0</v>
      </c>
      <c r="E2577" s="6">
        <v>2317422.0</v>
      </c>
      <c r="F2577" s="6">
        <v>1999000.0</v>
      </c>
      <c r="G2577" s="6">
        <v>25273.0</v>
      </c>
      <c r="H2577" s="6">
        <v>91.6956</v>
      </c>
      <c r="I2577" s="6">
        <v>79.0963</v>
      </c>
      <c r="J2577" s="6">
        <v>12.5993</v>
      </c>
    </row>
    <row r="2578">
      <c r="A2578" s="5" t="s">
        <v>59</v>
      </c>
      <c r="B2578" s="5" t="s">
        <v>163</v>
      </c>
      <c r="C2578" s="5" t="s">
        <v>1882</v>
      </c>
      <c r="D2578" s="6">
        <v>3.0</v>
      </c>
      <c r="E2578" s="6">
        <v>1766957.0</v>
      </c>
      <c r="F2578" s="6">
        <v>1822300.0</v>
      </c>
      <c r="G2578" s="6">
        <v>25273.0</v>
      </c>
      <c r="H2578" s="6">
        <v>69.9148</v>
      </c>
      <c r="I2578" s="6">
        <v>72.1046</v>
      </c>
      <c r="J2578" s="6">
        <v>-2.1898</v>
      </c>
    </row>
    <row r="2579">
      <c r="A2579" s="5" t="s">
        <v>59</v>
      </c>
      <c r="B2579" s="5" t="s">
        <v>163</v>
      </c>
      <c r="C2579" s="5" t="s">
        <v>1882</v>
      </c>
      <c r="D2579" s="6">
        <v>4.0</v>
      </c>
      <c r="E2579" s="6">
        <v>1917509.0</v>
      </c>
      <c r="F2579" s="6">
        <v>1828750.0</v>
      </c>
      <c r="G2579" s="6">
        <v>25273.0</v>
      </c>
      <c r="H2579" s="6">
        <v>75.8718</v>
      </c>
      <c r="I2579" s="6">
        <v>72.3598</v>
      </c>
      <c r="J2579" s="6">
        <v>3.512</v>
      </c>
    </row>
    <row r="2580">
      <c r="A2580" s="5" t="s">
        <v>59</v>
      </c>
      <c r="B2580" s="5" t="s">
        <v>163</v>
      </c>
      <c r="C2580" s="5" t="s">
        <v>1882</v>
      </c>
      <c r="D2580" s="6">
        <v>5.0</v>
      </c>
      <c r="E2580" s="6">
        <v>1545510.0</v>
      </c>
      <c r="F2580" s="6">
        <v>1768900.0</v>
      </c>
      <c r="G2580" s="6">
        <v>25273.0</v>
      </c>
      <c r="H2580" s="6">
        <v>61.1526</v>
      </c>
      <c r="I2580" s="6">
        <v>69.9917</v>
      </c>
      <c r="J2580" s="6">
        <v>-8.8391</v>
      </c>
    </row>
    <row r="2581">
      <c r="A2581" s="5" t="s">
        <v>59</v>
      </c>
      <c r="B2581" s="5" t="s">
        <v>163</v>
      </c>
      <c r="C2581" s="5" t="s">
        <v>1882</v>
      </c>
      <c r="D2581" s="6">
        <v>6.0</v>
      </c>
      <c r="E2581" s="6">
        <v>2807373.0</v>
      </c>
      <c r="F2581" s="6">
        <v>2510600.0</v>
      </c>
      <c r="G2581" s="6">
        <v>25273.0</v>
      </c>
      <c r="H2581" s="6">
        <v>111.0819</v>
      </c>
      <c r="I2581" s="6">
        <v>99.3392</v>
      </c>
      <c r="J2581" s="6">
        <v>11.7427</v>
      </c>
    </row>
    <row r="2582">
      <c r="A2582" s="5" t="s">
        <v>59</v>
      </c>
      <c r="B2582" s="5" t="s">
        <v>163</v>
      </c>
      <c r="C2582" s="5" t="s">
        <v>1882</v>
      </c>
      <c r="D2582" s="6">
        <v>7.0</v>
      </c>
      <c r="E2582" s="6">
        <v>2213138.0</v>
      </c>
      <c r="F2582" s="6">
        <v>2053400.0</v>
      </c>
      <c r="G2582" s="6">
        <v>25273.0</v>
      </c>
      <c r="H2582" s="6">
        <v>87.5693</v>
      </c>
      <c r="I2582" s="6">
        <v>81.2488</v>
      </c>
      <c r="J2582" s="6">
        <v>6.3205</v>
      </c>
    </row>
    <row r="2583">
      <c r="A2583" s="5" t="s">
        <v>59</v>
      </c>
      <c r="B2583" s="5" t="s">
        <v>163</v>
      </c>
      <c r="C2583" s="5" t="s">
        <v>1882</v>
      </c>
      <c r="D2583" s="6">
        <v>8.0</v>
      </c>
      <c r="E2583" s="6">
        <v>1569380.0</v>
      </c>
      <c r="F2583" s="6">
        <v>1778400.0</v>
      </c>
      <c r="G2583" s="6">
        <v>25273.0</v>
      </c>
      <c r="H2583" s="6">
        <v>62.0971</v>
      </c>
      <c r="I2583" s="6">
        <v>70.3676</v>
      </c>
      <c r="J2583" s="6">
        <v>-8.2705</v>
      </c>
    </row>
    <row r="2584">
      <c r="A2584" s="5" t="s">
        <v>59</v>
      </c>
      <c r="B2584" s="5" t="s">
        <v>163</v>
      </c>
      <c r="C2584" s="5" t="s">
        <v>1882</v>
      </c>
      <c r="D2584" s="6">
        <v>9.0</v>
      </c>
      <c r="E2584" s="6">
        <v>1939970.0</v>
      </c>
      <c r="F2584" s="6">
        <v>1927850.0</v>
      </c>
      <c r="G2584" s="6">
        <v>25273.0</v>
      </c>
      <c r="H2584" s="6">
        <v>76.7606</v>
      </c>
      <c r="I2584" s="6">
        <v>76.281</v>
      </c>
      <c r="J2584" s="6">
        <v>0.4796</v>
      </c>
    </row>
    <row r="2585">
      <c r="A2585" s="5" t="s">
        <v>59</v>
      </c>
      <c r="B2585" s="5" t="s">
        <v>163</v>
      </c>
      <c r="C2585" s="5" t="s">
        <v>1882</v>
      </c>
      <c r="D2585" s="6">
        <v>10.0</v>
      </c>
      <c r="E2585" s="6">
        <v>1816065.0</v>
      </c>
      <c r="F2585" s="6">
        <v>1926100.0</v>
      </c>
      <c r="G2585" s="6">
        <v>25273.0</v>
      </c>
      <c r="H2585" s="6">
        <v>71.8579</v>
      </c>
      <c r="I2585" s="6">
        <v>76.2118</v>
      </c>
      <c r="J2585" s="6">
        <v>-4.3539</v>
      </c>
    </row>
    <row r="2586">
      <c r="A2586" s="5" t="s">
        <v>59</v>
      </c>
      <c r="B2586" s="5" t="s">
        <v>163</v>
      </c>
      <c r="C2586" s="5" t="s">
        <v>1882</v>
      </c>
      <c r="D2586" s="6">
        <v>11.0</v>
      </c>
      <c r="E2586" s="6">
        <v>1995003.0</v>
      </c>
      <c r="F2586" s="6">
        <v>1958450.0</v>
      </c>
      <c r="G2586" s="6">
        <v>25273.0</v>
      </c>
      <c r="H2586" s="6">
        <v>78.9381</v>
      </c>
      <c r="I2586" s="6">
        <v>77.4918</v>
      </c>
      <c r="J2586" s="6">
        <v>1.4463</v>
      </c>
    </row>
    <row r="2587">
      <c r="A2587" s="5" t="s">
        <v>59</v>
      </c>
      <c r="B2587" s="5" t="s">
        <v>163</v>
      </c>
      <c r="C2587" s="5" t="s">
        <v>1882</v>
      </c>
      <c r="D2587" s="6">
        <v>12.0</v>
      </c>
      <c r="E2587" s="6">
        <v>1560656.0</v>
      </c>
      <c r="F2587" s="6">
        <v>1942400.0</v>
      </c>
      <c r="G2587" s="6">
        <v>25273.0</v>
      </c>
      <c r="H2587" s="6">
        <v>61.7519</v>
      </c>
      <c r="I2587" s="6">
        <v>76.8567</v>
      </c>
      <c r="J2587" s="6">
        <v>-15.1048</v>
      </c>
    </row>
    <row r="2588">
      <c r="A2588" s="5" t="s">
        <v>59</v>
      </c>
      <c r="B2588" s="5" t="s">
        <v>163</v>
      </c>
      <c r="C2588" s="5" t="s">
        <v>1882</v>
      </c>
      <c r="D2588" s="6">
        <v>13.0</v>
      </c>
      <c r="E2588" s="6">
        <v>2774532.0</v>
      </c>
      <c r="F2588" s="6">
        <v>2566900.0</v>
      </c>
      <c r="G2588" s="6">
        <v>25273.0</v>
      </c>
      <c r="H2588" s="6">
        <v>109.7825</v>
      </c>
      <c r="I2588" s="6">
        <v>101.5669</v>
      </c>
      <c r="J2588" s="6">
        <v>8.2156</v>
      </c>
    </row>
    <row r="2589">
      <c r="A2589" s="5" t="s">
        <v>59</v>
      </c>
      <c r="B2589" s="5" t="s">
        <v>163</v>
      </c>
      <c r="C2589" s="5" t="s">
        <v>1882</v>
      </c>
      <c r="D2589" s="6">
        <v>14.0</v>
      </c>
      <c r="E2589" s="6">
        <v>2238794.0</v>
      </c>
      <c r="F2589" s="6">
        <v>2162550.0</v>
      </c>
      <c r="G2589" s="6">
        <v>25273.0</v>
      </c>
      <c r="H2589" s="6">
        <v>88.5844</v>
      </c>
      <c r="I2589" s="6">
        <v>85.5676</v>
      </c>
      <c r="J2589" s="6">
        <v>3.0168</v>
      </c>
    </row>
    <row r="2590">
      <c r="A2590" s="5" t="s">
        <v>59</v>
      </c>
      <c r="B2590" s="5" t="s">
        <v>163</v>
      </c>
      <c r="C2590" s="5" t="s">
        <v>1882</v>
      </c>
      <c r="D2590" s="6">
        <v>15.0</v>
      </c>
      <c r="E2590" s="6">
        <v>1490890.0</v>
      </c>
      <c r="F2590" s="6">
        <v>1858200.0</v>
      </c>
      <c r="G2590" s="6">
        <v>25273.0</v>
      </c>
      <c r="H2590" s="6">
        <v>58.9914</v>
      </c>
      <c r="I2590" s="6">
        <v>73.5251</v>
      </c>
      <c r="J2590" s="6">
        <v>-14.5337</v>
      </c>
    </row>
    <row r="2591">
      <c r="A2591" s="5" t="s">
        <v>59</v>
      </c>
      <c r="B2591" s="5" t="s">
        <v>163</v>
      </c>
      <c r="C2591" s="5" t="s">
        <v>1882</v>
      </c>
      <c r="D2591" s="6">
        <v>16.0</v>
      </c>
      <c r="E2591" s="6">
        <v>2553478.0</v>
      </c>
      <c r="F2591" s="6">
        <v>2167400.0</v>
      </c>
      <c r="G2591" s="6">
        <v>25273.0</v>
      </c>
      <c r="H2591" s="6">
        <v>101.0358</v>
      </c>
      <c r="I2591" s="6">
        <v>85.7595</v>
      </c>
      <c r="J2591" s="6">
        <v>15.2763</v>
      </c>
    </row>
    <row r="2592">
      <c r="A2592" s="5" t="s">
        <v>59</v>
      </c>
      <c r="B2592" s="5" t="s">
        <v>163</v>
      </c>
      <c r="C2592" s="5" t="s">
        <v>1882</v>
      </c>
      <c r="D2592" s="6">
        <v>17.0</v>
      </c>
      <c r="E2592" s="6">
        <v>1959778.0</v>
      </c>
      <c r="F2592" s="6">
        <v>2046250.0</v>
      </c>
      <c r="G2592" s="6">
        <v>25273.0</v>
      </c>
      <c r="H2592" s="6">
        <v>77.5443</v>
      </c>
      <c r="I2592" s="6">
        <v>80.9659</v>
      </c>
      <c r="J2592" s="6">
        <v>-3.4215</v>
      </c>
    </row>
    <row r="2593">
      <c r="A2593" s="5" t="s">
        <v>59</v>
      </c>
      <c r="B2593" s="5" t="s">
        <v>163</v>
      </c>
      <c r="C2593" s="5" t="s">
        <v>1882</v>
      </c>
      <c r="D2593" s="6">
        <v>18.0</v>
      </c>
      <c r="E2593" s="6">
        <v>2168367.0</v>
      </c>
      <c r="F2593" s="6">
        <v>2086150.0</v>
      </c>
      <c r="G2593" s="6">
        <v>25273.0</v>
      </c>
      <c r="H2593" s="6">
        <v>85.7978</v>
      </c>
      <c r="I2593" s="6">
        <v>82.5446</v>
      </c>
      <c r="J2593" s="6">
        <v>3.2532</v>
      </c>
    </row>
    <row r="2594">
      <c r="A2594" s="5" t="s">
        <v>59</v>
      </c>
      <c r="B2594" s="5" t="s">
        <v>163</v>
      </c>
      <c r="C2594" s="5" t="s">
        <v>1882</v>
      </c>
      <c r="D2594" s="6">
        <v>19.0</v>
      </c>
      <c r="E2594" s="6">
        <v>1689642.0</v>
      </c>
      <c r="F2594" s="6">
        <v>2040900.0</v>
      </c>
      <c r="G2594" s="6">
        <v>25273.0</v>
      </c>
      <c r="H2594" s="6">
        <v>66.8556</v>
      </c>
      <c r="I2594" s="6">
        <v>80.7542</v>
      </c>
      <c r="J2594" s="6">
        <v>-13.8985</v>
      </c>
    </row>
    <row r="2595">
      <c r="A2595" s="5" t="s">
        <v>59</v>
      </c>
      <c r="B2595" s="5" t="s">
        <v>163</v>
      </c>
      <c r="C2595" s="5" t="s">
        <v>1882</v>
      </c>
      <c r="D2595" s="6">
        <v>20.0</v>
      </c>
      <c r="E2595" s="6">
        <v>3122468.0</v>
      </c>
      <c r="F2595" s="6">
        <v>2797450.0</v>
      </c>
      <c r="G2595" s="6">
        <v>25273.0</v>
      </c>
      <c r="H2595" s="6">
        <v>123.5496</v>
      </c>
      <c r="I2595" s="6">
        <v>110.6893</v>
      </c>
      <c r="J2595" s="6">
        <v>12.8603</v>
      </c>
    </row>
    <row r="2596">
      <c r="A2596" s="5" t="s">
        <v>59</v>
      </c>
      <c r="B2596" s="5" t="s">
        <v>163</v>
      </c>
      <c r="C2596" s="5" t="s">
        <v>1882</v>
      </c>
      <c r="D2596" s="6">
        <v>21.0</v>
      </c>
      <c r="E2596" s="6">
        <v>3604476.0</v>
      </c>
      <c r="F2596" s="6">
        <v>2668250.0</v>
      </c>
      <c r="G2596" s="6">
        <v>25273.0</v>
      </c>
      <c r="H2596" s="6">
        <v>142.6216</v>
      </c>
      <c r="I2596" s="6">
        <v>105.5771</v>
      </c>
      <c r="J2596" s="6">
        <v>37.0445</v>
      </c>
    </row>
    <row r="2597">
      <c r="A2597" s="5" t="s">
        <v>59</v>
      </c>
      <c r="B2597" s="5" t="s">
        <v>163</v>
      </c>
      <c r="C2597" s="5" t="s">
        <v>1882</v>
      </c>
      <c r="D2597" s="6">
        <v>22.0</v>
      </c>
      <c r="E2597" s="6">
        <v>2064856.0</v>
      </c>
      <c r="F2597" s="6">
        <v>2247750.0</v>
      </c>
      <c r="G2597" s="6">
        <v>25273.0</v>
      </c>
      <c r="H2597" s="6">
        <v>81.7021</v>
      </c>
      <c r="I2597" s="6">
        <v>88.9388</v>
      </c>
      <c r="J2597" s="6">
        <v>-7.2367</v>
      </c>
    </row>
    <row r="2598">
      <c r="A2598" s="5" t="s">
        <v>59</v>
      </c>
      <c r="B2598" s="5" t="s">
        <v>163</v>
      </c>
      <c r="C2598" s="5" t="s">
        <v>1882</v>
      </c>
      <c r="D2598" s="6">
        <v>23.0</v>
      </c>
      <c r="E2598" s="6">
        <v>2398658.0</v>
      </c>
      <c r="F2598" s="6">
        <v>2337300.0</v>
      </c>
      <c r="G2598" s="6">
        <v>25273.0</v>
      </c>
      <c r="H2598" s="6">
        <v>94.9099</v>
      </c>
      <c r="I2598" s="6">
        <v>92.4821</v>
      </c>
      <c r="J2598" s="6">
        <v>2.4278</v>
      </c>
    </row>
    <row r="2599">
      <c r="A2599" s="5" t="s">
        <v>59</v>
      </c>
      <c r="B2599" s="5" t="s">
        <v>163</v>
      </c>
      <c r="C2599" s="5" t="s">
        <v>1882</v>
      </c>
      <c r="D2599" s="6">
        <v>24.0</v>
      </c>
      <c r="E2599" s="6">
        <v>2239405.0</v>
      </c>
      <c r="F2599" s="6">
        <v>2369300.0</v>
      </c>
      <c r="G2599" s="6">
        <v>25273.0</v>
      </c>
      <c r="H2599" s="6">
        <v>88.6086</v>
      </c>
      <c r="I2599" s="6">
        <v>93.7483</v>
      </c>
      <c r="J2599" s="6">
        <v>-5.1397</v>
      </c>
    </row>
    <row r="2600">
      <c r="A2600" s="5" t="s">
        <v>59</v>
      </c>
      <c r="B2600" s="5" t="s">
        <v>163</v>
      </c>
      <c r="C2600" s="5" t="s">
        <v>1882</v>
      </c>
      <c r="D2600" s="6">
        <v>25.0</v>
      </c>
      <c r="E2600" s="6">
        <v>2369497.0</v>
      </c>
      <c r="F2600" s="6">
        <v>2366600.0</v>
      </c>
      <c r="G2600" s="6">
        <v>25273.0</v>
      </c>
      <c r="H2600" s="6">
        <v>93.7561</v>
      </c>
      <c r="I2600" s="6">
        <v>93.6414</v>
      </c>
      <c r="J2600" s="6">
        <v>0.1146</v>
      </c>
    </row>
    <row r="2601">
      <c r="A2601" s="5" t="s">
        <v>59</v>
      </c>
      <c r="B2601" s="5" t="s">
        <v>163</v>
      </c>
      <c r="C2601" s="5" t="s">
        <v>1882</v>
      </c>
      <c r="D2601" s="6">
        <v>26.0</v>
      </c>
      <c r="E2601" s="6">
        <v>1804628.0</v>
      </c>
      <c r="F2601" s="6">
        <v>2197550.0</v>
      </c>
      <c r="G2601" s="6">
        <v>25273.0</v>
      </c>
      <c r="H2601" s="6">
        <v>71.4054</v>
      </c>
      <c r="I2601" s="6">
        <v>86.9525</v>
      </c>
      <c r="J2601" s="6">
        <v>-15.5471</v>
      </c>
    </row>
    <row r="2602">
      <c r="A2602" s="5" t="s">
        <v>59</v>
      </c>
      <c r="B2602" s="5" t="s">
        <v>163</v>
      </c>
      <c r="C2602" s="5" t="s">
        <v>1882</v>
      </c>
      <c r="D2602" s="6">
        <v>27.0</v>
      </c>
      <c r="E2602" s="6">
        <v>3120267.0</v>
      </c>
      <c r="F2602" s="6">
        <v>3044450.0</v>
      </c>
      <c r="G2602" s="6">
        <v>25273.0</v>
      </c>
      <c r="H2602" s="6">
        <v>123.4625</v>
      </c>
      <c r="I2602" s="6">
        <v>120.4625</v>
      </c>
      <c r="J2602" s="6">
        <v>2.9999</v>
      </c>
    </row>
    <row r="2603">
      <c r="A2603" s="5" t="s">
        <v>59</v>
      </c>
      <c r="B2603" s="5" t="s">
        <v>163</v>
      </c>
      <c r="C2603" s="5" t="s">
        <v>1882</v>
      </c>
      <c r="D2603" s="6">
        <v>28.0</v>
      </c>
      <c r="E2603" s="6">
        <v>2445176.0</v>
      </c>
      <c r="F2603" s="6">
        <v>2511550.0</v>
      </c>
      <c r="G2603" s="6">
        <v>25273.0</v>
      </c>
      <c r="H2603" s="6">
        <v>96.7505</v>
      </c>
      <c r="I2603" s="6">
        <v>99.3768</v>
      </c>
      <c r="J2603" s="6">
        <v>-2.6263</v>
      </c>
    </row>
    <row r="2604">
      <c r="A2604" s="5" t="s">
        <v>59</v>
      </c>
      <c r="B2604" s="5" t="s">
        <v>163</v>
      </c>
      <c r="C2604" s="5" t="s">
        <v>1882</v>
      </c>
      <c r="D2604" s="6">
        <v>29.0</v>
      </c>
      <c r="E2604" s="6">
        <v>1649824.0</v>
      </c>
      <c r="F2604" s="6">
        <v>2109950.0</v>
      </c>
      <c r="G2604" s="6">
        <v>25273.0</v>
      </c>
      <c r="H2604" s="6">
        <v>65.2801</v>
      </c>
      <c r="I2604" s="6">
        <v>83.4863</v>
      </c>
      <c r="J2604" s="6">
        <v>-18.2062</v>
      </c>
    </row>
    <row r="2605">
      <c r="A2605" s="5" t="s">
        <v>59</v>
      </c>
      <c r="B2605" s="5" t="s">
        <v>163</v>
      </c>
      <c r="C2605" s="5" t="s">
        <v>1882</v>
      </c>
      <c r="D2605" s="6">
        <v>30.0</v>
      </c>
      <c r="E2605" s="6">
        <v>2771504.0</v>
      </c>
      <c r="F2605" s="6">
        <v>2313600.0</v>
      </c>
      <c r="G2605" s="6">
        <v>25273.0</v>
      </c>
      <c r="H2605" s="6">
        <v>109.6626</v>
      </c>
      <c r="I2605" s="6">
        <v>91.5443</v>
      </c>
      <c r="J2605" s="6">
        <v>18.1183</v>
      </c>
    </row>
    <row r="2606">
      <c r="A2606" s="5" t="s">
        <v>59</v>
      </c>
      <c r="B2606" s="5" t="s">
        <v>163</v>
      </c>
      <c r="C2606" s="5" t="s">
        <v>1882</v>
      </c>
      <c r="D2606" s="6">
        <v>31.0</v>
      </c>
      <c r="E2606" s="6">
        <v>2286249.0</v>
      </c>
      <c r="F2606" s="6">
        <v>2299400.0</v>
      </c>
      <c r="G2606" s="6">
        <v>25273.0</v>
      </c>
      <c r="H2606" s="6">
        <v>90.4621</v>
      </c>
      <c r="I2606" s="6">
        <v>90.9825</v>
      </c>
      <c r="J2606" s="6">
        <v>-0.5204</v>
      </c>
    </row>
    <row r="2607">
      <c r="A2607" s="5" t="s">
        <v>59</v>
      </c>
      <c r="B2607" s="5" t="s">
        <v>163</v>
      </c>
      <c r="C2607" s="5" t="s">
        <v>1882</v>
      </c>
      <c r="D2607" s="6">
        <v>32.0</v>
      </c>
      <c r="E2607" s="6">
        <v>2368223.0</v>
      </c>
      <c r="F2607" s="6">
        <v>2310800.0</v>
      </c>
      <c r="G2607" s="6">
        <v>25273.0</v>
      </c>
      <c r="H2607" s="6">
        <v>93.7057</v>
      </c>
      <c r="I2607" s="6">
        <v>91.4335</v>
      </c>
      <c r="J2607" s="6">
        <v>2.2721</v>
      </c>
    </row>
    <row r="2608">
      <c r="A2608" s="5" t="s">
        <v>59</v>
      </c>
      <c r="B2608" s="5" t="s">
        <v>163</v>
      </c>
      <c r="C2608" s="5" t="s">
        <v>1882</v>
      </c>
      <c r="D2608" s="6">
        <v>33.0</v>
      </c>
      <c r="E2608" s="6">
        <v>1884822.0</v>
      </c>
      <c r="F2608" s="6">
        <v>2211300.0</v>
      </c>
      <c r="G2608" s="6">
        <v>25273.0</v>
      </c>
      <c r="H2608" s="6">
        <v>74.5785</v>
      </c>
      <c r="I2608" s="6">
        <v>87.4965</v>
      </c>
      <c r="J2608" s="6">
        <v>-12.9181</v>
      </c>
    </row>
    <row r="2609">
      <c r="A2609" s="5" t="s">
        <v>59</v>
      </c>
      <c r="B2609" s="5" t="s">
        <v>163</v>
      </c>
      <c r="C2609" s="5" t="s">
        <v>72</v>
      </c>
      <c r="D2609" s="6">
        <v>1.0</v>
      </c>
      <c r="E2609" s="6">
        <v>12071.0</v>
      </c>
      <c r="F2609" s="6">
        <v>15205.0</v>
      </c>
      <c r="G2609" s="6">
        <v>24212.0</v>
      </c>
      <c r="H2609" s="6">
        <v>0.4986</v>
      </c>
      <c r="I2609" s="6">
        <v>0.628</v>
      </c>
      <c r="J2609" s="6">
        <v>-0.1294</v>
      </c>
    </row>
    <row r="2610">
      <c r="A2610" s="5" t="s">
        <v>59</v>
      </c>
      <c r="B2610" s="5" t="s">
        <v>163</v>
      </c>
      <c r="C2610" s="5" t="s">
        <v>72</v>
      </c>
      <c r="D2610" s="6">
        <v>2.0</v>
      </c>
      <c r="E2610" s="6">
        <v>12642.0</v>
      </c>
      <c r="F2610" s="6">
        <v>15118.0</v>
      </c>
      <c r="G2610" s="6">
        <v>24212.0</v>
      </c>
      <c r="H2610" s="6">
        <v>0.5221</v>
      </c>
      <c r="I2610" s="6">
        <v>0.6244</v>
      </c>
      <c r="J2610" s="6">
        <v>-0.1023</v>
      </c>
    </row>
    <row r="2611">
      <c r="A2611" s="5" t="s">
        <v>59</v>
      </c>
      <c r="B2611" s="5" t="s">
        <v>163</v>
      </c>
      <c r="C2611" s="5" t="s">
        <v>72</v>
      </c>
      <c r="D2611" s="6">
        <v>3.0</v>
      </c>
      <c r="E2611" s="6">
        <v>16835.0</v>
      </c>
      <c r="F2611" s="6">
        <v>16386.0</v>
      </c>
      <c r="G2611" s="6">
        <v>24212.0</v>
      </c>
      <c r="H2611" s="6">
        <v>0.6953</v>
      </c>
      <c r="I2611" s="6">
        <v>0.6768</v>
      </c>
      <c r="J2611" s="6">
        <v>0.0185</v>
      </c>
    </row>
    <row r="2612">
      <c r="A2612" s="5" t="s">
        <v>59</v>
      </c>
      <c r="B2612" s="5" t="s">
        <v>163</v>
      </c>
      <c r="C2612" s="5" t="s">
        <v>72</v>
      </c>
      <c r="D2612" s="6">
        <v>4.0</v>
      </c>
      <c r="E2612" s="6">
        <v>14880.0</v>
      </c>
      <c r="F2612" s="6">
        <v>16088.0</v>
      </c>
      <c r="G2612" s="6">
        <v>24212.0</v>
      </c>
      <c r="H2612" s="6">
        <v>0.6146</v>
      </c>
      <c r="I2612" s="6">
        <v>0.6645</v>
      </c>
      <c r="J2612" s="6">
        <v>-0.0499</v>
      </c>
    </row>
    <row r="2613">
      <c r="A2613" s="5" t="s">
        <v>59</v>
      </c>
      <c r="B2613" s="5" t="s">
        <v>163</v>
      </c>
      <c r="C2613" s="5" t="s">
        <v>72</v>
      </c>
      <c r="D2613" s="6">
        <v>5.0</v>
      </c>
      <c r="E2613" s="6">
        <v>15221.0</v>
      </c>
      <c r="F2613" s="6">
        <v>16737.0</v>
      </c>
      <c r="G2613" s="6">
        <v>24212.0</v>
      </c>
      <c r="H2613" s="6">
        <v>0.6287</v>
      </c>
      <c r="I2613" s="6">
        <v>0.6913</v>
      </c>
      <c r="J2613" s="6">
        <v>-0.0626</v>
      </c>
    </row>
    <row r="2614">
      <c r="A2614" s="5" t="s">
        <v>59</v>
      </c>
      <c r="B2614" s="5" t="s">
        <v>163</v>
      </c>
      <c r="C2614" s="5" t="s">
        <v>72</v>
      </c>
      <c r="D2614" s="6">
        <v>6.0</v>
      </c>
      <c r="E2614" s="6">
        <v>20240.0</v>
      </c>
      <c r="F2614" s="6">
        <v>19933.0</v>
      </c>
      <c r="G2614" s="6">
        <v>24212.0</v>
      </c>
      <c r="H2614" s="6">
        <v>0.8359</v>
      </c>
      <c r="I2614" s="6">
        <v>0.8233</v>
      </c>
      <c r="J2614" s="6">
        <v>0.0127</v>
      </c>
    </row>
    <row r="2615">
      <c r="A2615" s="5" t="s">
        <v>59</v>
      </c>
      <c r="B2615" s="5" t="s">
        <v>163</v>
      </c>
      <c r="C2615" s="5" t="s">
        <v>72</v>
      </c>
      <c r="D2615" s="6">
        <v>7.0</v>
      </c>
      <c r="E2615" s="6">
        <v>14973.0</v>
      </c>
      <c r="F2615" s="6">
        <v>16405.0</v>
      </c>
      <c r="G2615" s="6">
        <v>24212.0</v>
      </c>
      <c r="H2615" s="6">
        <v>0.6184</v>
      </c>
      <c r="I2615" s="6">
        <v>0.6776</v>
      </c>
      <c r="J2615" s="6">
        <v>-0.0591</v>
      </c>
    </row>
    <row r="2616">
      <c r="A2616" s="5" t="s">
        <v>59</v>
      </c>
      <c r="B2616" s="5" t="s">
        <v>163</v>
      </c>
      <c r="C2616" s="5" t="s">
        <v>72</v>
      </c>
      <c r="D2616" s="6">
        <v>8.0</v>
      </c>
      <c r="E2616" s="6">
        <v>15403.0</v>
      </c>
      <c r="F2616" s="6">
        <v>16644.0</v>
      </c>
      <c r="G2616" s="6">
        <v>24212.0</v>
      </c>
      <c r="H2616" s="6">
        <v>0.6362</v>
      </c>
      <c r="I2616" s="6">
        <v>0.6874</v>
      </c>
      <c r="J2616" s="6">
        <v>-0.0513</v>
      </c>
    </row>
    <row r="2617">
      <c r="A2617" s="5" t="s">
        <v>59</v>
      </c>
      <c r="B2617" s="5" t="s">
        <v>163</v>
      </c>
      <c r="C2617" s="5" t="s">
        <v>72</v>
      </c>
      <c r="D2617" s="6">
        <v>9.0</v>
      </c>
      <c r="E2617" s="6">
        <v>13328.0</v>
      </c>
      <c r="F2617" s="6">
        <v>15427.0</v>
      </c>
      <c r="G2617" s="6">
        <v>24212.0</v>
      </c>
      <c r="H2617" s="6">
        <v>0.5505</v>
      </c>
      <c r="I2617" s="6">
        <v>0.6372</v>
      </c>
      <c r="J2617" s="6">
        <v>-0.0867</v>
      </c>
    </row>
    <row r="2618">
      <c r="A2618" s="5" t="s">
        <v>59</v>
      </c>
      <c r="B2618" s="5" t="s">
        <v>163</v>
      </c>
      <c r="C2618" s="5" t="s">
        <v>72</v>
      </c>
      <c r="D2618" s="6">
        <v>10.0</v>
      </c>
      <c r="E2618" s="6">
        <v>17815.0</v>
      </c>
      <c r="F2618" s="6">
        <v>17670.0</v>
      </c>
      <c r="G2618" s="6">
        <v>24212.0</v>
      </c>
      <c r="H2618" s="6">
        <v>0.7358</v>
      </c>
      <c r="I2618" s="6">
        <v>0.7298</v>
      </c>
      <c r="J2618" s="6">
        <v>0.006</v>
      </c>
    </row>
    <row r="2619">
      <c r="A2619" s="5" t="s">
        <v>59</v>
      </c>
      <c r="B2619" s="5" t="s">
        <v>163</v>
      </c>
      <c r="C2619" s="5" t="s">
        <v>72</v>
      </c>
      <c r="D2619" s="6">
        <v>11.0</v>
      </c>
      <c r="E2619" s="6">
        <v>15174.0</v>
      </c>
      <c r="F2619" s="6">
        <v>16667.0</v>
      </c>
      <c r="G2619" s="6">
        <v>24212.0</v>
      </c>
      <c r="H2619" s="6">
        <v>0.6267</v>
      </c>
      <c r="I2619" s="6">
        <v>0.6884</v>
      </c>
      <c r="J2619" s="6">
        <v>-0.0617</v>
      </c>
    </row>
    <row r="2620">
      <c r="A2620" s="5" t="s">
        <v>59</v>
      </c>
      <c r="B2620" s="5" t="s">
        <v>163</v>
      </c>
      <c r="C2620" s="5" t="s">
        <v>72</v>
      </c>
      <c r="D2620" s="6">
        <v>12.0</v>
      </c>
      <c r="E2620" s="6">
        <v>15171.0</v>
      </c>
      <c r="F2620" s="6">
        <v>17738.0</v>
      </c>
      <c r="G2620" s="6">
        <v>24212.0</v>
      </c>
      <c r="H2620" s="6">
        <v>0.6266</v>
      </c>
      <c r="I2620" s="6">
        <v>0.7326</v>
      </c>
      <c r="J2620" s="6">
        <v>-0.106</v>
      </c>
    </row>
    <row r="2621">
      <c r="A2621" s="5" t="s">
        <v>59</v>
      </c>
      <c r="B2621" s="5" t="s">
        <v>163</v>
      </c>
      <c r="C2621" s="5" t="s">
        <v>72</v>
      </c>
      <c r="D2621" s="6">
        <v>13.0</v>
      </c>
      <c r="E2621" s="6">
        <v>19626.0</v>
      </c>
      <c r="F2621" s="6">
        <v>20322.0</v>
      </c>
      <c r="G2621" s="6">
        <v>24212.0</v>
      </c>
      <c r="H2621" s="6">
        <v>0.8106</v>
      </c>
      <c r="I2621" s="6">
        <v>0.8393</v>
      </c>
      <c r="J2621" s="6">
        <v>-0.0287</v>
      </c>
    </row>
    <row r="2622">
      <c r="A2622" s="5" t="s">
        <v>59</v>
      </c>
      <c r="B2622" s="5" t="s">
        <v>163</v>
      </c>
      <c r="C2622" s="5" t="s">
        <v>72</v>
      </c>
      <c r="D2622" s="6">
        <v>14.0</v>
      </c>
      <c r="E2622" s="6">
        <v>14199.0</v>
      </c>
      <c r="F2622" s="6">
        <v>16800.0</v>
      </c>
      <c r="G2622" s="6">
        <v>24212.0</v>
      </c>
      <c r="H2622" s="6">
        <v>0.5864</v>
      </c>
      <c r="I2622" s="6">
        <v>0.6939</v>
      </c>
      <c r="J2622" s="6">
        <v>-0.1074</v>
      </c>
    </row>
    <row r="2623">
      <c r="A2623" s="5" t="s">
        <v>59</v>
      </c>
      <c r="B2623" s="5" t="s">
        <v>163</v>
      </c>
      <c r="C2623" s="5" t="s">
        <v>72</v>
      </c>
      <c r="D2623" s="6">
        <v>15.0</v>
      </c>
      <c r="E2623" s="6">
        <v>14602.0</v>
      </c>
      <c r="F2623" s="6">
        <v>16863.0</v>
      </c>
      <c r="G2623" s="6">
        <v>24212.0</v>
      </c>
      <c r="H2623" s="6">
        <v>0.6031</v>
      </c>
      <c r="I2623" s="6">
        <v>0.6965</v>
      </c>
      <c r="J2623" s="6">
        <v>-0.0934</v>
      </c>
    </row>
    <row r="2624">
      <c r="A2624" s="5" t="s">
        <v>59</v>
      </c>
      <c r="B2624" s="5" t="s">
        <v>163</v>
      </c>
      <c r="C2624" s="5" t="s">
        <v>72</v>
      </c>
      <c r="D2624" s="6">
        <v>16.0</v>
      </c>
      <c r="E2624" s="6">
        <v>15907.0</v>
      </c>
      <c r="F2624" s="6">
        <v>17000.0</v>
      </c>
      <c r="G2624" s="6">
        <v>24212.0</v>
      </c>
      <c r="H2624" s="6">
        <v>0.657</v>
      </c>
      <c r="I2624" s="6">
        <v>0.7021</v>
      </c>
      <c r="J2624" s="6">
        <v>-0.0451</v>
      </c>
    </row>
    <row r="2625">
      <c r="A2625" s="5" t="s">
        <v>59</v>
      </c>
      <c r="B2625" s="5" t="s">
        <v>163</v>
      </c>
      <c r="C2625" s="5" t="s">
        <v>72</v>
      </c>
      <c r="D2625" s="6">
        <v>17.0</v>
      </c>
      <c r="E2625" s="6">
        <v>19300.0</v>
      </c>
      <c r="F2625" s="6">
        <v>18216.0</v>
      </c>
      <c r="G2625" s="6">
        <v>24212.0</v>
      </c>
      <c r="H2625" s="6">
        <v>0.7971</v>
      </c>
      <c r="I2625" s="6">
        <v>0.7524</v>
      </c>
      <c r="J2625" s="6">
        <v>0.0448</v>
      </c>
    </row>
    <row r="2626">
      <c r="A2626" s="5" t="s">
        <v>59</v>
      </c>
      <c r="B2626" s="5" t="s">
        <v>163</v>
      </c>
      <c r="C2626" s="5" t="s">
        <v>72</v>
      </c>
      <c r="D2626" s="6">
        <v>18.0</v>
      </c>
      <c r="E2626" s="6">
        <v>17556.0</v>
      </c>
      <c r="F2626" s="6">
        <v>18040.0</v>
      </c>
      <c r="G2626" s="6">
        <v>24212.0</v>
      </c>
      <c r="H2626" s="6">
        <v>0.7251</v>
      </c>
      <c r="I2626" s="6">
        <v>0.7451</v>
      </c>
      <c r="J2626" s="6">
        <v>-0.02</v>
      </c>
    </row>
    <row r="2627">
      <c r="A2627" s="5" t="s">
        <v>59</v>
      </c>
      <c r="B2627" s="5" t="s">
        <v>163</v>
      </c>
      <c r="C2627" s="5" t="s">
        <v>72</v>
      </c>
      <c r="D2627" s="6">
        <v>19.0</v>
      </c>
      <c r="E2627" s="6">
        <v>17110.0</v>
      </c>
      <c r="F2627" s="6">
        <v>18549.0</v>
      </c>
      <c r="G2627" s="6">
        <v>24212.0</v>
      </c>
      <c r="H2627" s="6">
        <v>0.7067</v>
      </c>
      <c r="I2627" s="6">
        <v>0.7661</v>
      </c>
      <c r="J2627" s="6">
        <v>-0.0594</v>
      </c>
    </row>
    <row r="2628">
      <c r="A2628" s="5" t="s">
        <v>59</v>
      </c>
      <c r="B2628" s="5" t="s">
        <v>163</v>
      </c>
      <c r="C2628" s="5" t="s">
        <v>72</v>
      </c>
      <c r="D2628" s="6">
        <v>20.0</v>
      </c>
      <c r="E2628" s="6">
        <v>23256.0</v>
      </c>
      <c r="F2628" s="6">
        <v>23043.0</v>
      </c>
      <c r="G2628" s="6">
        <v>24212.0</v>
      </c>
      <c r="H2628" s="6">
        <v>0.9605</v>
      </c>
      <c r="I2628" s="6">
        <v>0.9517</v>
      </c>
      <c r="J2628" s="6">
        <v>0.0088</v>
      </c>
    </row>
    <row r="2629">
      <c r="A2629" s="5" t="s">
        <v>59</v>
      </c>
      <c r="B2629" s="5" t="s">
        <v>163</v>
      </c>
      <c r="C2629" s="5" t="s">
        <v>72</v>
      </c>
      <c r="D2629" s="6">
        <v>21.0</v>
      </c>
      <c r="E2629" s="6">
        <v>20976.0</v>
      </c>
      <c r="F2629" s="6">
        <v>19831.0</v>
      </c>
      <c r="G2629" s="6">
        <v>24212.0</v>
      </c>
      <c r="H2629" s="6">
        <v>0.8663</v>
      </c>
      <c r="I2629" s="6">
        <v>0.8191</v>
      </c>
      <c r="J2629" s="6">
        <v>0.0473</v>
      </c>
    </row>
    <row r="2630">
      <c r="A2630" s="5" t="s">
        <v>59</v>
      </c>
      <c r="B2630" s="5" t="s">
        <v>163</v>
      </c>
      <c r="C2630" s="5" t="s">
        <v>72</v>
      </c>
      <c r="D2630" s="6">
        <v>22.0</v>
      </c>
      <c r="E2630" s="6">
        <v>18525.0</v>
      </c>
      <c r="F2630" s="6">
        <v>19623.0</v>
      </c>
      <c r="G2630" s="6">
        <v>24212.0</v>
      </c>
      <c r="H2630" s="6">
        <v>0.7651</v>
      </c>
      <c r="I2630" s="6">
        <v>0.8105</v>
      </c>
      <c r="J2630" s="6">
        <v>-0.0453</v>
      </c>
    </row>
    <row r="2631">
      <c r="A2631" s="5" t="s">
        <v>59</v>
      </c>
      <c r="B2631" s="5" t="s">
        <v>163</v>
      </c>
      <c r="C2631" s="5" t="s">
        <v>72</v>
      </c>
      <c r="D2631" s="6">
        <v>23.0</v>
      </c>
      <c r="E2631" s="6">
        <v>16698.0</v>
      </c>
      <c r="F2631" s="6">
        <v>18604.0</v>
      </c>
      <c r="G2631" s="6">
        <v>24212.0</v>
      </c>
      <c r="H2631" s="6">
        <v>0.6897</v>
      </c>
      <c r="I2631" s="6">
        <v>0.7684</v>
      </c>
      <c r="J2631" s="6">
        <v>-0.0787</v>
      </c>
    </row>
    <row r="2632">
      <c r="A2632" s="5" t="s">
        <v>59</v>
      </c>
      <c r="B2632" s="5" t="s">
        <v>163</v>
      </c>
      <c r="C2632" s="5" t="s">
        <v>72</v>
      </c>
      <c r="D2632" s="6">
        <v>24.0</v>
      </c>
      <c r="E2632" s="6">
        <v>21925.0</v>
      </c>
      <c r="F2632" s="6">
        <v>21649.0</v>
      </c>
      <c r="G2632" s="6">
        <v>24212.0</v>
      </c>
      <c r="H2632" s="6">
        <v>0.9055</v>
      </c>
      <c r="I2632" s="6">
        <v>0.8941</v>
      </c>
      <c r="J2632" s="6">
        <v>0.0114</v>
      </c>
    </row>
    <row r="2633">
      <c r="A2633" s="5" t="s">
        <v>59</v>
      </c>
      <c r="B2633" s="5" t="s">
        <v>163</v>
      </c>
      <c r="C2633" s="5" t="s">
        <v>72</v>
      </c>
      <c r="D2633" s="6">
        <v>25.0</v>
      </c>
      <c r="E2633" s="6">
        <v>19247.0</v>
      </c>
      <c r="F2633" s="6">
        <v>21087.0</v>
      </c>
      <c r="G2633" s="6">
        <v>24212.0</v>
      </c>
      <c r="H2633" s="6">
        <v>0.7949</v>
      </c>
      <c r="I2633" s="6">
        <v>0.8709</v>
      </c>
      <c r="J2633" s="6">
        <v>-0.076</v>
      </c>
    </row>
    <row r="2634">
      <c r="A2634" s="5" t="s">
        <v>59</v>
      </c>
      <c r="B2634" s="5" t="s">
        <v>163</v>
      </c>
      <c r="C2634" s="5" t="s">
        <v>72</v>
      </c>
      <c r="D2634" s="6">
        <v>26.0</v>
      </c>
      <c r="E2634" s="6">
        <v>18134.0</v>
      </c>
      <c r="F2634" s="6">
        <v>20838.0</v>
      </c>
      <c r="G2634" s="6">
        <v>24212.0</v>
      </c>
      <c r="H2634" s="6">
        <v>0.749</v>
      </c>
      <c r="I2634" s="6">
        <v>0.8606</v>
      </c>
      <c r="J2634" s="6">
        <v>-0.1117</v>
      </c>
    </row>
    <row r="2635">
      <c r="A2635" s="5" t="s">
        <v>59</v>
      </c>
      <c r="B2635" s="5" t="s">
        <v>163</v>
      </c>
      <c r="C2635" s="5" t="s">
        <v>72</v>
      </c>
      <c r="D2635" s="6">
        <v>27.0</v>
      </c>
      <c r="E2635" s="6">
        <v>23288.0</v>
      </c>
      <c r="F2635" s="6">
        <v>23933.0</v>
      </c>
      <c r="G2635" s="6">
        <v>24212.0</v>
      </c>
      <c r="H2635" s="6">
        <v>0.9618</v>
      </c>
      <c r="I2635" s="6">
        <v>0.9885</v>
      </c>
      <c r="J2635" s="6">
        <v>-0.0266</v>
      </c>
    </row>
    <row r="2636">
      <c r="A2636" s="5" t="s">
        <v>59</v>
      </c>
      <c r="B2636" s="5" t="s">
        <v>163</v>
      </c>
      <c r="C2636" s="5" t="s">
        <v>72</v>
      </c>
      <c r="D2636" s="6">
        <v>28.0</v>
      </c>
      <c r="E2636" s="6">
        <v>16492.0</v>
      </c>
      <c r="F2636" s="6">
        <v>19200.0</v>
      </c>
      <c r="G2636" s="6">
        <v>24212.0</v>
      </c>
      <c r="H2636" s="6">
        <v>0.6811</v>
      </c>
      <c r="I2636" s="6">
        <v>0.793</v>
      </c>
      <c r="J2636" s="6">
        <v>-0.1118</v>
      </c>
    </row>
    <row r="2637">
      <c r="A2637" s="5" t="s">
        <v>59</v>
      </c>
      <c r="B2637" s="5" t="s">
        <v>163</v>
      </c>
      <c r="C2637" s="5" t="s">
        <v>72</v>
      </c>
      <c r="D2637" s="6">
        <v>29.0</v>
      </c>
      <c r="E2637" s="6">
        <v>15511.0</v>
      </c>
      <c r="F2637" s="6">
        <v>18799.0</v>
      </c>
      <c r="G2637" s="6">
        <v>24212.0</v>
      </c>
      <c r="H2637" s="6">
        <v>0.6406</v>
      </c>
      <c r="I2637" s="6">
        <v>0.7764</v>
      </c>
      <c r="J2637" s="6">
        <v>-0.1358</v>
      </c>
    </row>
    <row r="2638">
      <c r="A2638" s="5" t="s">
        <v>59</v>
      </c>
      <c r="B2638" s="5" t="s">
        <v>163</v>
      </c>
      <c r="C2638" s="5" t="s">
        <v>72</v>
      </c>
      <c r="D2638" s="6">
        <v>30.0</v>
      </c>
      <c r="E2638" s="6">
        <v>17106.0</v>
      </c>
      <c r="F2638" s="6">
        <v>18537.0</v>
      </c>
      <c r="G2638" s="6">
        <v>24212.0</v>
      </c>
      <c r="H2638" s="6">
        <v>0.7065</v>
      </c>
      <c r="I2638" s="6">
        <v>0.7656</v>
      </c>
      <c r="J2638" s="6">
        <v>-0.0591</v>
      </c>
    </row>
    <row r="2639">
      <c r="A2639" s="5" t="s">
        <v>59</v>
      </c>
      <c r="B2639" s="5" t="s">
        <v>163</v>
      </c>
      <c r="C2639" s="5" t="s">
        <v>72</v>
      </c>
      <c r="D2639" s="6">
        <v>31.0</v>
      </c>
      <c r="E2639" s="6">
        <v>22375.0</v>
      </c>
      <c r="F2639" s="6">
        <v>21367.0</v>
      </c>
      <c r="G2639" s="6">
        <v>24212.0</v>
      </c>
      <c r="H2639" s="6">
        <v>0.9241</v>
      </c>
      <c r="I2639" s="6">
        <v>0.8825</v>
      </c>
      <c r="J2639" s="6">
        <v>0.0416</v>
      </c>
    </row>
    <row r="2640">
      <c r="A2640" s="5" t="s">
        <v>59</v>
      </c>
      <c r="B2640" s="5" t="s">
        <v>163</v>
      </c>
      <c r="C2640" s="5" t="s">
        <v>72</v>
      </c>
      <c r="D2640" s="6">
        <v>32.0</v>
      </c>
      <c r="E2640" s="6">
        <v>19748.0</v>
      </c>
      <c r="F2640" s="6">
        <v>20745.0</v>
      </c>
      <c r="G2640" s="6">
        <v>24212.0</v>
      </c>
      <c r="H2640" s="6">
        <v>0.8156</v>
      </c>
      <c r="I2640" s="6">
        <v>0.8568</v>
      </c>
      <c r="J2640" s="6">
        <v>-0.0412</v>
      </c>
    </row>
    <row r="2641">
      <c r="A2641" s="5" t="s">
        <v>59</v>
      </c>
      <c r="B2641" s="5" t="s">
        <v>163</v>
      </c>
      <c r="C2641" s="5" t="s">
        <v>72</v>
      </c>
      <c r="D2641" s="6">
        <v>33.0</v>
      </c>
      <c r="E2641" s="6">
        <v>18992.0</v>
      </c>
      <c r="F2641" s="6">
        <v>21005.0</v>
      </c>
      <c r="G2641" s="6">
        <v>24212.0</v>
      </c>
      <c r="H2641" s="6">
        <v>0.7844</v>
      </c>
      <c r="I2641" s="6">
        <v>0.8675</v>
      </c>
      <c r="J2641" s="6">
        <v>-0.0831</v>
      </c>
    </row>
    <row r="2642">
      <c r="A2642" s="5" t="s">
        <v>59</v>
      </c>
      <c r="B2642" s="5" t="s">
        <v>163</v>
      </c>
      <c r="C2642" s="5" t="s">
        <v>73</v>
      </c>
      <c r="D2642" s="6">
        <v>1.0</v>
      </c>
      <c r="E2642" s="6">
        <v>13077.0</v>
      </c>
      <c r="F2642" s="6">
        <v>16734.0</v>
      </c>
      <c r="G2642" s="6">
        <v>24419.0</v>
      </c>
      <c r="H2642" s="6">
        <v>0.5355</v>
      </c>
      <c r="I2642" s="6">
        <v>0.6853</v>
      </c>
      <c r="J2642" s="6">
        <v>-0.1498</v>
      </c>
    </row>
    <row r="2643">
      <c r="A2643" s="5" t="s">
        <v>59</v>
      </c>
      <c r="B2643" s="5" t="s">
        <v>163</v>
      </c>
      <c r="C2643" s="5" t="s">
        <v>73</v>
      </c>
      <c r="D2643" s="6">
        <v>2.0</v>
      </c>
      <c r="E2643" s="6">
        <v>19339.0</v>
      </c>
      <c r="F2643" s="6">
        <v>18649.0</v>
      </c>
      <c r="G2643" s="6">
        <v>24419.0</v>
      </c>
      <c r="H2643" s="6">
        <v>0.792</v>
      </c>
      <c r="I2643" s="6">
        <v>0.7637</v>
      </c>
      <c r="J2643" s="6">
        <v>0.0283</v>
      </c>
    </row>
    <row r="2644">
      <c r="A2644" s="5" t="s">
        <v>59</v>
      </c>
      <c r="B2644" s="5" t="s">
        <v>163</v>
      </c>
      <c r="C2644" s="5" t="s">
        <v>73</v>
      </c>
      <c r="D2644" s="6">
        <v>3.0</v>
      </c>
      <c r="E2644" s="6">
        <v>17002.0</v>
      </c>
      <c r="F2644" s="6">
        <v>17556.0</v>
      </c>
      <c r="G2644" s="6">
        <v>24419.0</v>
      </c>
      <c r="H2644" s="6">
        <v>0.6963</v>
      </c>
      <c r="I2644" s="6">
        <v>0.7189</v>
      </c>
      <c r="J2644" s="6">
        <v>-0.0227</v>
      </c>
    </row>
    <row r="2645">
      <c r="A2645" s="5" t="s">
        <v>59</v>
      </c>
      <c r="B2645" s="5" t="s">
        <v>163</v>
      </c>
      <c r="C2645" s="5" t="s">
        <v>73</v>
      </c>
      <c r="D2645" s="6">
        <v>4.0</v>
      </c>
      <c r="E2645" s="6">
        <v>17691.0</v>
      </c>
      <c r="F2645" s="6">
        <v>17651.0</v>
      </c>
      <c r="G2645" s="6">
        <v>24419.0</v>
      </c>
      <c r="H2645" s="6">
        <v>0.7245</v>
      </c>
      <c r="I2645" s="6">
        <v>0.7228</v>
      </c>
      <c r="J2645" s="6">
        <v>0.0016</v>
      </c>
    </row>
    <row r="2646">
      <c r="A2646" s="5" t="s">
        <v>59</v>
      </c>
      <c r="B2646" s="5" t="s">
        <v>163</v>
      </c>
      <c r="C2646" s="5" t="s">
        <v>73</v>
      </c>
      <c r="D2646" s="6">
        <v>5.0</v>
      </c>
      <c r="E2646" s="6">
        <v>15110.0</v>
      </c>
      <c r="F2646" s="6">
        <v>17752.0</v>
      </c>
      <c r="G2646" s="6">
        <v>24419.0</v>
      </c>
      <c r="H2646" s="6">
        <v>0.6188</v>
      </c>
      <c r="I2646" s="6">
        <v>0.727</v>
      </c>
      <c r="J2646" s="6">
        <v>-0.1082</v>
      </c>
    </row>
    <row r="2647">
      <c r="A2647" s="5" t="s">
        <v>59</v>
      </c>
      <c r="B2647" s="5" t="s">
        <v>163</v>
      </c>
      <c r="C2647" s="5" t="s">
        <v>73</v>
      </c>
      <c r="D2647" s="6">
        <v>6.0</v>
      </c>
      <c r="E2647" s="6">
        <v>22555.0</v>
      </c>
      <c r="F2647" s="6">
        <v>21230.0</v>
      </c>
      <c r="G2647" s="6">
        <v>24419.0</v>
      </c>
      <c r="H2647" s="6">
        <v>0.9237</v>
      </c>
      <c r="I2647" s="6">
        <v>0.8694</v>
      </c>
      <c r="J2647" s="6">
        <v>0.0543</v>
      </c>
    </row>
    <row r="2648">
      <c r="A2648" s="5" t="s">
        <v>59</v>
      </c>
      <c r="B2648" s="5" t="s">
        <v>163</v>
      </c>
      <c r="C2648" s="5" t="s">
        <v>73</v>
      </c>
      <c r="D2648" s="6">
        <v>7.0</v>
      </c>
      <c r="E2648" s="6">
        <v>17761.0</v>
      </c>
      <c r="F2648" s="6">
        <v>18686.0</v>
      </c>
      <c r="G2648" s="6">
        <v>24419.0</v>
      </c>
      <c r="H2648" s="6">
        <v>0.7273</v>
      </c>
      <c r="I2648" s="6">
        <v>0.7652</v>
      </c>
      <c r="J2648" s="6">
        <v>-0.0379</v>
      </c>
    </row>
    <row r="2649">
      <c r="A2649" s="5" t="s">
        <v>59</v>
      </c>
      <c r="B2649" s="5" t="s">
        <v>163</v>
      </c>
      <c r="C2649" s="5" t="s">
        <v>73</v>
      </c>
      <c r="D2649" s="6">
        <v>8.0</v>
      </c>
      <c r="E2649" s="6">
        <v>14038.0</v>
      </c>
      <c r="F2649" s="6">
        <v>17119.0</v>
      </c>
      <c r="G2649" s="6">
        <v>24419.0</v>
      </c>
      <c r="H2649" s="6">
        <v>0.5749</v>
      </c>
      <c r="I2649" s="6">
        <v>0.7011</v>
      </c>
      <c r="J2649" s="6">
        <v>-0.1262</v>
      </c>
    </row>
    <row r="2650">
      <c r="A2650" s="5" t="s">
        <v>59</v>
      </c>
      <c r="B2650" s="5" t="s">
        <v>163</v>
      </c>
      <c r="C2650" s="5" t="s">
        <v>73</v>
      </c>
      <c r="D2650" s="6">
        <v>9.0</v>
      </c>
      <c r="E2650" s="6">
        <v>15587.0</v>
      </c>
      <c r="F2650" s="6">
        <v>17183.0</v>
      </c>
      <c r="G2650" s="6">
        <v>24419.0</v>
      </c>
      <c r="H2650" s="6">
        <v>0.6383</v>
      </c>
      <c r="I2650" s="6">
        <v>0.7037</v>
      </c>
      <c r="J2650" s="6">
        <v>-0.0654</v>
      </c>
    </row>
    <row r="2651">
      <c r="A2651" s="5" t="s">
        <v>59</v>
      </c>
      <c r="B2651" s="5" t="s">
        <v>163</v>
      </c>
      <c r="C2651" s="5" t="s">
        <v>73</v>
      </c>
      <c r="D2651" s="6">
        <v>10.0</v>
      </c>
      <c r="E2651" s="6">
        <v>16862.0</v>
      </c>
      <c r="F2651" s="6">
        <v>18143.0</v>
      </c>
      <c r="G2651" s="6">
        <v>24419.0</v>
      </c>
      <c r="H2651" s="6">
        <v>0.6905</v>
      </c>
      <c r="I2651" s="6">
        <v>0.743</v>
      </c>
      <c r="J2651" s="6">
        <v>-0.0525</v>
      </c>
    </row>
    <row r="2652">
      <c r="A2652" s="5" t="s">
        <v>59</v>
      </c>
      <c r="B2652" s="5" t="s">
        <v>163</v>
      </c>
      <c r="C2652" s="5" t="s">
        <v>73</v>
      </c>
      <c r="D2652" s="6">
        <v>11.0</v>
      </c>
      <c r="E2652" s="6">
        <v>17802.0</v>
      </c>
      <c r="F2652" s="6">
        <v>18378.0</v>
      </c>
      <c r="G2652" s="6">
        <v>24419.0</v>
      </c>
      <c r="H2652" s="6">
        <v>0.729</v>
      </c>
      <c r="I2652" s="6">
        <v>0.7526</v>
      </c>
      <c r="J2652" s="6">
        <v>-0.0236</v>
      </c>
    </row>
    <row r="2653">
      <c r="A2653" s="5" t="s">
        <v>59</v>
      </c>
      <c r="B2653" s="5" t="s">
        <v>163</v>
      </c>
      <c r="C2653" s="5" t="s">
        <v>73</v>
      </c>
      <c r="D2653" s="6">
        <v>12.0</v>
      </c>
      <c r="E2653" s="6">
        <v>15210.0</v>
      </c>
      <c r="F2653" s="6">
        <v>18877.0</v>
      </c>
      <c r="G2653" s="6">
        <v>24419.0</v>
      </c>
      <c r="H2653" s="6">
        <v>0.6229</v>
      </c>
      <c r="I2653" s="6">
        <v>0.773</v>
      </c>
      <c r="J2653" s="6">
        <v>-0.1502</v>
      </c>
    </row>
    <row r="2654">
      <c r="A2654" s="5" t="s">
        <v>59</v>
      </c>
      <c r="B2654" s="5" t="s">
        <v>163</v>
      </c>
      <c r="C2654" s="5" t="s">
        <v>73</v>
      </c>
      <c r="D2654" s="6">
        <v>13.0</v>
      </c>
      <c r="E2654" s="6">
        <v>22642.0</v>
      </c>
      <c r="F2654" s="6">
        <v>21817.0</v>
      </c>
      <c r="G2654" s="6">
        <v>24419.0</v>
      </c>
      <c r="H2654" s="6">
        <v>0.9272</v>
      </c>
      <c r="I2654" s="6">
        <v>0.8934</v>
      </c>
      <c r="J2654" s="6">
        <v>0.0338</v>
      </c>
    </row>
    <row r="2655">
      <c r="A2655" s="5" t="s">
        <v>59</v>
      </c>
      <c r="B2655" s="5" t="s">
        <v>163</v>
      </c>
      <c r="C2655" s="5" t="s">
        <v>73</v>
      </c>
      <c r="D2655" s="6">
        <v>14.0</v>
      </c>
      <c r="E2655" s="6">
        <v>18126.0</v>
      </c>
      <c r="F2655" s="6">
        <v>19200.0</v>
      </c>
      <c r="G2655" s="6">
        <v>24419.0</v>
      </c>
      <c r="H2655" s="6">
        <v>0.7423</v>
      </c>
      <c r="I2655" s="6">
        <v>0.7863</v>
      </c>
      <c r="J2655" s="6">
        <v>-0.044</v>
      </c>
    </row>
    <row r="2656">
      <c r="A2656" s="5" t="s">
        <v>59</v>
      </c>
      <c r="B2656" s="5" t="s">
        <v>163</v>
      </c>
      <c r="C2656" s="5" t="s">
        <v>73</v>
      </c>
      <c r="D2656" s="6">
        <v>15.0</v>
      </c>
      <c r="E2656" s="6">
        <v>13878.0</v>
      </c>
      <c r="F2656" s="6">
        <v>17391.0</v>
      </c>
      <c r="G2656" s="6">
        <v>24419.0</v>
      </c>
      <c r="H2656" s="6">
        <v>0.5683</v>
      </c>
      <c r="I2656" s="6">
        <v>0.7122</v>
      </c>
      <c r="J2656" s="6">
        <v>-0.1439</v>
      </c>
    </row>
    <row r="2657">
      <c r="A2657" s="5" t="s">
        <v>59</v>
      </c>
      <c r="B2657" s="5" t="s">
        <v>163</v>
      </c>
      <c r="C2657" s="5" t="s">
        <v>73</v>
      </c>
      <c r="D2657" s="6">
        <v>16.0</v>
      </c>
      <c r="E2657" s="6">
        <v>21619.0</v>
      </c>
      <c r="F2657" s="6">
        <v>19616.0</v>
      </c>
      <c r="G2657" s="6">
        <v>24419.0</v>
      </c>
      <c r="H2657" s="6">
        <v>0.8853</v>
      </c>
      <c r="I2657" s="6">
        <v>0.8033</v>
      </c>
      <c r="J2657" s="6">
        <v>0.082</v>
      </c>
    </row>
    <row r="2658">
      <c r="A2658" s="5" t="s">
        <v>59</v>
      </c>
      <c r="B2658" s="5" t="s">
        <v>163</v>
      </c>
      <c r="C2658" s="5" t="s">
        <v>73</v>
      </c>
      <c r="D2658" s="6">
        <v>17.0</v>
      </c>
      <c r="E2658" s="6">
        <v>19067.0</v>
      </c>
      <c r="F2658" s="6">
        <v>19875.0</v>
      </c>
      <c r="G2658" s="6">
        <v>24419.0</v>
      </c>
      <c r="H2658" s="6">
        <v>0.7808</v>
      </c>
      <c r="I2658" s="6">
        <v>0.8139</v>
      </c>
      <c r="J2658" s="6">
        <v>-0.0331</v>
      </c>
    </row>
    <row r="2659">
      <c r="A2659" s="5" t="s">
        <v>59</v>
      </c>
      <c r="B2659" s="5" t="s">
        <v>163</v>
      </c>
      <c r="C2659" s="5" t="s">
        <v>73</v>
      </c>
      <c r="D2659" s="6">
        <v>18.0</v>
      </c>
      <c r="E2659" s="6">
        <v>20444.0</v>
      </c>
      <c r="F2659" s="6">
        <v>20485.0</v>
      </c>
      <c r="G2659" s="6">
        <v>24419.0</v>
      </c>
      <c r="H2659" s="6">
        <v>0.8372</v>
      </c>
      <c r="I2659" s="6">
        <v>0.8389</v>
      </c>
      <c r="J2659" s="6">
        <v>-0.0017</v>
      </c>
    </row>
    <row r="2660">
      <c r="A2660" s="5" t="s">
        <v>59</v>
      </c>
      <c r="B2660" s="5" t="s">
        <v>163</v>
      </c>
      <c r="C2660" s="5" t="s">
        <v>73</v>
      </c>
      <c r="D2660" s="6">
        <v>19.0</v>
      </c>
      <c r="E2660" s="6">
        <v>16700.0</v>
      </c>
      <c r="F2660" s="6">
        <v>19979.0</v>
      </c>
      <c r="G2660" s="6">
        <v>24419.0</v>
      </c>
      <c r="H2660" s="6">
        <v>0.6839</v>
      </c>
      <c r="I2660" s="6">
        <v>0.8182</v>
      </c>
      <c r="J2660" s="6">
        <v>-0.1343</v>
      </c>
    </row>
    <row r="2661">
      <c r="A2661" s="5" t="s">
        <v>59</v>
      </c>
      <c r="B2661" s="5" t="s">
        <v>163</v>
      </c>
      <c r="C2661" s="5" t="s">
        <v>73</v>
      </c>
      <c r="D2661" s="6">
        <v>20.0</v>
      </c>
      <c r="E2661" s="6">
        <v>25964.0</v>
      </c>
      <c r="F2661" s="6">
        <v>23842.0</v>
      </c>
      <c r="G2661" s="6">
        <v>24419.0</v>
      </c>
      <c r="H2661" s="6">
        <v>1.0633</v>
      </c>
      <c r="I2661" s="6">
        <v>0.9764</v>
      </c>
      <c r="J2661" s="6">
        <v>0.0869</v>
      </c>
    </row>
    <row r="2662">
      <c r="A2662" s="5" t="s">
        <v>59</v>
      </c>
      <c r="B2662" s="5" t="s">
        <v>163</v>
      </c>
      <c r="C2662" s="5" t="s">
        <v>73</v>
      </c>
      <c r="D2662" s="6">
        <v>21.0</v>
      </c>
      <c r="E2662" s="6">
        <v>28759.0</v>
      </c>
      <c r="F2662" s="6">
        <v>23219.0</v>
      </c>
      <c r="G2662" s="6">
        <v>24419.0</v>
      </c>
      <c r="H2662" s="6">
        <v>1.1777</v>
      </c>
      <c r="I2662" s="6">
        <v>0.9509</v>
      </c>
      <c r="J2662" s="6">
        <v>0.2269</v>
      </c>
    </row>
    <row r="2663">
      <c r="A2663" s="5" t="s">
        <v>59</v>
      </c>
      <c r="B2663" s="5" t="s">
        <v>163</v>
      </c>
      <c r="C2663" s="5" t="s">
        <v>73</v>
      </c>
      <c r="D2663" s="6">
        <v>22.0</v>
      </c>
      <c r="E2663" s="6">
        <v>19512.0</v>
      </c>
      <c r="F2663" s="6">
        <v>21567.0</v>
      </c>
      <c r="G2663" s="6">
        <v>24419.0</v>
      </c>
      <c r="H2663" s="6">
        <v>0.799</v>
      </c>
      <c r="I2663" s="6">
        <v>0.8832</v>
      </c>
      <c r="J2663" s="6">
        <v>-0.0842</v>
      </c>
    </row>
    <row r="2664">
      <c r="A2664" s="5" t="s">
        <v>59</v>
      </c>
      <c r="B2664" s="5" t="s">
        <v>163</v>
      </c>
      <c r="C2664" s="5" t="s">
        <v>73</v>
      </c>
      <c r="D2664" s="6">
        <v>23.0</v>
      </c>
      <c r="E2664" s="6">
        <v>20584.0</v>
      </c>
      <c r="F2664" s="6">
        <v>21054.0</v>
      </c>
      <c r="G2664" s="6">
        <v>24419.0</v>
      </c>
      <c r="H2664" s="6">
        <v>0.843</v>
      </c>
      <c r="I2664" s="6">
        <v>0.8622</v>
      </c>
      <c r="J2664" s="6">
        <v>-0.0192</v>
      </c>
    </row>
    <row r="2665">
      <c r="A2665" s="5" t="s">
        <v>59</v>
      </c>
      <c r="B2665" s="5" t="s">
        <v>163</v>
      </c>
      <c r="C2665" s="5" t="s">
        <v>73</v>
      </c>
      <c r="D2665" s="6">
        <v>24.0</v>
      </c>
      <c r="E2665" s="6">
        <v>20801.0</v>
      </c>
      <c r="F2665" s="6">
        <v>22445.0</v>
      </c>
      <c r="G2665" s="6">
        <v>24419.0</v>
      </c>
      <c r="H2665" s="6">
        <v>0.8518</v>
      </c>
      <c r="I2665" s="6">
        <v>0.9192</v>
      </c>
      <c r="J2665" s="6">
        <v>-0.0673</v>
      </c>
    </row>
    <row r="2666">
      <c r="A2666" s="5" t="s">
        <v>59</v>
      </c>
      <c r="B2666" s="5" t="s">
        <v>163</v>
      </c>
      <c r="C2666" s="5" t="s">
        <v>73</v>
      </c>
      <c r="D2666" s="6">
        <v>25.0</v>
      </c>
      <c r="E2666" s="6">
        <v>22624.0</v>
      </c>
      <c r="F2666" s="6">
        <v>22591.0</v>
      </c>
      <c r="G2666" s="6">
        <v>24419.0</v>
      </c>
      <c r="H2666" s="6">
        <v>0.9265</v>
      </c>
      <c r="I2666" s="6">
        <v>0.9251</v>
      </c>
      <c r="J2666" s="6">
        <v>0.0014</v>
      </c>
    </row>
    <row r="2667">
      <c r="A2667" s="5" t="s">
        <v>59</v>
      </c>
      <c r="B2667" s="5" t="s">
        <v>163</v>
      </c>
      <c r="C2667" s="5" t="s">
        <v>73</v>
      </c>
      <c r="D2667" s="6">
        <v>26.0</v>
      </c>
      <c r="E2667" s="6">
        <v>17931.0</v>
      </c>
      <c r="F2667" s="6">
        <v>21660.0</v>
      </c>
      <c r="G2667" s="6">
        <v>24419.0</v>
      </c>
      <c r="H2667" s="6">
        <v>0.7343</v>
      </c>
      <c r="I2667" s="6">
        <v>0.887</v>
      </c>
      <c r="J2667" s="6">
        <v>-0.1527</v>
      </c>
    </row>
    <row r="2668">
      <c r="A2668" s="5" t="s">
        <v>59</v>
      </c>
      <c r="B2668" s="5" t="s">
        <v>163</v>
      </c>
      <c r="C2668" s="5" t="s">
        <v>73</v>
      </c>
      <c r="D2668" s="6">
        <v>27.0</v>
      </c>
      <c r="E2668" s="6">
        <v>26809.0</v>
      </c>
      <c r="F2668" s="6">
        <v>25527.0</v>
      </c>
      <c r="G2668" s="6">
        <v>24419.0</v>
      </c>
      <c r="H2668" s="6">
        <v>1.0979</v>
      </c>
      <c r="I2668" s="6">
        <v>1.0454</v>
      </c>
      <c r="J2668" s="6">
        <v>0.0525</v>
      </c>
    </row>
    <row r="2669">
      <c r="A2669" s="5" t="s">
        <v>59</v>
      </c>
      <c r="B2669" s="5" t="s">
        <v>163</v>
      </c>
      <c r="C2669" s="5" t="s">
        <v>73</v>
      </c>
      <c r="D2669" s="6">
        <v>28.0</v>
      </c>
      <c r="E2669" s="6">
        <v>20856.0</v>
      </c>
      <c r="F2669" s="6">
        <v>21931.0</v>
      </c>
      <c r="G2669" s="6">
        <v>24419.0</v>
      </c>
      <c r="H2669" s="6">
        <v>0.8541</v>
      </c>
      <c r="I2669" s="6">
        <v>0.8981</v>
      </c>
      <c r="J2669" s="6">
        <v>-0.044</v>
      </c>
    </row>
    <row r="2670">
      <c r="A2670" s="5" t="s">
        <v>59</v>
      </c>
      <c r="B2670" s="5" t="s">
        <v>163</v>
      </c>
      <c r="C2670" s="5" t="s">
        <v>73</v>
      </c>
      <c r="D2670" s="6">
        <v>29.0</v>
      </c>
      <c r="E2670" s="6">
        <v>16015.0</v>
      </c>
      <c r="F2670" s="6">
        <v>19961.0</v>
      </c>
      <c r="G2670" s="6">
        <v>24419.0</v>
      </c>
      <c r="H2670" s="6">
        <v>0.6558</v>
      </c>
      <c r="I2670" s="6">
        <v>0.8174</v>
      </c>
      <c r="J2670" s="6">
        <v>-0.1616</v>
      </c>
    </row>
    <row r="2671">
      <c r="A2671" s="5" t="s">
        <v>59</v>
      </c>
      <c r="B2671" s="5" t="s">
        <v>163</v>
      </c>
      <c r="C2671" s="5" t="s">
        <v>73</v>
      </c>
      <c r="D2671" s="6">
        <v>30.0</v>
      </c>
      <c r="E2671" s="6">
        <v>24512.0</v>
      </c>
      <c r="F2671" s="6">
        <v>21560.0</v>
      </c>
      <c r="G2671" s="6">
        <v>24419.0</v>
      </c>
      <c r="H2671" s="6">
        <v>1.0038</v>
      </c>
      <c r="I2671" s="6">
        <v>0.8829</v>
      </c>
      <c r="J2671" s="6">
        <v>0.1209</v>
      </c>
    </row>
    <row r="2672">
      <c r="A2672" s="5" t="s">
        <v>59</v>
      </c>
      <c r="B2672" s="5" t="s">
        <v>163</v>
      </c>
      <c r="C2672" s="5" t="s">
        <v>73</v>
      </c>
      <c r="D2672" s="6">
        <v>31.0</v>
      </c>
      <c r="E2672" s="6">
        <v>22142.0</v>
      </c>
      <c r="F2672" s="6">
        <v>22522.0</v>
      </c>
      <c r="G2672" s="6">
        <v>24419.0</v>
      </c>
      <c r="H2672" s="6">
        <v>0.9068</v>
      </c>
      <c r="I2672" s="6">
        <v>0.9223</v>
      </c>
      <c r="J2672" s="6">
        <v>-0.0156</v>
      </c>
    </row>
    <row r="2673">
      <c r="A2673" s="5" t="s">
        <v>59</v>
      </c>
      <c r="B2673" s="5" t="s">
        <v>163</v>
      </c>
      <c r="C2673" s="5" t="s">
        <v>73</v>
      </c>
      <c r="D2673" s="6">
        <v>32.0</v>
      </c>
      <c r="E2673" s="6">
        <v>22879.0</v>
      </c>
      <c r="F2673" s="6">
        <v>22435.0</v>
      </c>
      <c r="G2673" s="6">
        <v>24419.0</v>
      </c>
      <c r="H2673" s="6">
        <v>0.9369</v>
      </c>
      <c r="I2673" s="6">
        <v>0.9188</v>
      </c>
      <c r="J2673" s="6">
        <v>0.0182</v>
      </c>
    </row>
    <row r="2674">
      <c r="A2674" s="5" t="s">
        <v>59</v>
      </c>
      <c r="B2674" s="5" t="s">
        <v>163</v>
      </c>
      <c r="C2674" s="5" t="s">
        <v>73</v>
      </c>
      <c r="D2674" s="6">
        <v>33.0</v>
      </c>
      <c r="E2674" s="6">
        <v>18681.0</v>
      </c>
      <c r="F2674" s="6">
        <v>21677.0</v>
      </c>
      <c r="G2674" s="6">
        <v>24419.0</v>
      </c>
      <c r="H2674" s="6">
        <v>0.765</v>
      </c>
      <c r="I2674" s="6">
        <v>0.8877</v>
      </c>
      <c r="J2674" s="6">
        <v>-0.1227</v>
      </c>
    </row>
    <row r="2675">
      <c r="A2675" s="5" t="s">
        <v>59</v>
      </c>
      <c r="B2675" s="5" t="s">
        <v>163</v>
      </c>
      <c r="C2675" s="5" t="s">
        <v>74</v>
      </c>
      <c r="D2675" s="6">
        <v>1.0</v>
      </c>
      <c r="E2675" s="6">
        <v>7051.0</v>
      </c>
      <c r="F2675" s="6">
        <v>9891.0</v>
      </c>
      <c r="G2675" s="6">
        <v>24130.0</v>
      </c>
      <c r="H2675" s="6">
        <v>0.2922</v>
      </c>
      <c r="I2675" s="6">
        <v>0.4099</v>
      </c>
      <c r="J2675" s="6">
        <v>-0.1177</v>
      </c>
    </row>
    <row r="2676">
      <c r="A2676" s="5" t="s">
        <v>59</v>
      </c>
      <c r="B2676" s="5" t="s">
        <v>163</v>
      </c>
      <c r="C2676" s="5" t="s">
        <v>74</v>
      </c>
      <c r="D2676" s="6">
        <v>2.0</v>
      </c>
      <c r="E2676" s="6">
        <v>11868.0</v>
      </c>
      <c r="F2676" s="6">
        <v>11658.0</v>
      </c>
      <c r="G2676" s="6">
        <v>24130.0</v>
      </c>
      <c r="H2676" s="6">
        <v>0.4918</v>
      </c>
      <c r="I2676" s="6">
        <v>0.4831</v>
      </c>
      <c r="J2676" s="6">
        <v>0.0087</v>
      </c>
    </row>
    <row r="2677">
      <c r="A2677" s="5" t="s">
        <v>59</v>
      </c>
      <c r="B2677" s="5" t="s">
        <v>163</v>
      </c>
      <c r="C2677" s="5" t="s">
        <v>74</v>
      </c>
      <c r="D2677" s="6">
        <v>3.0</v>
      </c>
      <c r="E2677" s="6">
        <v>9579.0</v>
      </c>
      <c r="F2677" s="6">
        <v>9997.0</v>
      </c>
      <c r="G2677" s="6">
        <v>24130.0</v>
      </c>
      <c r="H2677" s="6">
        <v>0.397</v>
      </c>
      <c r="I2677" s="6">
        <v>0.4143</v>
      </c>
      <c r="J2677" s="6">
        <v>-0.0173</v>
      </c>
    </row>
    <row r="2678">
      <c r="A2678" s="5" t="s">
        <v>59</v>
      </c>
      <c r="B2678" s="5" t="s">
        <v>163</v>
      </c>
      <c r="C2678" s="5" t="s">
        <v>74</v>
      </c>
      <c r="D2678" s="6">
        <v>4.0</v>
      </c>
      <c r="E2678" s="6">
        <v>11305.0</v>
      </c>
      <c r="F2678" s="6">
        <v>11460.0</v>
      </c>
      <c r="G2678" s="6">
        <v>24130.0</v>
      </c>
      <c r="H2678" s="6">
        <v>0.4685</v>
      </c>
      <c r="I2678" s="6">
        <v>0.4749</v>
      </c>
      <c r="J2678" s="6">
        <v>-0.0064</v>
      </c>
    </row>
    <row r="2679">
      <c r="A2679" s="5" t="s">
        <v>59</v>
      </c>
      <c r="B2679" s="5" t="s">
        <v>163</v>
      </c>
      <c r="C2679" s="5" t="s">
        <v>74</v>
      </c>
      <c r="D2679" s="6">
        <v>5.0</v>
      </c>
      <c r="E2679" s="6">
        <v>9995.0</v>
      </c>
      <c r="F2679" s="6">
        <v>11891.0</v>
      </c>
      <c r="G2679" s="6">
        <v>24130.0</v>
      </c>
      <c r="H2679" s="6">
        <v>0.4142</v>
      </c>
      <c r="I2679" s="6">
        <v>0.4928</v>
      </c>
      <c r="J2679" s="6">
        <v>-0.0786</v>
      </c>
    </row>
    <row r="2680">
      <c r="A2680" s="5" t="s">
        <v>59</v>
      </c>
      <c r="B2680" s="5" t="s">
        <v>163</v>
      </c>
      <c r="C2680" s="5" t="s">
        <v>74</v>
      </c>
      <c r="D2680" s="6">
        <v>6.0</v>
      </c>
      <c r="E2680" s="6">
        <v>17698.0</v>
      </c>
      <c r="F2680" s="6">
        <v>15491.0</v>
      </c>
      <c r="G2680" s="6">
        <v>24130.0</v>
      </c>
      <c r="H2680" s="6">
        <v>0.7334</v>
      </c>
      <c r="I2680" s="6">
        <v>0.642</v>
      </c>
      <c r="J2680" s="6">
        <v>0.0915</v>
      </c>
    </row>
    <row r="2681">
      <c r="A2681" s="5" t="s">
        <v>59</v>
      </c>
      <c r="B2681" s="5" t="s">
        <v>163</v>
      </c>
      <c r="C2681" s="5" t="s">
        <v>74</v>
      </c>
      <c r="D2681" s="6">
        <v>7.0</v>
      </c>
      <c r="E2681" s="6">
        <v>12004.0</v>
      </c>
      <c r="F2681" s="6">
        <v>12220.0</v>
      </c>
      <c r="G2681" s="6">
        <v>24130.0</v>
      </c>
      <c r="H2681" s="6">
        <v>0.4975</v>
      </c>
      <c r="I2681" s="6">
        <v>0.5064</v>
      </c>
      <c r="J2681" s="6">
        <v>-0.009</v>
      </c>
    </row>
    <row r="2682">
      <c r="A2682" s="5" t="s">
        <v>59</v>
      </c>
      <c r="B2682" s="5" t="s">
        <v>163</v>
      </c>
      <c r="C2682" s="5" t="s">
        <v>74</v>
      </c>
      <c r="D2682" s="6">
        <v>8.0</v>
      </c>
      <c r="E2682" s="6">
        <v>9655.0</v>
      </c>
      <c r="F2682" s="6">
        <v>11421.0</v>
      </c>
      <c r="G2682" s="6">
        <v>24130.0</v>
      </c>
      <c r="H2682" s="6">
        <v>0.4001</v>
      </c>
      <c r="I2682" s="6">
        <v>0.4733</v>
      </c>
      <c r="J2682" s="6">
        <v>-0.0732</v>
      </c>
    </row>
    <row r="2683">
      <c r="A2683" s="5" t="s">
        <v>59</v>
      </c>
      <c r="B2683" s="5" t="s">
        <v>163</v>
      </c>
      <c r="C2683" s="5" t="s">
        <v>74</v>
      </c>
      <c r="D2683" s="6">
        <v>9.0</v>
      </c>
      <c r="E2683" s="6">
        <v>10728.0</v>
      </c>
      <c r="F2683" s="6">
        <v>10857.0</v>
      </c>
      <c r="G2683" s="6">
        <v>24130.0</v>
      </c>
      <c r="H2683" s="6">
        <v>0.4446</v>
      </c>
      <c r="I2683" s="6">
        <v>0.4499</v>
      </c>
      <c r="J2683" s="6">
        <v>-0.0053</v>
      </c>
    </row>
    <row r="2684">
      <c r="A2684" s="5" t="s">
        <v>59</v>
      </c>
      <c r="B2684" s="5" t="s">
        <v>163</v>
      </c>
      <c r="C2684" s="5" t="s">
        <v>74</v>
      </c>
      <c r="D2684" s="6">
        <v>10.0</v>
      </c>
      <c r="E2684" s="6">
        <v>9448.0</v>
      </c>
      <c r="F2684" s="6">
        <v>11188.0</v>
      </c>
      <c r="G2684" s="6">
        <v>24130.0</v>
      </c>
      <c r="H2684" s="6">
        <v>0.3915</v>
      </c>
      <c r="I2684" s="6">
        <v>0.4637</v>
      </c>
      <c r="J2684" s="6">
        <v>-0.0721</v>
      </c>
    </row>
    <row r="2685">
      <c r="A2685" s="5" t="s">
        <v>59</v>
      </c>
      <c r="B2685" s="5" t="s">
        <v>163</v>
      </c>
      <c r="C2685" s="5" t="s">
        <v>74</v>
      </c>
      <c r="D2685" s="6">
        <v>11.0</v>
      </c>
      <c r="E2685" s="6">
        <v>11451.0</v>
      </c>
      <c r="F2685" s="6">
        <v>11939.0</v>
      </c>
      <c r="G2685" s="6">
        <v>24130.0</v>
      </c>
      <c r="H2685" s="6">
        <v>0.4746</v>
      </c>
      <c r="I2685" s="6">
        <v>0.4948</v>
      </c>
      <c r="J2685" s="6">
        <v>-0.0202</v>
      </c>
    </row>
    <row r="2686">
      <c r="A2686" s="5" t="s">
        <v>59</v>
      </c>
      <c r="B2686" s="5" t="s">
        <v>163</v>
      </c>
      <c r="C2686" s="5" t="s">
        <v>74</v>
      </c>
      <c r="D2686" s="6">
        <v>12.0</v>
      </c>
      <c r="E2686" s="6">
        <v>9991.0</v>
      </c>
      <c r="F2686" s="6">
        <v>12720.0</v>
      </c>
      <c r="G2686" s="6">
        <v>24130.0</v>
      </c>
      <c r="H2686" s="6">
        <v>0.414</v>
      </c>
      <c r="I2686" s="6">
        <v>0.5271</v>
      </c>
      <c r="J2686" s="6">
        <v>-0.1131</v>
      </c>
    </row>
    <row r="2687">
      <c r="A2687" s="5" t="s">
        <v>59</v>
      </c>
      <c r="B2687" s="5" t="s">
        <v>163</v>
      </c>
      <c r="C2687" s="5" t="s">
        <v>74</v>
      </c>
      <c r="D2687" s="6">
        <v>13.0</v>
      </c>
      <c r="E2687" s="6">
        <v>17465.0</v>
      </c>
      <c r="F2687" s="6">
        <v>16434.0</v>
      </c>
      <c r="G2687" s="6">
        <v>24130.0</v>
      </c>
      <c r="H2687" s="6">
        <v>0.7238</v>
      </c>
      <c r="I2687" s="6">
        <v>0.6811</v>
      </c>
      <c r="J2687" s="6">
        <v>0.0427</v>
      </c>
    </row>
    <row r="2688">
      <c r="A2688" s="5" t="s">
        <v>59</v>
      </c>
      <c r="B2688" s="5" t="s">
        <v>163</v>
      </c>
      <c r="C2688" s="5" t="s">
        <v>74</v>
      </c>
      <c r="D2688" s="6">
        <v>14.0</v>
      </c>
      <c r="E2688" s="6">
        <v>11799.0</v>
      </c>
      <c r="F2688" s="6">
        <v>13045.0</v>
      </c>
      <c r="G2688" s="6">
        <v>24130.0</v>
      </c>
      <c r="H2688" s="6">
        <v>0.489</v>
      </c>
      <c r="I2688" s="6">
        <v>0.5406</v>
      </c>
      <c r="J2688" s="6">
        <v>-0.0516</v>
      </c>
    </row>
    <row r="2689">
      <c r="A2689" s="5" t="s">
        <v>59</v>
      </c>
      <c r="B2689" s="5" t="s">
        <v>163</v>
      </c>
      <c r="C2689" s="5" t="s">
        <v>74</v>
      </c>
      <c r="D2689" s="6">
        <v>15.0</v>
      </c>
      <c r="E2689" s="6">
        <v>8863.0</v>
      </c>
      <c r="F2689" s="6">
        <v>11713.0</v>
      </c>
      <c r="G2689" s="6">
        <v>24130.0</v>
      </c>
      <c r="H2689" s="6">
        <v>0.3673</v>
      </c>
      <c r="I2689" s="6">
        <v>0.4854</v>
      </c>
      <c r="J2689" s="6">
        <v>-0.1181</v>
      </c>
    </row>
    <row r="2690">
      <c r="A2690" s="5" t="s">
        <v>59</v>
      </c>
      <c r="B2690" s="5" t="s">
        <v>163</v>
      </c>
      <c r="C2690" s="5" t="s">
        <v>74</v>
      </c>
      <c r="D2690" s="6">
        <v>16.0</v>
      </c>
      <c r="E2690" s="6">
        <v>14187.0</v>
      </c>
      <c r="F2690" s="6">
        <v>12457.0</v>
      </c>
      <c r="G2690" s="6">
        <v>24130.0</v>
      </c>
      <c r="H2690" s="6">
        <v>0.5879</v>
      </c>
      <c r="I2690" s="6">
        <v>0.5162</v>
      </c>
      <c r="J2690" s="6">
        <v>0.0717</v>
      </c>
    </row>
    <row r="2691">
      <c r="A2691" s="5" t="s">
        <v>59</v>
      </c>
      <c r="B2691" s="5" t="s">
        <v>163</v>
      </c>
      <c r="C2691" s="5" t="s">
        <v>74</v>
      </c>
      <c r="D2691" s="6">
        <v>17.0</v>
      </c>
      <c r="E2691" s="6">
        <v>11124.0</v>
      </c>
      <c r="F2691" s="6">
        <v>11765.0</v>
      </c>
      <c r="G2691" s="6">
        <v>24130.0</v>
      </c>
      <c r="H2691" s="6">
        <v>0.461</v>
      </c>
      <c r="I2691" s="6">
        <v>0.4876</v>
      </c>
      <c r="J2691" s="6">
        <v>-0.0266</v>
      </c>
    </row>
    <row r="2692">
      <c r="A2692" s="5" t="s">
        <v>59</v>
      </c>
      <c r="B2692" s="5" t="s">
        <v>163</v>
      </c>
      <c r="C2692" s="5" t="s">
        <v>74</v>
      </c>
      <c r="D2692" s="6">
        <v>18.0</v>
      </c>
      <c r="E2692" s="6">
        <v>13030.0</v>
      </c>
      <c r="F2692" s="6">
        <v>12436.0</v>
      </c>
      <c r="G2692" s="6">
        <v>24130.0</v>
      </c>
      <c r="H2692" s="6">
        <v>0.54</v>
      </c>
      <c r="I2692" s="6">
        <v>0.5154</v>
      </c>
      <c r="J2692" s="6">
        <v>0.0246</v>
      </c>
    </row>
    <row r="2693">
      <c r="A2693" s="5" t="s">
        <v>59</v>
      </c>
      <c r="B2693" s="5" t="s">
        <v>163</v>
      </c>
      <c r="C2693" s="5" t="s">
        <v>74</v>
      </c>
      <c r="D2693" s="6">
        <v>19.0</v>
      </c>
      <c r="E2693" s="6">
        <v>11369.0</v>
      </c>
      <c r="F2693" s="6">
        <v>12855.0</v>
      </c>
      <c r="G2693" s="6">
        <v>24130.0</v>
      </c>
      <c r="H2693" s="6">
        <v>0.4712</v>
      </c>
      <c r="I2693" s="6">
        <v>0.5327</v>
      </c>
      <c r="J2693" s="6">
        <v>-0.0616</v>
      </c>
    </row>
    <row r="2694">
      <c r="A2694" s="5" t="s">
        <v>59</v>
      </c>
      <c r="B2694" s="5" t="s">
        <v>163</v>
      </c>
      <c r="C2694" s="5" t="s">
        <v>74</v>
      </c>
      <c r="D2694" s="6">
        <v>20.0</v>
      </c>
      <c r="E2694" s="6">
        <v>20327.0</v>
      </c>
      <c r="F2694" s="6">
        <v>17651.0</v>
      </c>
      <c r="G2694" s="6">
        <v>24130.0</v>
      </c>
      <c r="H2694" s="6">
        <v>0.8424</v>
      </c>
      <c r="I2694" s="6">
        <v>0.7315</v>
      </c>
      <c r="J2694" s="6">
        <v>0.1109</v>
      </c>
    </row>
    <row r="2695">
      <c r="A2695" s="5" t="s">
        <v>59</v>
      </c>
      <c r="B2695" s="5" t="s">
        <v>163</v>
      </c>
      <c r="C2695" s="5" t="s">
        <v>74</v>
      </c>
      <c r="D2695" s="6">
        <v>21.0</v>
      </c>
      <c r="E2695" s="6">
        <v>14690.0</v>
      </c>
      <c r="F2695" s="6">
        <v>14321.0</v>
      </c>
      <c r="G2695" s="6">
        <v>24130.0</v>
      </c>
      <c r="H2695" s="6">
        <v>0.6088</v>
      </c>
      <c r="I2695" s="6">
        <v>0.5935</v>
      </c>
      <c r="J2695" s="6">
        <v>0.0153</v>
      </c>
    </row>
    <row r="2696">
      <c r="A2696" s="5" t="s">
        <v>59</v>
      </c>
      <c r="B2696" s="5" t="s">
        <v>163</v>
      </c>
      <c r="C2696" s="5" t="s">
        <v>74</v>
      </c>
      <c r="D2696" s="6">
        <v>22.0</v>
      </c>
      <c r="E2696" s="6">
        <v>11674.0</v>
      </c>
      <c r="F2696" s="6">
        <v>12646.0</v>
      </c>
      <c r="G2696" s="6">
        <v>24130.0</v>
      </c>
      <c r="H2696" s="6">
        <v>0.4838</v>
      </c>
      <c r="I2696" s="6">
        <v>0.5241</v>
      </c>
      <c r="J2696" s="6">
        <v>-0.0403</v>
      </c>
    </row>
    <row r="2697">
      <c r="A2697" s="5" t="s">
        <v>59</v>
      </c>
      <c r="B2697" s="5" t="s">
        <v>163</v>
      </c>
      <c r="C2697" s="5" t="s">
        <v>74</v>
      </c>
      <c r="D2697" s="6">
        <v>23.0</v>
      </c>
      <c r="E2697" s="6">
        <v>12702.0</v>
      </c>
      <c r="F2697" s="6">
        <v>13252.0</v>
      </c>
      <c r="G2697" s="6">
        <v>24130.0</v>
      </c>
      <c r="H2697" s="6">
        <v>0.5264</v>
      </c>
      <c r="I2697" s="6">
        <v>0.5492</v>
      </c>
      <c r="J2697" s="6">
        <v>-0.0228</v>
      </c>
    </row>
    <row r="2698">
      <c r="A2698" s="5" t="s">
        <v>59</v>
      </c>
      <c r="B2698" s="5" t="s">
        <v>163</v>
      </c>
      <c r="C2698" s="5" t="s">
        <v>74</v>
      </c>
      <c r="D2698" s="6">
        <v>24.0</v>
      </c>
      <c r="E2698" s="6">
        <v>11085.0</v>
      </c>
      <c r="F2698" s="6">
        <v>13081.0</v>
      </c>
      <c r="G2698" s="6">
        <v>24130.0</v>
      </c>
      <c r="H2698" s="6">
        <v>0.4594</v>
      </c>
      <c r="I2698" s="6">
        <v>0.5421</v>
      </c>
      <c r="J2698" s="6">
        <v>-0.0827</v>
      </c>
    </row>
    <row r="2699">
      <c r="A2699" s="5" t="s">
        <v>59</v>
      </c>
      <c r="B2699" s="5" t="s">
        <v>163</v>
      </c>
      <c r="C2699" s="5" t="s">
        <v>74</v>
      </c>
      <c r="D2699" s="6">
        <v>25.0</v>
      </c>
      <c r="E2699" s="6">
        <v>13050.0</v>
      </c>
      <c r="F2699" s="6">
        <v>13158.0</v>
      </c>
      <c r="G2699" s="6">
        <v>24130.0</v>
      </c>
      <c r="H2699" s="6">
        <v>0.5408</v>
      </c>
      <c r="I2699" s="6">
        <v>0.5453</v>
      </c>
      <c r="J2699" s="6">
        <v>-0.0045</v>
      </c>
    </row>
    <row r="2700">
      <c r="A2700" s="5" t="s">
        <v>59</v>
      </c>
      <c r="B2700" s="5" t="s">
        <v>163</v>
      </c>
      <c r="C2700" s="5" t="s">
        <v>74</v>
      </c>
      <c r="D2700" s="6">
        <v>26.0</v>
      </c>
      <c r="E2700" s="6">
        <v>11157.0</v>
      </c>
      <c r="F2700" s="6">
        <v>13160.0</v>
      </c>
      <c r="G2700" s="6">
        <v>24130.0</v>
      </c>
      <c r="H2700" s="6">
        <v>0.4624</v>
      </c>
      <c r="I2700" s="6">
        <v>0.5454</v>
      </c>
      <c r="J2700" s="6">
        <v>-0.083</v>
      </c>
    </row>
    <row r="2701">
      <c r="A2701" s="5" t="s">
        <v>59</v>
      </c>
      <c r="B2701" s="5" t="s">
        <v>163</v>
      </c>
      <c r="C2701" s="5" t="s">
        <v>74</v>
      </c>
      <c r="D2701" s="6">
        <v>27.0</v>
      </c>
      <c r="E2701" s="6">
        <v>19558.0</v>
      </c>
      <c r="F2701" s="6">
        <v>17767.0</v>
      </c>
      <c r="G2701" s="6">
        <v>24130.0</v>
      </c>
      <c r="H2701" s="6">
        <v>0.8105</v>
      </c>
      <c r="I2701" s="6">
        <v>0.7363</v>
      </c>
      <c r="J2701" s="6">
        <v>0.0742</v>
      </c>
    </row>
    <row r="2702">
      <c r="A2702" s="5" t="s">
        <v>59</v>
      </c>
      <c r="B2702" s="5" t="s">
        <v>163</v>
      </c>
      <c r="C2702" s="5" t="s">
        <v>74</v>
      </c>
      <c r="D2702" s="6">
        <v>28.0</v>
      </c>
      <c r="E2702" s="6">
        <v>12609.0</v>
      </c>
      <c r="F2702" s="6">
        <v>14671.0</v>
      </c>
      <c r="G2702" s="6">
        <v>24130.0</v>
      </c>
      <c r="H2702" s="6">
        <v>0.5225</v>
      </c>
      <c r="I2702" s="6">
        <v>0.608</v>
      </c>
      <c r="J2702" s="6">
        <v>-0.0855</v>
      </c>
    </row>
    <row r="2703">
      <c r="A2703" s="5" t="s">
        <v>59</v>
      </c>
      <c r="B2703" s="5" t="s">
        <v>163</v>
      </c>
      <c r="C2703" s="5" t="s">
        <v>74</v>
      </c>
      <c r="D2703" s="6">
        <v>29.0</v>
      </c>
      <c r="E2703" s="6">
        <v>9002.0</v>
      </c>
      <c r="F2703" s="6">
        <v>12538.0</v>
      </c>
      <c r="G2703" s="6">
        <v>24130.0</v>
      </c>
      <c r="H2703" s="6">
        <v>0.3731</v>
      </c>
      <c r="I2703" s="6">
        <v>0.5196</v>
      </c>
      <c r="J2703" s="6">
        <v>-0.1465</v>
      </c>
    </row>
    <row r="2704">
      <c r="A2704" s="5" t="s">
        <v>59</v>
      </c>
      <c r="B2704" s="5" t="s">
        <v>163</v>
      </c>
      <c r="C2704" s="5" t="s">
        <v>74</v>
      </c>
      <c r="D2704" s="6">
        <v>30.0</v>
      </c>
      <c r="E2704" s="6">
        <v>14309.0</v>
      </c>
      <c r="F2704" s="6">
        <v>12949.0</v>
      </c>
      <c r="G2704" s="6">
        <v>24130.0</v>
      </c>
      <c r="H2704" s="6">
        <v>0.593</v>
      </c>
      <c r="I2704" s="6">
        <v>0.5366</v>
      </c>
      <c r="J2704" s="6">
        <v>0.0564</v>
      </c>
    </row>
    <row r="2705">
      <c r="A2705" s="5" t="s">
        <v>59</v>
      </c>
      <c r="B2705" s="5" t="s">
        <v>163</v>
      </c>
      <c r="C2705" s="5" t="s">
        <v>74</v>
      </c>
      <c r="D2705" s="6">
        <v>31.0</v>
      </c>
      <c r="E2705" s="6">
        <v>12482.0</v>
      </c>
      <c r="F2705" s="6">
        <v>12970.0</v>
      </c>
      <c r="G2705" s="6">
        <v>24130.0</v>
      </c>
      <c r="H2705" s="6">
        <v>0.5173</v>
      </c>
      <c r="I2705" s="6">
        <v>0.5375</v>
      </c>
      <c r="J2705" s="6">
        <v>-0.0202</v>
      </c>
    </row>
    <row r="2706">
      <c r="A2706" s="5" t="s">
        <v>59</v>
      </c>
      <c r="B2706" s="5" t="s">
        <v>163</v>
      </c>
      <c r="C2706" s="5" t="s">
        <v>74</v>
      </c>
      <c r="D2706" s="6">
        <v>32.0</v>
      </c>
      <c r="E2706" s="6">
        <v>13968.0</v>
      </c>
      <c r="F2706" s="6">
        <v>13652.0</v>
      </c>
      <c r="G2706" s="6">
        <v>24130.0</v>
      </c>
      <c r="H2706" s="6">
        <v>0.5789</v>
      </c>
      <c r="I2706" s="6">
        <v>0.5658</v>
      </c>
      <c r="J2706" s="6">
        <v>0.0131</v>
      </c>
    </row>
    <row r="2707">
      <c r="A2707" s="5" t="s">
        <v>59</v>
      </c>
      <c r="B2707" s="5" t="s">
        <v>163</v>
      </c>
      <c r="C2707" s="5" t="s">
        <v>74</v>
      </c>
      <c r="D2707" s="6">
        <v>33.0</v>
      </c>
      <c r="E2707" s="6">
        <v>12553.0</v>
      </c>
      <c r="F2707" s="6">
        <v>13898.0</v>
      </c>
      <c r="G2707" s="6">
        <v>24130.0</v>
      </c>
      <c r="H2707" s="6">
        <v>0.5202</v>
      </c>
      <c r="I2707" s="6">
        <v>0.576</v>
      </c>
      <c r="J2707" s="6">
        <v>-0.0557</v>
      </c>
    </row>
    <row r="2708">
      <c r="A2708" s="5" t="s">
        <v>59</v>
      </c>
      <c r="B2708" s="5" t="s">
        <v>163</v>
      </c>
      <c r="C2708" s="5" t="s">
        <v>69</v>
      </c>
      <c r="D2708" s="6">
        <v>1.0</v>
      </c>
      <c r="E2708" s="6">
        <v>18186.0</v>
      </c>
      <c r="F2708" s="6">
        <v>20103.0</v>
      </c>
      <c r="G2708" s="6">
        <v>24498.0</v>
      </c>
      <c r="H2708" s="6">
        <v>0.7423</v>
      </c>
      <c r="I2708" s="6">
        <v>0.8206</v>
      </c>
      <c r="J2708" s="6">
        <v>-0.0783</v>
      </c>
    </row>
    <row r="2709">
      <c r="A2709" s="5" t="s">
        <v>59</v>
      </c>
      <c r="B2709" s="5" t="s">
        <v>163</v>
      </c>
      <c r="C2709" s="5" t="s">
        <v>69</v>
      </c>
      <c r="D2709" s="6">
        <v>2.0</v>
      </c>
      <c r="E2709" s="6">
        <v>17922.0</v>
      </c>
      <c r="F2709" s="6">
        <v>19163.0</v>
      </c>
      <c r="G2709" s="6">
        <v>24498.0</v>
      </c>
      <c r="H2709" s="6">
        <v>0.7316</v>
      </c>
      <c r="I2709" s="6">
        <v>0.7822</v>
      </c>
      <c r="J2709" s="6">
        <v>-0.0507</v>
      </c>
    </row>
    <row r="2710">
      <c r="A2710" s="5" t="s">
        <v>59</v>
      </c>
      <c r="B2710" s="5" t="s">
        <v>163</v>
      </c>
      <c r="C2710" s="5" t="s">
        <v>69</v>
      </c>
      <c r="D2710" s="6">
        <v>3.0</v>
      </c>
      <c r="E2710" s="6">
        <v>24453.0</v>
      </c>
      <c r="F2710" s="6">
        <v>21531.0</v>
      </c>
      <c r="G2710" s="6">
        <v>24498.0</v>
      </c>
      <c r="H2710" s="6">
        <v>0.9982</v>
      </c>
      <c r="I2710" s="6">
        <v>0.8789</v>
      </c>
      <c r="J2710" s="6">
        <v>0.1193</v>
      </c>
    </row>
    <row r="2711">
      <c r="A2711" s="5" t="s">
        <v>59</v>
      </c>
      <c r="B2711" s="5" t="s">
        <v>163</v>
      </c>
      <c r="C2711" s="5" t="s">
        <v>69</v>
      </c>
      <c r="D2711" s="6">
        <v>4.0</v>
      </c>
      <c r="E2711" s="6">
        <v>18771.0</v>
      </c>
      <c r="F2711" s="6">
        <v>20281.0</v>
      </c>
      <c r="G2711" s="6">
        <v>24498.0</v>
      </c>
      <c r="H2711" s="6">
        <v>0.7662</v>
      </c>
      <c r="I2711" s="6">
        <v>0.8279</v>
      </c>
      <c r="J2711" s="6">
        <v>-0.0616</v>
      </c>
    </row>
    <row r="2712">
      <c r="A2712" s="5" t="s">
        <v>59</v>
      </c>
      <c r="B2712" s="5" t="s">
        <v>163</v>
      </c>
      <c r="C2712" s="5" t="s">
        <v>69</v>
      </c>
      <c r="D2712" s="6">
        <v>5.0</v>
      </c>
      <c r="E2712" s="6">
        <v>20449.0</v>
      </c>
      <c r="F2712" s="6">
        <v>21799.0</v>
      </c>
      <c r="G2712" s="6">
        <v>24498.0</v>
      </c>
      <c r="H2712" s="6">
        <v>0.8347</v>
      </c>
      <c r="I2712" s="6">
        <v>0.8898</v>
      </c>
      <c r="J2712" s="6">
        <v>-0.0551</v>
      </c>
    </row>
    <row r="2713">
      <c r="A2713" s="5" t="s">
        <v>59</v>
      </c>
      <c r="B2713" s="5" t="s">
        <v>163</v>
      </c>
      <c r="C2713" s="5" t="s">
        <v>69</v>
      </c>
      <c r="D2713" s="6">
        <v>6.0</v>
      </c>
      <c r="E2713" s="6">
        <v>24750.0</v>
      </c>
      <c r="F2713" s="6">
        <v>25555.0</v>
      </c>
      <c r="G2713" s="6">
        <v>24498.0</v>
      </c>
      <c r="H2713" s="6">
        <v>1.0103</v>
      </c>
      <c r="I2713" s="6">
        <v>1.0431</v>
      </c>
      <c r="J2713" s="6">
        <v>-0.0329</v>
      </c>
    </row>
    <row r="2714">
      <c r="A2714" s="5" t="s">
        <v>59</v>
      </c>
      <c r="B2714" s="5" t="s">
        <v>163</v>
      </c>
      <c r="C2714" s="5" t="s">
        <v>69</v>
      </c>
      <c r="D2714" s="6">
        <v>7.0</v>
      </c>
      <c r="E2714" s="6">
        <v>19805.0</v>
      </c>
      <c r="F2714" s="6">
        <v>21103.0</v>
      </c>
      <c r="G2714" s="6">
        <v>24498.0</v>
      </c>
      <c r="H2714" s="6">
        <v>0.8084</v>
      </c>
      <c r="I2714" s="6">
        <v>0.8614</v>
      </c>
      <c r="J2714" s="6">
        <v>-0.053</v>
      </c>
    </row>
    <row r="2715">
      <c r="A2715" s="5" t="s">
        <v>59</v>
      </c>
      <c r="B2715" s="5" t="s">
        <v>163</v>
      </c>
      <c r="C2715" s="5" t="s">
        <v>69</v>
      </c>
      <c r="D2715" s="6">
        <v>8.0</v>
      </c>
      <c r="E2715" s="6">
        <v>19720.0</v>
      </c>
      <c r="F2715" s="6">
        <v>21487.0</v>
      </c>
      <c r="G2715" s="6">
        <v>24498.0</v>
      </c>
      <c r="H2715" s="6">
        <v>0.805</v>
      </c>
      <c r="I2715" s="6">
        <v>0.8771</v>
      </c>
      <c r="J2715" s="6">
        <v>-0.0721</v>
      </c>
    </row>
    <row r="2716">
      <c r="A2716" s="5" t="s">
        <v>59</v>
      </c>
      <c r="B2716" s="5" t="s">
        <v>163</v>
      </c>
      <c r="C2716" s="5" t="s">
        <v>69</v>
      </c>
      <c r="D2716" s="6">
        <v>9.0</v>
      </c>
      <c r="E2716" s="6">
        <v>16618.0</v>
      </c>
      <c r="F2716" s="6">
        <v>18840.0</v>
      </c>
      <c r="G2716" s="6">
        <v>24498.0</v>
      </c>
      <c r="H2716" s="6">
        <v>0.6783</v>
      </c>
      <c r="I2716" s="6">
        <v>0.769</v>
      </c>
      <c r="J2716" s="6">
        <v>-0.0907</v>
      </c>
    </row>
    <row r="2717">
      <c r="A2717" s="5" t="s">
        <v>59</v>
      </c>
      <c r="B2717" s="5" t="s">
        <v>163</v>
      </c>
      <c r="C2717" s="5" t="s">
        <v>69</v>
      </c>
      <c r="D2717" s="6">
        <v>10.0</v>
      </c>
      <c r="E2717" s="6">
        <v>27238.0</v>
      </c>
      <c r="F2717" s="6">
        <v>24348.0</v>
      </c>
      <c r="G2717" s="6">
        <v>24498.0</v>
      </c>
      <c r="H2717" s="6">
        <v>1.1118</v>
      </c>
      <c r="I2717" s="6">
        <v>0.9939</v>
      </c>
      <c r="J2717" s="6">
        <v>0.118</v>
      </c>
    </row>
    <row r="2718">
      <c r="A2718" s="5" t="s">
        <v>59</v>
      </c>
      <c r="B2718" s="5" t="s">
        <v>163</v>
      </c>
      <c r="C2718" s="5" t="s">
        <v>69</v>
      </c>
      <c r="D2718" s="6">
        <v>11.0</v>
      </c>
      <c r="E2718" s="6">
        <v>19113.0</v>
      </c>
      <c r="F2718" s="6">
        <v>21813.0</v>
      </c>
      <c r="G2718" s="6">
        <v>24498.0</v>
      </c>
      <c r="H2718" s="6">
        <v>0.7802</v>
      </c>
      <c r="I2718" s="6">
        <v>0.8904</v>
      </c>
      <c r="J2718" s="6">
        <v>-0.1102</v>
      </c>
    </row>
    <row r="2719">
      <c r="A2719" s="5" t="s">
        <v>59</v>
      </c>
      <c r="B2719" s="5" t="s">
        <v>163</v>
      </c>
      <c r="C2719" s="5" t="s">
        <v>69</v>
      </c>
      <c r="D2719" s="6">
        <v>12.0</v>
      </c>
      <c r="E2719" s="6">
        <v>21138.0</v>
      </c>
      <c r="F2719" s="6">
        <v>23680.0</v>
      </c>
      <c r="G2719" s="6">
        <v>24498.0</v>
      </c>
      <c r="H2719" s="6">
        <v>0.8628</v>
      </c>
      <c r="I2719" s="6">
        <v>0.9666</v>
      </c>
      <c r="J2719" s="6">
        <v>-0.1038</v>
      </c>
    </row>
    <row r="2720">
      <c r="A2720" s="5" t="s">
        <v>59</v>
      </c>
      <c r="B2720" s="5" t="s">
        <v>163</v>
      </c>
      <c r="C2720" s="5" t="s">
        <v>69</v>
      </c>
      <c r="D2720" s="6">
        <v>13.0</v>
      </c>
      <c r="E2720" s="6">
        <v>24458.0</v>
      </c>
      <c r="F2720" s="6">
        <v>27119.0</v>
      </c>
      <c r="G2720" s="6">
        <v>24498.0</v>
      </c>
      <c r="H2720" s="6">
        <v>0.9984</v>
      </c>
      <c r="I2720" s="6">
        <v>1.107</v>
      </c>
      <c r="J2720" s="6">
        <v>-0.1086</v>
      </c>
    </row>
    <row r="2721">
      <c r="A2721" s="5" t="s">
        <v>59</v>
      </c>
      <c r="B2721" s="5" t="s">
        <v>163</v>
      </c>
      <c r="C2721" s="5" t="s">
        <v>69</v>
      </c>
      <c r="D2721" s="6">
        <v>14.0</v>
      </c>
      <c r="E2721" s="6">
        <v>20209.0</v>
      </c>
      <c r="F2721" s="6">
        <v>22596.0</v>
      </c>
      <c r="G2721" s="6">
        <v>24498.0</v>
      </c>
      <c r="H2721" s="6">
        <v>0.8249</v>
      </c>
      <c r="I2721" s="6">
        <v>0.9224</v>
      </c>
      <c r="J2721" s="6">
        <v>-0.0974</v>
      </c>
    </row>
    <row r="2722">
      <c r="A2722" s="5" t="s">
        <v>59</v>
      </c>
      <c r="B2722" s="5" t="s">
        <v>163</v>
      </c>
      <c r="C2722" s="5" t="s">
        <v>69</v>
      </c>
      <c r="D2722" s="6">
        <v>15.0</v>
      </c>
      <c r="E2722" s="6">
        <v>19886.0</v>
      </c>
      <c r="F2722" s="6">
        <v>22750.0</v>
      </c>
      <c r="G2722" s="6">
        <v>24498.0</v>
      </c>
      <c r="H2722" s="6">
        <v>0.8117</v>
      </c>
      <c r="I2722" s="6">
        <v>0.9286</v>
      </c>
      <c r="J2722" s="6">
        <v>-0.1169</v>
      </c>
    </row>
    <row r="2723">
      <c r="A2723" s="5" t="s">
        <v>59</v>
      </c>
      <c r="B2723" s="5" t="s">
        <v>163</v>
      </c>
      <c r="C2723" s="5" t="s">
        <v>69</v>
      </c>
      <c r="D2723" s="6">
        <v>16.0</v>
      </c>
      <c r="E2723" s="6">
        <v>20080.0</v>
      </c>
      <c r="F2723" s="6">
        <v>20938.0</v>
      </c>
      <c r="G2723" s="6">
        <v>24498.0</v>
      </c>
      <c r="H2723" s="6">
        <v>0.8197</v>
      </c>
      <c r="I2723" s="6">
        <v>0.8547</v>
      </c>
      <c r="J2723" s="6">
        <v>-0.035</v>
      </c>
    </row>
    <row r="2724">
      <c r="A2724" s="5" t="s">
        <v>59</v>
      </c>
      <c r="B2724" s="5" t="s">
        <v>163</v>
      </c>
      <c r="C2724" s="5" t="s">
        <v>69</v>
      </c>
      <c r="D2724" s="6">
        <v>17.0</v>
      </c>
      <c r="E2724" s="6">
        <v>28570.0</v>
      </c>
      <c r="F2724" s="6">
        <v>24978.0</v>
      </c>
      <c r="G2724" s="6">
        <v>24498.0</v>
      </c>
      <c r="H2724" s="6">
        <v>1.1662</v>
      </c>
      <c r="I2724" s="6">
        <v>1.0196</v>
      </c>
      <c r="J2724" s="6">
        <v>0.1466</v>
      </c>
    </row>
    <row r="2725">
      <c r="A2725" s="5" t="s">
        <v>59</v>
      </c>
      <c r="B2725" s="5" t="s">
        <v>163</v>
      </c>
      <c r="C2725" s="5" t="s">
        <v>69</v>
      </c>
      <c r="D2725" s="6">
        <v>18.0</v>
      </c>
      <c r="E2725" s="6">
        <v>21908.0</v>
      </c>
      <c r="F2725" s="6">
        <v>22950.0</v>
      </c>
      <c r="G2725" s="6">
        <v>24498.0</v>
      </c>
      <c r="H2725" s="6">
        <v>0.8943</v>
      </c>
      <c r="I2725" s="6">
        <v>0.9368</v>
      </c>
      <c r="J2725" s="6">
        <v>-0.0425</v>
      </c>
    </row>
    <row r="2726">
      <c r="A2726" s="5" t="s">
        <v>59</v>
      </c>
      <c r="B2726" s="5" t="s">
        <v>163</v>
      </c>
      <c r="C2726" s="5" t="s">
        <v>69</v>
      </c>
      <c r="D2726" s="6">
        <v>19.0</v>
      </c>
      <c r="E2726" s="6">
        <v>22658.0</v>
      </c>
      <c r="F2726" s="6">
        <v>24473.0</v>
      </c>
      <c r="G2726" s="6">
        <v>24498.0</v>
      </c>
      <c r="H2726" s="6">
        <v>0.9249</v>
      </c>
      <c r="I2726" s="6">
        <v>0.999</v>
      </c>
      <c r="J2726" s="6">
        <v>-0.0741</v>
      </c>
    </row>
    <row r="2727">
      <c r="A2727" s="5" t="s">
        <v>59</v>
      </c>
      <c r="B2727" s="5" t="s">
        <v>163</v>
      </c>
      <c r="C2727" s="5" t="s">
        <v>69</v>
      </c>
      <c r="D2727" s="6">
        <v>20.0</v>
      </c>
      <c r="E2727" s="6">
        <v>27785.0</v>
      </c>
      <c r="F2727" s="6">
        <v>29118.0</v>
      </c>
      <c r="G2727" s="6">
        <v>24498.0</v>
      </c>
      <c r="H2727" s="6">
        <v>1.1342</v>
      </c>
      <c r="I2727" s="6">
        <v>1.1886</v>
      </c>
      <c r="J2727" s="6">
        <v>-0.0544</v>
      </c>
    </row>
    <row r="2728">
      <c r="A2728" s="5" t="s">
        <v>59</v>
      </c>
      <c r="B2728" s="5" t="s">
        <v>163</v>
      </c>
      <c r="C2728" s="5" t="s">
        <v>69</v>
      </c>
      <c r="D2728" s="6">
        <v>21.0</v>
      </c>
      <c r="E2728" s="6">
        <v>37024.0</v>
      </c>
      <c r="F2728" s="6">
        <v>28867.0</v>
      </c>
      <c r="G2728" s="6">
        <v>24498.0</v>
      </c>
      <c r="H2728" s="6">
        <v>1.5113</v>
      </c>
      <c r="I2728" s="6">
        <v>1.1783</v>
      </c>
      <c r="J2728" s="6">
        <v>0.333</v>
      </c>
    </row>
    <row r="2729">
      <c r="A2729" s="5" t="s">
        <v>59</v>
      </c>
      <c r="B2729" s="5" t="s">
        <v>163</v>
      </c>
      <c r="C2729" s="5" t="s">
        <v>69</v>
      </c>
      <c r="D2729" s="6">
        <v>22.0</v>
      </c>
      <c r="E2729" s="6">
        <v>32106.0</v>
      </c>
      <c r="F2729" s="6">
        <v>30569.0</v>
      </c>
      <c r="G2729" s="6">
        <v>24498.0</v>
      </c>
      <c r="H2729" s="6">
        <v>1.3106</v>
      </c>
      <c r="I2729" s="6">
        <v>1.2478</v>
      </c>
      <c r="J2729" s="6">
        <v>0.0627</v>
      </c>
    </row>
    <row r="2730">
      <c r="A2730" s="5" t="s">
        <v>59</v>
      </c>
      <c r="B2730" s="5" t="s">
        <v>163</v>
      </c>
      <c r="C2730" s="5" t="s">
        <v>69</v>
      </c>
      <c r="D2730" s="6">
        <v>23.0</v>
      </c>
      <c r="E2730" s="6">
        <v>25830.0</v>
      </c>
      <c r="F2730" s="6">
        <v>27212.0</v>
      </c>
      <c r="G2730" s="6">
        <v>24498.0</v>
      </c>
      <c r="H2730" s="6">
        <v>1.0544</v>
      </c>
      <c r="I2730" s="6">
        <v>1.1108</v>
      </c>
      <c r="J2730" s="6">
        <v>-0.0564</v>
      </c>
    </row>
    <row r="2731">
      <c r="A2731" s="5" t="s">
        <v>59</v>
      </c>
      <c r="B2731" s="5" t="s">
        <v>163</v>
      </c>
      <c r="C2731" s="5" t="s">
        <v>69</v>
      </c>
      <c r="D2731" s="6">
        <v>24.0</v>
      </c>
      <c r="E2731" s="6">
        <v>35311.0</v>
      </c>
      <c r="F2731" s="6">
        <v>31415.0</v>
      </c>
      <c r="G2731" s="6">
        <v>24498.0</v>
      </c>
      <c r="H2731" s="6">
        <v>1.4414</v>
      </c>
      <c r="I2731" s="6">
        <v>1.2823</v>
      </c>
      <c r="J2731" s="6">
        <v>0.159</v>
      </c>
    </row>
    <row r="2732">
      <c r="A2732" s="5" t="s">
        <v>59</v>
      </c>
      <c r="B2732" s="5" t="s">
        <v>163</v>
      </c>
      <c r="C2732" s="5" t="s">
        <v>69</v>
      </c>
      <c r="D2732" s="6">
        <v>25.0</v>
      </c>
      <c r="E2732" s="6">
        <v>25799.0</v>
      </c>
      <c r="F2732" s="6">
        <v>28409.0</v>
      </c>
      <c r="G2732" s="6">
        <v>24498.0</v>
      </c>
      <c r="H2732" s="6">
        <v>1.0531</v>
      </c>
      <c r="I2732" s="6">
        <v>1.1596</v>
      </c>
      <c r="J2732" s="6">
        <v>-0.1065</v>
      </c>
    </row>
    <row r="2733">
      <c r="A2733" s="5" t="s">
        <v>59</v>
      </c>
      <c r="B2733" s="5" t="s">
        <v>163</v>
      </c>
      <c r="C2733" s="5" t="s">
        <v>69</v>
      </c>
      <c r="D2733" s="6">
        <v>26.0</v>
      </c>
      <c r="E2733" s="6">
        <v>25681.0</v>
      </c>
      <c r="F2733" s="6">
        <v>28511.0</v>
      </c>
      <c r="G2733" s="6">
        <v>24498.0</v>
      </c>
      <c r="H2733" s="6">
        <v>1.0483</v>
      </c>
      <c r="I2733" s="6">
        <v>1.1638</v>
      </c>
      <c r="J2733" s="6">
        <v>-0.1155</v>
      </c>
    </row>
    <row r="2734">
      <c r="A2734" s="5" t="s">
        <v>59</v>
      </c>
      <c r="B2734" s="5" t="s">
        <v>163</v>
      </c>
      <c r="C2734" s="5" t="s">
        <v>69</v>
      </c>
      <c r="D2734" s="6">
        <v>27.0</v>
      </c>
      <c r="E2734" s="6">
        <v>29129.0</v>
      </c>
      <c r="F2734" s="6">
        <v>30333.0</v>
      </c>
      <c r="G2734" s="6">
        <v>24498.0</v>
      </c>
      <c r="H2734" s="6">
        <v>1.189</v>
      </c>
      <c r="I2734" s="6">
        <v>1.2382</v>
      </c>
      <c r="J2734" s="6">
        <v>-0.0491</v>
      </c>
    </row>
    <row r="2735">
      <c r="A2735" s="5" t="s">
        <v>59</v>
      </c>
      <c r="B2735" s="5" t="s">
        <v>163</v>
      </c>
      <c r="C2735" s="5" t="s">
        <v>69</v>
      </c>
      <c r="D2735" s="6">
        <v>28.0</v>
      </c>
      <c r="E2735" s="6">
        <v>22418.0</v>
      </c>
      <c r="F2735" s="6">
        <v>25778.0</v>
      </c>
      <c r="G2735" s="6">
        <v>24498.0</v>
      </c>
      <c r="H2735" s="6">
        <v>0.9151</v>
      </c>
      <c r="I2735" s="6">
        <v>1.0522</v>
      </c>
      <c r="J2735" s="6">
        <v>-0.1372</v>
      </c>
    </row>
    <row r="2736">
      <c r="A2736" s="5" t="s">
        <v>59</v>
      </c>
      <c r="B2736" s="5" t="s">
        <v>163</v>
      </c>
      <c r="C2736" s="5" t="s">
        <v>69</v>
      </c>
      <c r="D2736" s="6">
        <v>29.0</v>
      </c>
      <c r="E2736" s="6">
        <v>22764.0</v>
      </c>
      <c r="F2736" s="6">
        <v>25873.0</v>
      </c>
      <c r="G2736" s="6">
        <v>24498.0</v>
      </c>
      <c r="H2736" s="6">
        <v>0.9292</v>
      </c>
      <c r="I2736" s="6">
        <v>1.0561</v>
      </c>
      <c r="J2736" s="6">
        <v>-0.1269</v>
      </c>
    </row>
    <row r="2737">
      <c r="A2737" s="5" t="s">
        <v>59</v>
      </c>
      <c r="B2737" s="5" t="s">
        <v>163</v>
      </c>
      <c r="C2737" s="5" t="s">
        <v>69</v>
      </c>
      <c r="D2737" s="6">
        <v>30.0</v>
      </c>
      <c r="E2737" s="6">
        <v>22318.0</v>
      </c>
      <c r="F2737" s="6">
        <v>22478.0</v>
      </c>
      <c r="G2737" s="6">
        <v>24498.0</v>
      </c>
      <c r="H2737" s="6">
        <v>0.911</v>
      </c>
      <c r="I2737" s="6">
        <v>0.9175</v>
      </c>
      <c r="J2737" s="6">
        <v>-0.0065</v>
      </c>
    </row>
    <row r="2738">
      <c r="A2738" s="5" t="s">
        <v>59</v>
      </c>
      <c r="B2738" s="5" t="s">
        <v>163</v>
      </c>
      <c r="C2738" s="5" t="s">
        <v>69</v>
      </c>
      <c r="D2738" s="6">
        <v>31.0</v>
      </c>
      <c r="E2738" s="6">
        <v>33977.0</v>
      </c>
      <c r="F2738" s="6">
        <v>27181.0</v>
      </c>
      <c r="G2738" s="6">
        <v>24498.0</v>
      </c>
      <c r="H2738" s="6">
        <v>1.3869</v>
      </c>
      <c r="I2738" s="6">
        <v>1.1095</v>
      </c>
      <c r="J2738" s="6">
        <v>0.2774</v>
      </c>
    </row>
    <row r="2739">
      <c r="A2739" s="5" t="s">
        <v>59</v>
      </c>
      <c r="B2739" s="5" t="s">
        <v>163</v>
      </c>
      <c r="C2739" s="5" t="s">
        <v>69</v>
      </c>
      <c r="D2739" s="6">
        <v>32.0</v>
      </c>
      <c r="E2739" s="6">
        <v>24697.0</v>
      </c>
      <c r="F2739" s="6">
        <v>25334.0</v>
      </c>
      <c r="G2739" s="6">
        <v>24498.0</v>
      </c>
      <c r="H2739" s="6">
        <v>1.0081</v>
      </c>
      <c r="I2739" s="6">
        <v>1.0341</v>
      </c>
      <c r="J2739" s="6">
        <v>-0.026</v>
      </c>
    </row>
    <row r="2740">
      <c r="A2740" s="5" t="s">
        <v>59</v>
      </c>
      <c r="B2740" s="5" t="s">
        <v>163</v>
      </c>
      <c r="C2740" s="5" t="s">
        <v>69</v>
      </c>
      <c r="D2740" s="6">
        <v>33.0</v>
      </c>
      <c r="E2740" s="6">
        <v>25177.0</v>
      </c>
      <c r="F2740" s="6">
        <v>26314.0</v>
      </c>
      <c r="G2740" s="6">
        <v>24498.0</v>
      </c>
      <c r="H2740" s="6">
        <v>1.0277</v>
      </c>
      <c r="I2740" s="6">
        <v>1.0741</v>
      </c>
      <c r="J2740" s="6">
        <v>-0.0464</v>
      </c>
    </row>
    <row r="2741">
      <c r="A2741" s="5" t="s">
        <v>59</v>
      </c>
      <c r="B2741" s="5" t="s">
        <v>163</v>
      </c>
      <c r="C2741" s="5" t="s">
        <v>70</v>
      </c>
      <c r="D2741" s="6">
        <v>1.0</v>
      </c>
      <c r="E2741" s="6">
        <v>18125.0</v>
      </c>
      <c r="F2741" s="6">
        <v>20445.0</v>
      </c>
      <c r="G2741" s="6">
        <v>24553.0</v>
      </c>
      <c r="H2741" s="6">
        <v>0.7382</v>
      </c>
      <c r="I2741" s="6">
        <v>0.8327</v>
      </c>
      <c r="J2741" s="6">
        <v>-0.0945</v>
      </c>
    </row>
    <row r="2742">
      <c r="A2742" s="5" t="s">
        <v>59</v>
      </c>
      <c r="B2742" s="5" t="s">
        <v>163</v>
      </c>
      <c r="C2742" s="5" t="s">
        <v>70</v>
      </c>
      <c r="D2742" s="6">
        <v>2.0</v>
      </c>
      <c r="E2742" s="6">
        <v>17871.0</v>
      </c>
      <c r="F2742" s="6">
        <v>20141.0</v>
      </c>
      <c r="G2742" s="6">
        <v>24553.0</v>
      </c>
      <c r="H2742" s="6">
        <v>0.7279</v>
      </c>
      <c r="I2742" s="6">
        <v>0.8203</v>
      </c>
      <c r="J2742" s="6">
        <v>-0.0925</v>
      </c>
    </row>
    <row r="2743">
      <c r="A2743" s="5" t="s">
        <v>59</v>
      </c>
      <c r="B2743" s="5" t="s">
        <v>163</v>
      </c>
      <c r="C2743" s="5" t="s">
        <v>70</v>
      </c>
      <c r="D2743" s="6">
        <v>3.0</v>
      </c>
      <c r="E2743" s="6">
        <v>23923.0</v>
      </c>
      <c r="F2743" s="6">
        <v>21514.0</v>
      </c>
      <c r="G2743" s="6">
        <v>24553.0</v>
      </c>
      <c r="H2743" s="6">
        <v>0.9743</v>
      </c>
      <c r="I2743" s="6">
        <v>0.8762</v>
      </c>
      <c r="J2743" s="6">
        <v>0.0981</v>
      </c>
    </row>
    <row r="2744">
      <c r="A2744" s="5" t="s">
        <v>59</v>
      </c>
      <c r="B2744" s="5" t="s">
        <v>163</v>
      </c>
      <c r="C2744" s="5" t="s">
        <v>70</v>
      </c>
      <c r="D2744" s="6">
        <v>4.0</v>
      </c>
      <c r="E2744" s="6">
        <v>18689.0</v>
      </c>
      <c r="F2744" s="6">
        <v>20495.0</v>
      </c>
      <c r="G2744" s="6">
        <v>24553.0</v>
      </c>
      <c r="H2744" s="6">
        <v>0.7612</v>
      </c>
      <c r="I2744" s="6">
        <v>0.8347</v>
      </c>
      <c r="J2744" s="6">
        <v>-0.0736</v>
      </c>
    </row>
    <row r="2745">
      <c r="A2745" s="5" t="s">
        <v>59</v>
      </c>
      <c r="B2745" s="5" t="s">
        <v>163</v>
      </c>
      <c r="C2745" s="5" t="s">
        <v>70</v>
      </c>
      <c r="D2745" s="6">
        <v>5.0</v>
      </c>
      <c r="E2745" s="6">
        <v>20192.0</v>
      </c>
      <c r="F2745" s="6">
        <v>22051.0</v>
      </c>
      <c r="G2745" s="6">
        <v>24553.0</v>
      </c>
      <c r="H2745" s="6">
        <v>0.8224</v>
      </c>
      <c r="I2745" s="6">
        <v>0.8981</v>
      </c>
      <c r="J2745" s="6">
        <v>-0.0757</v>
      </c>
    </row>
    <row r="2746">
      <c r="A2746" s="5" t="s">
        <v>59</v>
      </c>
      <c r="B2746" s="5" t="s">
        <v>163</v>
      </c>
      <c r="C2746" s="5" t="s">
        <v>70</v>
      </c>
      <c r="D2746" s="6">
        <v>6.0</v>
      </c>
      <c r="E2746" s="6">
        <v>26739.0</v>
      </c>
      <c r="F2746" s="6">
        <v>26473.0</v>
      </c>
      <c r="G2746" s="6">
        <v>24553.0</v>
      </c>
      <c r="H2746" s="6">
        <v>1.089</v>
      </c>
      <c r="I2746" s="6">
        <v>1.0782</v>
      </c>
      <c r="J2746" s="6">
        <v>0.0108</v>
      </c>
    </row>
    <row r="2747">
      <c r="A2747" s="5" t="s">
        <v>59</v>
      </c>
      <c r="B2747" s="5" t="s">
        <v>163</v>
      </c>
      <c r="C2747" s="5" t="s">
        <v>70</v>
      </c>
      <c r="D2747" s="6">
        <v>7.0</v>
      </c>
      <c r="E2747" s="6">
        <v>18723.0</v>
      </c>
      <c r="F2747" s="6">
        <v>21160.0</v>
      </c>
      <c r="G2747" s="6">
        <v>24553.0</v>
      </c>
      <c r="H2747" s="6">
        <v>0.7626</v>
      </c>
      <c r="I2747" s="6">
        <v>0.8618</v>
      </c>
      <c r="J2747" s="6">
        <v>-0.0993</v>
      </c>
    </row>
    <row r="2748">
      <c r="A2748" s="5" t="s">
        <v>59</v>
      </c>
      <c r="B2748" s="5" t="s">
        <v>163</v>
      </c>
      <c r="C2748" s="5" t="s">
        <v>70</v>
      </c>
      <c r="D2748" s="6">
        <v>8.0</v>
      </c>
      <c r="E2748" s="6">
        <v>19445.0</v>
      </c>
      <c r="F2748" s="6">
        <v>21594.0</v>
      </c>
      <c r="G2748" s="6">
        <v>24553.0</v>
      </c>
      <c r="H2748" s="6">
        <v>0.792</v>
      </c>
      <c r="I2748" s="6">
        <v>0.8795</v>
      </c>
      <c r="J2748" s="6">
        <v>-0.0875</v>
      </c>
    </row>
    <row r="2749">
      <c r="A2749" s="5" t="s">
        <v>59</v>
      </c>
      <c r="B2749" s="5" t="s">
        <v>163</v>
      </c>
      <c r="C2749" s="5" t="s">
        <v>70</v>
      </c>
      <c r="D2749" s="6">
        <v>9.0</v>
      </c>
      <c r="E2749" s="6">
        <v>16450.0</v>
      </c>
      <c r="F2749" s="6">
        <v>18948.0</v>
      </c>
      <c r="G2749" s="6">
        <v>24553.0</v>
      </c>
      <c r="H2749" s="6">
        <v>0.67</v>
      </c>
      <c r="I2749" s="6">
        <v>0.7717</v>
      </c>
      <c r="J2749" s="6">
        <v>-0.1017</v>
      </c>
    </row>
    <row r="2750">
      <c r="A2750" s="5" t="s">
        <v>59</v>
      </c>
      <c r="B2750" s="5" t="s">
        <v>163</v>
      </c>
      <c r="C2750" s="5" t="s">
        <v>70</v>
      </c>
      <c r="D2750" s="6">
        <v>10.0</v>
      </c>
      <c r="E2750" s="6">
        <v>26329.0</v>
      </c>
      <c r="F2750" s="6">
        <v>23923.0</v>
      </c>
      <c r="G2750" s="6">
        <v>24553.0</v>
      </c>
      <c r="H2750" s="6">
        <v>1.0723</v>
      </c>
      <c r="I2750" s="6">
        <v>0.9743</v>
      </c>
      <c r="J2750" s="6">
        <v>0.098</v>
      </c>
    </row>
    <row r="2751">
      <c r="A2751" s="5" t="s">
        <v>59</v>
      </c>
      <c r="B2751" s="5" t="s">
        <v>163</v>
      </c>
      <c r="C2751" s="5" t="s">
        <v>70</v>
      </c>
      <c r="D2751" s="6">
        <v>11.0</v>
      </c>
      <c r="E2751" s="6">
        <v>19330.0</v>
      </c>
      <c r="F2751" s="6">
        <v>21820.0</v>
      </c>
      <c r="G2751" s="6">
        <v>24553.0</v>
      </c>
      <c r="H2751" s="6">
        <v>0.7873</v>
      </c>
      <c r="I2751" s="6">
        <v>0.8887</v>
      </c>
      <c r="J2751" s="6">
        <v>-0.1014</v>
      </c>
    </row>
    <row r="2752">
      <c r="A2752" s="5" t="s">
        <v>59</v>
      </c>
      <c r="B2752" s="5" t="s">
        <v>163</v>
      </c>
      <c r="C2752" s="5" t="s">
        <v>70</v>
      </c>
      <c r="D2752" s="6">
        <v>12.0</v>
      </c>
      <c r="E2752" s="6">
        <v>21012.0</v>
      </c>
      <c r="F2752" s="6">
        <v>23646.0</v>
      </c>
      <c r="G2752" s="6">
        <v>24553.0</v>
      </c>
      <c r="H2752" s="6">
        <v>0.8558</v>
      </c>
      <c r="I2752" s="6">
        <v>0.9631</v>
      </c>
      <c r="J2752" s="6">
        <v>-0.1073</v>
      </c>
    </row>
    <row r="2753">
      <c r="A2753" s="5" t="s">
        <v>59</v>
      </c>
      <c r="B2753" s="5" t="s">
        <v>163</v>
      </c>
      <c r="C2753" s="5" t="s">
        <v>70</v>
      </c>
      <c r="D2753" s="6">
        <v>13.0</v>
      </c>
      <c r="E2753" s="6">
        <v>27782.0</v>
      </c>
      <c r="F2753" s="6">
        <v>28252.0</v>
      </c>
      <c r="G2753" s="6">
        <v>24553.0</v>
      </c>
      <c r="H2753" s="6">
        <v>1.1315</v>
      </c>
      <c r="I2753" s="6">
        <v>1.1507</v>
      </c>
      <c r="J2753" s="6">
        <v>-0.0191</v>
      </c>
    </row>
    <row r="2754">
      <c r="A2754" s="5" t="s">
        <v>59</v>
      </c>
      <c r="B2754" s="5" t="s">
        <v>163</v>
      </c>
      <c r="C2754" s="5" t="s">
        <v>70</v>
      </c>
      <c r="D2754" s="6">
        <v>14.0</v>
      </c>
      <c r="E2754" s="6">
        <v>19479.0</v>
      </c>
      <c r="F2754" s="6">
        <v>22209.0</v>
      </c>
      <c r="G2754" s="6">
        <v>24553.0</v>
      </c>
      <c r="H2754" s="6">
        <v>0.7933</v>
      </c>
      <c r="I2754" s="6">
        <v>0.9045</v>
      </c>
      <c r="J2754" s="6">
        <v>-0.1112</v>
      </c>
    </row>
    <row r="2755">
      <c r="A2755" s="5" t="s">
        <v>59</v>
      </c>
      <c r="B2755" s="5" t="s">
        <v>163</v>
      </c>
      <c r="C2755" s="5" t="s">
        <v>70</v>
      </c>
      <c r="D2755" s="6">
        <v>15.0</v>
      </c>
      <c r="E2755" s="6">
        <v>19304.0</v>
      </c>
      <c r="F2755" s="6">
        <v>22653.0</v>
      </c>
      <c r="G2755" s="6">
        <v>24553.0</v>
      </c>
      <c r="H2755" s="6">
        <v>0.7862</v>
      </c>
      <c r="I2755" s="6">
        <v>0.9226</v>
      </c>
      <c r="J2755" s="6">
        <v>-0.1364</v>
      </c>
    </row>
    <row r="2756">
      <c r="A2756" s="5" t="s">
        <v>59</v>
      </c>
      <c r="B2756" s="5" t="s">
        <v>163</v>
      </c>
      <c r="C2756" s="5" t="s">
        <v>70</v>
      </c>
      <c r="D2756" s="6">
        <v>16.0</v>
      </c>
      <c r="E2756" s="6">
        <v>19883.0</v>
      </c>
      <c r="F2756" s="6">
        <v>21685.0</v>
      </c>
      <c r="G2756" s="6">
        <v>24553.0</v>
      </c>
      <c r="H2756" s="6">
        <v>0.8098</v>
      </c>
      <c r="I2756" s="6">
        <v>0.8832</v>
      </c>
      <c r="J2756" s="6">
        <v>-0.0734</v>
      </c>
    </row>
    <row r="2757">
      <c r="A2757" s="5" t="s">
        <v>59</v>
      </c>
      <c r="B2757" s="5" t="s">
        <v>163</v>
      </c>
      <c r="C2757" s="5" t="s">
        <v>70</v>
      </c>
      <c r="D2757" s="6">
        <v>17.0</v>
      </c>
      <c r="E2757" s="6">
        <v>27506.0</v>
      </c>
      <c r="F2757" s="6">
        <v>24887.0</v>
      </c>
      <c r="G2757" s="6">
        <v>24553.0</v>
      </c>
      <c r="H2757" s="6">
        <v>1.1203</v>
      </c>
      <c r="I2757" s="6">
        <v>1.0136</v>
      </c>
      <c r="J2757" s="6">
        <v>0.1067</v>
      </c>
    </row>
    <row r="2758">
      <c r="A2758" s="5" t="s">
        <v>59</v>
      </c>
      <c r="B2758" s="5" t="s">
        <v>163</v>
      </c>
      <c r="C2758" s="5" t="s">
        <v>70</v>
      </c>
      <c r="D2758" s="6">
        <v>18.0</v>
      </c>
      <c r="E2758" s="6">
        <v>21659.0</v>
      </c>
      <c r="F2758" s="6">
        <v>23054.0</v>
      </c>
      <c r="G2758" s="6">
        <v>24553.0</v>
      </c>
      <c r="H2758" s="6">
        <v>0.8821</v>
      </c>
      <c r="I2758" s="6">
        <v>0.9389</v>
      </c>
      <c r="J2758" s="6">
        <v>-0.0568</v>
      </c>
    </row>
    <row r="2759">
      <c r="A2759" s="5" t="s">
        <v>59</v>
      </c>
      <c r="B2759" s="5" t="s">
        <v>163</v>
      </c>
      <c r="C2759" s="5" t="s">
        <v>70</v>
      </c>
      <c r="D2759" s="6">
        <v>19.0</v>
      </c>
      <c r="E2759" s="6">
        <v>22200.0</v>
      </c>
      <c r="F2759" s="6">
        <v>25043.0</v>
      </c>
      <c r="G2759" s="6">
        <v>24553.0</v>
      </c>
      <c r="H2759" s="6">
        <v>0.9042</v>
      </c>
      <c r="I2759" s="6">
        <v>1.02</v>
      </c>
      <c r="J2759" s="6">
        <v>-0.1158</v>
      </c>
    </row>
    <row r="2760">
      <c r="A2760" s="5" t="s">
        <v>59</v>
      </c>
      <c r="B2760" s="5" t="s">
        <v>163</v>
      </c>
      <c r="C2760" s="5" t="s">
        <v>70</v>
      </c>
      <c r="D2760" s="6">
        <v>20.0</v>
      </c>
      <c r="E2760" s="6">
        <v>30325.0</v>
      </c>
      <c r="F2760" s="6">
        <v>30319.0</v>
      </c>
      <c r="G2760" s="6">
        <v>24553.0</v>
      </c>
      <c r="H2760" s="6">
        <v>1.2351</v>
      </c>
      <c r="I2760" s="6">
        <v>1.2348</v>
      </c>
      <c r="J2760" s="6">
        <v>2.0E-4</v>
      </c>
    </row>
    <row r="2761">
      <c r="A2761" s="5" t="s">
        <v>59</v>
      </c>
      <c r="B2761" s="5" t="s">
        <v>163</v>
      </c>
      <c r="C2761" s="5" t="s">
        <v>70</v>
      </c>
      <c r="D2761" s="6">
        <v>21.0</v>
      </c>
      <c r="E2761" s="6">
        <v>39591.0</v>
      </c>
      <c r="F2761" s="6">
        <v>28883.0</v>
      </c>
      <c r="G2761" s="6">
        <v>24553.0</v>
      </c>
      <c r="H2761" s="6">
        <v>1.6125</v>
      </c>
      <c r="I2761" s="6">
        <v>1.1764</v>
      </c>
      <c r="J2761" s="6">
        <v>0.4361</v>
      </c>
    </row>
    <row r="2762">
      <c r="A2762" s="5" t="s">
        <v>59</v>
      </c>
      <c r="B2762" s="5" t="s">
        <v>163</v>
      </c>
      <c r="C2762" s="5" t="s">
        <v>70</v>
      </c>
      <c r="D2762" s="6">
        <v>22.0</v>
      </c>
      <c r="E2762" s="6">
        <v>29738.0</v>
      </c>
      <c r="F2762" s="6">
        <v>29262.0</v>
      </c>
      <c r="G2762" s="6">
        <v>24553.0</v>
      </c>
      <c r="H2762" s="6">
        <v>1.2112</v>
      </c>
      <c r="I2762" s="6">
        <v>1.1918</v>
      </c>
      <c r="J2762" s="6">
        <v>0.0194</v>
      </c>
    </row>
    <row r="2763">
      <c r="A2763" s="5" t="s">
        <v>59</v>
      </c>
      <c r="B2763" s="5" t="s">
        <v>163</v>
      </c>
      <c r="C2763" s="5" t="s">
        <v>70</v>
      </c>
      <c r="D2763" s="6">
        <v>23.0</v>
      </c>
      <c r="E2763" s="6">
        <v>25463.0</v>
      </c>
      <c r="F2763" s="6">
        <v>26530.0</v>
      </c>
      <c r="G2763" s="6">
        <v>24553.0</v>
      </c>
      <c r="H2763" s="6">
        <v>1.0371</v>
      </c>
      <c r="I2763" s="6">
        <v>1.0805</v>
      </c>
      <c r="J2763" s="6">
        <v>-0.0435</v>
      </c>
    </row>
    <row r="2764">
      <c r="A2764" s="5" t="s">
        <v>59</v>
      </c>
      <c r="B2764" s="5" t="s">
        <v>163</v>
      </c>
      <c r="C2764" s="5" t="s">
        <v>70</v>
      </c>
      <c r="D2764" s="6">
        <v>24.0</v>
      </c>
      <c r="E2764" s="6">
        <v>35709.0</v>
      </c>
      <c r="F2764" s="6">
        <v>31047.0</v>
      </c>
      <c r="G2764" s="6">
        <v>24553.0</v>
      </c>
      <c r="H2764" s="6">
        <v>1.4544</v>
      </c>
      <c r="I2764" s="6">
        <v>1.2645</v>
      </c>
      <c r="J2764" s="6">
        <v>0.1899</v>
      </c>
    </row>
    <row r="2765">
      <c r="A2765" s="5" t="s">
        <v>59</v>
      </c>
      <c r="B2765" s="5" t="s">
        <v>163</v>
      </c>
      <c r="C2765" s="5" t="s">
        <v>70</v>
      </c>
      <c r="D2765" s="6">
        <v>25.0</v>
      </c>
      <c r="E2765" s="6">
        <v>27152.0</v>
      </c>
      <c r="F2765" s="6">
        <v>28217.0</v>
      </c>
      <c r="G2765" s="6">
        <v>24553.0</v>
      </c>
      <c r="H2765" s="6">
        <v>1.1059</v>
      </c>
      <c r="I2765" s="6">
        <v>1.1492</v>
      </c>
      <c r="J2765" s="6">
        <v>-0.0434</v>
      </c>
    </row>
    <row r="2766">
      <c r="A2766" s="5" t="s">
        <v>59</v>
      </c>
      <c r="B2766" s="5" t="s">
        <v>163</v>
      </c>
      <c r="C2766" s="5" t="s">
        <v>70</v>
      </c>
      <c r="D2766" s="6">
        <v>26.0</v>
      </c>
      <c r="E2766" s="6">
        <v>26427.0</v>
      </c>
      <c r="F2766" s="6">
        <v>28870.0</v>
      </c>
      <c r="G2766" s="6">
        <v>24553.0</v>
      </c>
      <c r="H2766" s="6">
        <v>1.0763</v>
      </c>
      <c r="I2766" s="6">
        <v>1.1758</v>
      </c>
      <c r="J2766" s="6">
        <v>-0.0995</v>
      </c>
    </row>
    <row r="2767">
      <c r="A2767" s="5" t="s">
        <v>59</v>
      </c>
      <c r="B2767" s="5" t="s">
        <v>163</v>
      </c>
      <c r="C2767" s="5" t="s">
        <v>70</v>
      </c>
      <c r="D2767" s="6">
        <v>27.0</v>
      </c>
      <c r="E2767" s="6">
        <v>32994.0</v>
      </c>
      <c r="F2767" s="6">
        <v>31200.0</v>
      </c>
      <c r="G2767" s="6">
        <v>24553.0</v>
      </c>
      <c r="H2767" s="6">
        <v>1.3438</v>
      </c>
      <c r="I2767" s="6">
        <v>1.2707</v>
      </c>
      <c r="J2767" s="6">
        <v>0.0731</v>
      </c>
    </row>
    <row r="2768">
      <c r="A2768" s="5" t="s">
        <v>59</v>
      </c>
      <c r="B2768" s="5" t="s">
        <v>163</v>
      </c>
      <c r="C2768" s="5" t="s">
        <v>70</v>
      </c>
      <c r="D2768" s="6">
        <v>28.0</v>
      </c>
      <c r="E2768" s="6">
        <v>22757.0</v>
      </c>
      <c r="F2768" s="6">
        <v>26031.0</v>
      </c>
      <c r="G2768" s="6">
        <v>24553.0</v>
      </c>
      <c r="H2768" s="6">
        <v>0.9269</v>
      </c>
      <c r="I2768" s="6">
        <v>1.0602</v>
      </c>
      <c r="J2768" s="6">
        <v>-0.1333</v>
      </c>
    </row>
    <row r="2769">
      <c r="A2769" s="5" t="s">
        <v>59</v>
      </c>
      <c r="B2769" s="5" t="s">
        <v>163</v>
      </c>
      <c r="C2769" s="5" t="s">
        <v>70</v>
      </c>
      <c r="D2769" s="6">
        <v>29.0</v>
      </c>
      <c r="E2769" s="6">
        <v>22467.0</v>
      </c>
      <c r="F2769" s="6">
        <v>25872.0</v>
      </c>
      <c r="G2769" s="6">
        <v>24553.0</v>
      </c>
      <c r="H2769" s="6">
        <v>0.915</v>
      </c>
      <c r="I2769" s="6">
        <v>1.0537</v>
      </c>
      <c r="J2769" s="6">
        <v>-0.1387</v>
      </c>
    </row>
    <row r="2770">
      <c r="A2770" s="5" t="s">
        <v>59</v>
      </c>
      <c r="B2770" s="5" t="s">
        <v>163</v>
      </c>
      <c r="C2770" s="5" t="s">
        <v>70</v>
      </c>
      <c r="D2770" s="6">
        <v>30.0</v>
      </c>
      <c r="E2770" s="6">
        <v>22311.0</v>
      </c>
      <c r="F2770" s="6">
        <v>23186.0</v>
      </c>
      <c r="G2770" s="6">
        <v>24553.0</v>
      </c>
      <c r="H2770" s="6">
        <v>0.9087</v>
      </c>
      <c r="I2770" s="6">
        <v>0.9443</v>
      </c>
      <c r="J2770" s="6">
        <v>-0.0356</v>
      </c>
    </row>
    <row r="2771">
      <c r="A2771" s="5" t="s">
        <v>59</v>
      </c>
      <c r="B2771" s="5" t="s">
        <v>163</v>
      </c>
      <c r="C2771" s="5" t="s">
        <v>70</v>
      </c>
      <c r="D2771" s="6">
        <v>31.0</v>
      </c>
      <c r="E2771" s="6">
        <v>32725.0</v>
      </c>
      <c r="F2771" s="6">
        <v>27225.0</v>
      </c>
      <c r="G2771" s="6">
        <v>24553.0</v>
      </c>
      <c r="H2771" s="6">
        <v>1.3328</v>
      </c>
      <c r="I2771" s="6">
        <v>1.1088</v>
      </c>
      <c r="J2771" s="6">
        <v>0.224</v>
      </c>
    </row>
    <row r="2772">
      <c r="A2772" s="5" t="s">
        <v>59</v>
      </c>
      <c r="B2772" s="5" t="s">
        <v>163</v>
      </c>
      <c r="C2772" s="5" t="s">
        <v>70</v>
      </c>
      <c r="D2772" s="6">
        <v>32.0</v>
      </c>
      <c r="E2772" s="6">
        <v>24257.0</v>
      </c>
      <c r="F2772" s="6">
        <v>25478.0</v>
      </c>
      <c r="G2772" s="6">
        <v>24553.0</v>
      </c>
      <c r="H2772" s="6">
        <v>0.9879</v>
      </c>
      <c r="I2772" s="6">
        <v>1.0377</v>
      </c>
      <c r="J2772" s="6">
        <v>-0.0497</v>
      </c>
    </row>
    <row r="2773">
      <c r="A2773" s="5" t="s">
        <v>59</v>
      </c>
      <c r="B2773" s="5" t="s">
        <v>163</v>
      </c>
      <c r="C2773" s="5" t="s">
        <v>70</v>
      </c>
      <c r="D2773" s="6">
        <v>33.0</v>
      </c>
      <c r="E2773" s="6">
        <v>24914.0</v>
      </c>
      <c r="F2773" s="6">
        <v>26706.0</v>
      </c>
      <c r="G2773" s="6">
        <v>24553.0</v>
      </c>
      <c r="H2773" s="6">
        <v>1.0147</v>
      </c>
      <c r="I2773" s="6">
        <v>1.0877</v>
      </c>
      <c r="J2773" s="6">
        <v>-0.073</v>
      </c>
    </row>
    <row r="2774">
      <c r="A2774" s="5" t="s">
        <v>59</v>
      </c>
      <c r="B2774" s="5" t="s">
        <v>163</v>
      </c>
      <c r="C2774" s="5" t="s">
        <v>71</v>
      </c>
      <c r="D2774" s="6">
        <v>1.0</v>
      </c>
      <c r="E2774" s="6">
        <v>10787.0</v>
      </c>
      <c r="F2774" s="6">
        <v>10945.0</v>
      </c>
      <c r="G2774" s="6">
        <v>24346.0</v>
      </c>
      <c r="H2774" s="6">
        <v>0.4431</v>
      </c>
      <c r="I2774" s="6">
        <v>0.4496</v>
      </c>
      <c r="J2774" s="6">
        <v>-0.0065</v>
      </c>
    </row>
    <row r="2775">
      <c r="A2775" s="5" t="s">
        <v>59</v>
      </c>
      <c r="B2775" s="5" t="s">
        <v>163</v>
      </c>
      <c r="C2775" s="5" t="s">
        <v>71</v>
      </c>
      <c r="D2775" s="6">
        <v>2.0</v>
      </c>
      <c r="E2775" s="6">
        <v>10740.0</v>
      </c>
      <c r="F2775" s="6">
        <v>11351.0</v>
      </c>
      <c r="G2775" s="6">
        <v>24346.0</v>
      </c>
      <c r="H2775" s="6">
        <v>0.4411</v>
      </c>
      <c r="I2775" s="6">
        <v>0.4662</v>
      </c>
      <c r="J2775" s="6">
        <v>-0.0251</v>
      </c>
    </row>
    <row r="2776">
      <c r="A2776" s="5" t="s">
        <v>59</v>
      </c>
      <c r="B2776" s="5" t="s">
        <v>163</v>
      </c>
      <c r="C2776" s="5" t="s">
        <v>71</v>
      </c>
      <c r="D2776" s="6">
        <v>3.0</v>
      </c>
      <c r="E2776" s="6">
        <v>15939.0</v>
      </c>
      <c r="F2776" s="6">
        <v>12334.0</v>
      </c>
      <c r="G2776" s="6">
        <v>24346.0</v>
      </c>
      <c r="H2776" s="6">
        <v>0.6547</v>
      </c>
      <c r="I2776" s="6">
        <v>0.5066</v>
      </c>
      <c r="J2776" s="6">
        <v>0.1481</v>
      </c>
    </row>
    <row r="2777">
      <c r="A2777" s="5" t="s">
        <v>59</v>
      </c>
      <c r="B2777" s="5" t="s">
        <v>163</v>
      </c>
      <c r="C2777" s="5" t="s">
        <v>71</v>
      </c>
      <c r="D2777" s="6">
        <v>4.0</v>
      </c>
      <c r="E2777" s="6">
        <v>12055.0</v>
      </c>
      <c r="F2777" s="6">
        <v>11087.0</v>
      </c>
      <c r="G2777" s="6">
        <v>24346.0</v>
      </c>
      <c r="H2777" s="6">
        <v>0.4952</v>
      </c>
      <c r="I2777" s="6">
        <v>0.4554</v>
      </c>
      <c r="J2777" s="6">
        <v>0.0398</v>
      </c>
    </row>
    <row r="2778">
      <c r="A2778" s="5" t="s">
        <v>59</v>
      </c>
      <c r="B2778" s="5" t="s">
        <v>163</v>
      </c>
      <c r="C2778" s="5" t="s">
        <v>71</v>
      </c>
      <c r="D2778" s="6">
        <v>5.0</v>
      </c>
      <c r="E2778" s="6">
        <v>12787.0</v>
      </c>
      <c r="F2778" s="6">
        <v>11756.0</v>
      </c>
      <c r="G2778" s="6">
        <v>24346.0</v>
      </c>
      <c r="H2778" s="6">
        <v>0.5252</v>
      </c>
      <c r="I2778" s="6">
        <v>0.4829</v>
      </c>
      <c r="J2778" s="6">
        <v>0.0423</v>
      </c>
    </row>
    <row r="2779">
      <c r="A2779" s="5" t="s">
        <v>59</v>
      </c>
      <c r="B2779" s="5" t="s">
        <v>163</v>
      </c>
      <c r="C2779" s="5" t="s">
        <v>71</v>
      </c>
      <c r="D2779" s="6">
        <v>6.0</v>
      </c>
      <c r="E2779" s="6">
        <v>16374.0</v>
      </c>
      <c r="F2779" s="6">
        <v>14617.0</v>
      </c>
      <c r="G2779" s="6">
        <v>24346.0</v>
      </c>
      <c r="H2779" s="6">
        <v>0.6726</v>
      </c>
      <c r="I2779" s="6">
        <v>0.6004</v>
      </c>
      <c r="J2779" s="6">
        <v>0.0722</v>
      </c>
    </row>
    <row r="2780">
      <c r="A2780" s="5" t="s">
        <v>59</v>
      </c>
      <c r="B2780" s="5" t="s">
        <v>163</v>
      </c>
      <c r="C2780" s="5" t="s">
        <v>71</v>
      </c>
      <c r="D2780" s="6">
        <v>7.0</v>
      </c>
      <c r="E2780" s="6">
        <v>10805.0</v>
      </c>
      <c r="F2780" s="6">
        <v>12431.0</v>
      </c>
      <c r="G2780" s="6">
        <v>24346.0</v>
      </c>
      <c r="H2780" s="6">
        <v>0.4438</v>
      </c>
      <c r="I2780" s="6">
        <v>0.5106</v>
      </c>
      <c r="J2780" s="6">
        <v>-0.0668</v>
      </c>
    </row>
    <row r="2781">
      <c r="A2781" s="5" t="s">
        <v>59</v>
      </c>
      <c r="B2781" s="5" t="s">
        <v>163</v>
      </c>
      <c r="C2781" s="5" t="s">
        <v>71</v>
      </c>
      <c r="D2781" s="6">
        <v>8.0</v>
      </c>
      <c r="E2781" s="6">
        <v>12202.0</v>
      </c>
      <c r="F2781" s="6">
        <v>13060.0</v>
      </c>
      <c r="G2781" s="6">
        <v>24346.0</v>
      </c>
      <c r="H2781" s="6">
        <v>0.5012</v>
      </c>
      <c r="I2781" s="6">
        <v>0.5364</v>
      </c>
      <c r="J2781" s="6">
        <v>-0.0352</v>
      </c>
    </row>
    <row r="2782">
      <c r="A2782" s="5" t="s">
        <v>59</v>
      </c>
      <c r="B2782" s="5" t="s">
        <v>163</v>
      </c>
      <c r="C2782" s="5" t="s">
        <v>71</v>
      </c>
      <c r="D2782" s="6">
        <v>9.0</v>
      </c>
      <c r="E2782" s="6">
        <v>10319.0</v>
      </c>
      <c r="F2782" s="6">
        <v>11530.0</v>
      </c>
      <c r="G2782" s="6">
        <v>24346.0</v>
      </c>
      <c r="H2782" s="6">
        <v>0.4238</v>
      </c>
      <c r="I2782" s="6">
        <v>0.4736</v>
      </c>
      <c r="J2782" s="6">
        <v>-0.0497</v>
      </c>
    </row>
    <row r="2783">
      <c r="A2783" s="5" t="s">
        <v>59</v>
      </c>
      <c r="B2783" s="5" t="s">
        <v>163</v>
      </c>
      <c r="C2783" s="5" t="s">
        <v>71</v>
      </c>
      <c r="D2783" s="6">
        <v>10.0</v>
      </c>
      <c r="E2783" s="6">
        <v>18068.0</v>
      </c>
      <c r="F2783" s="6">
        <v>14697.0</v>
      </c>
      <c r="G2783" s="6">
        <v>24346.0</v>
      </c>
      <c r="H2783" s="6">
        <v>0.7421</v>
      </c>
      <c r="I2783" s="6">
        <v>0.6037</v>
      </c>
      <c r="J2783" s="6">
        <v>0.1385</v>
      </c>
    </row>
    <row r="2784">
      <c r="A2784" s="5" t="s">
        <v>59</v>
      </c>
      <c r="B2784" s="5" t="s">
        <v>163</v>
      </c>
      <c r="C2784" s="5" t="s">
        <v>71</v>
      </c>
      <c r="D2784" s="6">
        <v>11.0</v>
      </c>
      <c r="E2784" s="6">
        <v>12601.0</v>
      </c>
      <c r="F2784" s="6">
        <v>12627.0</v>
      </c>
      <c r="G2784" s="6">
        <v>24346.0</v>
      </c>
      <c r="H2784" s="6">
        <v>0.5176</v>
      </c>
      <c r="I2784" s="6">
        <v>0.5186</v>
      </c>
      <c r="J2784" s="6">
        <v>-0.0011</v>
      </c>
    </row>
    <row r="2785">
      <c r="A2785" s="5" t="s">
        <v>59</v>
      </c>
      <c r="B2785" s="5" t="s">
        <v>163</v>
      </c>
      <c r="C2785" s="5" t="s">
        <v>71</v>
      </c>
      <c r="D2785" s="6">
        <v>12.0</v>
      </c>
      <c r="E2785" s="6">
        <v>13607.0</v>
      </c>
      <c r="F2785" s="6">
        <v>13282.0</v>
      </c>
      <c r="G2785" s="6">
        <v>24346.0</v>
      </c>
      <c r="H2785" s="6">
        <v>0.5589</v>
      </c>
      <c r="I2785" s="6">
        <v>0.5456</v>
      </c>
      <c r="J2785" s="6">
        <v>0.0133</v>
      </c>
    </row>
    <row r="2786">
      <c r="A2786" s="5" t="s">
        <v>59</v>
      </c>
      <c r="B2786" s="5" t="s">
        <v>163</v>
      </c>
      <c r="C2786" s="5" t="s">
        <v>71</v>
      </c>
      <c r="D2786" s="6">
        <v>13.0</v>
      </c>
      <c r="E2786" s="6">
        <v>17125.0</v>
      </c>
      <c r="F2786" s="6">
        <v>16419.0</v>
      </c>
      <c r="G2786" s="6">
        <v>24346.0</v>
      </c>
      <c r="H2786" s="6">
        <v>0.7034</v>
      </c>
      <c r="I2786" s="6">
        <v>0.6744</v>
      </c>
      <c r="J2786" s="6">
        <v>0.029</v>
      </c>
    </row>
    <row r="2787">
      <c r="A2787" s="5" t="s">
        <v>59</v>
      </c>
      <c r="B2787" s="5" t="s">
        <v>163</v>
      </c>
      <c r="C2787" s="5" t="s">
        <v>71</v>
      </c>
      <c r="D2787" s="6">
        <v>14.0</v>
      </c>
      <c r="E2787" s="6">
        <v>11148.0</v>
      </c>
      <c r="F2787" s="6">
        <v>13751.0</v>
      </c>
      <c r="G2787" s="6">
        <v>24346.0</v>
      </c>
      <c r="H2787" s="6">
        <v>0.4579</v>
      </c>
      <c r="I2787" s="6">
        <v>0.5648</v>
      </c>
      <c r="J2787" s="6">
        <v>-0.1069</v>
      </c>
    </row>
    <row r="2788">
      <c r="A2788" s="5" t="s">
        <v>59</v>
      </c>
      <c r="B2788" s="5" t="s">
        <v>163</v>
      </c>
      <c r="C2788" s="5" t="s">
        <v>71</v>
      </c>
      <c r="D2788" s="6">
        <v>15.0</v>
      </c>
      <c r="E2788" s="6">
        <v>12288.0</v>
      </c>
      <c r="F2788" s="6">
        <v>14133.0</v>
      </c>
      <c r="G2788" s="6">
        <v>24346.0</v>
      </c>
      <c r="H2788" s="6">
        <v>0.5047</v>
      </c>
      <c r="I2788" s="6">
        <v>0.5805</v>
      </c>
      <c r="J2788" s="6">
        <v>-0.0758</v>
      </c>
    </row>
    <row r="2789">
      <c r="A2789" s="5" t="s">
        <v>59</v>
      </c>
      <c r="B2789" s="5" t="s">
        <v>163</v>
      </c>
      <c r="C2789" s="5" t="s">
        <v>71</v>
      </c>
      <c r="D2789" s="6">
        <v>16.0</v>
      </c>
      <c r="E2789" s="6">
        <v>12294.0</v>
      </c>
      <c r="F2789" s="6">
        <v>13383.0</v>
      </c>
      <c r="G2789" s="6">
        <v>24346.0</v>
      </c>
      <c r="H2789" s="6">
        <v>0.505</v>
      </c>
      <c r="I2789" s="6">
        <v>0.5497</v>
      </c>
      <c r="J2789" s="6">
        <v>-0.0447</v>
      </c>
    </row>
    <row r="2790">
      <c r="A2790" s="5" t="s">
        <v>59</v>
      </c>
      <c r="B2790" s="5" t="s">
        <v>163</v>
      </c>
      <c r="C2790" s="5" t="s">
        <v>71</v>
      </c>
      <c r="D2790" s="6">
        <v>17.0</v>
      </c>
      <c r="E2790" s="6">
        <v>18772.0</v>
      </c>
      <c r="F2790" s="6">
        <v>15536.0</v>
      </c>
      <c r="G2790" s="6">
        <v>24346.0</v>
      </c>
      <c r="H2790" s="6">
        <v>0.7711</v>
      </c>
      <c r="I2790" s="6">
        <v>0.6381</v>
      </c>
      <c r="J2790" s="6">
        <v>0.1329</v>
      </c>
    </row>
    <row r="2791">
      <c r="A2791" s="5" t="s">
        <v>59</v>
      </c>
      <c r="B2791" s="5" t="s">
        <v>163</v>
      </c>
      <c r="C2791" s="5" t="s">
        <v>71</v>
      </c>
      <c r="D2791" s="6">
        <v>18.0</v>
      </c>
      <c r="E2791" s="6">
        <v>14310.0</v>
      </c>
      <c r="F2791" s="6">
        <v>13478.0</v>
      </c>
      <c r="G2791" s="6">
        <v>24346.0</v>
      </c>
      <c r="H2791" s="6">
        <v>0.5878</v>
      </c>
      <c r="I2791" s="6">
        <v>0.5536</v>
      </c>
      <c r="J2791" s="6">
        <v>0.0342</v>
      </c>
    </row>
    <row r="2792">
      <c r="A2792" s="5" t="s">
        <v>59</v>
      </c>
      <c r="B2792" s="5" t="s">
        <v>163</v>
      </c>
      <c r="C2792" s="5" t="s">
        <v>71</v>
      </c>
      <c r="D2792" s="6">
        <v>19.0</v>
      </c>
      <c r="E2792" s="6">
        <v>14542.0</v>
      </c>
      <c r="F2792" s="6">
        <v>14439.0</v>
      </c>
      <c r="G2792" s="6">
        <v>24346.0</v>
      </c>
      <c r="H2792" s="6">
        <v>0.5973</v>
      </c>
      <c r="I2792" s="6">
        <v>0.5931</v>
      </c>
      <c r="J2792" s="6">
        <v>0.0042</v>
      </c>
    </row>
    <row r="2793">
      <c r="A2793" s="5" t="s">
        <v>59</v>
      </c>
      <c r="B2793" s="5" t="s">
        <v>163</v>
      </c>
      <c r="C2793" s="5" t="s">
        <v>71</v>
      </c>
      <c r="D2793" s="6">
        <v>20.0</v>
      </c>
      <c r="E2793" s="6">
        <v>19018.0</v>
      </c>
      <c r="F2793" s="6">
        <v>17224.0</v>
      </c>
      <c r="G2793" s="6">
        <v>24346.0</v>
      </c>
      <c r="H2793" s="6">
        <v>0.7812</v>
      </c>
      <c r="I2793" s="6">
        <v>0.7075</v>
      </c>
      <c r="J2793" s="6">
        <v>0.0737</v>
      </c>
    </row>
    <row r="2794">
      <c r="A2794" s="5" t="s">
        <v>59</v>
      </c>
      <c r="B2794" s="5" t="s">
        <v>163</v>
      </c>
      <c r="C2794" s="5" t="s">
        <v>71</v>
      </c>
      <c r="D2794" s="6">
        <v>21.0</v>
      </c>
      <c r="E2794" s="6">
        <v>17813.0</v>
      </c>
      <c r="F2794" s="6">
        <v>14462.0</v>
      </c>
      <c r="G2794" s="6">
        <v>24346.0</v>
      </c>
      <c r="H2794" s="6">
        <v>0.7317</v>
      </c>
      <c r="I2794" s="6">
        <v>0.594</v>
      </c>
      <c r="J2794" s="6">
        <v>0.1376</v>
      </c>
    </row>
    <row r="2795">
      <c r="A2795" s="5" t="s">
        <v>59</v>
      </c>
      <c r="B2795" s="5" t="s">
        <v>163</v>
      </c>
      <c r="C2795" s="5" t="s">
        <v>71</v>
      </c>
      <c r="D2795" s="6">
        <v>22.0</v>
      </c>
      <c r="E2795" s="6">
        <v>16364.0</v>
      </c>
      <c r="F2795" s="6">
        <v>15736.0</v>
      </c>
      <c r="G2795" s="6">
        <v>24346.0</v>
      </c>
      <c r="H2795" s="6">
        <v>0.6721</v>
      </c>
      <c r="I2795" s="6">
        <v>0.6463</v>
      </c>
      <c r="J2795" s="6">
        <v>0.0258</v>
      </c>
    </row>
    <row r="2796">
      <c r="A2796" s="5" t="s">
        <v>59</v>
      </c>
      <c r="B2796" s="5" t="s">
        <v>163</v>
      </c>
      <c r="C2796" s="5" t="s">
        <v>71</v>
      </c>
      <c r="D2796" s="6">
        <v>23.0</v>
      </c>
      <c r="E2796" s="6">
        <v>14620.0</v>
      </c>
      <c r="F2796" s="6">
        <v>15411.0</v>
      </c>
      <c r="G2796" s="6">
        <v>24346.0</v>
      </c>
      <c r="H2796" s="6">
        <v>0.6005</v>
      </c>
      <c r="I2796" s="6">
        <v>0.633</v>
      </c>
      <c r="J2796" s="6">
        <v>-0.0325</v>
      </c>
    </row>
    <row r="2797">
      <c r="A2797" s="5" t="s">
        <v>59</v>
      </c>
      <c r="B2797" s="5" t="s">
        <v>163</v>
      </c>
      <c r="C2797" s="5" t="s">
        <v>71</v>
      </c>
      <c r="D2797" s="6">
        <v>24.0</v>
      </c>
      <c r="E2797" s="6">
        <v>22076.0</v>
      </c>
      <c r="F2797" s="6">
        <v>18188.0</v>
      </c>
      <c r="G2797" s="6">
        <v>24346.0</v>
      </c>
      <c r="H2797" s="6">
        <v>0.9068</v>
      </c>
      <c r="I2797" s="6">
        <v>0.7471</v>
      </c>
      <c r="J2797" s="6">
        <v>0.1597</v>
      </c>
    </row>
    <row r="2798">
      <c r="A2798" s="5" t="s">
        <v>59</v>
      </c>
      <c r="B2798" s="5" t="s">
        <v>163</v>
      </c>
      <c r="C2798" s="5" t="s">
        <v>71</v>
      </c>
      <c r="D2798" s="6">
        <v>25.0</v>
      </c>
      <c r="E2798" s="6">
        <v>16393.0</v>
      </c>
      <c r="F2798" s="6">
        <v>15661.0</v>
      </c>
      <c r="G2798" s="6">
        <v>24346.0</v>
      </c>
      <c r="H2798" s="6">
        <v>0.6733</v>
      </c>
      <c r="I2798" s="6">
        <v>0.6433</v>
      </c>
      <c r="J2798" s="6">
        <v>0.0301</v>
      </c>
    </row>
    <row r="2799">
      <c r="A2799" s="5" t="s">
        <v>59</v>
      </c>
      <c r="B2799" s="5" t="s">
        <v>163</v>
      </c>
      <c r="C2799" s="5" t="s">
        <v>71</v>
      </c>
      <c r="D2799" s="6">
        <v>26.0</v>
      </c>
      <c r="E2799" s="6">
        <v>16137.0</v>
      </c>
      <c r="F2799" s="6">
        <v>16013.0</v>
      </c>
      <c r="G2799" s="6">
        <v>24346.0</v>
      </c>
      <c r="H2799" s="6">
        <v>0.6628</v>
      </c>
      <c r="I2799" s="6">
        <v>0.6577</v>
      </c>
      <c r="J2799" s="6">
        <v>0.0051</v>
      </c>
    </row>
    <row r="2800">
      <c r="A2800" s="5" t="s">
        <v>59</v>
      </c>
      <c r="B2800" s="5" t="s">
        <v>163</v>
      </c>
      <c r="C2800" s="5" t="s">
        <v>71</v>
      </c>
      <c r="D2800" s="6">
        <v>27.0</v>
      </c>
      <c r="E2800" s="6">
        <v>20231.0</v>
      </c>
      <c r="F2800" s="6">
        <v>17557.0</v>
      </c>
      <c r="G2800" s="6">
        <v>24346.0</v>
      </c>
      <c r="H2800" s="6">
        <v>0.831</v>
      </c>
      <c r="I2800" s="6">
        <v>0.7211</v>
      </c>
      <c r="J2800" s="6">
        <v>0.1098</v>
      </c>
    </row>
    <row r="2801">
      <c r="A2801" s="5" t="s">
        <v>59</v>
      </c>
      <c r="B2801" s="5" t="s">
        <v>163</v>
      </c>
      <c r="C2801" s="5" t="s">
        <v>71</v>
      </c>
      <c r="D2801" s="6">
        <v>28.0</v>
      </c>
      <c r="E2801" s="6">
        <v>12633.0</v>
      </c>
      <c r="F2801" s="6">
        <v>14659.0</v>
      </c>
      <c r="G2801" s="6">
        <v>24346.0</v>
      </c>
      <c r="H2801" s="6">
        <v>0.5189</v>
      </c>
      <c r="I2801" s="6">
        <v>0.6021</v>
      </c>
      <c r="J2801" s="6">
        <v>-0.0832</v>
      </c>
    </row>
    <row r="2802">
      <c r="A2802" s="5" t="s">
        <v>59</v>
      </c>
      <c r="B2802" s="5" t="s">
        <v>163</v>
      </c>
      <c r="C2802" s="5" t="s">
        <v>71</v>
      </c>
      <c r="D2802" s="6">
        <v>29.0</v>
      </c>
      <c r="E2802" s="6">
        <v>13486.0</v>
      </c>
      <c r="F2802" s="6">
        <v>15219.0</v>
      </c>
      <c r="G2802" s="6">
        <v>24346.0</v>
      </c>
      <c r="H2802" s="6">
        <v>0.5539</v>
      </c>
      <c r="I2802" s="6">
        <v>0.6251</v>
      </c>
      <c r="J2802" s="6">
        <v>-0.0712</v>
      </c>
    </row>
    <row r="2803">
      <c r="A2803" s="5" t="s">
        <v>59</v>
      </c>
      <c r="B2803" s="5" t="s">
        <v>163</v>
      </c>
      <c r="C2803" s="5" t="s">
        <v>71</v>
      </c>
      <c r="D2803" s="6">
        <v>30.0</v>
      </c>
      <c r="E2803" s="6">
        <v>13469.0</v>
      </c>
      <c r="F2803" s="6">
        <v>13965.0</v>
      </c>
      <c r="G2803" s="6">
        <v>24346.0</v>
      </c>
      <c r="H2803" s="6">
        <v>0.5532</v>
      </c>
      <c r="I2803" s="6">
        <v>0.5736</v>
      </c>
      <c r="J2803" s="6">
        <v>-0.0204</v>
      </c>
    </row>
    <row r="2804">
      <c r="A2804" s="5" t="s">
        <v>59</v>
      </c>
      <c r="B2804" s="5" t="s">
        <v>163</v>
      </c>
      <c r="C2804" s="5" t="s">
        <v>71</v>
      </c>
      <c r="D2804" s="6">
        <v>31.0</v>
      </c>
      <c r="E2804" s="6">
        <v>22491.0</v>
      </c>
      <c r="F2804" s="6">
        <v>17046.0</v>
      </c>
      <c r="G2804" s="6">
        <v>24346.0</v>
      </c>
      <c r="H2804" s="6">
        <v>0.9238</v>
      </c>
      <c r="I2804" s="6">
        <v>0.7002</v>
      </c>
      <c r="J2804" s="6">
        <v>0.2237</v>
      </c>
    </row>
    <row r="2805">
      <c r="A2805" s="5" t="s">
        <v>59</v>
      </c>
      <c r="B2805" s="5" t="s">
        <v>163</v>
      </c>
      <c r="C2805" s="5" t="s">
        <v>71</v>
      </c>
      <c r="D2805" s="6">
        <v>32.0</v>
      </c>
      <c r="E2805" s="6">
        <v>15845.0</v>
      </c>
      <c r="F2805" s="6">
        <v>15125.0</v>
      </c>
      <c r="G2805" s="6">
        <v>24346.0</v>
      </c>
      <c r="H2805" s="6">
        <v>0.6508</v>
      </c>
      <c r="I2805" s="6">
        <v>0.6213</v>
      </c>
      <c r="J2805" s="6">
        <v>0.0296</v>
      </c>
    </row>
    <row r="2806">
      <c r="A2806" s="5" t="s">
        <v>59</v>
      </c>
      <c r="B2806" s="5" t="s">
        <v>163</v>
      </c>
      <c r="C2806" s="5" t="s">
        <v>71</v>
      </c>
      <c r="D2806" s="6">
        <v>33.0</v>
      </c>
      <c r="E2806" s="6">
        <v>16343.0</v>
      </c>
      <c r="F2806" s="6">
        <v>15394.0</v>
      </c>
      <c r="G2806" s="6">
        <v>24346.0</v>
      </c>
      <c r="H2806" s="6">
        <v>0.6713</v>
      </c>
      <c r="I2806" s="6">
        <v>0.6323</v>
      </c>
      <c r="J2806" s="6">
        <v>0.039</v>
      </c>
    </row>
    <row r="2807">
      <c r="A2807" s="5" t="s">
        <v>59</v>
      </c>
      <c r="B2807" s="5" t="s">
        <v>163</v>
      </c>
      <c r="C2807" s="5" t="s">
        <v>1883</v>
      </c>
      <c r="D2807" s="6">
        <v>1.0</v>
      </c>
      <c r="E2807" s="6">
        <v>17965.0</v>
      </c>
      <c r="F2807" s="6">
        <v>12124.0</v>
      </c>
      <c r="G2807" s="6">
        <v>15343.0</v>
      </c>
      <c r="H2807" s="6">
        <v>1.1709</v>
      </c>
      <c r="I2807" s="6">
        <v>0.7902</v>
      </c>
      <c r="J2807" s="6">
        <v>0.3807</v>
      </c>
    </row>
    <row r="2808">
      <c r="A2808" s="5" t="s">
        <v>59</v>
      </c>
      <c r="B2808" s="5" t="s">
        <v>163</v>
      </c>
      <c r="C2808" s="5" t="s">
        <v>1883</v>
      </c>
      <c r="D2808" s="6">
        <v>2.0</v>
      </c>
      <c r="E2808" s="6">
        <v>38880.0</v>
      </c>
      <c r="F2808" s="6">
        <v>26256.0</v>
      </c>
      <c r="G2808" s="6">
        <v>15343.0</v>
      </c>
      <c r="H2808" s="6">
        <v>2.5341</v>
      </c>
      <c r="I2808" s="6">
        <v>1.7113</v>
      </c>
      <c r="J2808" s="6">
        <v>0.8228</v>
      </c>
    </row>
    <row r="2809">
      <c r="A2809" s="5" t="s">
        <v>59</v>
      </c>
      <c r="B2809" s="5" t="s">
        <v>163</v>
      </c>
      <c r="C2809" s="5" t="s">
        <v>1883</v>
      </c>
      <c r="D2809" s="6">
        <v>3.0</v>
      </c>
      <c r="E2809" s="6">
        <v>21375.0</v>
      </c>
      <c r="F2809" s="6">
        <v>12712.0</v>
      </c>
      <c r="G2809" s="6">
        <v>15343.0</v>
      </c>
      <c r="H2809" s="6">
        <v>1.3931</v>
      </c>
      <c r="I2809" s="6">
        <v>0.8285</v>
      </c>
      <c r="J2809" s="6">
        <v>0.5646</v>
      </c>
    </row>
    <row r="2810">
      <c r="A2810" s="5" t="s">
        <v>59</v>
      </c>
      <c r="B2810" s="5" t="s">
        <v>163</v>
      </c>
      <c r="C2810" s="5" t="s">
        <v>1883</v>
      </c>
      <c r="D2810" s="6">
        <v>4.0</v>
      </c>
      <c r="E2810" s="6">
        <v>13600.0</v>
      </c>
      <c r="F2810" s="6">
        <v>8194.0</v>
      </c>
      <c r="G2810" s="6">
        <v>15343.0</v>
      </c>
      <c r="H2810" s="6">
        <v>0.8864</v>
      </c>
      <c r="I2810" s="6">
        <v>0.5341</v>
      </c>
      <c r="J2810" s="6">
        <v>0.3523</v>
      </c>
    </row>
    <row r="2811">
      <c r="A2811" s="5" t="s">
        <v>59</v>
      </c>
      <c r="B2811" s="5" t="s">
        <v>163</v>
      </c>
      <c r="C2811" s="5" t="s">
        <v>1883</v>
      </c>
      <c r="D2811" s="6">
        <v>5.0</v>
      </c>
      <c r="E2811" s="6">
        <v>12110.0</v>
      </c>
      <c r="F2811" s="6">
        <v>7523.0</v>
      </c>
      <c r="G2811" s="6">
        <v>15343.0</v>
      </c>
      <c r="H2811" s="6">
        <v>0.7893</v>
      </c>
      <c r="I2811" s="6">
        <v>0.4903</v>
      </c>
      <c r="J2811" s="6">
        <v>0.299</v>
      </c>
    </row>
    <row r="2812">
      <c r="A2812" s="5" t="s">
        <v>59</v>
      </c>
      <c r="B2812" s="5" t="s">
        <v>163</v>
      </c>
      <c r="C2812" s="5" t="s">
        <v>1883</v>
      </c>
      <c r="D2812" s="6">
        <v>6.0</v>
      </c>
      <c r="E2812" s="6">
        <v>30280.0</v>
      </c>
      <c r="F2812" s="6">
        <v>20026.0</v>
      </c>
      <c r="G2812" s="6">
        <v>15343.0</v>
      </c>
      <c r="H2812" s="6">
        <v>1.9735</v>
      </c>
      <c r="I2812" s="6">
        <v>1.3052</v>
      </c>
      <c r="J2812" s="6">
        <v>0.6683</v>
      </c>
    </row>
    <row r="2813">
      <c r="A2813" s="5" t="s">
        <v>59</v>
      </c>
      <c r="B2813" s="5" t="s">
        <v>163</v>
      </c>
      <c r="C2813" s="5" t="s">
        <v>1883</v>
      </c>
      <c r="D2813" s="6">
        <v>7.0</v>
      </c>
      <c r="E2813" s="6">
        <v>34815.0</v>
      </c>
      <c r="F2813" s="6">
        <v>22232.0</v>
      </c>
      <c r="G2813" s="6">
        <v>15343.0</v>
      </c>
      <c r="H2813" s="6">
        <v>2.2691</v>
      </c>
      <c r="I2813" s="6">
        <v>1.449</v>
      </c>
      <c r="J2813" s="6">
        <v>0.8201</v>
      </c>
    </row>
    <row r="2814">
      <c r="A2814" s="5" t="s">
        <v>59</v>
      </c>
      <c r="B2814" s="5" t="s">
        <v>163</v>
      </c>
      <c r="C2814" s="5" t="s">
        <v>1883</v>
      </c>
      <c r="D2814" s="6">
        <v>8.0</v>
      </c>
      <c r="E2814" s="6">
        <v>32875.0</v>
      </c>
      <c r="F2814" s="6">
        <v>20512.0</v>
      </c>
      <c r="G2814" s="6">
        <v>15343.0</v>
      </c>
      <c r="H2814" s="6">
        <v>2.1427</v>
      </c>
      <c r="I2814" s="6">
        <v>1.3369</v>
      </c>
      <c r="J2814" s="6">
        <v>0.8058</v>
      </c>
    </row>
    <row r="2815">
      <c r="A2815" s="5" t="s">
        <v>59</v>
      </c>
      <c r="B2815" s="5" t="s">
        <v>163</v>
      </c>
      <c r="C2815" s="5" t="s">
        <v>1883</v>
      </c>
      <c r="D2815" s="6">
        <v>9.0</v>
      </c>
      <c r="E2815" s="6">
        <v>30010.0</v>
      </c>
      <c r="F2815" s="6">
        <v>18201.0</v>
      </c>
      <c r="G2815" s="6">
        <v>15343.0</v>
      </c>
      <c r="H2815" s="6">
        <v>1.9559</v>
      </c>
      <c r="I2815" s="6">
        <v>1.1863</v>
      </c>
      <c r="J2815" s="6">
        <v>0.7697</v>
      </c>
    </row>
    <row r="2816">
      <c r="A2816" s="5" t="s">
        <v>59</v>
      </c>
      <c r="B2816" s="5" t="s">
        <v>163</v>
      </c>
      <c r="C2816" s="5" t="s">
        <v>1883</v>
      </c>
      <c r="D2816" s="6">
        <v>10.0</v>
      </c>
      <c r="E2816" s="6">
        <v>15490.0</v>
      </c>
      <c r="F2816" s="6">
        <v>8055.0</v>
      </c>
      <c r="G2816" s="6">
        <v>15343.0</v>
      </c>
      <c r="H2816" s="6">
        <v>1.0096</v>
      </c>
      <c r="I2816" s="6">
        <v>0.525</v>
      </c>
      <c r="J2816" s="6">
        <v>0.4846</v>
      </c>
    </row>
    <row r="2817">
      <c r="A2817" s="5" t="s">
        <v>59</v>
      </c>
      <c r="B2817" s="5" t="s">
        <v>163</v>
      </c>
      <c r="C2817" s="5" t="s">
        <v>1883</v>
      </c>
      <c r="D2817" s="6">
        <v>11.0</v>
      </c>
      <c r="E2817" s="6">
        <v>6055.0</v>
      </c>
      <c r="F2817" s="6">
        <v>3283.0</v>
      </c>
      <c r="G2817" s="6">
        <v>15343.0</v>
      </c>
      <c r="H2817" s="6">
        <v>0.3946</v>
      </c>
      <c r="I2817" s="6">
        <v>0.214</v>
      </c>
      <c r="J2817" s="6">
        <v>0.1807</v>
      </c>
    </row>
    <row r="2818">
      <c r="A2818" s="5" t="s">
        <v>59</v>
      </c>
      <c r="B2818" s="5" t="s">
        <v>163</v>
      </c>
      <c r="C2818" s="5" t="s">
        <v>1883</v>
      </c>
      <c r="D2818" s="6">
        <v>12.0</v>
      </c>
      <c r="E2818" s="6">
        <v>5610.0</v>
      </c>
      <c r="F2818" s="6">
        <v>2972.0</v>
      </c>
      <c r="G2818" s="6">
        <v>15343.0</v>
      </c>
      <c r="H2818" s="6">
        <v>0.3656</v>
      </c>
      <c r="I2818" s="6">
        <v>0.1937</v>
      </c>
      <c r="J2818" s="6">
        <v>0.1719</v>
      </c>
    </row>
    <row r="2819">
      <c r="A2819" s="5" t="s">
        <v>59</v>
      </c>
      <c r="B2819" s="5" t="s">
        <v>163</v>
      </c>
      <c r="C2819" s="5" t="s">
        <v>1883</v>
      </c>
      <c r="D2819" s="6">
        <v>13.0</v>
      </c>
      <c r="E2819" s="6">
        <v>29985.0</v>
      </c>
      <c r="F2819" s="6">
        <v>20034.0</v>
      </c>
      <c r="G2819" s="6">
        <v>15343.0</v>
      </c>
      <c r="H2819" s="6">
        <v>1.9543</v>
      </c>
      <c r="I2819" s="6">
        <v>1.3057</v>
      </c>
      <c r="J2819" s="6">
        <v>0.6486</v>
      </c>
    </row>
    <row r="2820">
      <c r="A2820" s="5" t="s">
        <v>59</v>
      </c>
      <c r="B2820" s="5" t="s">
        <v>163</v>
      </c>
      <c r="C2820" s="5" t="s">
        <v>1883</v>
      </c>
      <c r="D2820" s="6">
        <v>14.0</v>
      </c>
      <c r="E2820" s="6">
        <v>33775.0</v>
      </c>
      <c r="F2820" s="6">
        <v>22280.0</v>
      </c>
      <c r="G2820" s="6">
        <v>15343.0</v>
      </c>
      <c r="H2820" s="6">
        <v>2.2013</v>
      </c>
      <c r="I2820" s="6">
        <v>1.4521</v>
      </c>
      <c r="J2820" s="6">
        <v>0.7492</v>
      </c>
    </row>
    <row r="2821">
      <c r="A2821" s="5" t="s">
        <v>59</v>
      </c>
      <c r="B2821" s="5" t="s">
        <v>163</v>
      </c>
      <c r="C2821" s="5" t="s">
        <v>1883</v>
      </c>
      <c r="D2821" s="6">
        <v>15.0</v>
      </c>
      <c r="E2821" s="6">
        <v>31880.0</v>
      </c>
      <c r="F2821" s="6">
        <v>20157.0</v>
      </c>
      <c r="G2821" s="6">
        <v>15343.0</v>
      </c>
      <c r="H2821" s="6">
        <v>2.0778</v>
      </c>
      <c r="I2821" s="6">
        <v>1.3138</v>
      </c>
      <c r="J2821" s="6">
        <v>0.7641</v>
      </c>
    </row>
    <row r="2822">
      <c r="A2822" s="5" t="s">
        <v>59</v>
      </c>
      <c r="B2822" s="5" t="s">
        <v>163</v>
      </c>
      <c r="C2822" s="5" t="s">
        <v>1883</v>
      </c>
      <c r="D2822" s="6">
        <v>16.0</v>
      </c>
      <c r="E2822" s="6">
        <v>51790.0</v>
      </c>
      <c r="F2822" s="6">
        <v>32845.0</v>
      </c>
      <c r="G2822" s="6">
        <v>15343.0</v>
      </c>
      <c r="H2822" s="6">
        <v>3.3755</v>
      </c>
      <c r="I2822" s="6">
        <v>2.1407</v>
      </c>
      <c r="J2822" s="6">
        <v>1.2348</v>
      </c>
    </row>
    <row r="2823">
      <c r="A2823" s="5" t="s">
        <v>59</v>
      </c>
      <c r="B2823" s="5" t="s">
        <v>163</v>
      </c>
      <c r="C2823" s="5" t="s">
        <v>1883</v>
      </c>
      <c r="D2823" s="6">
        <v>17.0</v>
      </c>
      <c r="E2823" s="6">
        <v>30480.0</v>
      </c>
      <c r="F2823" s="6">
        <v>18033.0</v>
      </c>
      <c r="G2823" s="6">
        <v>15343.0</v>
      </c>
      <c r="H2823" s="6">
        <v>1.9866</v>
      </c>
      <c r="I2823" s="6">
        <v>1.1753</v>
      </c>
      <c r="J2823" s="6">
        <v>0.8112</v>
      </c>
    </row>
    <row r="2824">
      <c r="A2824" s="5" t="s">
        <v>59</v>
      </c>
      <c r="B2824" s="5" t="s">
        <v>163</v>
      </c>
      <c r="C2824" s="5" t="s">
        <v>1883</v>
      </c>
      <c r="D2824" s="6">
        <v>18.0</v>
      </c>
      <c r="E2824" s="6">
        <v>16720.0</v>
      </c>
      <c r="F2824" s="6">
        <v>9919.0</v>
      </c>
      <c r="G2824" s="6">
        <v>15343.0</v>
      </c>
      <c r="H2824" s="6">
        <v>1.0897</v>
      </c>
      <c r="I2824" s="6">
        <v>0.6465</v>
      </c>
      <c r="J2824" s="6">
        <v>0.4433</v>
      </c>
    </row>
    <row r="2825">
      <c r="A2825" s="5" t="s">
        <v>59</v>
      </c>
      <c r="B2825" s="5" t="s">
        <v>163</v>
      </c>
      <c r="C2825" s="5" t="s">
        <v>1883</v>
      </c>
      <c r="D2825" s="6">
        <v>19.0</v>
      </c>
      <c r="E2825" s="6">
        <v>13700.0</v>
      </c>
      <c r="F2825" s="6">
        <v>8152.0</v>
      </c>
      <c r="G2825" s="6">
        <v>15343.0</v>
      </c>
      <c r="H2825" s="6">
        <v>0.8929</v>
      </c>
      <c r="I2825" s="6">
        <v>0.5313</v>
      </c>
      <c r="J2825" s="6">
        <v>0.3616</v>
      </c>
    </row>
    <row r="2826">
      <c r="A2826" s="5" t="s">
        <v>59</v>
      </c>
      <c r="B2826" s="5" t="s">
        <v>163</v>
      </c>
      <c r="C2826" s="5" t="s">
        <v>1883</v>
      </c>
      <c r="D2826" s="6">
        <v>20.0</v>
      </c>
      <c r="E2826" s="6">
        <v>31780.0</v>
      </c>
      <c r="F2826" s="6">
        <v>20951.0</v>
      </c>
      <c r="G2826" s="6">
        <v>15343.0</v>
      </c>
      <c r="H2826" s="6">
        <v>2.0713</v>
      </c>
      <c r="I2826" s="6">
        <v>1.3655</v>
      </c>
      <c r="J2826" s="6">
        <v>0.7058</v>
      </c>
    </row>
    <row r="2827">
      <c r="A2827" s="5" t="s">
        <v>59</v>
      </c>
      <c r="B2827" s="5" t="s">
        <v>163</v>
      </c>
      <c r="C2827" s="5" t="s">
        <v>1883</v>
      </c>
      <c r="D2827" s="6">
        <v>21.0</v>
      </c>
      <c r="E2827" s="6">
        <v>41985.0</v>
      </c>
      <c r="F2827" s="6">
        <v>27173.0</v>
      </c>
      <c r="G2827" s="6">
        <v>15343.0</v>
      </c>
      <c r="H2827" s="6">
        <v>2.7364</v>
      </c>
      <c r="I2827" s="6">
        <v>1.771</v>
      </c>
      <c r="J2827" s="6">
        <v>0.9654</v>
      </c>
    </row>
    <row r="2828">
      <c r="A2828" s="5" t="s">
        <v>59</v>
      </c>
      <c r="B2828" s="5" t="s">
        <v>163</v>
      </c>
      <c r="C2828" s="5" t="s">
        <v>1883</v>
      </c>
      <c r="D2828" s="6">
        <v>22.0</v>
      </c>
      <c r="E2828" s="6">
        <v>38000.0</v>
      </c>
      <c r="F2828" s="6">
        <v>23377.0</v>
      </c>
      <c r="G2828" s="6">
        <v>15343.0</v>
      </c>
      <c r="H2828" s="6">
        <v>2.4767</v>
      </c>
      <c r="I2828" s="6">
        <v>1.5236</v>
      </c>
      <c r="J2828" s="6">
        <v>0.9531</v>
      </c>
    </row>
    <row r="2829">
      <c r="A2829" s="5" t="s">
        <v>59</v>
      </c>
      <c r="B2829" s="5" t="s">
        <v>163</v>
      </c>
      <c r="C2829" s="5" t="s">
        <v>1883</v>
      </c>
      <c r="D2829" s="6">
        <v>23.0</v>
      </c>
      <c r="E2829" s="6">
        <v>36395.0</v>
      </c>
      <c r="F2829" s="6">
        <v>21941.0</v>
      </c>
      <c r="G2829" s="6">
        <v>15343.0</v>
      </c>
      <c r="H2829" s="6">
        <v>2.3721</v>
      </c>
      <c r="I2829" s="6">
        <v>1.43</v>
      </c>
      <c r="J2829" s="6">
        <v>0.9421</v>
      </c>
    </row>
    <row r="2830">
      <c r="A2830" s="5" t="s">
        <v>59</v>
      </c>
      <c r="B2830" s="5" t="s">
        <v>163</v>
      </c>
      <c r="C2830" s="5" t="s">
        <v>1883</v>
      </c>
      <c r="D2830" s="6">
        <v>24.0</v>
      </c>
      <c r="E2830" s="6">
        <v>19545.0</v>
      </c>
      <c r="F2830" s="6">
        <v>9537.0</v>
      </c>
      <c r="G2830" s="6">
        <v>15343.0</v>
      </c>
      <c r="H2830" s="6">
        <v>1.2739</v>
      </c>
      <c r="I2830" s="6">
        <v>0.6216</v>
      </c>
      <c r="J2830" s="6">
        <v>0.6523</v>
      </c>
    </row>
    <row r="2831">
      <c r="A2831" s="5" t="s">
        <v>59</v>
      </c>
      <c r="B2831" s="5" t="s">
        <v>163</v>
      </c>
      <c r="C2831" s="5" t="s">
        <v>1883</v>
      </c>
      <c r="D2831" s="6">
        <v>25.0</v>
      </c>
      <c r="E2831" s="6">
        <v>6720.0</v>
      </c>
      <c r="F2831" s="6">
        <v>3374.0</v>
      </c>
      <c r="G2831" s="6">
        <v>15343.0</v>
      </c>
      <c r="H2831" s="6">
        <v>0.438</v>
      </c>
      <c r="I2831" s="6">
        <v>0.2199</v>
      </c>
      <c r="J2831" s="6">
        <v>0.2181</v>
      </c>
    </row>
    <row r="2832">
      <c r="A2832" s="5" t="s">
        <v>59</v>
      </c>
      <c r="B2832" s="5" t="s">
        <v>163</v>
      </c>
      <c r="C2832" s="5" t="s">
        <v>1883</v>
      </c>
      <c r="D2832" s="6">
        <v>26.0</v>
      </c>
      <c r="E2832" s="6">
        <v>5780.0</v>
      </c>
      <c r="F2832" s="6">
        <v>2906.0</v>
      </c>
      <c r="G2832" s="6">
        <v>15343.0</v>
      </c>
      <c r="H2832" s="6">
        <v>0.3767</v>
      </c>
      <c r="I2832" s="6">
        <v>0.1894</v>
      </c>
      <c r="J2832" s="6">
        <v>0.1873</v>
      </c>
    </row>
    <row r="2833">
      <c r="A2833" s="5" t="s">
        <v>59</v>
      </c>
      <c r="B2833" s="5" t="s">
        <v>163</v>
      </c>
      <c r="C2833" s="5" t="s">
        <v>1883</v>
      </c>
      <c r="D2833" s="6">
        <v>27.0</v>
      </c>
      <c r="E2833" s="6">
        <v>8620.0</v>
      </c>
      <c r="F2833" s="6">
        <v>5298.0</v>
      </c>
      <c r="G2833" s="6">
        <v>15343.0</v>
      </c>
      <c r="H2833" s="6">
        <v>0.5618</v>
      </c>
      <c r="I2833" s="6">
        <v>0.3453</v>
      </c>
      <c r="J2833" s="6">
        <v>0.2165</v>
      </c>
    </row>
    <row r="2834">
      <c r="A2834" s="5" t="s">
        <v>59</v>
      </c>
      <c r="B2834" s="5" t="s">
        <v>163</v>
      </c>
      <c r="C2834" s="5" t="s">
        <v>1883</v>
      </c>
      <c r="D2834" s="6">
        <v>28.0</v>
      </c>
      <c r="E2834" s="6">
        <v>16760.0</v>
      </c>
      <c r="F2834" s="6">
        <v>10467.0</v>
      </c>
      <c r="G2834" s="6">
        <v>15343.0</v>
      </c>
      <c r="H2834" s="6">
        <v>1.0924</v>
      </c>
      <c r="I2834" s="6">
        <v>0.6822</v>
      </c>
      <c r="J2834" s="6">
        <v>0.4102</v>
      </c>
    </row>
    <row r="2835">
      <c r="A2835" s="5" t="s">
        <v>59</v>
      </c>
      <c r="B2835" s="5" t="s">
        <v>163</v>
      </c>
      <c r="C2835" s="5" t="s">
        <v>1883</v>
      </c>
      <c r="D2835" s="6">
        <v>29.0</v>
      </c>
      <c r="E2835" s="6">
        <v>20470.0</v>
      </c>
      <c r="F2835" s="6">
        <v>13553.0</v>
      </c>
      <c r="G2835" s="6">
        <v>15343.0</v>
      </c>
      <c r="H2835" s="6">
        <v>1.3342</v>
      </c>
      <c r="I2835" s="6">
        <v>0.8833</v>
      </c>
      <c r="J2835" s="6">
        <v>0.4508</v>
      </c>
    </row>
    <row r="2836">
      <c r="A2836" s="5" t="s">
        <v>59</v>
      </c>
      <c r="B2836" s="5" t="s">
        <v>163</v>
      </c>
      <c r="C2836" s="5" t="s">
        <v>1883</v>
      </c>
      <c r="D2836" s="6">
        <v>30.0</v>
      </c>
      <c r="E2836" s="6">
        <v>44570.0</v>
      </c>
      <c r="F2836" s="6">
        <v>29244.0</v>
      </c>
      <c r="G2836" s="6">
        <v>15343.0</v>
      </c>
      <c r="H2836" s="6">
        <v>2.9049</v>
      </c>
      <c r="I2836" s="6">
        <v>1.906</v>
      </c>
      <c r="J2836" s="6">
        <v>0.9989</v>
      </c>
    </row>
    <row r="2837">
      <c r="A2837" s="5" t="s">
        <v>59</v>
      </c>
      <c r="B2837" s="5" t="s">
        <v>163</v>
      </c>
      <c r="C2837" s="5" t="s">
        <v>1883</v>
      </c>
      <c r="D2837" s="6">
        <v>31.0</v>
      </c>
      <c r="E2837" s="6">
        <v>27230.0</v>
      </c>
      <c r="F2837" s="6">
        <v>16360.0</v>
      </c>
      <c r="G2837" s="6">
        <v>15343.0</v>
      </c>
      <c r="H2837" s="6">
        <v>1.7748</v>
      </c>
      <c r="I2837" s="6">
        <v>1.0663</v>
      </c>
      <c r="J2837" s="6">
        <v>0.7085</v>
      </c>
    </row>
    <row r="2838">
      <c r="A2838" s="5" t="s">
        <v>59</v>
      </c>
      <c r="B2838" s="5" t="s">
        <v>163</v>
      </c>
      <c r="C2838" s="5" t="s">
        <v>1883</v>
      </c>
      <c r="D2838" s="6">
        <v>32.0</v>
      </c>
      <c r="E2838" s="6">
        <v>17065.0</v>
      </c>
      <c r="F2838" s="6">
        <v>9997.0</v>
      </c>
      <c r="G2838" s="6">
        <v>15343.0</v>
      </c>
      <c r="H2838" s="6">
        <v>1.1122</v>
      </c>
      <c r="I2838" s="6">
        <v>0.6516</v>
      </c>
      <c r="J2838" s="6">
        <v>0.4607</v>
      </c>
    </row>
    <row r="2839">
      <c r="A2839" s="5" t="s">
        <v>59</v>
      </c>
      <c r="B2839" s="5" t="s">
        <v>163</v>
      </c>
      <c r="C2839" s="5" t="s">
        <v>1883</v>
      </c>
      <c r="D2839" s="6">
        <v>33.0</v>
      </c>
      <c r="E2839" s="6">
        <v>15290.0</v>
      </c>
      <c r="F2839" s="6">
        <v>8959.0</v>
      </c>
      <c r="G2839" s="6">
        <v>15343.0</v>
      </c>
      <c r="H2839" s="6">
        <v>0.9965</v>
      </c>
      <c r="I2839" s="6">
        <v>0.5839</v>
      </c>
      <c r="J2839" s="6">
        <v>0.4126</v>
      </c>
    </row>
    <row r="2840">
      <c r="A2840" s="5" t="s">
        <v>59</v>
      </c>
      <c r="B2840" s="5" t="s">
        <v>163</v>
      </c>
      <c r="C2840" s="5" t="s">
        <v>1884</v>
      </c>
      <c r="D2840" s="6">
        <v>1.0</v>
      </c>
      <c r="E2840" s="6">
        <v>29540.0</v>
      </c>
      <c r="F2840" s="6">
        <v>17175.0</v>
      </c>
      <c r="G2840" s="6">
        <v>21535.0</v>
      </c>
      <c r="H2840" s="6">
        <v>1.3717</v>
      </c>
      <c r="I2840" s="6">
        <v>0.7975</v>
      </c>
      <c r="J2840" s="6">
        <v>0.5742</v>
      </c>
    </row>
    <row r="2841">
      <c r="A2841" s="5" t="s">
        <v>59</v>
      </c>
      <c r="B2841" s="5" t="s">
        <v>163</v>
      </c>
      <c r="C2841" s="5" t="s">
        <v>1884</v>
      </c>
      <c r="D2841" s="6">
        <v>2.0</v>
      </c>
      <c r="E2841" s="6">
        <v>44545.0</v>
      </c>
      <c r="F2841" s="6">
        <v>27706.0</v>
      </c>
      <c r="G2841" s="6">
        <v>21535.0</v>
      </c>
      <c r="H2841" s="6">
        <v>2.0685</v>
      </c>
      <c r="I2841" s="6">
        <v>1.2866</v>
      </c>
      <c r="J2841" s="6">
        <v>0.7819</v>
      </c>
    </row>
    <row r="2842">
      <c r="A2842" s="5" t="s">
        <v>59</v>
      </c>
      <c r="B2842" s="5" t="s">
        <v>163</v>
      </c>
      <c r="C2842" s="5" t="s">
        <v>1884</v>
      </c>
      <c r="D2842" s="6">
        <v>3.0</v>
      </c>
      <c r="E2842" s="6">
        <v>40560.0</v>
      </c>
      <c r="F2842" s="6">
        <v>22342.0</v>
      </c>
      <c r="G2842" s="6">
        <v>21535.0</v>
      </c>
      <c r="H2842" s="6">
        <v>1.8834</v>
      </c>
      <c r="I2842" s="6">
        <v>1.0375</v>
      </c>
      <c r="J2842" s="6">
        <v>0.846</v>
      </c>
    </row>
    <row r="2843">
      <c r="A2843" s="5" t="s">
        <v>59</v>
      </c>
      <c r="B2843" s="5" t="s">
        <v>163</v>
      </c>
      <c r="C2843" s="5" t="s">
        <v>1884</v>
      </c>
      <c r="D2843" s="6">
        <v>4.0</v>
      </c>
      <c r="E2843" s="6">
        <v>46335.0</v>
      </c>
      <c r="F2843" s="6">
        <v>25365.0</v>
      </c>
      <c r="G2843" s="6">
        <v>21535.0</v>
      </c>
      <c r="H2843" s="6">
        <v>2.1516</v>
      </c>
      <c r="I2843" s="6">
        <v>1.1779</v>
      </c>
      <c r="J2843" s="6">
        <v>0.9738</v>
      </c>
    </row>
    <row r="2844">
      <c r="A2844" s="5" t="s">
        <v>59</v>
      </c>
      <c r="B2844" s="5" t="s">
        <v>163</v>
      </c>
      <c r="C2844" s="5" t="s">
        <v>1884</v>
      </c>
      <c r="D2844" s="6">
        <v>5.0</v>
      </c>
      <c r="E2844" s="6">
        <v>46460.0</v>
      </c>
      <c r="F2844" s="6">
        <v>25677.0</v>
      </c>
      <c r="G2844" s="6">
        <v>21535.0</v>
      </c>
      <c r="H2844" s="6">
        <v>2.1574</v>
      </c>
      <c r="I2844" s="6">
        <v>1.1923</v>
      </c>
      <c r="J2844" s="6">
        <v>0.9651</v>
      </c>
    </row>
    <row r="2845">
      <c r="A2845" s="5" t="s">
        <v>59</v>
      </c>
      <c r="B2845" s="5" t="s">
        <v>163</v>
      </c>
      <c r="C2845" s="5" t="s">
        <v>1884</v>
      </c>
      <c r="D2845" s="6">
        <v>6.0</v>
      </c>
      <c r="E2845" s="6">
        <v>84745.0</v>
      </c>
      <c r="F2845" s="6">
        <v>49690.0</v>
      </c>
      <c r="G2845" s="6">
        <v>21535.0</v>
      </c>
      <c r="H2845" s="6">
        <v>3.9352</v>
      </c>
      <c r="I2845" s="6">
        <v>2.3074</v>
      </c>
      <c r="J2845" s="6">
        <v>1.6278</v>
      </c>
    </row>
    <row r="2846">
      <c r="A2846" s="5" t="s">
        <v>59</v>
      </c>
      <c r="B2846" s="5" t="s">
        <v>163</v>
      </c>
      <c r="C2846" s="5" t="s">
        <v>1884</v>
      </c>
      <c r="D2846" s="6">
        <v>7.0</v>
      </c>
      <c r="E2846" s="6">
        <v>58695.0</v>
      </c>
      <c r="F2846" s="6">
        <v>33479.0</v>
      </c>
      <c r="G2846" s="6">
        <v>21535.0</v>
      </c>
      <c r="H2846" s="6">
        <v>2.7256</v>
      </c>
      <c r="I2846" s="6">
        <v>1.5546</v>
      </c>
      <c r="J2846" s="6">
        <v>1.1709</v>
      </c>
    </row>
    <row r="2847">
      <c r="A2847" s="5" t="s">
        <v>59</v>
      </c>
      <c r="B2847" s="5" t="s">
        <v>163</v>
      </c>
      <c r="C2847" s="5" t="s">
        <v>1884</v>
      </c>
      <c r="D2847" s="6">
        <v>8.0</v>
      </c>
      <c r="E2847" s="6">
        <v>58020.0</v>
      </c>
      <c r="F2847" s="6">
        <v>32149.0</v>
      </c>
      <c r="G2847" s="6">
        <v>21535.0</v>
      </c>
      <c r="H2847" s="6">
        <v>2.6942</v>
      </c>
      <c r="I2847" s="6">
        <v>1.4929</v>
      </c>
      <c r="J2847" s="6">
        <v>1.2013</v>
      </c>
    </row>
    <row r="2848">
      <c r="A2848" s="5" t="s">
        <v>59</v>
      </c>
      <c r="B2848" s="5" t="s">
        <v>163</v>
      </c>
      <c r="C2848" s="5" t="s">
        <v>1884</v>
      </c>
      <c r="D2848" s="6">
        <v>9.0</v>
      </c>
      <c r="E2848" s="6">
        <v>38695.0</v>
      </c>
      <c r="F2848" s="6">
        <v>21414.0</v>
      </c>
      <c r="G2848" s="6">
        <v>21535.0</v>
      </c>
      <c r="H2848" s="6">
        <v>1.7968</v>
      </c>
      <c r="I2848" s="6">
        <v>0.9944</v>
      </c>
      <c r="J2848" s="6">
        <v>0.8025</v>
      </c>
    </row>
    <row r="2849">
      <c r="A2849" s="5" t="s">
        <v>59</v>
      </c>
      <c r="B2849" s="5" t="s">
        <v>163</v>
      </c>
      <c r="C2849" s="5" t="s">
        <v>1884</v>
      </c>
      <c r="D2849" s="6">
        <v>10.0</v>
      </c>
      <c r="E2849" s="6">
        <v>38115.0</v>
      </c>
      <c r="F2849" s="6">
        <v>17959.0</v>
      </c>
      <c r="G2849" s="6">
        <v>21535.0</v>
      </c>
      <c r="H2849" s="6">
        <v>1.7699</v>
      </c>
      <c r="I2849" s="6">
        <v>0.8339</v>
      </c>
      <c r="J2849" s="6">
        <v>0.936</v>
      </c>
    </row>
    <row r="2850">
      <c r="A2850" s="5" t="s">
        <v>59</v>
      </c>
      <c r="B2850" s="5" t="s">
        <v>163</v>
      </c>
      <c r="C2850" s="5" t="s">
        <v>1884</v>
      </c>
      <c r="D2850" s="6">
        <v>11.0</v>
      </c>
      <c r="E2850" s="6">
        <v>32340.0</v>
      </c>
      <c r="F2850" s="6">
        <v>17125.0</v>
      </c>
      <c r="G2850" s="6">
        <v>21535.0</v>
      </c>
      <c r="H2850" s="6">
        <v>1.5017</v>
      </c>
      <c r="I2850" s="6">
        <v>0.7952</v>
      </c>
      <c r="J2850" s="6">
        <v>0.7065</v>
      </c>
    </row>
    <row r="2851">
      <c r="A2851" s="5" t="s">
        <v>59</v>
      </c>
      <c r="B2851" s="5" t="s">
        <v>163</v>
      </c>
      <c r="C2851" s="5" t="s">
        <v>1884</v>
      </c>
      <c r="D2851" s="6">
        <v>12.0</v>
      </c>
      <c r="E2851" s="6">
        <v>33640.0</v>
      </c>
      <c r="F2851" s="6">
        <v>17846.0</v>
      </c>
      <c r="G2851" s="6">
        <v>21535.0</v>
      </c>
      <c r="H2851" s="6">
        <v>1.5621</v>
      </c>
      <c r="I2851" s="6">
        <v>0.8287</v>
      </c>
      <c r="J2851" s="6">
        <v>0.7334</v>
      </c>
    </row>
    <row r="2852">
      <c r="A2852" s="5" t="s">
        <v>59</v>
      </c>
      <c r="B2852" s="5" t="s">
        <v>163</v>
      </c>
      <c r="C2852" s="5" t="s">
        <v>1884</v>
      </c>
      <c r="D2852" s="6">
        <v>13.0</v>
      </c>
      <c r="E2852" s="6">
        <v>70580.0</v>
      </c>
      <c r="F2852" s="6">
        <v>40853.0</v>
      </c>
      <c r="G2852" s="6">
        <v>21535.0</v>
      </c>
      <c r="H2852" s="6">
        <v>3.2775</v>
      </c>
      <c r="I2852" s="6">
        <v>1.8971</v>
      </c>
      <c r="J2852" s="6">
        <v>1.3804</v>
      </c>
    </row>
    <row r="2853">
      <c r="A2853" s="5" t="s">
        <v>59</v>
      </c>
      <c r="B2853" s="5" t="s">
        <v>163</v>
      </c>
      <c r="C2853" s="5" t="s">
        <v>1884</v>
      </c>
      <c r="D2853" s="6">
        <v>14.0</v>
      </c>
      <c r="E2853" s="6">
        <v>45025.0</v>
      </c>
      <c r="F2853" s="6">
        <v>25652.0</v>
      </c>
      <c r="G2853" s="6">
        <v>21535.0</v>
      </c>
      <c r="H2853" s="6">
        <v>2.0908</v>
      </c>
      <c r="I2853" s="6">
        <v>1.1912</v>
      </c>
      <c r="J2853" s="6">
        <v>0.8996</v>
      </c>
    </row>
    <row r="2854">
      <c r="A2854" s="5" t="s">
        <v>59</v>
      </c>
      <c r="B2854" s="5" t="s">
        <v>163</v>
      </c>
      <c r="C2854" s="5" t="s">
        <v>1884</v>
      </c>
      <c r="D2854" s="6">
        <v>15.0</v>
      </c>
      <c r="E2854" s="6">
        <v>41970.0</v>
      </c>
      <c r="F2854" s="6">
        <v>22988.0</v>
      </c>
      <c r="G2854" s="6">
        <v>21535.0</v>
      </c>
      <c r="H2854" s="6">
        <v>1.9489</v>
      </c>
      <c r="I2854" s="6">
        <v>1.0675</v>
      </c>
      <c r="J2854" s="6">
        <v>0.8814</v>
      </c>
    </row>
    <row r="2855">
      <c r="A2855" s="5" t="s">
        <v>59</v>
      </c>
      <c r="B2855" s="5" t="s">
        <v>163</v>
      </c>
      <c r="C2855" s="5" t="s">
        <v>1884</v>
      </c>
      <c r="D2855" s="6">
        <v>16.0</v>
      </c>
      <c r="E2855" s="6">
        <v>59275.0</v>
      </c>
      <c r="F2855" s="6">
        <v>33952.0</v>
      </c>
      <c r="G2855" s="6">
        <v>21535.0</v>
      </c>
      <c r="H2855" s="6">
        <v>2.7525</v>
      </c>
      <c r="I2855" s="6">
        <v>1.5766</v>
      </c>
      <c r="J2855" s="6">
        <v>1.1759</v>
      </c>
    </row>
    <row r="2856">
      <c r="A2856" s="5" t="s">
        <v>59</v>
      </c>
      <c r="B2856" s="5" t="s">
        <v>163</v>
      </c>
      <c r="C2856" s="5" t="s">
        <v>1884</v>
      </c>
      <c r="D2856" s="6">
        <v>17.0</v>
      </c>
      <c r="E2856" s="6">
        <v>48615.0</v>
      </c>
      <c r="F2856" s="6">
        <v>26896.0</v>
      </c>
      <c r="G2856" s="6">
        <v>21535.0</v>
      </c>
      <c r="H2856" s="6">
        <v>2.2575</v>
      </c>
      <c r="I2856" s="6">
        <v>1.2489</v>
      </c>
      <c r="J2856" s="6">
        <v>1.0085</v>
      </c>
    </row>
    <row r="2857">
      <c r="A2857" s="5" t="s">
        <v>59</v>
      </c>
      <c r="B2857" s="5" t="s">
        <v>163</v>
      </c>
      <c r="C2857" s="5" t="s">
        <v>1884</v>
      </c>
      <c r="D2857" s="6">
        <v>18.0</v>
      </c>
      <c r="E2857" s="6">
        <v>50475.0</v>
      </c>
      <c r="F2857" s="6">
        <v>27700.0</v>
      </c>
      <c r="G2857" s="6">
        <v>21535.0</v>
      </c>
      <c r="H2857" s="6">
        <v>2.3439</v>
      </c>
      <c r="I2857" s="6">
        <v>1.2863</v>
      </c>
      <c r="J2857" s="6">
        <v>1.0576</v>
      </c>
    </row>
    <row r="2858">
      <c r="A2858" s="5" t="s">
        <v>59</v>
      </c>
      <c r="B2858" s="5" t="s">
        <v>163</v>
      </c>
      <c r="C2858" s="5" t="s">
        <v>1884</v>
      </c>
      <c r="D2858" s="6">
        <v>19.0</v>
      </c>
      <c r="E2858" s="6">
        <v>49420.0</v>
      </c>
      <c r="F2858" s="6">
        <v>27349.0</v>
      </c>
      <c r="G2858" s="6">
        <v>21535.0</v>
      </c>
      <c r="H2858" s="6">
        <v>2.2949</v>
      </c>
      <c r="I2858" s="6">
        <v>1.27</v>
      </c>
      <c r="J2858" s="6">
        <v>1.0249</v>
      </c>
    </row>
    <row r="2859">
      <c r="A2859" s="5" t="s">
        <v>59</v>
      </c>
      <c r="B2859" s="5" t="s">
        <v>163</v>
      </c>
      <c r="C2859" s="5" t="s">
        <v>1884</v>
      </c>
      <c r="D2859" s="6">
        <v>20.0</v>
      </c>
      <c r="E2859" s="6">
        <v>92105.0</v>
      </c>
      <c r="F2859" s="6">
        <v>53704.0</v>
      </c>
      <c r="G2859" s="6">
        <v>21535.0</v>
      </c>
      <c r="H2859" s="6">
        <v>4.277</v>
      </c>
      <c r="I2859" s="6">
        <v>2.4938</v>
      </c>
      <c r="J2859" s="6">
        <v>1.7832</v>
      </c>
    </row>
    <row r="2860">
      <c r="A2860" s="5" t="s">
        <v>59</v>
      </c>
      <c r="B2860" s="5" t="s">
        <v>163</v>
      </c>
      <c r="C2860" s="5" t="s">
        <v>1884</v>
      </c>
      <c r="D2860" s="6">
        <v>21.0</v>
      </c>
      <c r="E2860" s="6">
        <v>160040.0</v>
      </c>
      <c r="F2860" s="6">
        <v>81298.0</v>
      </c>
      <c r="G2860" s="6">
        <v>21535.0</v>
      </c>
      <c r="H2860" s="6">
        <v>7.4316</v>
      </c>
      <c r="I2860" s="6">
        <v>3.7752</v>
      </c>
      <c r="J2860" s="6">
        <v>3.6565</v>
      </c>
    </row>
    <row r="2861">
      <c r="A2861" s="5" t="s">
        <v>59</v>
      </c>
      <c r="B2861" s="5" t="s">
        <v>163</v>
      </c>
      <c r="C2861" s="5" t="s">
        <v>1884</v>
      </c>
      <c r="D2861" s="6">
        <v>22.0</v>
      </c>
      <c r="E2861" s="6">
        <v>95625.0</v>
      </c>
      <c r="F2861" s="6">
        <v>51912.0</v>
      </c>
      <c r="G2861" s="6">
        <v>21535.0</v>
      </c>
      <c r="H2861" s="6">
        <v>4.4404</v>
      </c>
      <c r="I2861" s="6">
        <v>2.4106</v>
      </c>
      <c r="J2861" s="6">
        <v>2.0299</v>
      </c>
    </row>
    <row r="2862">
      <c r="A2862" s="5" t="s">
        <v>59</v>
      </c>
      <c r="B2862" s="5" t="s">
        <v>163</v>
      </c>
      <c r="C2862" s="5" t="s">
        <v>1884</v>
      </c>
      <c r="D2862" s="6">
        <v>23.0</v>
      </c>
      <c r="E2862" s="6">
        <v>59485.0</v>
      </c>
      <c r="F2862" s="6">
        <v>31917.0</v>
      </c>
      <c r="G2862" s="6">
        <v>21535.0</v>
      </c>
      <c r="H2862" s="6">
        <v>2.7622</v>
      </c>
      <c r="I2862" s="6">
        <v>1.4821</v>
      </c>
      <c r="J2862" s="6">
        <v>1.2801</v>
      </c>
    </row>
    <row r="2863">
      <c r="A2863" s="5" t="s">
        <v>59</v>
      </c>
      <c r="B2863" s="5" t="s">
        <v>163</v>
      </c>
      <c r="C2863" s="5" t="s">
        <v>1884</v>
      </c>
      <c r="D2863" s="6">
        <v>24.0</v>
      </c>
      <c r="E2863" s="6">
        <v>57955.0</v>
      </c>
      <c r="F2863" s="6">
        <v>26912.0</v>
      </c>
      <c r="G2863" s="6">
        <v>21535.0</v>
      </c>
      <c r="H2863" s="6">
        <v>2.6912</v>
      </c>
      <c r="I2863" s="6">
        <v>1.2497</v>
      </c>
      <c r="J2863" s="6">
        <v>1.4415</v>
      </c>
    </row>
    <row r="2864">
      <c r="A2864" s="5" t="s">
        <v>59</v>
      </c>
      <c r="B2864" s="5" t="s">
        <v>163</v>
      </c>
      <c r="C2864" s="5" t="s">
        <v>1884</v>
      </c>
      <c r="D2864" s="6">
        <v>25.0</v>
      </c>
      <c r="E2864" s="6">
        <v>48420.0</v>
      </c>
      <c r="F2864" s="6">
        <v>24938.0</v>
      </c>
      <c r="G2864" s="6">
        <v>21535.0</v>
      </c>
      <c r="H2864" s="6">
        <v>2.2484</v>
      </c>
      <c r="I2864" s="6">
        <v>1.158</v>
      </c>
      <c r="J2864" s="6">
        <v>1.0904</v>
      </c>
    </row>
    <row r="2865">
      <c r="A2865" s="5" t="s">
        <v>59</v>
      </c>
      <c r="B2865" s="5" t="s">
        <v>163</v>
      </c>
      <c r="C2865" s="5" t="s">
        <v>1884</v>
      </c>
      <c r="D2865" s="6">
        <v>26.0</v>
      </c>
      <c r="E2865" s="6">
        <v>42120.0</v>
      </c>
      <c r="F2865" s="6">
        <v>22460.0</v>
      </c>
      <c r="G2865" s="6">
        <v>21535.0</v>
      </c>
      <c r="H2865" s="6">
        <v>1.9559</v>
      </c>
      <c r="I2865" s="6">
        <v>1.043</v>
      </c>
      <c r="J2865" s="6">
        <v>0.9129</v>
      </c>
    </row>
    <row r="2866">
      <c r="A2866" s="5" t="s">
        <v>59</v>
      </c>
      <c r="B2866" s="5" t="s">
        <v>163</v>
      </c>
      <c r="C2866" s="5" t="s">
        <v>1884</v>
      </c>
      <c r="D2866" s="6">
        <v>27.0</v>
      </c>
      <c r="E2866" s="6">
        <v>44975.0</v>
      </c>
      <c r="F2866" s="6">
        <v>24079.0</v>
      </c>
      <c r="G2866" s="6">
        <v>21535.0</v>
      </c>
      <c r="H2866" s="6">
        <v>2.0885</v>
      </c>
      <c r="I2866" s="6">
        <v>1.1181</v>
      </c>
      <c r="J2866" s="6">
        <v>0.9703</v>
      </c>
    </row>
    <row r="2867">
      <c r="A2867" s="5" t="s">
        <v>59</v>
      </c>
      <c r="B2867" s="5" t="s">
        <v>163</v>
      </c>
      <c r="C2867" s="5" t="s">
        <v>1884</v>
      </c>
      <c r="D2867" s="6">
        <v>28.0</v>
      </c>
      <c r="E2867" s="6">
        <v>42715.0</v>
      </c>
      <c r="F2867" s="6">
        <v>22508.0</v>
      </c>
      <c r="G2867" s="6">
        <v>21535.0</v>
      </c>
      <c r="H2867" s="6">
        <v>1.9835</v>
      </c>
      <c r="I2867" s="6">
        <v>1.0452</v>
      </c>
      <c r="J2867" s="6">
        <v>0.9383</v>
      </c>
    </row>
    <row r="2868">
      <c r="A2868" s="5" t="s">
        <v>59</v>
      </c>
      <c r="B2868" s="5" t="s">
        <v>163</v>
      </c>
      <c r="C2868" s="5" t="s">
        <v>1884</v>
      </c>
      <c r="D2868" s="6">
        <v>29.0</v>
      </c>
      <c r="E2868" s="6">
        <v>36755.0</v>
      </c>
      <c r="F2868" s="6">
        <v>20199.0</v>
      </c>
      <c r="G2868" s="6">
        <v>21535.0</v>
      </c>
      <c r="H2868" s="6">
        <v>1.7068</v>
      </c>
      <c r="I2868" s="6">
        <v>0.938</v>
      </c>
      <c r="J2868" s="6">
        <v>0.7688</v>
      </c>
    </row>
    <row r="2869">
      <c r="A2869" s="5" t="s">
        <v>59</v>
      </c>
      <c r="B2869" s="5" t="s">
        <v>163</v>
      </c>
      <c r="C2869" s="5" t="s">
        <v>1884</v>
      </c>
      <c r="D2869" s="6">
        <v>30.0</v>
      </c>
      <c r="E2869" s="6">
        <v>57450.0</v>
      </c>
      <c r="F2869" s="6">
        <v>33644.0</v>
      </c>
      <c r="G2869" s="6">
        <v>21535.0</v>
      </c>
      <c r="H2869" s="6">
        <v>2.6678</v>
      </c>
      <c r="I2869" s="6">
        <v>1.5623</v>
      </c>
      <c r="J2869" s="6">
        <v>1.1055</v>
      </c>
    </row>
    <row r="2870">
      <c r="A2870" s="5" t="s">
        <v>59</v>
      </c>
      <c r="B2870" s="5" t="s">
        <v>163</v>
      </c>
      <c r="C2870" s="5" t="s">
        <v>1884</v>
      </c>
      <c r="D2870" s="6">
        <v>31.0</v>
      </c>
      <c r="E2870" s="6">
        <v>49485.0</v>
      </c>
      <c r="F2870" s="6">
        <v>26465.0</v>
      </c>
      <c r="G2870" s="6">
        <v>21535.0</v>
      </c>
      <c r="H2870" s="6">
        <v>2.2979</v>
      </c>
      <c r="I2870" s="6">
        <v>1.2289</v>
      </c>
      <c r="J2870" s="6">
        <v>1.069</v>
      </c>
    </row>
    <row r="2871">
      <c r="A2871" s="5" t="s">
        <v>59</v>
      </c>
      <c r="B2871" s="5" t="s">
        <v>163</v>
      </c>
      <c r="C2871" s="5" t="s">
        <v>1884</v>
      </c>
      <c r="D2871" s="6">
        <v>32.0</v>
      </c>
      <c r="E2871" s="6">
        <v>54975.0</v>
      </c>
      <c r="F2871" s="6">
        <v>29411.0</v>
      </c>
      <c r="G2871" s="6">
        <v>21535.0</v>
      </c>
      <c r="H2871" s="6">
        <v>2.5528</v>
      </c>
      <c r="I2871" s="6">
        <v>1.3657</v>
      </c>
      <c r="J2871" s="6">
        <v>1.1871</v>
      </c>
    </row>
    <row r="2872">
      <c r="A2872" s="5" t="s">
        <v>59</v>
      </c>
      <c r="B2872" s="5" t="s">
        <v>163</v>
      </c>
      <c r="C2872" s="5" t="s">
        <v>1884</v>
      </c>
      <c r="D2872" s="6">
        <v>33.0</v>
      </c>
      <c r="E2872" s="6">
        <v>60460.0</v>
      </c>
      <c r="F2872" s="6">
        <v>32020.0</v>
      </c>
      <c r="G2872" s="6">
        <v>21535.0</v>
      </c>
      <c r="H2872" s="6">
        <v>2.8075</v>
      </c>
      <c r="I2872" s="6">
        <v>1.4869</v>
      </c>
      <c r="J2872" s="6">
        <v>1.3206</v>
      </c>
    </row>
    <row r="2873">
      <c r="A2873" s="5" t="s">
        <v>59</v>
      </c>
      <c r="B2873" s="5" t="s">
        <v>163</v>
      </c>
      <c r="C2873" s="5" t="s">
        <v>1885</v>
      </c>
      <c r="D2873" s="6">
        <v>1.0</v>
      </c>
      <c r="E2873" s="6">
        <v>38605.0</v>
      </c>
      <c r="F2873" s="6">
        <v>19132.0</v>
      </c>
      <c r="G2873" s="6">
        <v>22956.0</v>
      </c>
      <c r="H2873" s="6">
        <v>1.6817</v>
      </c>
      <c r="I2873" s="6">
        <v>0.8334</v>
      </c>
      <c r="J2873" s="6">
        <v>0.8483</v>
      </c>
    </row>
    <row r="2874">
      <c r="A2874" s="5" t="s">
        <v>59</v>
      </c>
      <c r="B2874" s="5" t="s">
        <v>163</v>
      </c>
      <c r="C2874" s="5" t="s">
        <v>1885</v>
      </c>
      <c r="D2874" s="6">
        <v>2.0</v>
      </c>
      <c r="E2874" s="6">
        <v>50220.0</v>
      </c>
      <c r="F2874" s="6">
        <v>26884.0</v>
      </c>
      <c r="G2874" s="6">
        <v>22956.0</v>
      </c>
      <c r="H2874" s="6">
        <v>2.1877</v>
      </c>
      <c r="I2874" s="6">
        <v>1.1711</v>
      </c>
      <c r="J2874" s="6">
        <v>1.0166</v>
      </c>
    </row>
    <row r="2875">
      <c r="A2875" s="5" t="s">
        <v>59</v>
      </c>
      <c r="B2875" s="5" t="s">
        <v>163</v>
      </c>
      <c r="C2875" s="5" t="s">
        <v>1885</v>
      </c>
      <c r="D2875" s="6">
        <v>3.0</v>
      </c>
      <c r="E2875" s="6">
        <v>52840.0</v>
      </c>
      <c r="F2875" s="6">
        <v>26295.0</v>
      </c>
      <c r="G2875" s="6">
        <v>22956.0</v>
      </c>
      <c r="H2875" s="6">
        <v>2.3018</v>
      </c>
      <c r="I2875" s="6">
        <v>1.1455</v>
      </c>
      <c r="J2875" s="6">
        <v>1.1563</v>
      </c>
    </row>
    <row r="2876">
      <c r="A2876" s="5" t="s">
        <v>59</v>
      </c>
      <c r="B2876" s="5" t="s">
        <v>163</v>
      </c>
      <c r="C2876" s="5" t="s">
        <v>1885</v>
      </c>
      <c r="D2876" s="6">
        <v>4.0</v>
      </c>
      <c r="E2876" s="6">
        <v>60470.0</v>
      </c>
      <c r="F2876" s="6">
        <v>30182.0</v>
      </c>
      <c r="G2876" s="6">
        <v>22956.0</v>
      </c>
      <c r="H2876" s="6">
        <v>2.6342</v>
      </c>
      <c r="I2876" s="6">
        <v>1.3148</v>
      </c>
      <c r="J2876" s="6">
        <v>1.3194</v>
      </c>
    </row>
    <row r="2877">
      <c r="A2877" s="5" t="s">
        <v>59</v>
      </c>
      <c r="B2877" s="5" t="s">
        <v>163</v>
      </c>
      <c r="C2877" s="5" t="s">
        <v>1885</v>
      </c>
      <c r="D2877" s="6">
        <v>5.0</v>
      </c>
      <c r="E2877" s="6">
        <v>57090.0</v>
      </c>
      <c r="F2877" s="6">
        <v>28604.0</v>
      </c>
      <c r="G2877" s="6">
        <v>22956.0</v>
      </c>
      <c r="H2877" s="6">
        <v>2.4869</v>
      </c>
      <c r="I2877" s="6">
        <v>1.246</v>
      </c>
      <c r="J2877" s="6">
        <v>1.2409</v>
      </c>
    </row>
    <row r="2878">
      <c r="A2878" s="5" t="s">
        <v>59</v>
      </c>
      <c r="B2878" s="5" t="s">
        <v>163</v>
      </c>
      <c r="C2878" s="5" t="s">
        <v>1885</v>
      </c>
      <c r="D2878" s="6">
        <v>6.0</v>
      </c>
      <c r="E2878" s="6">
        <v>125760.0</v>
      </c>
      <c r="F2878" s="6">
        <v>65599.0</v>
      </c>
      <c r="G2878" s="6">
        <v>22956.0</v>
      </c>
      <c r="H2878" s="6">
        <v>5.4783</v>
      </c>
      <c r="I2878" s="6">
        <v>2.8576</v>
      </c>
      <c r="J2878" s="6">
        <v>2.6207</v>
      </c>
    </row>
    <row r="2879">
      <c r="A2879" s="5" t="s">
        <v>59</v>
      </c>
      <c r="B2879" s="5" t="s">
        <v>163</v>
      </c>
      <c r="C2879" s="5" t="s">
        <v>1885</v>
      </c>
      <c r="D2879" s="6">
        <v>7.0</v>
      </c>
      <c r="E2879" s="6">
        <v>88195.0</v>
      </c>
      <c r="F2879" s="6">
        <v>44156.0</v>
      </c>
      <c r="G2879" s="6">
        <v>22956.0</v>
      </c>
      <c r="H2879" s="6">
        <v>3.8419</v>
      </c>
      <c r="I2879" s="6">
        <v>1.9235</v>
      </c>
      <c r="J2879" s="6">
        <v>1.9184</v>
      </c>
    </row>
    <row r="2880">
      <c r="A2880" s="5" t="s">
        <v>59</v>
      </c>
      <c r="B2880" s="5" t="s">
        <v>163</v>
      </c>
      <c r="C2880" s="5" t="s">
        <v>1885</v>
      </c>
      <c r="D2880" s="6">
        <v>8.0</v>
      </c>
      <c r="E2880" s="6">
        <v>77070.0</v>
      </c>
      <c r="F2880" s="6">
        <v>37865.0</v>
      </c>
      <c r="G2880" s="6">
        <v>22956.0</v>
      </c>
      <c r="H2880" s="6">
        <v>3.3573</v>
      </c>
      <c r="I2880" s="6">
        <v>1.6495</v>
      </c>
      <c r="J2880" s="6">
        <v>1.7078</v>
      </c>
    </row>
    <row r="2881">
      <c r="A2881" s="5" t="s">
        <v>59</v>
      </c>
      <c r="B2881" s="5" t="s">
        <v>163</v>
      </c>
      <c r="C2881" s="5" t="s">
        <v>1885</v>
      </c>
      <c r="D2881" s="6">
        <v>9.0</v>
      </c>
      <c r="E2881" s="6">
        <v>46170.0</v>
      </c>
      <c r="F2881" s="6">
        <v>23274.0</v>
      </c>
      <c r="G2881" s="6">
        <v>22956.0</v>
      </c>
      <c r="H2881" s="6">
        <v>2.0112</v>
      </c>
      <c r="I2881" s="6">
        <v>1.0139</v>
      </c>
      <c r="J2881" s="6">
        <v>0.9974</v>
      </c>
    </row>
    <row r="2882">
      <c r="A2882" s="5" t="s">
        <v>59</v>
      </c>
      <c r="B2882" s="5" t="s">
        <v>163</v>
      </c>
      <c r="C2882" s="5" t="s">
        <v>1885</v>
      </c>
      <c r="D2882" s="6">
        <v>10.0</v>
      </c>
      <c r="E2882" s="6">
        <v>54770.0</v>
      </c>
      <c r="F2882" s="6">
        <v>25686.0</v>
      </c>
      <c r="G2882" s="6">
        <v>22956.0</v>
      </c>
      <c r="H2882" s="6">
        <v>2.3859</v>
      </c>
      <c r="I2882" s="6">
        <v>1.1189</v>
      </c>
      <c r="J2882" s="6">
        <v>1.2669</v>
      </c>
    </row>
    <row r="2883">
      <c r="A2883" s="5" t="s">
        <v>59</v>
      </c>
      <c r="B2883" s="5" t="s">
        <v>163</v>
      </c>
      <c r="C2883" s="5" t="s">
        <v>1885</v>
      </c>
      <c r="D2883" s="6">
        <v>11.0</v>
      </c>
      <c r="E2883" s="6">
        <v>46415.0</v>
      </c>
      <c r="F2883" s="6">
        <v>22861.0</v>
      </c>
      <c r="G2883" s="6">
        <v>22956.0</v>
      </c>
      <c r="H2883" s="6">
        <v>2.0219</v>
      </c>
      <c r="I2883" s="6">
        <v>0.9959</v>
      </c>
      <c r="J2883" s="6">
        <v>1.026</v>
      </c>
    </row>
    <row r="2884">
      <c r="A2884" s="5" t="s">
        <v>59</v>
      </c>
      <c r="B2884" s="5" t="s">
        <v>163</v>
      </c>
      <c r="C2884" s="5" t="s">
        <v>1885</v>
      </c>
      <c r="D2884" s="6">
        <v>12.0</v>
      </c>
      <c r="E2884" s="6">
        <v>40920.0</v>
      </c>
      <c r="F2884" s="6">
        <v>21141.0</v>
      </c>
      <c r="G2884" s="6">
        <v>22956.0</v>
      </c>
      <c r="H2884" s="6">
        <v>1.7825</v>
      </c>
      <c r="I2884" s="6">
        <v>0.9209</v>
      </c>
      <c r="J2884" s="6">
        <v>0.8616</v>
      </c>
    </row>
    <row r="2885">
      <c r="A2885" s="5" t="s">
        <v>59</v>
      </c>
      <c r="B2885" s="5" t="s">
        <v>163</v>
      </c>
      <c r="C2885" s="5" t="s">
        <v>1885</v>
      </c>
      <c r="D2885" s="6">
        <v>13.0</v>
      </c>
      <c r="E2885" s="6">
        <v>92500.0</v>
      </c>
      <c r="F2885" s="6">
        <v>50390.0</v>
      </c>
      <c r="G2885" s="6">
        <v>22956.0</v>
      </c>
      <c r="H2885" s="6">
        <v>4.0294</v>
      </c>
      <c r="I2885" s="6">
        <v>2.1951</v>
      </c>
      <c r="J2885" s="6">
        <v>1.8344</v>
      </c>
    </row>
    <row r="2886">
      <c r="A2886" s="5" t="s">
        <v>59</v>
      </c>
      <c r="B2886" s="5" t="s">
        <v>163</v>
      </c>
      <c r="C2886" s="5" t="s">
        <v>1885</v>
      </c>
      <c r="D2886" s="6">
        <v>14.0</v>
      </c>
      <c r="E2886" s="6">
        <v>65145.0</v>
      </c>
      <c r="F2886" s="6">
        <v>34443.0</v>
      </c>
      <c r="G2886" s="6">
        <v>22956.0</v>
      </c>
      <c r="H2886" s="6">
        <v>2.8378</v>
      </c>
      <c r="I2886" s="6">
        <v>1.5004</v>
      </c>
      <c r="J2886" s="6">
        <v>1.3374</v>
      </c>
    </row>
    <row r="2887">
      <c r="A2887" s="5" t="s">
        <v>59</v>
      </c>
      <c r="B2887" s="5" t="s">
        <v>163</v>
      </c>
      <c r="C2887" s="5" t="s">
        <v>1885</v>
      </c>
      <c r="D2887" s="6">
        <v>15.0</v>
      </c>
      <c r="E2887" s="6">
        <v>51915.0</v>
      </c>
      <c r="F2887" s="6">
        <v>27029.0</v>
      </c>
      <c r="G2887" s="6">
        <v>22956.0</v>
      </c>
      <c r="H2887" s="6">
        <v>2.2615</v>
      </c>
      <c r="I2887" s="6">
        <v>1.1774</v>
      </c>
      <c r="J2887" s="6">
        <v>1.0841</v>
      </c>
    </row>
    <row r="2888">
      <c r="A2888" s="5" t="s">
        <v>59</v>
      </c>
      <c r="B2888" s="5" t="s">
        <v>163</v>
      </c>
      <c r="C2888" s="5" t="s">
        <v>1885</v>
      </c>
      <c r="D2888" s="6">
        <v>16.0</v>
      </c>
      <c r="E2888" s="6">
        <v>62485.0</v>
      </c>
      <c r="F2888" s="6">
        <v>32991.0</v>
      </c>
      <c r="G2888" s="6">
        <v>22956.0</v>
      </c>
      <c r="H2888" s="6">
        <v>2.7219</v>
      </c>
      <c r="I2888" s="6">
        <v>1.4371</v>
      </c>
      <c r="J2888" s="6">
        <v>1.2848</v>
      </c>
    </row>
    <row r="2889">
      <c r="A2889" s="5" t="s">
        <v>59</v>
      </c>
      <c r="B2889" s="5" t="s">
        <v>163</v>
      </c>
      <c r="C2889" s="5" t="s">
        <v>1885</v>
      </c>
      <c r="D2889" s="6">
        <v>17.0</v>
      </c>
      <c r="E2889" s="6">
        <v>66080.0</v>
      </c>
      <c r="F2889" s="6">
        <v>33585.0</v>
      </c>
      <c r="G2889" s="6">
        <v>22956.0</v>
      </c>
      <c r="H2889" s="6">
        <v>2.8786</v>
      </c>
      <c r="I2889" s="6">
        <v>1.463</v>
      </c>
      <c r="J2889" s="6">
        <v>1.4155</v>
      </c>
    </row>
    <row r="2890">
      <c r="A2890" s="5" t="s">
        <v>59</v>
      </c>
      <c r="B2890" s="5" t="s">
        <v>163</v>
      </c>
      <c r="C2890" s="5" t="s">
        <v>1885</v>
      </c>
      <c r="D2890" s="6">
        <v>18.0</v>
      </c>
      <c r="E2890" s="6">
        <v>67845.0</v>
      </c>
      <c r="F2890" s="6">
        <v>34325.0</v>
      </c>
      <c r="G2890" s="6">
        <v>22956.0</v>
      </c>
      <c r="H2890" s="6">
        <v>2.9554</v>
      </c>
      <c r="I2890" s="6">
        <v>1.4953</v>
      </c>
      <c r="J2890" s="6">
        <v>1.4602</v>
      </c>
    </row>
    <row r="2891">
      <c r="A2891" s="5" t="s">
        <v>59</v>
      </c>
      <c r="B2891" s="5" t="s">
        <v>163</v>
      </c>
      <c r="C2891" s="5" t="s">
        <v>1885</v>
      </c>
      <c r="D2891" s="6">
        <v>19.0</v>
      </c>
      <c r="E2891" s="6">
        <v>62840.0</v>
      </c>
      <c r="F2891" s="6">
        <v>31472.0</v>
      </c>
      <c r="G2891" s="6">
        <v>22956.0</v>
      </c>
      <c r="H2891" s="6">
        <v>2.7374</v>
      </c>
      <c r="I2891" s="6">
        <v>1.371</v>
      </c>
      <c r="J2891" s="6">
        <v>1.3664</v>
      </c>
    </row>
    <row r="2892">
      <c r="A2892" s="5" t="s">
        <v>59</v>
      </c>
      <c r="B2892" s="5" t="s">
        <v>163</v>
      </c>
      <c r="C2892" s="5" t="s">
        <v>1885</v>
      </c>
      <c r="D2892" s="6">
        <v>20.0</v>
      </c>
      <c r="E2892" s="6">
        <v>134195.0</v>
      </c>
      <c r="F2892" s="6">
        <v>70462.0</v>
      </c>
      <c r="G2892" s="6">
        <v>22956.0</v>
      </c>
      <c r="H2892" s="6">
        <v>5.8457</v>
      </c>
      <c r="I2892" s="6">
        <v>3.0694</v>
      </c>
      <c r="J2892" s="6">
        <v>2.7763</v>
      </c>
    </row>
    <row r="2893">
      <c r="A2893" s="5" t="s">
        <v>59</v>
      </c>
      <c r="B2893" s="5" t="s">
        <v>163</v>
      </c>
      <c r="C2893" s="5" t="s">
        <v>1885</v>
      </c>
      <c r="D2893" s="6">
        <v>21.0</v>
      </c>
      <c r="E2893" s="6">
        <v>244755.0</v>
      </c>
      <c r="F2893" s="6">
        <v>106027.0</v>
      </c>
      <c r="G2893" s="6">
        <v>22956.0</v>
      </c>
      <c r="H2893" s="6">
        <v>10.6619</v>
      </c>
      <c r="I2893" s="6">
        <v>4.6187</v>
      </c>
      <c r="J2893" s="6">
        <v>6.0432</v>
      </c>
    </row>
    <row r="2894">
      <c r="A2894" s="5" t="s">
        <v>59</v>
      </c>
      <c r="B2894" s="5" t="s">
        <v>163</v>
      </c>
      <c r="C2894" s="5" t="s">
        <v>1885</v>
      </c>
      <c r="D2894" s="6">
        <v>22.0</v>
      </c>
      <c r="E2894" s="6">
        <v>141140.0</v>
      </c>
      <c r="F2894" s="6">
        <v>67203.0</v>
      </c>
      <c r="G2894" s="6">
        <v>22956.0</v>
      </c>
      <c r="H2894" s="6">
        <v>6.1483</v>
      </c>
      <c r="I2894" s="6">
        <v>2.9275</v>
      </c>
      <c r="J2894" s="6">
        <v>3.2208</v>
      </c>
    </row>
    <row r="2895">
      <c r="A2895" s="5" t="s">
        <v>59</v>
      </c>
      <c r="B2895" s="5" t="s">
        <v>163</v>
      </c>
      <c r="C2895" s="5" t="s">
        <v>1885</v>
      </c>
      <c r="D2895" s="6">
        <v>23.0</v>
      </c>
      <c r="E2895" s="6">
        <v>89550.0</v>
      </c>
      <c r="F2895" s="6">
        <v>44664.0</v>
      </c>
      <c r="G2895" s="6">
        <v>22956.0</v>
      </c>
      <c r="H2895" s="6">
        <v>3.9009</v>
      </c>
      <c r="I2895" s="6">
        <v>1.9456</v>
      </c>
      <c r="J2895" s="6">
        <v>1.9553</v>
      </c>
    </row>
    <row r="2896">
      <c r="A2896" s="5" t="s">
        <v>59</v>
      </c>
      <c r="B2896" s="5" t="s">
        <v>163</v>
      </c>
      <c r="C2896" s="5" t="s">
        <v>1885</v>
      </c>
      <c r="D2896" s="6">
        <v>24.0</v>
      </c>
      <c r="E2896" s="6">
        <v>100150.0</v>
      </c>
      <c r="F2896" s="6">
        <v>45547.0</v>
      </c>
      <c r="G2896" s="6">
        <v>22956.0</v>
      </c>
      <c r="H2896" s="6">
        <v>4.3627</v>
      </c>
      <c r="I2896" s="6">
        <v>1.9841</v>
      </c>
      <c r="J2896" s="6">
        <v>2.3786</v>
      </c>
    </row>
    <row r="2897">
      <c r="A2897" s="5" t="s">
        <v>59</v>
      </c>
      <c r="B2897" s="5" t="s">
        <v>163</v>
      </c>
      <c r="C2897" s="5" t="s">
        <v>1885</v>
      </c>
      <c r="D2897" s="6">
        <v>25.0</v>
      </c>
      <c r="E2897" s="6">
        <v>81445.0</v>
      </c>
      <c r="F2897" s="6">
        <v>39499.0</v>
      </c>
      <c r="G2897" s="6">
        <v>22956.0</v>
      </c>
      <c r="H2897" s="6">
        <v>3.5479</v>
      </c>
      <c r="I2897" s="6">
        <v>1.7206</v>
      </c>
      <c r="J2897" s="6">
        <v>1.8272</v>
      </c>
    </row>
    <row r="2898">
      <c r="A2898" s="5" t="s">
        <v>59</v>
      </c>
      <c r="B2898" s="5" t="s">
        <v>163</v>
      </c>
      <c r="C2898" s="5" t="s">
        <v>1885</v>
      </c>
      <c r="D2898" s="6">
        <v>26.0</v>
      </c>
      <c r="E2898" s="6">
        <v>68945.0</v>
      </c>
      <c r="F2898" s="6">
        <v>33558.0</v>
      </c>
      <c r="G2898" s="6">
        <v>22956.0</v>
      </c>
      <c r="H2898" s="6">
        <v>3.0034</v>
      </c>
      <c r="I2898" s="6">
        <v>1.4618</v>
      </c>
      <c r="J2898" s="6">
        <v>1.5415</v>
      </c>
    </row>
    <row r="2899">
      <c r="A2899" s="5" t="s">
        <v>59</v>
      </c>
      <c r="B2899" s="5" t="s">
        <v>163</v>
      </c>
      <c r="C2899" s="5" t="s">
        <v>1885</v>
      </c>
      <c r="D2899" s="6">
        <v>27.0</v>
      </c>
      <c r="E2899" s="6">
        <v>89420.0</v>
      </c>
      <c r="F2899" s="6">
        <v>43534.0</v>
      </c>
      <c r="G2899" s="6">
        <v>22956.0</v>
      </c>
      <c r="H2899" s="6">
        <v>3.8953</v>
      </c>
      <c r="I2899" s="6">
        <v>1.8964</v>
      </c>
      <c r="J2899" s="6">
        <v>1.9989</v>
      </c>
    </row>
    <row r="2900">
      <c r="A2900" s="5" t="s">
        <v>59</v>
      </c>
      <c r="B2900" s="5" t="s">
        <v>163</v>
      </c>
      <c r="C2900" s="5" t="s">
        <v>1885</v>
      </c>
      <c r="D2900" s="6">
        <v>28.0</v>
      </c>
      <c r="E2900" s="6">
        <v>68860.0</v>
      </c>
      <c r="F2900" s="6">
        <v>33078.0</v>
      </c>
      <c r="G2900" s="6">
        <v>22956.0</v>
      </c>
      <c r="H2900" s="6">
        <v>2.9997</v>
      </c>
      <c r="I2900" s="6">
        <v>1.4409</v>
      </c>
      <c r="J2900" s="6">
        <v>1.5587</v>
      </c>
    </row>
    <row r="2901">
      <c r="A2901" s="5" t="s">
        <v>59</v>
      </c>
      <c r="B2901" s="5" t="s">
        <v>163</v>
      </c>
      <c r="C2901" s="5" t="s">
        <v>1885</v>
      </c>
      <c r="D2901" s="6">
        <v>29.0</v>
      </c>
      <c r="E2901" s="6">
        <v>51315.0</v>
      </c>
      <c r="F2901" s="6">
        <v>24598.0</v>
      </c>
      <c r="G2901" s="6">
        <v>22956.0</v>
      </c>
      <c r="H2901" s="6">
        <v>2.2354</v>
      </c>
      <c r="I2901" s="6">
        <v>1.0715</v>
      </c>
      <c r="J2901" s="6">
        <v>1.1638</v>
      </c>
    </row>
    <row r="2902">
      <c r="A2902" s="5" t="s">
        <v>59</v>
      </c>
      <c r="B2902" s="5" t="s">
        <v>163</v>
      </c>
      <c r="C2902" s="5" t="s">
        <v>1885</v>
      </c>
      <c r="D2902" s="6">
        <v>30.0</v>
      </c>
      <c r="E2902" s="6">
        <v>67435.0</v>
      </c>
      <c r="F2902" s="6">
        <v>34820.0</v>
      </c>
      <c r="G2902" s="6">
        <v>22956.0</v>
      </c>
      <c r="H2902" s="6">
        <v>2.9376</v>
      </c>
      <c r="I2902" s="6">
        <v>1.5168</v>
      </c>
      <c r="J2902" s="6">
        <v>1.4208</v>
      </c>
    </row>
    <row r="2903">
      <c r="A2903" s="5" t="s">
        <v>59</v>
      </c>
      <c r="B2903" s="5" t="s">
        <v>163</v>
      </c>
      <c r="C2903" s="5" t="s">
        <v>1885</v>
      </c>
      <c r="D2903" s="6">
        <v>31.0</v>
      </c>
      <c r="E2903" s="6">
        <v>69735.0</v>
      </c>
      <c r="F2903" s="6">
        <v>33235.0</v>
      </c>
      <c r="G2903" s="6">
        <v>22956.0</v>
      </c>
      <c r="H2903" s="6">
        <v>3.0378</v>
      </c>
      <c r="I2903" s="6">
        <v>1.4478</v>
      </c>
      <c r="J2903" s="6">
        <v>1.59</v>
      </c>
    </row>
    <row r="2904">
      <c r="A2904" s="5" t="s">
        <v>59</v>
      </c>
      <c r="B2904" s="5" t="s">
        <v>163</v>
      </c>
      <c r="C2904" s="5" t="s">
        <v>1885</v>
      </c>
      <c r="D2904" s="6">
        <v>32.0</v>
      </c>
      <c r="E2904" s="6">
        <v>75465.0</v>
      </c>
      <c r="F2904" s="6">
        <v>37415.0</v>
      </c>
      <c r="G2904" s="6">
        <v>22956.0</v>
      </c>
      <c r="H2904" s="6">
        <v>3.2874</v>
      </c>
      <c r="I2904" s="6">
        <v>1.6299</v>
      </c>
      <c r="J2904" s="6">
        <v>1.6575</v>
      </c>
    </row>
    <row r="2905">
      <c r="A2905" s="5" t="s">
        <v>59</v>
      </c>
      <c r="B2905" s="5" t="s">
        <v>163</v>
      </c>
      <c r="C2905" s="5" t="s">
        <v>1885</v>
      </c>
      <c r="D2905" s="6">
        <v>33.0</v>
      </c>
      <c r="E2905" s="6">
        <v>74070.0</v>
      </c>
      <c r="F2905" s="6">
        <v>36419.0</v>
      </c>
      <c r="G2905" s="6">
        <v>22956.0</v>
      </c>
      <c r="H2905" s="6">
        <v>3.2266</v>
      </c>
      <c r="I2905" s="6">
        <v>1.5865</v>
      </c>
      <c r="J2905" s="6">
        <v>1.6401</v>
      </c>
    </row>
    <row r="2906">
      <c r="A2906" s="5" t="s">
        <v>59</v>
      </c>
      <c r="B2906" s="5" t="s">
        <v>163</v>
      </c>
      <c r="C2906" s="5" t="s">
        <v>75</v>
      </c>
      <c r="D2906" s="6">
        <v>1.0</v>
      </c>
      <c r="E2906" s="6">
        <v>1575174.0</v>
      </c>
      <c r="F2906" s="6">
        <v>0.0</v>
      </c>
      <c r="G2906" s="6">
        <v>24640.0</v>
      </c>
      <c r="H2906" s="6">
        <v>63.9275</v>
      </c>
      <c r="I2906" s="6">
        <v>0.0</v>
      </c>
      <c r="J2906" s="6">
        <v>63.9275</v>
      </c>
    </row>
    <row r="2907">
      <c r="A2907" s="5" t="s">
        <v>59</v>
      </c>
      <c r="B2907" s="5" t="s">
        <v>163</v>
      </c>
      <c r="C2907" s="5" t="s">
        <v>75</v>
      </c>
      <c r="D2907" s="6">
        <v>2.0</v>
      </c>
      <c r="E2907" s="6">
        <v>1240820.0</v>
      </c>
      <c r="F2907" s="6">
        <v>0.0</v>
      </c>
      <c r="G2907" s="6">
        <v>24640.0</v>
      </c>
      <c r="H2907" s="6">
        <v>50.358</v>
      </c>
      <c r="I2907" s="6">
        <v>0.0</v>
      </c>
      <c r="J2907" s="6">
        <v>50.358</v>
      </c>
    </row>
    <row r="2908">
      <c r="A2908" s="5" t="s">
        <v>59</v>
      </c>
      <c r="B2908" s="5" t="s">
        <v>163</v>
      </c>
      <c r="C2908" s="5" t="s">
        <v>75</v>
      </c>
      <c r="D2908" s="6">
        <v>3.0</v>
      </c>
      <c r="E2908" s="6">
        <v>1559865.0</v>
      </c>
      <c r="F2908" s="6">
        <v>74.0</v>
      </c>
      <c r="G2908" s="6">
        <v>24640.0</v>
      </c>
      <c r="H2908" s="6">
        <v>63.3062</v>
      </c>
      <c r="I2908" s="6">
        <v>0.003</v>
      </c>
      <c r="J2908" s="6">
        <v>63.3032</v>
      </c>
    </row>
    <row r="2909">
      <c r="A2909" s="5" t="s">
        <v>59</v>
      </c>
      <c r="B2909" s="5" t="s">
        <v>163</v>
      </c>
      <c r="C2909" s="5" t="s">
        <v>75</v>
      </c>
      <c r="D2909" s="6">
        <v>4.0</v>
      </c>
      <c r="E2909" s="6">
        <v>1170149.0</v>
      </c>
      <c r="F2909" s="6">
        <v>9.0</v>
      </c>
      <c r="G2909" s="6">
        <v>24640.0</v>
      </c>
      <c r="H2909" s="6">
        <v>47.4898</v>
      </c>
      <c r="I2909" s="6">
        <v>4.0E-4</v>
      </c>
      <c r="J2909" s="6">
        <v>47.4894</v>
      </c>
    </row>
    <row r="2910">
      <c r="A2910" s="5" t="s">
        <v>59</v>
      </c>
      <c r="B2910" s="5" t="s">
        <v>163</v>
      </c>
      <c r="C2910" s="5" t="s">
        <v>75</v>
      </c>
      <c r="D2910" s="6">
        <v>5.0</v>
      </c>
      <c r="E2910" s="6">
        <v>1448842.0</v>
      </c>
      <c r="F2910" s="6">
        <v>19.0</v>
      </c>
      <c r="G2910" s="6">
        <v>24640.0</v>
      </c>
      <c r="H2910" s="6">
        <v>58.8004</v>
      </c>
      <c r="I2910" s="6">
        <v>8.0E-4</v>
      </c>
      <c r="J2910" s="6">
        <v>58.7996</v>
      </c>
    </row>
    <row r="2911">
      <c r="A2911" s="5" t="s">
        <v>59</v>
      </c>
      <c r="B2911" s="5" t="s">
        <v>163</v>
      </c>
      <c r="C2911" s="5" t="s">
        <v>75</v>
      </c>
      <c r="D2911" s="6">
        <v>6.0</v>
      </c>
      <c r="E2911" s="6">
        <v>1771122.0</v>
      </c>
      <c r="F2911" s="6">
        <v>0.0</v>
      </c>
      <c r="G2911" s="6">
        <v>24640.0</v>
      </c>
      <c r="H2911" s="6">
        <v>71.88</v>
      </c>
      <c r="I2911" s="6">
        <v>0.0</v>
      </c>
      <c r="J2911" s="6">
        <v>71.88</v>
      </c>
    </row>
    <row r="2912">
      <c r="A2912" s="5" t="s">
        <v>59</v>
      </c>
      <c r="B2912" s="5" t="s">
        <v>163</v>
      </c>
      <c r="C2912" s="5" t="s">
        <v>75</v>
      </c>
      <c r="D2912" s="6">
        <v>7.0</v>
      </c>
      <c r="E2912" s="6">
        <v>1276070.0</v>
      </c>
      <c r="F2912" s="6">
        <v>0.0</v>
      </c>
      <c r="G2912" s="6">
        <v>24640.0</v>
      </c>
      <c r="H2912" s="6">
        <v>51.7886</v>
      </c>
      <c r="I2912" s="6">
        <v>0.0</v>
      </c>
      <c r="J2912" s="6">
        <v>51.7886</v>
      </c>
    </row>
    <row r="2913">
      <c r="A2913" s="5" t="s">
        <v>59</v>
      </c>
      <c r="B2913" s="5" t="s">
        <v>163</v>
      </c>
      <c r="C2913" s="5" t="s">
        <v>75</v>
      </c>
      <c r="D2913" s="6">
        <v>8.0</v>
      </c>
      <c r="E2913" s="6">
        <v>1642726.0</v>
      </c>
      <c r="F2913" s="6">
        <v>0.0</v>
      </c>
      <c r="G2913" s="6">
        <v>24640.0</v>
      </c>
      <c r="H2913" s="6">
        <v>66.6691</v>
      </c>
      <c r="I2913" s="6">
        <v>0.0</v>
      </c>
      <c r="J2913" s="6">
        <v>66.6691</v>
      </c>
    </row>
    <row r="2914">
      <c r="A2914" s="5" t="s">
        <v>59</v>
      </c>
      <c r="B2914" s="5" t="s">
        <v>163</v>
      </c>
      <c r="C2914" s="5" t="s">
        <v>75</v>
      </c>
      <c r="D2914" s="6">
        <v>9.0</v>
      </c>
      <c r="E2914" s="6">
        <v>1256766.0</v>
      </c>
      <c r="F2914" s="6">
        <v>1.0</v>
      </c>
      <c r="G2914" s="6">
        <v>24640.0</v>
      </c>
      <c r="H2914" s="6">
        <v>51.0051</v>
      </c>
      <c r="I2914" s="6">
        <v>0.0</v>
      </c>
      <c r="J2914" s="6">
        <v>51.0051</v>
      </c>
    </row>
    <row r="2915">
      <c r="A2915" s="5" t="s">
        <v>59</v>
      </c>
      <c r="B2915" s="5" t="s">
        <v>163</v>
      </c>
      <c r="C2915" s="5" t="s">
        <v>75</v>
      </c>
      <c r="D2915" s="6">
        <v>10.0</v>
      </c>
      <c r="E2915" s="6">
        <v>1778269.0</v>
      </c>
      <c r="F2915" s="6">
        <v>0.0</v>
      </c>
      <c r="G2915" s="6">
        <v>24640.0</v>
      </c>
      <c r="H2915" s="6">
        <v>72.17</v>
      </c>
      <c r="I2915" s="6">
        <v>0.0</v>
      </c>
      <c r="J2915" s="6">
        <v>72.17</v>
      </c>
    </row>
    <row r="2916">
      <c r="A2916" s="5" t="s">
        <v>59</v>
      </c>
      <c r="B2916" s="5" t="s">
        <v>163</v>
      </c>
      <c r="C2916" s="5" t="s">
        <v>75</v>
      </c>
      <c r="D2916" s="6">
        <v>11.0</v>
      </c>
      <c r="E2916" s="6">
        <v>1309969.0</v>
      </c>
      <c r="F2916" s="6">
        <v>8.0</v>
      </c>
      <c r="G2916" s="6">
        <v>24640.0</v>
      </c>
      <c r="H2916" s="6">
        <v>53.1643</v>
      </c>
      <c r="I2916" s="6">
        <v>3.0E-4</v>
      </c>
      <c r="J2916" s="6">
        <v>53.164</v>
      </c>
    </row>
    <row r="2917">
      <c r="A2917" s="5" t="s">
        <v>59</v>
      </c>
      <c r="B2917" s="5" t="s">
        <v>163</v>
      </c>
      <c r="C2917" s="5" t="s">
        <v>75</v>
      </c>
      <c r="D2917" s="6">
        <v>12.0</v>
      </c>
      <c r="E2917" s="6">
        <v>1640427.0</v>
      </c>
      <c r="F2917" s="6">
        <v>8.0</v>
      </c>
      <c r="G2917" s="6">
        <v>24640.0</v>
      </c>
      <c r="H2917" s="6">
        <v>66.5758</v>
      </c>
      <c r="I2917" s="6">
        <v>3.0E-4</v>
      </c>
      <c r="J2917" s="6">
        <v>66.5754</v>
      </c>
    </row>
    <row r="2918">
      <c r="A2918" s="5" t="s">
        <v>59</v>
      </c>
      <c r="B2918" s="5" t="s">
        <v>163</v>
      </c>
      <c r="C2918" s="5" t="s">
        <v>75</v>
      </c>
      <c r="D2918" s="6">
        <v>13.0</v>
      </c>
      <c r="E2918" s="6">
        <v>1946445.0</v>
      </c>
      <c r="F2918" s="6">
        <v>0.0</v>
      </c>
      <c r="G2918" s="6">
        <v>24640.0</v>
      </c>
      <c r="H2918" s="6">
        <v>78.9953</v>
      </c>
      <c r="I2918" s="6">
        <v>0.0</v>
      </c>
      <c r="J2918" s="6">
        <v>78.9953</v>
      </c>
    </row>
    <row r="2919">
      <c r="A2919" s="5" t="s">
        <v>59</v>
      </c>
      <c r="B2919" s="5" t="s">
        <v>163</v>
      </c>
      <c r="C2919" s="5" t="s">
        <v>75</v>
      </c>
      <c r="D2919" s="6">
        <v>14.0</v>
      </c>
      <c r="E2919" s="6">
        <v>1400505.0</v>
      </c>
      <c r="F2919" s="6">
        <v>0.0</v>
      </c>
      <c r="G2919" s="6">
        <v>24640.0</v>
      </c>
      <c r="H2919" s="6">
        <v>56.8387</v>
      </c>
      <c r="I2919" s="6">
        <v>0.0</v>
      </c>
      <c r="J2919" s="6">
        <v>56.8387</v>
      </c>
    </row>
    <row r="2920">
      <c r="A2920" s="5" t="s">
        <v>59</v>
      </c>
      <c r="B2920" s="5" t="s">
        <v>163</v>
      </c>
      <c r="C2920" s="5" t="s">
        <v>75</v>
      </c>
      <c r="D2920" s="6">
        <v>15.0</v>
      </c>
      <c r="E2920" s="6">
        <v>1771684.0</v>
      </c>
      <c r="F2920" s="6">
        <v>0.0</v>
      </c>
      <c r="G2920" s="6">
        <v>24640.0</v>
      </c>
      <c r="H2920" s="6">
        <v>71.9028</v>
      </c>
      <c r="I2920" s="6">
        <v>0.0</v>
      </c>
      <c r="J2920" s="6">
        <v>71.9028</v>
      </c>
    </row>
    <row r="2921">
      <c r="A2921" s="5" t="s">
        <v>59</v>
      </c>
      <c r="B2921" s="5" t="s">
        <v>163</v>
      </c>
      <c r="C2921" s="5" t="s">
        <v>75</v>
      </c>
      <c r="D2921" s="6">
        <v>16.0</v>
      </c>
      <c r="E2921" s="6">
        <v>1336945.0</v>
      </c>
      <c r="F2921" s="6">
        <v>0.0</v>
      </c>
      <c r="G2921" s="6">
        <v>24640.0</v>
      </c>
      <c r="H2921" s="6">
        <v>54.2591</v>
      </c>
      <c r="I2921" s="6">
        <v>0.0</v>
      </c>
      <c r="J2921" s="6">
        <v>54.2591</v>
      </c>
    </row>
    <row r="2922">
      <c r="A2922" s="5" t="s">
        <v>59</v>
      </c>
      <c r="B2922" s="5" t="s">
        <v>163</v>
      </c>
      <c r="C2922" s="5" t="s">
        <v>75</v>
      </c>
      <c r="D2922" s="6">
        <v>17.0</v>
      </c>
      <c r="E2922" s="6">
        <v>1797045.0</v>
      </c>
      <c r="F2922" s="6">
        <v>65.0</v>
      </c>
      <c r="G2922" s="6">
        <v>24640.0</v>
      </c>
      <c r="H2922" s="6">
        <v>72.932</v>
      </c>
      <c r="I2922" s="6">
        <v>0.0026</v>
      </c>
      <c r="J2922" s="6">
        <v>72.9294</v>
      </c>
    </row>
    <row r="2923">
      <c r="A2923" s="5" t="s">
        <v>59</v>
      </c>
      <c r="B2923" s="5" t="s">
        <v>163</v>
      </c>
      <c r="C2923" s="5" t="s">
        <v>75</v>
      </c>
      <c r="D2923" s="6">
        <v>18.0</v>
      </c>
      <c r="E2923" s="6">
        <v>1398131.0</v>
      </c>
      <c r="F2923" s="6">
        <v>0.0</v>
      </c>
      <c r="G2923" s="6">
        <v>24640.0</v>
      </c>
      <c r="H2923" s="6">
        <v>56.7423</v>
      </c>
      <c r="I2923" s="6">
        <v>0.0</v>
      </c>
      <c r="J2923" s="6">
        <v>56.7423</v>
      </c>
    </row>
    <row r="2924">
      <c r="A2924" s="5" t="s">
        <v>59</v>
      </c>
      <c r="B2924" s="5" t="s">
        <v>163</v>
      </c>
      <c r="C2924" s="5" t="s">
        <v>75</v>
      </c>
      <c r="D2924" s="6">
        <v>19.0</v>
      </c>
      <c r="E2924" s="6">
        <v>1682887.0</v>
      </c>
      <c r="F2924" s="6">
        <v>0.0</v>
      </c>
      <c r="G2924" s="6">
        <v>24640.0</v>
      </c>
      <c r="H2924" s="6">
        <v>68.299</v>
      </c>
      <c r="I2924" s="6">
        <v>0.0</v>
      </c>
      <c r="J2924" s="6">
        <v>68.299</v>
      </c>
    </row>
    <row r="2925">
      <c r="A2925" s="5" t="s">
        <v>59</v>
      </c>
      <c r="B2925" s="5" t="s">
        <v>163</v>
      </c>
      <c r="C2925" s="5" t="s">
        <v>75</v>
      </c>
      <c r="D2925" s="6">
        <v>20.0</v>
      </c>
      <c r="E2925" s="6">
        <v>2077989.0</v>
      </c>
      <c r="F2925" s="6">
        <v>0.0</v>
      </c>
      <c r="G2925" s="6">
        <v>24640.0</v>
      </c>
      <c r="H2925" s="6">
        <v>84.334</v>
      </c>
      <c r="I2925" s="6">
        <v>0.0</v>
      </c>
      <c r="J2925" s="6">
        <v>84.334</v>
      </c>
    </row>
    <row r="2926">
      <c r="A2926" s="5" t="s">
        <v>59</v>
      </c>
      <c r="B2926" s="5" t="s">
        <v>163</v>
      </c>
      <c r="C2926" s="5" t="s">
        <v>75</v>
      </c>
      <c r="D2926" s="6">
        <v>21.0</v>
      </c>
      <c r="E2926" s="6">
        <v>2555708.0</v>
      </c>
      <c r="F2926" s="6">
        <v>0.0</v>
      </c>
      <c r="G2926" s="6">
        <v>24640.0</v>
      </c>
      <c r="H2926" s="6">
        <v>103.7219</v>
      </c>
      <c r="I2926" s="6">
        <v>0.0</v>
      </c>
      <c r="J2926" s="6">
        <v>103.7219</v>
      </c>
    </row>
    <row r="2927">
      <c r="A2927" s="5" t="s">
        <v>59</v>
      </c>
      <c r="B2927" s="5" t="s">
        <v>163</v>
      </c>
      <c r="C2927" s="5" t="s">
        <v>75</v>
      </c>
      <c r="D2927" s="6">
        <v>22.0</v>
      </c>
      <c r="E2927" s="6">
        <v>2120746.0</v>
      </c>
      <c r="F2927" s="6">
        <v>3.0</v>
      </c>
      <c r="G2927" s="6">
        <v>24640.0</v>
      </c>
      <c r="H2927" s="6">
        <v>86.0692</v>
      </c>
      <c r="I2927" s="6">
        <v>1.0E-4</v>
      </c>
      <c r="J2927" s="6">
        <v>86.0691</v>
      </c>
    </row>
    <row r="2928">
      <c r="A2928" s="5" t="s">
        <v>59</v>
      </c>
      <c r="B2928" s="5" t="s">
        <v>163</v>
      </c>
      <c r="C2928" s="5" t="s">
        <v>75</v>
      </c>
      <c r="D2928" s="6">
        <v>23.0</v>
      </c>
      <c r="E2928" s="6">
        <v>1695359.0</v>
      </c>
      <c r="F2928" s="6">
        <v>0.0</v>
      </c>
      <c r="G2928" s="6">
        <v>24640.0</v>
      </c>
      <c r="H2928" s="6">
        <v>68.8052</v>
      </c>
      <c r="I2928" s="6">
        <v>0.0</v>
      </c>
      <c r="J2928" s="6">
        <v>68.8052</v>
      </c>
    </row>
    <row r="2929">
      <c r="A2929" s="5" t="s">
        <v>59</v>
      </c>
      <c r="B2929" s="5" t="s">
        <v>163</v>
      </c>
      <c r="C2929" s="5" t="s">
        <v>75</v>
      </c>
      <c r="D2929" s="6">
        <v>24.0</v>
      </c>
      <c r="E2929" s="6">
        <v>2230147.0</v>
      </c>
      <c r="F2929" s="6">
        <v>1.0</v>
      </c>
      <c r="G2929" s="6">
        <v>24640.0</v>
      </c>
      <c r="H2929" s="6">
        <v>90.5092</v>
      </c>
      <c r="I2929" s="6">
        <v>0.0</v>
      </c>
      <c r="J2929" s="6">
        <v>90.5092</v>
      </c>
    </row>
    <row r="2930">
      <c r="A2930" s="5" t="s">
        <v>59</v>
      </c>
      <c r="B2930" s="5" t="s">
        <v>163</v>
      </c>
      <c r="C2930" s="5" t="s">
        <v>75</v>
      </c>
      <c r="D2930" s="6">
        <v>25.0</v>
      </c>
      <c r="E2930" s="6">
        <v>1684877.0</v>
      </c>
      <c r="F2930" s="6">
        <v>0.0</v>
      </c>
      <c r="G2930" s="6">
        <v>24640.0</v>
      </c>
      <c r="H2930" s="6">
        <v>68.3797</v>
      </c>
      <c r="I2930" s="6">
        <v>0.0</v>
      </c>
      <c r="J2930" s="6">
        <v>68.3797</v>
      </c>
    </row>
    <row r="2931">
      <c r="A2931" s="5" t="s">
        <v>59</v>
      </c>
      <c r="B2931" s="5" t="s">
        <v>163</v>
      </c>
      <c r="C2931" s="5" t="s">
        <v>75</v>
      </c>
      <c r="D2931" s="6">
        <v>26.0</v>
      </c>
      <c r="E2931" s="6">
        <v>1964103.0</v>
      </c>
      <c r="F2931" s="6">
        <v>0.0</v>
      </c>
      <c r="G2931" s="6">
        <v>24640.0</v>
      </c>
      <c r="H2931" s="6">
        <v>79.712</v>
      </c>
      <c r="I2931" s="6">
        <v>0.0</v>
      </c>
      <c r="J2931" s="6">
        <v>79.712</v>
      </c>
    </row>
    <row r="2932">
      <c r="A2932" s="5" t="s">
        <v>59</v>
      </c>
      <c r="B2932" s="5" t="s">
        <v>163</v>
      </c>
      <c r="C2932" s="5" t="s">
        <v>75</v>
      </c>
      <c r="D2932" s="6">
        <v>27.0</v>
      </c>
      <c r="E2932" s="6">
        <v>2302145.0</v>
      </c>
      <c r="F2932" s="6">
        <v>3.0</v>
      </c>
      <c r="G2932" s="6">
        <v>24640.0</v>
      </c>
      <c r="H2932" s="6">
        <v>93.4312</v>
      </c>
      <c r="I2932" s="6">
        <v>1.0E-4</v>
      </c>
      <c r="J2932" s="6">
        <v>93.4311</v>
      </c>
    </row>
    <row r="2933">
      <c r="A2933" s="5" t="s">
        <v>59</v>
      </c>
      <c r="B2933" s="5" t="s">
        <v>163</v>
      </c>
      <c r="C2933" s="5" t="s">
        <v>75</v>
      </c>
      <c r="D2933" s="6">
        <v>28.0</v>
      </c>
      <c r="E2933" s="6">
        <v>1623027.0</v>
      </c>
      <c r="F2933" s="6">
        <v>0.0</v>
      </c>
      <c r="G2933" s="6">
        <v>24640.0</v>
      </c>
      <c r="H2933" s="6">
        <v>65.8696</v>
      </c>
      <c r="I2933" s="6">
        <v>0.0</v>
      </c>
      <c r="J2933" s="6">
        <v>65.8696</v>
      </c>
    </row>
    <row r="2934">
      <c r="A2934" s="5" t="s">
        <v>59</v>
      </c>
      <c r="B2934" s="5" t="s">
        <v>163</v>
      </c>
      <c r="C2934" s="5" t="s">
        <v>75</v>
      </c>
      <c r="D2934" s="6">
        <v>29.0</v>
      </c>
      <c r="E2934" s="6">
        <v>2142838.0</v>
      </c>
      <c r="F2934" s="6">
        <v>0.0</v>
      </c>
      <c r="G2934" s="6">
        <v>24640.0</v>
      </c>
      <c r="H2934" s="6">
        <v>86.9658</v>
      </c>
      <c r="I2934" s="6">
        <v>0.0</v>
      </c>
      <c r="J2934" s="6">
        <v>86.9658</v>
      </c>
    </row>
    <row r="2935">
      <c r="A2935" s="5" t="s">
        <v>59</v>
      </c>
      <c r="B2935" s="5" t="s">
        <v>163</v>
      </c>
      <c r="C2935" s="5" t="s">
        <v>75</v>
      </c>
      <c r="D2935" s="6">
        <v>30.0</v>
      </c>
      <c r="E2935" s="6">
        <v>1581990.0</v>
      </c>
      <c r="F2935" s="6">
        <v>0.0</v>
      </c>
      <c r="G2935" s="6">
        <v>24640.0</v>
      </c>
      <c r="H2935" s="6">
        <v>64.2041</v>
      </c>
      <c r="I2935" s="6">
        <v>0.0</v>
      </c>
      <c r="J2935" s="6">
        <v>64.2041</v>
      </c>
    </row>
    <row r="2936">
      <c r="A2936" s="5" t="s">
        <v>59</v>
      </c>
      <c r="B2936" s="5" t="s">
        <v>163</v>
      </c>
      <c r="C2936" s="5" t="s">
        <v>75</v>
      </c>
      <c r="D2936" s="6">
        <v>31.0</v>
      </c>
      <c r="E2936" s="6">
        <v>2138583.0</v>
      </c>
      <c r="F2936" s="6">
        <v>15.0</v>
      </c>
      <c r="G2936" s="6">
        <v>24640.0</v>
      </c>
      <c r="H2936" s="6">
        <v>86.7931</v>
      </c>
      <c r="I2936" s="6">
        <v>6.0E-4</v>
      </c>
      <c r="J2936" s="6">
        <v>86.7925</v>
      </c>
    </row>
    <row r="2937">
      <c r="A2937" s="5" t="s">
        <v>59</v>
      </c>
      <c r="B2937" s="5" t="s">
        <v>163</v>
      </c>
      <c r="C2937" s="5" t="s">
        <v>75</v>
      </c>
      <c r="D2937" s="6">
        <v>32.0</v>
      </c>
      <c r="E2937" s="6">
        <v>1568602.0</v>
      </c>
      <c r="F2937" s="6">
        <v>202.0</v>
      </c>
      <c r="G2937" s="6">
        <v>24640.0</v>
      </c>
      <c r="H2937" s="6">
        <v>63.6608</v>
      </c>
      <c r="I2937" s="6">
        <v>0.0082</v>
      </c>
      <c r="J2937" s="6">
        <v>63.6526</v>
      </c>
    </row>
    <row r="2938">
      <c r="A2938" s="5" t="s">
        <v>59</v>
      </c>
      <c r="B2938" s="5" t="s">
        <v>163</v>
      </c>
      <c r="C2938" s="5" t="s">
        <v>75</v>
      </c>
      <c r="D2938" s="6">
        <v>33.0</v>
      </c>
      <c r="E2938" s="6">
        <v>1943213.0</v>
      </c>
      <c r="F2938" s="6">
        <v>55.0</v>
      </c>
      <c r="G2938" s="6">
        <v>24640.0</v>
      </c>
      <c r="H2938" s="6">
        <v>78.8642</v>
      </c>
      <c r="I2938" s="6">
        <v>0.0022</v>
      </c>
      <c r="J2938" s="6">
        <v>78.8619</v>
      </c>
    </row>
    <row r="2939">
      <c r="A2939" s="5" t="s">
        <v>59</v>
      </c>
      <c r="B2939" s="5" t="s">
        <v>163</v>
      </c>
      <c r="C2939" s="5" t="s">
        <v>68</v>
      </c>
      <c r="D2939" s="6">
        <v>1.0</v>
      </c>
      <c r="E2939" s="6">
        <v>128133.0</v>
      </c>
      <c r="F2939" s="6">
        <v>0.0</v>
      </c>
      <c r="G2939" s="6">
        <v>22720.0</v>
      </c>
      <c r="H2939" s="6">
        <v>5.6397</v>
      </c>
      <c r="I2939" s="6">
        <v>0.0</v>
      </c>
      <c r="J2939" s="6">
        <v>5.6397</v>
      </c>
    </row>
    <row r="2940">
      <c r="A2940" s="5" t="s">
        <v>59</v>
      </c>
      <c r="B2940" s="5" t="s">
        <v>163</v>
      </c>
      <c r="C2940" s="5" t="s">
        <v>68</v>
      </c>
      <c r="D2940" s="6">
        <v>2.0</v>
      </c>
      <c r="E2940" s="6">
        <v>817275.0</v>
      </c>
      <c r="F2940" s="6">
        <v>0.0</v>
      </c>
      <c r="G2940" s="6">
        <v>22720.0</v>
      </c>
      <c r="H2940" s="6">
        <v>35.9716</v>
      </c>
      <c r="I2940" s="6">
        <v>0.0</v>
      </c>
      <c r="J2940" s="6">
        <v>35.9716</v>
      </c>
    </row>
    <row r="2941">
      <c r="A2941" s="5" t="s">
        <v>59</v>
      </c>
      <c r="B2941" s="5" t="s">
        <v>163</v>
      </c>
      <c r="C2941" s="5" t="s">
        <v>68</v>
      </c>
      <c r="D2941" s="6">
        <v>3.0</v>
      </c>
      <c r="E2941" s="6">
        <v>332128.0</v>
      </c>
      <c r="F2941" s="6">
        <v>0.0</v>
      </c>
      <c r="G2941" s="6">
        <v>22720.0</v>
      </c>
      <c r="H2941" s="6">
        <v>14.6183</v>
      </c>
      <c r="I2941" s="6">
        <v>0.0</v>
      </c>
      <c r="J2941" s="6">
        <v>14.6183</v>
      </c>
    </row>
    <row r="2942">
      <c r="A2942" s="5" t="s">
        <v>59</v>
      </c>
      <c r="B2942" s="5" t="s">
        <v>163</v>
      </c>
      <c r="C2942" s="5" t="s">
        <v>68</v>
      </c>
      <c r="D2942" s="6">
        <v>4.0</v>
      </c>
      <c r="E2942" s="6">
        <v>297699.0</v>
      </c>
      <c r="F2942" s="6">
        <v>0.0</v>
      </c>
      <c r="G2942" s="6">
        <v>22720.0</v>
      </c>
      <c r="H2942" s="6">
        <v>13.1029</v>
      </c>
      <c r="I2942" s="6">
        <v>0.0</v>
      </c>
      <c r="J2942" s="6">
        <v>13.1029</v>
      </c>
    </row>
    <row r="2943">
      <c r="A2943" s="5" t="s">
        <v>59</v>
      </c>
      <c r="B2943" s="5" t="s">
        <v>163</v>
      </c>
      <c r="C2943" s="5" t="s">
        <v>68</v>
      </c>
      <c r="D2943" s="6">
        <v>5.0</v>
      </c>
      <c r="E2943" s="6">
        <v>188491.0</v>
      </c>
      <c r="F2943" s="6">
        <v>0.0</v>
      </c>
      <c r="G2943" s="6">
        <v>22720.0</v>
      </c>
      <c r="H2943" s="6">
        <v>8.2963</v>
      </c>
      <c r="I2943" s="6">
        <v>0.0</v>
      </c>
      <c r="J2943" s="6">
        <v>8.2963</v>
      </c>
    </row>
    <row r="2944">
      <c r="A2944" s="5" t="s">
        <v>59</v>
      </c>
      <c r="B2944" s="5" t="s">
        <v>163</v>
      </c>
      <c r="C2944" s="5" t="s">
        <v>68</v>
      </c>
      <c r="D2944" s="6">
        <v>6.0</v>
      </c>
      <c r="E2944" s="6">
        <v>148591.0</v>
      </c>
      <c r="F2944" s="6">
        <v>0.0</v>
      </c>
      <c r="G2944" s="6">
        <v>22720.0</v>
      </c>
      <c r="H2944" s="6">
        <v>6.5401</v>
      </c>
      <c r="I2944" s="6">
        <v>0.0</v>
      </c>
      <c r="J2944" s="6">
        <v>6.5401</v>
      </c>
    </row>
    <row r="2945">
      <c r="A2945" s="5" t="s">
        <v>59</v>
      </c>
      <c r="B2945" s="5" t="s">
        <v>163</v>
      </c>
      <c r="C2945" s="5" t="s">
        <v>68</v>
      </c>
      <c r="D2945" s="6">
        <v>7.0</v>
      </c>
      <c r="E2945" s="6">
        <v>275550.0</v>
      </c>
      <c r="F2945" s="6">
        <v>0.0</v>
      </c>
      <c r="G2945" s="6">
        <v>22720.0</v>
      </c>
      <c r="H2945" s="6">
        <v>12.1281</v>
      </c>
      <c r="I2945" s="6">
        <v>0.0</v>
      </c>
      <c r="J2945" s="6">
        <v>12.1281</v>
      </c>
    </row>
    <row r="2946">
      <c r="A2946" s="5" t="s">
        <v>59</v>
      </c>
      <c r="B2946" s="5" t="s">
        <v>163</v>
      </c>
      <c r="C2946" s="5" t="s">
        <v>68</v>
      </c>
      <c r="D2946" s="6">
        <v>8.0</v>
      </c>
      <c r="E2946" s="6">
        <v>171657.0</v>
      </c>
      <c r="F2946" s="6">
        <v>0.0</v>
      </c>
      <c r="G2946" s="6">
        <v>22720.0</v>
      </c>
      <c r="H2946" s="6">
        <v>7.5553</v>
      </c>
      <c r="I2946" s="6">
        <v>0.0</v>
      </c>
      <c r="J2946" s="6">
        <v>7.5553</v>
      </c>
    </row>
    <row r="2947">
      <c r="A2947" s="5" t="s">
        <v>59</v>
      </c>
      <c r="B2947" s="5" t="s">
        <v>163</v>
      </c>
      <c r="C2947" s="5" t="s">
        <v>68</v>
      </c>
      <c r="D2947" s="6">
        <v>9.0</v>
      </c>
      <c r="E2947" s="6">
        <v>233230.0</v>
      </c>
      <c r="F2947" s="6">
        <v>0.0</v>
      </c>
      <c r="G2947" s="6">
        <v>22720.0</v>
      </c>
      <c r="H2947" s="6">
        <v>10.2654</v>
      </c>
      <c r="I2947" s="6">
        <v>0.0</v>
      </c>
      <c r="J2947" s="6">
        <v>10.2654</v>
      </c>
    </row>
    <row r="2948">
      <c r="A2948" s="5" t="s">
        <v>59</v>
      </c>
      <c r="B2948" s="5" t="s">
        <v>163</v>
      </c>
      <c r="C2948" s="5" t="s">
        <v>68</v>
      </c>
      <c r="D2948" s="6">
        <v>10.0</v>
      </c>
      <c r="E2948" s="6">
        <v>330029.0</v>
      </c>
      <c r="F2948" s="6">
        <v>0.0</v>
      </c>
      <c r="G2948" s="6">
        <v>22720.0</v>
      </c>
      <c r="H2948" s="6">
        <v>14.5259</v>
      </c>
      <c r="I2948" s="6">
        <v>0.0</v>
      </c>
      <c r="J2948" s="6">
        <v>14.5259</v>
      </c>
    </row>
    <row r="2949">
      <c r="A2949" s="5" t="s">
        <v>59</v>
      </c>
      <c r="B2949" s="5" t="s">
        <v>163</v>
      </c>
      <c r="C2949" s="5" t="s">
        <v>68</v>
      </c>
      <c r="D2949" s="6">
        <v>11.0</v>
      </c>
      <c r="E2949" s="6">
        <v>275834.0</v>
      </c>
      <c r="F2949" s="6">
        <v>0.0</v>
      </c>
      <c r="G2949" s="6">
        <v>22720.0</v>
      </c>
      <c r="H2949" s="6">
        <v>12.1406</v>
      </c>
      <c r="I2949" s="6">
        <v>0.0</v>
      </c>
      <c r="J2949" s="6">
        <v>12.1406</v>
      </c>
    </row>
    <row r="2950">
      <c r="A2950" s="5" t="s">
        <v>59</v>
      </c>
      <c r="B2950" s="5" t="s">
        <v>163</v>
      </c>
      <c r="C2950" s="5" t="s">
        <v>68</v>
      </c>
      <c r="D2950" s="6">
        <v>12.0</v>
      </c>
      <c r="E2950" s="6">
        <v>165537.0</v>
      </c>
      <c r="F2950" s="6">
        <v>0.0</v>
      </c>
      <c r="G2950" s="6">
        <v>22720.0</v>
      </c>
      <c r="H2950" s="6">
        <v>7.286</v>
      </c>
      <c r="I2950" s="6">
        <v>0.0</v>
      </c>
      <c r="J2950" s="6">
        <v>7.286</v>
      </c>
    </row>
    <row r="2951">
      <c r="A2951" s="5" t="s">
        <v>59</v>
      </c>
      <c r="B2951" s="5" t="s">
        <v>163</v>
      </c>
      <c r="C2951" s="5" t="s">
        <v>68</v>
      </c>
      <c r="D2951" s="6">
        <v>13.0</v>
      </c>
      <c r="E2951" s="6">
        <v>119230.0</v>
      </c>
      <c r="F2951" s="6">
        <v>0.0</v>
      </c>
      <c r="G2951" s="6">
        <v>22720.0</v>
      </c>
      <c r="H2951" s="6">
        <v>5.2478</v>
      </c>
      <c r="I2951" s="6">
        <v>0.0</v>
      </c>
      <c r="J2951" s="6">
        <v>5.2478</v>
      </c>
    </row>
    <row r="2952">
      <c r="A2952" s="5" t="s">
        <v>59</v>
      </c>
      <c r="B2952" s="5" t="s">
        <v>163</v>
      </c>
      <c r="C2952" s="5" t="s">
        <v>68</v>
      </c>
      <c r="D2952" s="6">
        <v>14.0</v>
      </c>
      <c r="E2952" s="6">
        <v>267059.0</v>
      </c>
      <c r="F2952" s="6">
        <v>0.0</v>
      </c>
      <c r="G2952" s="6">
        <v>22720.0</v>
      </c>
      <c r="H2952" s="6">
        <v>11.7544</v>
      </c>
      <c r="I2952" s="6">
        <v>0.0</v>
      </c>
      <c r="J2952" s="6">
        <v>11.7544</v>
      </c>
    </row>
    <row r="2953">
      <c r="A2953" s="5" t="s">
        <v>59</v>
      </c>
      <c r="B2953" s="5" t="s">
        <v>163</v>
      </c>
      <c r="C2953" s="5" t="s">
        <v>68</v>
      </c>
      <c r="D2953" s="6">
        <v>15.0</v>
      </c>
      <c r="E2953" s="6">
        <v>139914.0</v>
      </c>
      <c r="F2953" s="6">
        <v>0.0</v>
      </c>
      <c r="G2953" s="6">
        <v>22720.0</v>
      </c>
      <c r="H2953" s="6">
        <v>6.1582</v>
      </c>
      <c r="I2953" s="6">
        <v>0.0</v>
      </c>
      <c r="J2953" s="6">
        <v>6.1582</v>
      </c>
    </row>
    <row r="2954">
      <c r="A2954" s="5" t="s">
        <v>59</v>
      </c>
      <c r="B2954" s="5" t="s">
        <v>163</v>
      </c>
      <c r="C2954" s="5" t="s">
        <v>68</v>
      </c>
      <c r="D2954" s="6">
        <v>16.0</v>
      </c>
      <c r="E2954" s="6">
        <v>911876.0</v>
      </c>
      <c r="F2954" s="6">
        <v>0.0</v>
      </c>
      <c r="G2954" s="6">
        <v>22720.0</v>
      </c>
      <c r="H2954" s="6">
        <v>40.1354</v>
      </c>
      <c r="I2954" s="6">
        <v>0.0</v>
      </c>
      <c r="J2954" s="6">
        <v>40.1354</v>
      </c>
    </row>
    <row r="2955">
      <c r="A2955" s="5" t="s">
        <v>59</v>
      </c>
      <c r="B2955" s="5" t="s">
        <v>163</v>
      </c>
      <c r="C2955" s="5" t="s">
        <v>68</v>
      </c>
      <c r="D2955" s="6">
        <v>17.0</v>
      </c>
      <c r="E2955" s="6">
        <v>394278.0</v>
      </c>
      <c r="F2955" s="6">
        <v>0.0</v>
      </c>
      <c r="G2955" s="6">
        <v>22720.0</v>
      </c>
      <c r="H2955" s="6">
        <v>17.3538</v>
      </c>
      <c r="I2955" s="6">
        <v>0.0</v>
      </c>
      <c r="J2955" s="6">
        <v>17.3538</v>
      </c>
    </row>
    <row r="2956">
      <c r="A2956" s="5" t="s">
        <v>59</v>
      </c>
      <c r="B2956" s="5" t="s">
        <v>163</v>
      </c>
      <c r="C2956" s="5" t="s">
        <v>68</v>
      </c>
      <c r="D2956" s="6">
        <v>18.0</v>
      </c>
      <c r="E2956" s="6">
        <v>345575.0</v>
      </c>
      <c r="F2956" s="6">
        <v>0.0</v>
      </c>
      <c r="G2956" s="6">
        <v>22720.0</v>
      </c>
      <c r="H2956" s="6">
        <v>15.2102</v>
      </c>
      <c r="I2956" s="6">
        <v>0.0</v>
      </c>
      <c r="J2956" s="6">
        <v>15.2102</v>
      </c>
    </row>
    <row r="2957">
      <c r="A2957" s="5" t="s">
        <v>59</v>
      </c>
      <c r="B2957" s="5" t="s">
        <v>163</v>
      </c>
      <c r="C2957" s="5" t="s">
        <v>68</v>
      </c>
      <c r="D2957" s="6">
        <v>19.0</v>
      </c>
      <c r="E2957" s="6">
        <v>205535.0</v>
      </c>
      <c r="F2957" s="6">
        <v>0.0</v>
      </c>
      <c r="G2957" s="6">
        <v>22720.0</v>
      </c>
      <c r="H2957" s="6">
        <v>9.0464</v>
      </c>
      <c r="I2957" s="6">
        <v>0.0</v>
      </c>
      <c r="J2957" s="6">
        <v>9.0464</v>
      </c>
    </row>
    <row r="2958">
      <c r="A2958" s="5" t="s">
        <v>59</v>
      </c>
      <c r="B2958" s="5" t="s">
        <v>163</v>
      </c>
      <c r="C2958" s="5" t="s">
        <v>68</v>
      </c>
      <c r="D2958" s="6">
        <v>20.0</v>
      </c>
      <c r="E2958" s="6">
        <v>158900.0</v>
      </c>
      <c r="F2958" s="6">
        <v>0.0</v>
      </c>
      <c r="G2958" s="6">
        <v>22720.0</v>
      </c>
      <c r="H2958" s="6">
        <v>6.9938</v>
      </c>
      <c r="I2958" s="6">
        <v>0.0</v>
      </c>
      <c r="J2958" s="6">
        <v>6.9938</v>
      </c>
    </row>
    <row r="2959">
      <c r="A2959" s="5" t="s">
        <v>59</v>
      </c>
      <c r="B2959" s="5" t="s">
        <v>163</v>
      </c>
      <c r="C2959" s="5" t="s">
        <v>68</v>
      </c>
      <c r="D2959" s="6">
        <v>21.0</v>
      </c>
      <c r="E2959" s="6">
        <v>295276.0</v>
      </c>
      <c r="F2959" s="6">
        <v>0.0</v>
      </c>
      <c r="G2959" s="6">
        <v>22720.0</v>
      </c>
      <c r="H2959" s="6">
        <v>12.9963</v>
      </c>
      <c r="I2959" s="6">
        <v>0.0</v>
      </c>
      <c r="J2959" s="6">
        <v>12.9963</v>
      </c>
    </row>
    <row r="2960">
      <c r="A2960" s="5" t="s">
        <v>59</v>
      </c>
      <c r="B2960" s="5" t="s">
        <v>163</v>
      </c>
      <c r="C2960" s="5" t="s">
        <v>68</v>
      </c>
      <c r="D2960" s="6">
        <v>22.0</v>
      </c>
      <c r="E2960" s="6">
        <v>181752.0</v>
      </c>
      <c r="F2960" s="6">
        <v>0.0</v>
      </c>
      <c r="G2960" s="6">
        <v>22720.0</v>
      </c>
      <c r="H2960" s="6">
        <v>7.9996</v>
      </c>
      <c r="I2960" s="6">
        <v>0.0</v>
      </c>
      <c r="J2960" s="6">
        <v>7.9996</v>
      </c>
    </row>
    <row r="2961">
      <c r="A2961" s="5" t="s">
        <v>59</v>
      </c>
      <c r="B2961" s="5" t="s">
        <v>163</v>
      </c>
      <c r="C2961" s="5" t="s">
        <v>68</v>
      </c>
      <c r="D2961" s="6">
        <v>23.0</v>
      </c>
      <c r="E2961" s="6">
        <v>262260.0</v>
      </c>
      <c r="F2961" s="6">
        <v>0.0</v>
      </c>
      <c r="G2961" s="6">
        <v>22720.0</v>
      </c>
      <c r="H2961" s="6">
        <v>11.5431</v>
      </c>
      <c r="I2961" s="6">
        <v>0.0</v>
      </c>
      <c r="J2961" s="6">
        <v>11.5431</v>
      </c>
    </row>
    <row r="2962">
      <c r="A2962" s="5" t="s">
        <v>59</v>
      </c>
      <c r="B2962" s="5" t="s">
        <v>163</v>
      </c>
      <c r="C2962" s="5" t="s">
        <v>68</v>
      </c>
      <c r="D2962" s="6">
        <v>24.0</v>
      </c>
      <c r="E2962" s="6">
        <v>380123.0</v>
      </c>
      <c r="F2962" s="6">
        <v>0.0</v>
      </c>
      <c r="G2962" s="6">
        <v>22720.0</v>
      </c>
      <c r="H2962" s="6">
        <v>16.7308</v>
      </c>
      <c r="I2962" s="6">
        <v>0.0</v>
      </c>
      <c r="J2962" s="6">
        <v>16.7308</v>
      </c>
    </row>
    <row r="2963">
      <c r="A2963" s="5" t="s">
        <v>59</v>
      </c>
      <c r="B2963" s="5" t="s">
        <v>163</v>
      </c>
      <c r="C2963" s="5" t="s">
        <v>68</v>
      </c>
      <c r="D2963" s="6">
        <v>25.0</v>
      </c>
      <c r="E2963" s="6">
        <v>327588.0</v>
      </c>
      <c r="F2963" s="6">
        <v>0.0</v>
      </c>
      <c r="G2963" s="6">
        <v>22720.0</v>
      </c>
      <c r="H2963" s="6">
        <v>14.4185</v>
      </c>
      <c r="I2963" s="6">
        <v>0.0</v>
      </c>
      <c r="J2963" s="6">
        <v>14.4185</v>
      </c>
    </row>
    <row r="2964">
      <c r="A2964" s="5" t="s">
        <v>59</v>
      </c>
      <c r="B2964" s="5" t="s">
        <v>163</v>
      </c>
      <c r="C2964" s="5" t="s">
        <v>68</v>
      </c>
      <c r="D2964" s="6">
        <v>26.0</v>
      </c>
      <c r="E2964" s="6">
        <v>179824.0</v>
      </c>
      <c r="F2964" s="6">
        <v>0.0</v>
      </c>
      <c r="G2964" s="6">
        <v>22720.0</v>
      </c>
      <c r="H2964" s="6">
        <v>7.9148</v>
      </c>
      <c r="I2964" s="6">
        <v>0.0</v>
      </c>
      <c r="J2964" s="6">
        <v>7.9148</v>
      </c>
    </row>
    <row r="2965">
      <c r="A2965" s="5" t="s">
        <v>59</v>
      </c>
      <c r="B2965" s="5" t="s">
        <v>163</v>
      </c>
      <c r="C2965" s="5" t="s">
        <v>68</v>
      </c>
      <c r="D2965" s="6">
        <v>27.0</v>
      </c>
      <c r="E2965" s="6">
        <v>127852.0</v>
      </c>
      <c r="F2965" s="6">
        <v>0.0</v>
      </c>
      <c r="G2965" s="6">
        <v>22720.0</v>
      </c>
      <c r="H2965" s="6">
        <v>5.6273</v>
      </c>
      <c r="I2965" s="6">
        <v>0.0</v>
      </c>
      <c r="J2965" s="6">
        <v>5.6273</v>
      </c>
    </row>
    <row r="2966">
      <c r="A2966" s="5" t="s">
        <v>59</v>
      </c>
      <c r="B2966" s="5" t="s">
        <v>163</v>
      </c>
      <c r="C2966" s="5" t="s">
        <v>68</v>
      </c>
      <c r="D2966" s="6">
        <v>28.0</v>
      </c>
      <c r="E2966" s="6">
        <v>295459.0</v>
      </c>
      <c r="F2966" s="6">
        <v>0.0</v>
      </c>
      <c r="G2966" s="6">
        <v>22720.0</v>
      </c>
      <c r="H2966" s="6">
        <v>13.0044</v>
      </c>
      <c r="I2966" s="6">
        <v>0.0</v>
      </c>
      <c r="J2966" s="6">
        <v>13.0044</v>
      </c>
    </row>
    <row r="2967">
      <c r="A2967" s="5" t="s">
        <v>59</v>
      </c>
      <c r="B2967" s="5" t="s">
        <v>163</v>
      </c>
      <c r="C2967" s="5" t="s">
        <v>68</v>
      </c>
      <c r="D2967" s="6">
        <v>29.0</v>
      </c>
      <c r="E2967" s="6">
        <v>175936.0</v>
      </c>
      <c r="F2967" s="6">
        <v>0.0</v>
      </c>
      <c r="G2967" s="6">
        <v>22720.0</v>
      </c>
      <c r="H2967" s="6">
        <v>7.7437</v>
      </c>
      <c r="I2967" s="6">
        <v>0.0</v>
      </c>
      <c r="J2967" s="6">
        <v>7.7437</v>
      </c>
    </row>
    <row r="2968">
      <c r="A2968" s="5" t="s">
        <v>59</v>
      </c>
      <c r="B2968" s="5" t="s">
        <v>163</v>
      </c>
      <c r="C2968" s="5" t="s">
        <v>68</v>
      </c>
      <c r="D2968" s="6">
        <v>30.0</v>
      </c>
      <c r="E2968" s="6">
        <v>977406.0</v>
      </c>
      <c r="F2968" s="6">
        <v>0.0</v>
      </c>
      <c r="G2968" s="6">
        <v>22720.0</v>
      </c>
      <c r="H2968" s="6">
        <v>43.0196</v>
      </c>
      <c r="I2968" s="6">
        <v>0.0</v>
      </c>
      <c r="J2968" s="6">
        <v>43.0196</v>
      </c>
    </row>
    <row r="2969">
      <c r="A2969" s="5" t="s">
        <v>59</v>
      </c>
      <c r="B2969" s="5" t="s">
        <v>163</v>
      </c>
      <c r="C2969" s="5" t="s">
        <v>68</v>
      </c>
      <c r="D2969" s="6">
        <v>31.0</v>
      </c>
      <c r="E2969" s="6">
        <v>512231.0</v>
      </c>
      <c r="F2969" s="6">
        <v>0.0</v>
      </c>
      <c r="G2969" s="6">
        <v>22720.0</v>
      </c>
      <c r="H2969" s="6">
        <v>22.5454</v>
      </c>
      <c r="I2969" s="6">
        <v>0.0</v>
      </c>
      <c r="J2969" s="6">
        <v>22.5454</v>
      </c>
    </row>
    <row r="2970">
      <c r="A2970" s="5" t="s">
        <v>59</v>
      </c>
      <c r="B2970" s="5" t="s">
        <v>163</v>
      </c>
      <c r="C2970" s="5" t="s">
        <v>68</v>
      </c>
      <c r="D2970" s="6">
        <v>32.0</v>
      </c>
      <c r="E2970" s="6">
        <v>394101.0</v>
      </c>
      <c r="F2970" s="6">
        <v>0.0</v>
      </c>
      <c r="G2970" s="6">
        <v>22720.0</v>
      </c>
      <c r="H2970" s="6">
        <v>17.346</v>
      </c>
      <c r="I2970" s="6">
        <v>0.0</v>
      </c>
      <c r="J2970" s="6">
        <v>17.346</v>
      </c>
    </row>
    <row r="2971">
      <c r="A2971" s="5" t="s">
        <v>59</v>
      </c>
      <c r="B2971" s="5" t="s">
        <v>163</v>
      </c>
      <c r="C2971" s="5" t="s">
        <v>68</v>
      </c>
      <c r="D2971" s="6">
        <v>33.0</v>
      </c>
      <c r="E2971" s="6">
        <v>245133.0</v>
      </c>
      <c r="F2971" s="6">
        <v>0.0</v>
      </c>
      <c r="G2971" s="6">
        <v>22720.0</v>
      </c>
      <c r="H2971" s="6">
        <v>10.7893</v>
      </c>
      <c r="I2971" s="6">
        <v>0.0</v>
      </c>
      <c r="J2971" s="6">
        <v>10.7893</v>
      </c>
    </row>
    <row r="2972">
      <c r="A2972" s="5" t="s">
        <v>59</v>
      </c>
      <c r="B2972" s="5" t="s">
        <v>163</v>
      </c>
      <c r="C2972" s="5" t="s">
        <v>2035</v>
      </c>
      <c r="D2972" s="6">
        <v>1.0</v>
      </c>
      <c r="E2972" s="6">
        <v>30.0</v>
      </c>
      <c r="F2972" s="6">
        <v>0.0</v>
      </c>
      <c r="G2972" s="6">
        <v>5182.0</v>
      </c>
      <c r="H2972" s="6">
        <v>0.0058</v>
      </c>
      <c r="I2972" s="6">
        <v>0.0</v>
      </c>
      <c r="J2972" s="6">
        <v>0.0058</v>
      </c>
    </row>
    <row r="2973">
      <c r="A2973" s="5" t="s">
        <v>59</v>
      </c>
      <c r="B2973" s="5" t="s">
        <v>163</v>
      </c>
      <c r="C2973" s="5" t="s">
        <v>2035</v>
      </c>
      <c r="D2973" s="6">
        <v>2.0</v>
      </c>
      <c r="E2973" s="6">
        <v>10145.0</v>
      </c>
      <c r="F2973" s="6">
        <v>0.0</v>
      </c>
      <c r="G2973" s="6">
        <v>5182.0</v>
      </c>
      <c r="H2973" s="6">
        <v>1.9577</v>
      </c>
      <c r="I2973" s="6">
        <v>0.0</v>
      </c>
      <c r="J2973" s="6">
        <v>1.9577</v>
      </c>
    </row>
    <row r="2974">
      <c r="A2974" s="5" t="s">
        <v>59</v>
      </c>
      <c r="B2974" s="5" t="s">
        <v>163</v>
      </c>
      <c r="C2974" s="5" t="s">
        <v>2035</v>
      </c>
      <c r="D2974" s="6">
        <v>3.0</v>
      </c>
      <c r="E2974" s="6">
        <v>7530.0</v>
      </c>
      <c r="F2974" s="6">
        <v>0.0</v>
      </c>
      <c r="G2974" s="6">
        <v>5182.0</v>
      </c>
      <c r="H2974" s="6">
        <v>1.4531</v>
      </c>
      <c r="I2974" s="6">
        <v>0.0</v>
      </c>
      <c r="J2974" s="6">
        <v>1.4531</v>
      </c>
    </row>
    <row r="2975">
      <c r="A2975" s="5" t="s">
        <v>59</v>
      </c>
      <c r="B2975" s="5" t="s">
        <v>163</v>
      </c>
      <c r="C2975" s="5" t="s">
        <v>2035</v>
      </c>
      <c r="D2975" s="6">
        <v>4.0</v>
      </c>
      <c r="E2975" s="6">
        <v>7690.0</v>
      </c>
      <c r="F2975" s="6">
        <v>0.0</v>
      </c>
      <c r="G2975" s="6">
        <v>5182.0</v>
      </c>
      <c r="H2975" s="6">
        <v>1.484</v>
      </c>
      <c r="I2975" s="6">
        <v>0.0</v>
      </c>
      <c r="J2975" s="6">
        <v>1.484</v>
      </c>
    </row>
    <row r="2976">
      <c r="A2976" s="5" t="s">
        <v>59</v>
      </c>
      <c r="B2976" s="5" t="s">
        <v>163</v>
      </c>
      <c r="C2976" s="5" t="s">
        <v>2035</v>
      </c>
      <c r="D2976" s="6">
        <v>5.0</v>
      </c>
      <c r="E2976" s="6">
        <v>7390.0</v>
      </c>
      <c r="F2976" s="6">
        <v>0.0</v>
      </c>
      <c r="G2976" s="6">
        <v>5182.0</v>
      </c>
      <c r="H2976" s="6">
        <v>1.4261</v>
      </c>
      <c r="I2976" s="6">
        <v>0.0</v>
      </c>
      <c r="J2976" s="6">
        <v>1.4261</v>
      </c>
    </row>
    <row r="2977">
      <c r="A2977" s="5" t="s">
        <v>59</v>
      </c>
      <c r="B2977" s="5" t="s">
        <v>163</v>
      </c>
      <c r="C2977" s="5" t="s">
        <v>2035</v>
      </c>
      <c r="D2977" s="6">
        <v>6.0</v>
      </c>
      <c r="E2977" s="6">
        <v>8620.0</v>
      </c>
      <c r="F2977" s="6">
        <v>0.0</v>
      </c>
      <c r="G2977" s="6">
        <v>5182.0</v>
      </c>
      <c r="H2977" s="6">
        <v>1.6635</v>
      </c>
      <c r="I2977" s="6">
        <v>0.0</v>
      </c>
      <c r="J2977" s="6">
        <v>1.6635</v>
      </c>
    </row>
    <row r="2978">
      <c r="A2978" s="5" t="s">
        <v>59</v>
      </c>
      <c r="B2978" s="5" t="s">
        <v>163</v>
      </c>
      <c r="C2978" s="5" t="s">
        <v>2035</v>
      </c>
      <c r="D2978" s="6">
        <v>7.0</v>
      </c>
      <c r="E2978" s="6">
        <v>6315.0</v>
      </c>
      <c r="F2978" s="6">
        <v>0.0</v>
      </c>
      <c r="G2978" s="6">
        <v>5182.0</v>
      </c>
      <c r="H2978" s="6">
        <v>1.2186</v>
      </c>
      <c r="I2978" s="6">
        <v>0.0</v>
      </c>
      <c r="J2978" s="6">
        <v>1.2186</v>
      </c>
    </row>
    <row r="2979">
      <c r="A2979" s="5" t="s">
        <v>59</v>
      </c>
      <c r="B2979" s="5" t="s">
        <v>163</v>
      </c>
      <c r="C2979" s="5" t="s">
        <v>2035</v>
      </c>
      <c r="D2979" s="6">
        <v>8.0</v>
      </c>
      <c r="E2979" s="6">
        <v>6125.0</v>
      </c>
      <c r="F2979" s="6">
        <v>0.0</v>
      </c>
      <c r="G2979" s="6">
        <v>5182.0</v>
      </c>
      <c r="H2979" s="6">
        <v>1.182</v>
      </c>
      <c r="I2979" s="6">
        <v>0.0</v>
      </c>
      <c r="J2979" s="6">
        <v>1.182</v>
      </c>
    </row>
    <row r="2980">
      <c r="A2980" s="5" t="s">
        <v>59</v>
      </c>
      <c r="B2980" s="5" t="s">
        <v>163</v>
      </c>
      <c r="C2980" s="5" t="s">
        <v>2035</v>
      </c>
      <c r="D2980" s="6">
        <v>9.0</v>
      </c>
      <c r="E2980" s="6">
        <v>205.0</v>
      </c>
      <c r="F2980" s="6">
        <v>0.0</v>
      </c>
      <c r="G2980" s="6">
        <v>5182.0</v>
      </c>
      <c r="H2980" s="6">
        <v>0.0396</v>
      </c>
      <c r="I2980" s="6">
        <v>0.0</v>
      </c>
      <c r="J2980" s="6">
        <v>0.0396</v>
      </c>
    </row>
    <row r="2981">
      <c r="A2981" s="5" t="s">
        <v>59</v>
      </c>
      <c r="B2981" s="5" t="s">
        <v>163</v>
      </c>
      <c r="C2981" s="5" t="s">
        <v>2035</v>
      </c>
      <c r="D2981" s="6">
        <v>10.0</v>
      </c>
      <c r="E2981" s="6">
        <v>30.0</v>
      </c>
      <c r="F2981" s="6">
        <v>0.0</v>
      </c>
      <c r="G2981" s="6">
        <v>5182.0</v>
      </c>
      <c r="H2981" s="6">
        <v>0.0058</v>
      </c>
      <c r="I2981" s="6">
        <v>0.0</v>
      </c>
      <c r="J2981" s="6">
        <v>0.0058</v>
      </c>
    </row>
    <row r="2982">
      <c r="A2982" s="5" t="s">
        <v>59</v>
      </c>
      <c r="B2982" s="5" t="s">
        <v>163</v>
      </c>
      <c r="C2982" s="5" t="s">
        <v>2035</v>
      </c>
      <c r="D2982" s="6">
        <v>11.0</v>
      </c>
      <c r="E2982" s="6">
        <v>60.0</v>
      </c>
      <c r="F2982" s="6">
        <v>0.0</v>
      </c>
      <c r="G2982" s="6">
        <v>5182.0</v>
      </c>
      <c r="H2982" s="6">
        <v>0.0116</v>
      </c>
      <c r="I2982" s="6">
        <v>0.0</v>
      </c>
      <c r="J2982" s="6">
        <v>0.0116</v>
      </c>
    </row>
    <row r="2983">
      <c r="A2983" s="5" t="s">
        <v>59</v>
      </c>
      <c r="B2983" s="5" t="s">
        <v>163</v>
      </c>
      <c r="C2983" s="5" t="s">
        <v>2035</v>
      </c>
      <c r="D2983" s="6">
        <v>12.0</v>
      </c>
      <c r="E2983" s="6">
        <v>45.0</v>
      </c>
      <c r="F2983" s="6">
        <v>0.0</v>
      </c>
      <c r="G2983" s="6">
        <v>5182.0</v>
      </c>
      <c r="H2983" s="6">
        <v>0.0087</v>
      </c>
      <c r="I2983" s="6">
        <v>0.0</v>
      </c>
      <c r="J2983" s="6">
        <v>0.0087</v>
      </c>
    </row>
    <row r="2984">
      <c r="A2984" s="5" t="s">
        <v>59</v>
      </c>
      <c r="B2984" s="5" t="s">
        <v>163</v>
      </c>
      <c r="C2984" s="5" t="s">
        <v>2035</v>
      </c>
      <c r="D2984" s="6">
        <v>13.0</v>
      </c>
      <c r="E2984" s="6">
        <v>0.0</v>
      </c>
      <c r="F2984" s="6">
        <v>0.0</v>
      </c>
      <c r="G2984" s="6">
        <v>5182.0</v>
      </c>
      <c r="H2984" s="6">
        <v>0.0</v>
      </c>
      <c r="I2984" s="6">
        <v>0.0</v>
      </c>
      <c r="J2984" s="6">
        <v>0.0</v>
      </c>
    </row>
    <row r="2985">
      <c r="A2985" s="5" t="s">
        <v>59</v>
      </c>
      <c r="B2985" s="5" t="s">
        <v>163</v>
      </c>
      <c r="C2985" s="5" t="s">
        <v>2035</v>
      </c>
      <c r="D2985" s="6">
        <v>14.0</v>
      </c>
      <c r="E2985" s="6">
        <v>60.0</v>
      </c>
      <c r="F2985" s="6">
        <v>0.0</v>
      </c>
      <c r="G2985" s="6">
        <v>5182.0</v>
      </c>
      <c r="H2985" s="6">
        <v>0.0116</v>
      </c>
      <c r="I2985" s="6">
        <v>0.0</v>
      </c>
      <c r="J2985" s="6">
        <v>0.0116</v>
      </c>
    </row>
    <row r="2986">
      <c r="A2986" s="5" t="s">
        <v>59</v>
      </c>
      <c r="B2986" s="5" t="s">
        <v>163</v>
      </c>
      <c r="C2986" s="5" t="s">
        <v>2035</v>
      </c>
      <c r="D2986" s="6">
        <v>15.0</v>
      </c>
      <c r="E2986" s="6">
        <v>150.0</v>
      </c>
      <c r="F2986" s="6">
        <v>0.0</v>
      </c>
      <c r="G2986" s="6">
        <v>5182.0</v>
      </c>
      <c r="H2986" s="6">
        <v>0.0289</v>
      </c>
      <c r="I2986" s="6">
        <v>0.0</v>
      </c>
      <c r="J2986" s="6">
        <v>0.0289</v>
      </c>
    </row>
    <row r="2987">
      <c r="A2987" s="5" t="s">
        <v>59</v>
      </c>
      <c r="B2987" s="5" t="s">
        <v>163</v>
      </c>
      <c r="C2987" s="5" t="s">
        <v>2035</v>
      </c>
      <c r="D2987" s="6">
        <v>16.0</v>
      </c>
      <c r="E2987" s="6">
        <v>10970.0</v>
      </c>
      <c r="F2987" s="6">
        <v>0.0</v>
      </c>
      <c r="G2987" s="6">
        <v>5182.0</v>
      </c>
      <c r="H2987" s="6">
        <v>2.1169</v>
      </c>
      <c r="I2987" s="6">
        <v>0.0</v>
      </c>
      <c r="J2987" s="6">
        <v>2.1169</v>
      </c>
    </row>
    <row r="2988">
      <c r="A2988" s="5" t="s">
        <v>59</v>
      </c>
      <c r="B2988" s="5" t="s">
        <v>163</v>
      </c>
      <c r="C2988" s="5" t="s">
        <v>2035</v>
      </c>
      <c r="D2988" s="6">
        <v>17.0</v>
      </c>
      <c r="E2988" s="6">
        <v>8600.0</v>
      </c>
      <c r="F2988" s="6">
        <v>0.0</v>
      </c>
      <c r="G2988" s="6">
        <v>5182.0</v>
      </c>
      <c r="H2988" s="6">
        <v>1.6596</v>
      </c>
      <c r="I2988" s="6">
        <v>0.0</v>
      </c>
      <c r="J2988" s="6">
        <v>1.6596</v>
      </c>
    </row>
    <row r="2989">
      <c r="A2989" s="5" t="s">
        <v>59</v>
      </c>
      <c r="B2989" s="5" t="s">
        <v>163</v>
      </c>
      <c r="C2989" s="5" t="s">
        <v>2035</v>
      </c>
      <c r="D2989" s="6">
        <v>18.0</v>
      </c>
      <c r="E2989" s="6">
        <v>9030.0</v>
      </c>
      <c r="F2989" s="6">
        <v>0.0</v>
      </c>
      <c r="G2989" s="6">
        <v>5182.0</v>
      </c>
      <c r="H2989" s="6">
        <v>1.7426</v>
      </c>
      <c r="I2989" s="6">
        <v>0.0</v>
      </c>
      <c r="J2989" s="6">
        <v>1.7426</v>
      </c>
    </row>
    <row r="2990">
      <c r="A2990" s="5" t="s">
        <v>59</v>
      </c>
      <c r="B2990" s="5" t="s">
        <v>163</v>
      </c>
      <c r="C2990" s="5" t="s">
        <v>2035</v>
      </c>
      <c r="D2990" s="6">
        <v>19.0</v>
      </c>
      <c r="E2990" s="6">
        <v>7935.0</v>
      </c>
      <c r="F2990" s="6">
        <v>0.0</v>
      </c>
      <c r="G2990" s="6">
        <v>5182.0</v>
      </c>
      <c r="H2990" s="6">
        <v>1.5313</v>
      </c>
      <c r="I2990" s="6">
        <v>0.0</v>
      </c>
      <c r="J2990" s="6">
        <v>1.5313</v>
      </c>
    </row>
    <row r="2991">
      <c r="A2991" s="5" t="s">
        <v>59</v>
      </c>
      <c r="B2991" s="5" t="s">
        <v>163</v>
      </c>
      <c r="C2991" s="5" t="s">
        <v>2035</v>
      </c>
      <c r="D2991" s="6">
        <v>20.0</v>
      </c>
      <c r="E2991" s="6">
        <v>8265.0</v>
      </c>
      <c r="F2991" s="6">
        <v>0.0</v>
      </c>
      <c r="G2991" s="6">
        <v>5182.0</v>
      </c>
      <c r="H2991" s="6">
        <v>1.5949</v>
      </c>
      <c r="I2991" s="6">
        <v>0.0</v>
      </c>
      <c r="J2991" s="6">
        <v>1.5949</v>
      </c>
    </row>
    <row r="2992">
      <c r="A2992" s="5" t="s">
        <v>59</v>
      </c>
      <c r="B2992" s="5" t="s">
        <v>163</v>
      </c>
      <c r="C2992" s="5" t="s">
        <v>2035</v>
      </c>
      <c r="D2992" s="6">
        <v>21.0</v>
      </c>
      <c r="E2992" s="6">
        <v>8235.0</v>
      </c>
      <c r="F2992" s="6">
        <v>0.0</v>
      </c>
      <c r="G2992" s="6">
        <v>5182.0</v>
      </c>
      <c r="H2992" s="6">
        <v>1.5892</v>
      </c>
      <c r="I2992" s="6">
        <v>0.0</v>
      </c>
      <c r="J2992" s="6">
        <v>1.5892</v>
      </c>
    </row>
    <row r="2993">
      <c r="A2993" s="5" t="s">
        <v>59</v>
      </c>
      <c r="B2993" s="5" t="s">
        <v>163</v>
      </c>
      <c r="C2993" s="5" t="s">
        <v>2035</v>
      </c>
      <c r="D2993" s="6">
        <v>22.0</v>
      </c>
      <c r="E2993" s="6">
        <v>7235.0</v>
      </c>
      <c r="F2993" s="6">
        <v>0.0</v>
      </c>
      <c r="G2993" s="6">
        <v>5182.0</v>
      </c>
      <c r="H2993" s="6">
        <v>1.3962</v>
      </c>
      <c r="I2993" s="6">
        <v>0.0</v>
      </c>
      <c r="J2993" s="6">
        <v>1.3962</v>
      </c>
    </row>
    <row r="2994">
      <c r="A2994" s="5" t="s">
        <v>59</v>
      </c>
      <c r="B2994" s="5" t="s">
        <v>163</v>
      </c>
      <c r="C2994" s="5" t="s">
        <v>2035</v>
      </c>
      <c r="D2994" s="6">
        <v>23.0</v>
      </c>
      <c r="E2994" s="6">
        <v>220.0</v>
      </c>
      <c r="F2994" s="6">
        <v>0.0</v>
      </c>
      <c r="G2994" s="6">
        <v>5182.0</v>
      </c>
      <c r="H2994" s="6">
        <v>0.0425</v>
      </c>
      <c r="I2994" s="6">
        <v>0.0</v>
      </c>
      <c r="J2994" s="6">
        <v>0.0425</v>
      </c>
    </row>
    <row r="2995">
      <c r="A2995" s="5" t="s">
        <v>59</v>
      </c>
      <c r="B2995" s="5" t="s">
        <v>163</v>
      </c>
      <c r="C2995" s="5" t="s">
        <v>2035</v>
      </c>
      <c r="D2995" s="6">
        <v>24.0</v>
      </c>
      <c r="E2995" s="6">
        <v>30.0</v>
      </c>
      <c r="F2995" s="6">
        <v>0.0</v>
      </c>
      <c r="G2995" s="6">
        <v>5182.0</v>
      </c>
      <c r="H2995" s="6">
        <v>0.0058</v>
      </c>
      <c r="I2995" s="6">
        <v>0.0</v>
      </c>
      <c r="J2995" s="6">
        <v>0.0058</v>
      </c>
    </row>
    <row r="2996">
      <c r="A2996" s="5" t="s">
        <v>59</v>
      </c>
      <c r="B2996" s="5" t="s">
        <v>163</v>
      </c>
      <c r="C2996" s="5" t="s">
        <v>2035</v>
      </c>
      <c r="D2996" s="6">
        <v>25.0</v>
      </c>
      <c r="E2996" s="6">
        <v>15.0</v>
      </c>
      <c r="F2996" s="6">
        <v>0.0</v>
      </c>
      <c r="G2996" s="6">
        <v>5182.0</v>
      </c>
      <c r="H2996" s="6">
        <v>0.0029</v>
      </c>
      <c r="I2996" s="6">
        <v>0.0</v>
      </c>
      <c r="J2996" s="6">
        <v>0.0029</v>
      </c>
    </row>
    <row r="2997">
      <c r="A2997" s="5" t="s">
        <v>59</v>
      </c>
      <c r="B2997" s="5" t="s">
        <v>163</v>
      </c>
      <c r="C2997" s="5" t="s">
        <v>2035</v>
      </c>
      <c r="D2997" s="6">
        <v>26.0</v>
      </c>
      <c r="E2997" s="6">
        <v>0.0</v>
      </c>
      <c r="F2997" s="6">
        <v>0.0</v>
      </c>
      <c r="G2997" s="6">
        <v>5182.0</v>
      </c>
      <c r="H2997" s="6">
        <v>0.0</v>
      </c>
      <c r="I2997" s="6">
        <v>0.0</v>
      </c>
      <c r="J2997" s="6">
        <v>0.0</v>
      </c>
    </row>
    <row r="2998">
      <c r="A2998" s="5" t="s">
        <v>59</v>
      </c>
      <c r="B2998" s="5" t="s">
        <v>163</v>
      </c>
      <c r="C2998" s="5" t="s">
        <v>2035</v>
      </c>
      <c r="D2998" s="6">
        <v>27.0</v>
      </c>
      <c r="E2998" s="6">
        <v>30.0</v>
      </c>
      <c r="F2998" s="6">
        <v>0.0</v>
      </c>
      <c r="G2998" s="6">
        <v>5182.0</v>
      </c>
      <c r="H2998" s="6">
        <v>0.0058</v>
      </c>
      <c r="I2998" s="6">
        <v>0.0</v>
      </c>
      <c r="J2998" s="6">
        <v>0.0058</v>
      </c>
    </row>
    <row r="2999">
      <c r="A2999" s="5" t="s">
        <v>59</v>
      </c>
      <c r="B2999" s="5" t="s">
        <v>163</v>
      </c>
      <c r="C2999" s="5" t="s">
        <v>2035</v>
      </c>
      <c r="D2999" s="6">
        <v>28.0</v>
      </c>
      <c r="E2999" s="6">
        <v>30.0</v>
      </c>
      <c r="F2999" s="6">
        <v>0.0</v>
      </c>
      <c r="G2999" s="6">
        <v>5182.0</v>
      </c>
      <c r="H2999" s="6">
        <v>0.0058</v>
      </c>
      <c r="I2999" s="6">
        <v>0.0</v>
      </c>
      <c r="J2999" s="6">
        <v>0.0058</v>
      </c>
    </row>
    <row r="3000">
      <c r="A3000" s="5" t="s">
        <v>59</v>
      </c>
      <c r="B3000" s="5" t="s">
        <v>163</v>
      </c>
      <c r="C3000" s="5" t="s">
        <v>2035</v>
      </c>
      <c r="D3000" s="6">
        <v>29.0</v>
      </c>
      <c r="E3000" s="6">
        <v>15.0</v>
      </c>
      <c r="F3000" s="6">
        <v>0.0</v>
      </c>
      <c r="G3000" s="6">
        <v>5182.0</v>
      </c>
      <c r="H3000" s="6">
        <v>0.0029</v>
      </c>
      <c r="I3000" s="6">
        <v>0.0</v>
      </c>
      <c r="J3000" s="6">
        <v>0.0029</v>
      </c>
    </row>
    <row r="3001">
      <c r="A3001" s="5" t="s">
        <v>59</v>
      </c>
      <c r="B3001" s="5" t="s">
        <v>163</v>
      </c>
      <c r="C3001" s="5" t="s">
        <v>2035</v>
      </c>
      <c r="D3001" s="6">
        <v>30.0</v>
      </c>
      <c r="E3001" s="6">
        <v>12365.0</v>
      </c>
      <c r="F3001" s="6">
        <v>0.0</v>
      </c>
      <c r="G3001" s="6">
        <v>5182.0</v>
      </c>
      <c r="H3001" s="6">
        <v>2.3861</v>
      </c>
      <c r="I3001" s="6">
        <v>0.0</v>
      </c>
      <c r="J3001" s="6">
        <v>2.3861</v>
      </c>
    </row>
    <row r="3002">
      <c r="A3002" s="5" t="s">
        <v>59</v>
      </c>
      <c r="B3002" s="5" t="s">
        <v>163</v>
      </c>
      <c r="C3002" s="5" t="s">
        <v>2035</v>
      </c>
      <c r="D3002" s="6">
        <v>31.0</v>
      </c>
      <c r="E3002" s="6">
        <v>10985.0</v>
      </c>
      <c r="F3002" s="6">
        <v>0.0</v>
      </c>
      <c r="G3002" s="6">
        <v>5182.0</v>
      </c>
      <c r="H3002" s="6">
        <v>2.1198</v>
      </c>
      <c r="I3002" s="6">
        <v>0.0</v>
      </c>
      <c r="J3002" s="6">
        <v>2.1198</v>
      </c>
    </row>
    <row r="3003">
      <c r="A3003" s="5" t="s">
        <v>59</v>
      </c>
      <c r="B3003" s="5" t="s">
        <v>163</v>
      </c>
      <c r="C3003" s="5" t="s">
        <v>2035</v>
      </c>
      <c r="D3003" s="6">
        <v>32.0</v>
      </c>
      <c r="E3003" s="6">
        <v>9525.0</v>
      </c>
      <c r="F3003" s="6">
        <v>0.0</v>
      </c>
      <c r="G3003" s="6">
        <v>5182.0</v>
      </c>
      <c r="H3003" s="6">
        <v>1.8381</v>
      </c>
      <c r="I3003" s="6">
        <v>0.0</v>
      </c>
      <c r="J3003" s="6">
        <v>1.8381</v>
      </c>
    </row>
    <row r="3004">
      <c r="A3004" s="5" t="s">
        <v>59</v>
      </c>
      <c r="B3004" s="5" t="s">
        <v>163</v>
      </c>
      <c r="C3004" s="5" t="s">
        <v>2035</v>
      </c>
      <c r="D3004" s="6">
        <v>33.0</v>
      </c>
      <c r="E3004" s="6">
        <v>8655.0</v>
      </c>
      <c r="F3004" s="6">
        <v>0.0</v>
      </c>
      <c r="G3004" s="6">
        <v>5182.0</v>
      </c>
      <c r="H3004" s="6">
        <v>1.6702</v>
      </c>
      <c r="I3004" s="6">
        <v>0.0</v>
      </c>
      <c r="J3004" s="6">
        <v>1.6702</v>
      </c>
    </row>
    <row r="3005">
      <c r="A3005" s="5" t="s">
        <v>59</v>
      </c>
      <c r="B3005" s="5" t="s">
        <v>1867</v>
      </c>
      <c r="C3005" s="5" t="s">
        <v>1882</v>
      </c>
      <c r="D3005" s="6">
        <v>1.0</v>
      </c>
      <c r="E3005" s="6">
        <v>1763835.0</v>
      </c>
      <c r="F3005" s="6">
        <v>1872300.0</v>
      </c>
      <c r="G3005" s="6">
        <v>12591.0</v>
      </c>
      <c r="H3005" s="6">
        <v>140.087</v>
      </c>
      <c r="I3005" s="6">
        <v>148.7015</v>
      </c>
      <c r="J3005" s="6">
        <v>-8.6145</v>
      </c>
    </row>
    <row r="3006">
      <c r="A3006" s="5" t="s">
        <v>59</v>
      </c>
      <c r="B3006" s="5" t="s">
        <v>1867</v>
      </c>
      <c r="C3006" s="5" t="s">
        <v>1882</v>
      </c>
      <c r="D3006" s="6">
        <v>2.0</v>
      </c>
      <c r="E3006" s="6">
        <v>2013256.0</v>
      </c>
      <c r="F3006" s="6">
        <v>1971250.0</v>
      </c>
      <c r="G3006" s="6">
        <v>12591.0</v>
      </c>
      <c r="H3006" s="6">
        <v>159.8964</v>
      </c>
      <c r="I3006" s="6">
        <v>156.5602</v>
      </c>
      <c r="J3006" s="6">
        <v>3.3362</v>
      </c>
    </row>
    <row r="3007">
      <c r="A3007" s="5" t="s">
        <v>59</v>
      </c>
      <c r="B3007" s="5" t="s">
        <v>1867</v>
      </c>
      <c r="C3007" s="5" t="s">
        <v>1882</v>
      </c>
      <c r="D3007" s="6">
        <v>3.0</v>
      </c>
      <c r="E3007" s="6">
        <v>1916527.0</v>
      </c>
      <c r="F3007" s="6">
        <v>1950900.0</v>
      </c>
      <c r="G3007" s="6">
        <v>12591.0</v>
      </c>
      <c r="H3007" s="6">
        <v>152.214</v>
      </c>
      <c r="I3007" s="6">
        <v>154.944</v>
      </c>
      <c r="J3007" s="6">
        <v>-2.73</v>
      </c>
    </row>
    <row r="3008">
      <c r="A3008" s="5" t="s">
        <v>59</v>
      </c>
      <c r="B3008" s="5" t="s">
        <v>1867</v>
      </c>
      <c r="C3008" s="5" t="s">
        <v>1882</v>
      </c>
      <c r="D3008" s="6">
        <v>4.0</v>
      </c>
      <c r="E3008" s="6">
        <v>2006029.0</v>
      </c>
      <c r="F3008" s="6">
        <v>2010600.0</v>
      </c>
      <c r="G3008" s="6">
        <v>12591.0</v>
      </c>
      <c r="H3008" s="6">
        <v>159.3225</v>
      </c>
      <c r="I3008" s="6">
        <v>159.6855</v>
      </c>
      <c r="J3008" s="6">
        <v>-0.363</v>
      </c>
    </row>
    <row r="3009">
      <c r="A3009" s="5" t="s">
        <v>59</v>
      </c>
      <c r="B3009" s="5" t="s">
        <v>1867</v>
      </c>
      <c r="C3009" s="5" t="s">
        <v>1882</v>
      </c>
      <c r="D3009" s="6">
        <v>5.0</v>
      </c>
      <c r="E3009" s="6">
        <v>1845032.0</v>
      </c>
      <c r="F3009" s="6">
        <v>1955700.0</v>
      </c>
      <c r="G3009" s="6">
        <v>12591.0</v>
      </c>
      <c r="H3009" s="6">
        <v>146.5358</v>
      </c>
      <c r="I3009" s="6">
        <v>155.3252</v>
      </c>
      <c r="J3009" s="6">
        <v>-8.7895</v>
      </c>
    </row>
    <row r="3010">
      <c r="A3010" s="5" t="s">
        <v>59</v>
      </c>
      <c r="B3010" s="5" t="s">
        <v>1867</v>
      </c>
      <c r="C3010" s="5" t="s">
        <v>1882</v>
      </c>
      <c r="D3010" s="6">
        <v>6.0</v>
      </c>
      <c r="E3010" s="6">
        <v>2550347.0</v>
      </c>
      <c r="F3010" s="6">
        <v>2492950.0</v>
      </c>
      <c r="G3010" s="6">
        <v>12591.0</v>
      </c>
      <c r="H3010" s="6">
        <v>202.5532</v>
      </c>
      <c r="I3010" s="6">
        <v>197.9946</v>
      </c>
      <c r="J3010" s="6">
        <v>4.5586</v>
      </c>
    </row>
    <row r="3011">
      <c r="A3011" s="5" t="s">
        <v>59</v>
      </c>
      <c r="B3011" s="5" t="s">
        <v>1867</v>
      </c>
      <c r="C3011" s="5" t="s">
        <v>1882</v>
      </c>
      <c r="D3011" s="6">
        <v>7.0</v>
      </c>
      <c r="E3011" s="6">
        <v>1961122.0</v>
      </c>
      <c r="F3011" s="6">
        <v>1964950.0</v>
      </c>
      <c r="G3011" s="6">
        <v>12591.0</v>
      </c>
      <c r="H3011" s="6">
        <v>155.7559</v>
      </c>
      <c r="I3011" s="6">
        <v>156.0599</v>
      </c>
      <c r="J3011" s="6">
        <v>-0.304</v>
      </c>
    </row>
    <row r="3012">
      <c r="A3012" s="5" t="s">
        <v>59</v>
      </c>
      <c r="B3012" s="5" t="s">
        <v>1867</v>
      </c>
      <c r="C3012" s="5" t="s">
        <v>1882</v>
      </c>
      <c r="D3012" s="6">
        <v>8.0</v>
      </c>
      <c r="E3012" s="6">
        <v>1737245.0</v>
      </c>
      <c r="F3012" s="6">
        <v>1841600.0</v>
      </c>
      <c r="G3012" s="6">
        <v>12591.0</v>
      </c>
      <c r="H3012" s="6">
        <v>137.9751</v>
      </c>
      <c r="I3012" s="6">
        <v>146.2632</v>
      </c>
      <c r="J3012" s="6">
        <v>-8.2881</v>
      </c>
    </row>
    <row r="3013">
      <c r="A3013" s="5" t="s">
        <v>59</v>
      </c>
      <c r="B3013" s="5" t="s">
        <v>1867</v>
      </c>
      <c r="C3013" s="5" t="s">
        <v>1882</v>
      </c>
      <c r="D3013" s="6">
        <v>9.0</v>
      </c>
      <c r="E3013" s="6">
        <v>1881132.0</v>
      </c>
      <c r="F3013" s="6">
        <v>1876450.0</v>
      </c>
      <c r="G3013" s="6">
        <v>12591.0</v>
      </c>
      <c r="H3013" s="6">
        <v>149.4029</v>
      </c>
      <c r="I3013" s="6">
        <v>149.0311</v>
      </c>
      <c r="J3013" s="6">
        <v>0.3719</v>
      </c>
    </row>
    <row r="3014">
      <c r="A3014" s="5" t="s">
        <v>59</v>
      </c>
      <c r="B3014" s="5" t="s">
        <v>1867</v>
      </c>
      <c r="C3014" s="5" t="s">
        <v>1882</v>
      </c>
      <c r="D3014" s="6">
        <v>10.0</v>
      </c>
      <c r="E3014" s="6">
        <v>1928969.0</v>
      </c>
      <c r="F3014" s="6">
        <v>1971700.0</v>
      </c>
      <c r="G3014" s="6">
        <v>12591.0</v>
      </c>
      <c r="H3014" s="6">
        <v>153.2022</v>
      </c>
      <c r="I3014" s="6">
        <v>156.596</v>
      </c>
      <c r="J3014" s="6">
        <v>-3.3938</v>
      </c>
    </row>
    <row r="3015">
      <c r="A3015" s="5" t="s">
        <v>59</v>
      </c>
      <c r="B3015" s="5" t="s">
        <v>1867</v>
      </c>
      <c r="C3015" s="5" t="s">
        <v>1882</v>
      </c>
      <c r="D3015" s="6">
        <v>11.0</v>
      </c>
      <c r="E3015" s="6">
        <v>1986511.0</v>
      </c>
      <c r="F3015" s="6">
        <v>2017050.0</v>
      </c>
      <c r="G3015" s="6">
        <v>12591.0</v>
      </c>
      <c r="H3015" s="6">
        <v>157.7723</v>
      </c>
      <c r="I3015" s="6">
        <v>160.1978</v>
      </c>
      <c r="J3015" s="6">
        <v>-2.4255</v>
      </c>
    </row>
    <row r="3016">
      <c r="A3016" s="5" t="s">
        <v>59</v>
      </c>
      <c r="B3016" s="5" t="s">
        <v>1867</v>
      </c>
      <c r="C3016" s="5" t="s">
        <v>1882</v>
      </c>
      <c r="D3016" s="6">
        <v>12.0</v>
      </c>
      <c r="E3016" s="6">
        <v>1887933.0</v>
      </c>
      <c r="F3016" s="6">
        <v>2021400.0</v>
      </c>
      <c r="G3016" s="6">
        <v>12591.0</v>
      </c>
      <c r="H3016" s="6">
        <v>149.9431</v>
      </c>
      <c r="I3016" s="6">
        <v>160.5432</v>
      </c>
      <c r="J3016" s="6">
        <v>-10.6002</v>
      </c>
    </row>
    <row r="3017">
      <c r="A3017" s="5" t="s">
        <v>59</v>
      </c>
      <c r="B3017" s="5" t="s">
        <v>1867</v>
      </c>
      <c r="C3017" s="5" t="s">
        <v>1882</v>
      </c>
      <c r="D3017" s="6">
        <v>13.0</v>
      </c>
      <c r="E3017" s="6">
        <v>2587892.0</v>
      </c>
      <c r="F3017" s="6">
        <v>2602200.0</v>
      </c>
      <c r="G3017" s="6">
        <v>12591.0</v>
      </c>
      <c r="H3017" s="6">
        <v>205.5351</v>
      </c>
      <c r="I3017" s="6">
        <v>206.6714</v>
      </c>
      <c r="J3017" s="6">
        <v>-1.1364</v>
      </c>
    </row>
    <row r="3018">
      <c r="A3018" s="5" t="s">
        <v>59</v>
      </c>
      <c r="B3018" s="5" t="s">
        <v>1867</v>
      </c>
      <c r="C3018" s="5" t="s">
        <v>1882</v>
      </c>
      <c r="D3018" s="6">
        <v>14.0</v>
      </c>
      <c r="E3018" s="6">
        <v>2024230.0</v>
      </c>
      <c r="F3018" s="6">
        <v>2043700.0</v>
      </c>
      <c r="G3018" s="6">
        <v>12591.0</v>
      </c>
      <c r="H3018" s="6">
        <v>160.768</v>
      </c>
      <c r="I3018" s="6">
        <v>162.3144</v>
      </c>
      <c r="J3018" s="6">
        <v>-1.5463</v>
      </c>
    </row>
    <row r="3019">
      <c r="A3019" s="5" t="s">
        <v>59</v>
      </c>
      <c r="B3019" s="5" t="s">
        <v>1867</v>
      </c>
      <c r="C3019" s="5" t="s">
        <v>1882</v>
      </c>
      <c r="D3019" s="6">
        <v>15.0</v>
      </c>
      <c r="E3019" s="6">
        <v>1896346.0</v>
      </c>
      <c r="F3019" s="6">
        <v>2012150.0</v>
      </c>
      <c r="G3019" s="6">
        <v>12591.0</v>
      </c>
      <c r="H3019" s="6">
        <v>150.6112</v>
      </c>
      <c r="I3019" s="6">
        <v>159.8086</v>
      </c>
      <c r="J3019" s="6">
        <v>-9.1974</v>
      </c>
    </row>
    <row r="3020">
      <c r="A3020" s="5" t="s">
        <v>59</v>
      </c>
      <c r="B3020" s="5" t="s">
        <v>1867</v>
      </c>
      <c r="C3020" s="5" t="s">
        <v>1882</v>
      </c>
      <c r="D3020" s="6">
        <v>16.0</v>
      </c>
      <c r="E3020" s="6">
        <v>2182234.0</v>
      </c>
      <c r="F3020" s="6">
        <v>2114600.0</v>
      </c>
      <c r="G3020" s="6">
        <v>12591.0</v>
      </c>
      <c r="H3020" s="6">
        <v>173.317</v>
      </c>
      <c r="I3020" s="6">
        <v>167.9454</v>
      </c>
      <c r="J3020" s="6">
        <v>5.3716</v>
      </c>
    </row>
    <row r="3021">
      <c r="A3021" s="5" t="s">
        <v>59</v>
      </c>
      <c r="B3021" s="5" t="s">
        <v>1867</v>
      </c>
      <c r="C3021" s="5" t="s">
        <v>1882</v>
      </c>
      <c r="D3021" s="6">
        <v>17.0</v>
      </c>
      <c r="E3021" s="6">
        <v>2027952.0</v>
      </c>
      <c r="F3021" s="6">
        <v>2077050.0</v>
      </c>
      <c r="G3021" s="6">
        <v>12591.0</v>
      </c>
      <c r="H3021" s="6">
        <v>161.0636</v>
      </c>
      <c r="I3021" s="6">
        <v>164.9631</v>
      </c>
      <c r="J3021" s="6">
        <v>-3.8995</v>
      </c>
    </row>
    <row r="3022">
      <c r="A3022" s="5" t="s">
        <v>59</v>
      </c>
      <c r="B3022" s="5" t="s">
        <v>1867</v>
      </c>
      <c r="C3022" s="5" t="s">
        <v>1882</v>
      </c>
      <c r="D3022" s="6">
        <v>18.0</v>
      </c>
      <c r="E3022" s="6">
        <v>2062109.0</v>
      </c>
      <c r="F3022" s="6">
        <v>2060300.0</v>
      </c>
      <c r="G3022" s="6">
        <v>12591.0</v>
      </c>
      <c r="H3022" s="6">
        <v>163.7764</v>
      </c>
      <c r="I3022" s="6">
        <v>163.6328</v>
      </c>
      <c r="J3022" s="6">
        <v>0.1437</v>
      </c>
    </row>
    <row r="3023">
      <c r="A3023" s="5" t="s">
        <v>59</v>
      </c>
      <c r="B3023" s="5" t="s">
        <v>1867</v>
      </c>
      <c r="C3023" s="5" t="s">
        <v>1882</v>
      </c>
      <c r="D3023" s="6">
        <v>19.0</v>
      </c>
      <c r="E3023" s="6">
        <v>1869817.0</v>
      </c>
      <c r="F3023" s="6">
        <v>2017150.0</v>
      </c>
      <c r="G3023" s="6">
        <v>12591.0</v>
      </c>
      <c r="H3023" s="6">
        <v>148.5042</v>
      </c>
      <c r="I3023" s="6">
        <v>160.2057</v>
      </c>
      <c r="J3023" s="6">
        <v>-11.7015</v>
      </c>
    </row>
    <row r="3024">
      <c r="A3024" s="5" t="s">
        <v>59</v>
      </c>
      <c r="B3024" s="5" t="s">
        <v>1867</v>
      </c>
      <c r="C3024" s="5" t="s">
        <v>1882</v>
      </c>
      <c r="D3024" s="6">
        <v>20.0</v>
      </c>
      <c r="E3024" s="6">
        <v>2748570.0</v>
      </c>
      <c r="F3024" s="6">
        <v>2777900.0</v>
      </c>
      <c r="G3024" s="6">
        <v>12591.0</v>
      </c>
      <c r="H3024" s="6">
        <v>218.2964</v>
      </c>
      <c r="I3024" s="6">
        <v>220.6258</v>
      </c>
      <c r="J3024" s="6">
        <v>-2.3294</v>
      </c>
    </row>
    <row r="3025">
      <c r="A3025" s="5" t="s">
        <v>59</v>
      </c>
      <c r="B3025" s="5" t="s">
        <v>1867</v>
      </c>
      <c r="C3025" s="5" t="s">
        <v>1882</v>
      </c>
      <c r="D3025" s="6">
        <v>21.0</v>
      </c>
      <c r="E3025" s="6">
        <v>2676694.0</v>
      </c>
      <c r="F3025" s="6">
        <v>2452550.0</v>
      </c>
      <c r="G3025" s="6">
        <v>12591.0</v>
      </c>
      <c r="H3025" s="6">
        <v>212.5879</v>
      </c>
      <c r="I3025" s="6">
        <v>194.786</v>
      </c>
      <c r="J3025" s="6">
        <v>17.8019</v>
      </c>
    </row>
    <row r="3026">
      <c r="A3026" s="5" t="s">
        <v>59</v>
      </c>
      <c r="B3026" s="5" t="s">
        <v>1867</v>
      </c>
      <c r="C3026" s="5" t="s">
        <v>1882</v>
      </c>
      <c r="D3026" s="6">
        <v>22.0</v>
      </c>
      <c r="E3026" s="6">
        <v>2048410.0</v>
      </c>
      <c r="F3026" s="6">
        <v>2143200.0</v>
      </c>
      <c r="G3026" s="6">
        <v>12591.0</v>
      </c>
      <c r="H3026" s="6">
        <v>162.6884</v>
      </c>
      <c r="I3026" s="6">
        <v>170.2168</v>
      </c>
      <c r="J3026" s="6">
        <v>-7.5284</v>
      </c>
    </row>
    <row r="3027">
      <c r="A3027" s="5" t="s">
        <v>59</v>
      </c>
      <c r="B3027" s="5" t="s">
        <v>1867</v>
      </c>
      <c r="C3027" s="5" t="s">
        <v>1882</v>
      </c>
      <c r="D3027" s="6">
        <v>23.0</v>
      </c>
      <c r="E3027" s="6">
        <v>2123510.0</v>
      </c>
      <c r="F3027" s="6">
        <v>2130500.0</v>
      </c>
      <c r="G3027" s="6">
        <v>12591.0</v>
      </c>
      <c r="H3027" s="6">
        <v>168.653</v>
      </c>
      <c r="I3027" s="6">
        <v>169.2082</v>
      </c>
      <c r="J3027" s="6">
        <v>-0.5552</v>
      </c>
    </row>
    <row r="3028">
      <c r="A3028" s="5" t="s">
        <v>59</v>
      </c>
      <c r="B3028" s="5" t="s">
        <v>1867</v>
      </c>
      <c r="C3028" s="5" t="s">
        <v>1882</v>
      </c>
      <c r="D3028" s="6">
        <v>24.0</v>
      </c>
      <c r="E3028" s="6">
        <v>2145587.0</v>
      </c>
      <c r="F3028" s="6">
        <v>2182550.0</v>
      </c>
      <c r="G3028" s="6">
        <v>12591.0</v>
      </c>
      <c r="H3028" s="6">
        <v>170.4064</v>
      </c>
      <c r="I3028" s="6">
        <v>173.3421</v>
      </c>
      <c r="J3028" s="6">
        <v>-2.9357</v>
      </c>
    </row>
    <row r="3029">
      <c r="A3029" s="5" t="s">
        <v>59</v>
      </c>
      <c r="B3029" s="5" t="s">
        <v>1867</v>
      </c>
      <c r="C3029" s="5" t="s">
        <v>1882</v>
      </c>
      <c r="D3029" s="6">
        <v>25.0</v>
      </c>
      <c r="E3029" s="6">
        <v>2161377.0</v>
      </c>
      <c r="F3029" s="6">
        <v>2179700.0</v>
      </c>
      <c r="G3029" s="6">
        <v>12591.0</v>
      </c>
      <c r="H3029" s="6">
        <v>171.6605</v>
      </c>
      <c r="I3029" s="6">
        <v>173.1157</v>
      </c>
      <c r="J3029" s="6">
        <v>-1.4552</v>
      </c>
    </row>
    <row r="3030">
      <c r="A3030" s="5" t="s">
        <v>59</v>
      </c>
      <c r="B3030" s="5" t="s">
        <v>1867</v>
      </c>
      <c r="C3030" s="5" t="s">
        <v>1882</v>
      </c>
      <c r="D3030" s="6">
        <v>26.0</v>
      </c>
      <c r="E3030" s="6">
        <v>2080048.0</v>
      </c>
      <c r="F3030" s="6">
        <v>2196150.0</v>
      </c>
      <c r="G3030" s="6">
        <v>12591.0</v>
      </c>
      <c r="H3030" s="6">
        <v>165.2012</v>
      </c>
      <c r="I3030" s="6">
        <v>174.4222</v>
      </c>
      <c r="J3030" s="6">
        <v>-9.221</v>
      </c>
    </row>
    <row r="3031">
      <c r="A3031" s="5" t="s">
        <v>59</v>
      </c>
      <c r="B3031" s="5" t="s">
        <v>1867</v>
      </c>
      <c r="C3031" s="5" t="s">
        <v>1882</v>
      </c>
      <c r="D3031" s="6">
        <v>27.0</v>
      </c>
      <c r="E3031" s="6">
        <v>2698811.0</v>
      </c>
      <c r="F3031" s="6">
        <v>2763000.0</v>
      </c>
      <c r="G3031" s="6">
        <v>12591.0</v>
      </c>
      <c r="H3031" s="6">
        <v>214.3445</v>
      </c>
      <c r="I3031" s="6">
        <v>219.4425</v>
      </c>
      <c r="J3031" s="6">
        <v>-5.098</v>
      </c>
    </row>
    <row r="3032">
      <c r="A3032" s="5" t="s">
        <v>59</v>
      </c>
      <c r="B3032" s="5" t="s">
        <v>1867</v>
      </c>
      <c r="C3032" s="5" t="s">
        <v>1882</v>
      </c>
      <c r="D3032" s="6">
        <v>28.0</v>
      </c>
      <c r="E3032" s="6">
        <v>2318600.0</v>
      </c>
      <c r="F3032" s="6">
        <v>2273800.0</v>
      </c>
      <c r="G3032" s="6">
        <v>12591.0</v>
      </c>
      <c r="H3032" s="6">
        <v>184.1474</v>
      </c>
      <c r="I3032" s="6">
        <v>180.5893</v>
      </c>
      <c r="J3032" s="6">
        <v>3.5581</v>
      </c>
    </row>
    <row r="3033">
      <c r="A3033" s="5" t="s">
        <v>59</v>
      </c>
      <c r="B3033" s="5" t="s">
        <v>1867</v>
      </c>
      <c r="C3033" s="5" t="s">
        <v>1882</v>
      </c>
      <c r="D3033" s="6">
        <v>29.0</v>
      </c>
      <c r="E3033" s="6">
        <v>1948080.0</v>
      </c>
      <c r="F3033" s="6">
        <v>2081400.0</v>
      </c>
      <c r="G3033" s="6">
        <v>12591.0</v>
      </c>
      <c r="H3033" s="6">
        <v>154.72</v>
      </c>
      <c r="I3033" s="6">
        <v>165.3086</v>
      </c>
      <c r="J3033" s="6">
        <v>-10.5885</v>
      </c>
    </row>
    <row r="3034">
      <c r="A3034" s="5" t="s">
        <v>59</v>
      </c>
      <c r="B3034" s="5" t="s">
        <v>1867</v>
      </c>
      <c r="C3034" s="5" t="s">
        <v>1882</v>
      </c>
      <c r="D3034" s="6">
        <v>30.0</v>
      </c>
      <c r="E3034" s="6">
        <v>2253183.0</v>
      </c>
      <c r="F3034" s="6">
        <v>2163700.0</v>
      </c>
      <c r="G3034" s="6">
        <v>12591.0</v>
      </c>
      <c r="H3034" s="6">
        <v>178.9519</v>
      </c>
      <c r="I3034" s="6">
        <v>171.845</v>
      </c>
      <c r="J3034" s="6">
        <v>7.1069</v>
      </c>
    </row>
    <row r="3035">
      <c r="A3035" s="5" t="s">
        <v>59</v>
      </c>
      <c r="B3035" s="5" t="s">
        <v>1867</v>
      </c>
      <c r="C3035" s="5" t="s">
        <v>1882</v>
      </c>
      <c r="D3035" s="6">
        <v>31.0</v>
      </c>
      <c r="E3035" s="6">
        <v>2091336.0</v>
      </c>
      <c r="F3035" s="6">
        <v>2131400.0</v>
      </c>
      <c r="G3035" s="6">
        <v>12591.0</v>
      </c>
      <c r="H3035" s="6">
        <v>166.0977</v>
      </c>
      <c r="I3035" s="6">
        <v>169.2796</v>
      </c>
      <c r="J3035" s="6">
        <v>-3.182</v>
      </c>
    </row>
    <row r="3036">
      <c r="A3036" s="5" t="s">
        <v>59</v>
      </c>
      <c r="B3036" s="5" t="s">
        <v>1867</v>
      </c>
      <c r="C3036" s="5" t="s">
        <v>1882</v>
      </c>
      <c r="D3036" s="6">
        <v>32.0</v>
      </c>
      <c r="E3036" s="6">
        <v>2092437.0</v>
      </c>
      <c r="F3036" s="6">
        <v>2062800.0</v>
      </c>
      <c r="G3036" s="6">
        <v>12591.0</v>
      </c>
      <c r="H3036" s="6">
        <v>166.1851</v>
      </c>
      <c r="I3036" s="6">
        <v>163.8313</v>
      </c>
      <c r="J3036" s="6">
        <v>2.3538</v>
      </c>
    </row>
    <row r="3037">
      <c r="A3037" s="5" t="s">
        <v>59</v>
      </c>
      <c r="B3037" s="5" t="s">
        <v>1867</v>
      </c>
      <c r="C3037" s="5" t="s">
        <v>1882</v>
      </c>
      <c r="D3037" s="6">
        <v>33.0</v>
      </c>
      <c r="E3037" s="6">
        <v>1967376.0</v>
      </c>
      <c r="F3037" s="6">
        <v>2040000.0</v>
      </c>
      <c r="G3037" s="6">
        <v>12591.0</v>
      </c>
      <c r="H3037" s="6">
        <v>156.2526</v>
      </c>
      <c r="I3037" s="6">
        <v>162.0205</v>
      </c>
      <c r="J3037" s="6">
        <v>-5.7679</v>
      </c>
    </row>
    <row r="3038">
      <c r="A3038" s="5" t="s">
        <v>59</v>
      </c>
      <c r="B3038" s="5" t="s">
        <v>1867</v>
      </c>
      <c r="C3038" s="5" t="s">
        <v>72</v>
      </c>
      <c r="D3038" s="6">
        <v>1.0</v>
      </c>
      <c r="E3038" s="6">
        <v>6779.0</v>
      </c>
      <c r="F3038" s="6">
        <v>10332.0</v>
      </c>
      <c r="G3038" s="6">
        <v>12217.0</v>
      </c>
      <c r="H3038" s="6">
        <v>0.5549</v>
      </c>
      <c r="I3038" s="6">
        <v>0.8457</v>
      </c>
      <c r="J3038" s="6">
        <v>-0.2908</v>
      </c>
    </row>
    <row r="3039">
      <c r="A3039" s="5" t="s">
        <v>59</v>
      </c>
      <c r="B3039" s="5" t="s">
        <v>1867</v>
      </c>
      <c r="C3039" s="5" t="s">
        <v>72</v>
      </c>
      <c r="D3039" s="6">
        <v>2.0</v>
      </c>
      <c r="E3039" s="6">
        <v>7078.0</v>
      </c>
      <c r="F3039" s="6">
        <v>10357.0</v>
      </c>
      <c r="G3039" s="6">
        <v>12217.0</v>
      </c>
      <c r="H3039" s="6">
        <v>0.5794</v>
      </c>
      <c r="I3039" s="6">
        <v>0.8478</v>
      </c>
      <c r="J3039" s="6">
        <v>-0.2684</v>
      </c>
    </row>
    <row r="3040">
      <c r="A3040" s="5" t="s">
        <v>59</v>
      </c>
      <c r="B3040" s="5" t="s">
        <v>1867</v>
      </c>
      <c r="C3040" s="5" t="s">
        <v>72</v>
      </c>
      <c r="D3040" s="6">
        <v>3.0</v>
      </c>
      <c r="E3040" s="6">
        <v>9538.0</v>
      </c>
      <c r="F3040" s="6">
        <v>11807.0</v>
      </c>
      <c r="G3040" s="6">
        <v>12217.0</v>
      </c>
      <c r="H3040" s="6">
        <v>0.7807</v>
      </c>
      <c r="I3040" s="6">
        <v>0.9664</v>
      </c>
      <c r="J3040" s="6">
        <v>-0.1857</v>
      </c>
    </row>
    <row r="3041">
      <c r="A3041" s="5" t="s">
        <v>59</v>
      </c>
      <c r="B3041" s="5" t="s">
        <v>1867</v>
      </c>
      <c r="C3041" s="5" t="s">
        <v>72</v>
      </c>
      <c r="D3041" s="6">
        <v>4.0</v>
      </c>
      <c r="E3041" s="6">
        <v>8671.0</v>
      </c>
      <c r="F3041" s="6">
        <v>11514.0</v>
      </c>
      <c r="G3041" s="6">
        <v>12217.0</v>
      </c>
      <c r="H3041" s="6">
        <v>0.7097</v>
      </c>
      <c r="I3041" s="6">
        <v>0.9425</v>
      </c>
      <c r="J3041" s="6">
        <v>-0.2327</v>
      </c>
    </row>
    <row r="3042">
      <c r="A3042" s="5" t="s">
        <v>59</v>
      </c>
      <c r="B3042" s="5" t="s">
        <v>1867</v>
      </c>
      <c r="C3042" s="5" t="s">
        <v>72</v>
      </c>
      <c r="D3042" s="6">
        <v>5.0</v>
      </c>
      <c r="E3042" s="6">
        <v>8795.0</v>
      </c>
      <c r="F3042" s="6">
        <v>11656.0</v>
      </c>
      <c r="G3042" s="6">
        <v>12217.0</v>
      </c>
      <c r="H3042" s="6">
        <v>0.7199</v>
      </c>
      <c r="I3042" s="6">
        <v>0.9541</v>
      </c>
      <c r="J3042" s="6">
        <v>-0.2342</v>
      </c>
    </row>
    <row r="3043">
      <c r="A3043" s="5" t="s">
        <v>59</v>
      </c>
      <c r="B3043" s="5" t="s">
        <v>1867</v>
      </c>
      <c r="C3043" s="5" t="s">
        <v>72</v>
      </c>
      <c r="D3043" s="6">
        <v>6.0</v>
      </c>
      <c r="E3043" s="6">
        <v>10404.0</v>
      </c>
      <c r="F3043" s="6">
        <v>13333.0</v>
      </c>
      <c r="G3043" s="6">
        <v>12217.0</v>
      </c>
      <c r="H3043" s="6">
        <v>0.8516</v>
      </c>
      <c r="I3043" s="6">
        <v>1.0913</v>
      </c>
      <c r="J3043" s="6">
        <v>-0.2397</v>
      </c>
    </row>
    <row r="3044">
      <c r="A3044" s="5" t="s">
        <v>59</v>
      </c>
      <c r="B3044" s="5" t="s">
        <v>1867</v>
      </c>
      <c r="C3044" s="5" t="s">
        <v>72</v>
      </c>
      <c r="D3044" s="6">
        <v>7.0</v>
      </c>
      <c r="E3044" s="6">
        <v>7758.0</v>
      </c>
      <c r="F3044" s="6">
        <v>10724.0</v>
      </c>
      <c r="G3044" s="6">
        <v>12217.0</v>
      </c>
      <c r="H3044" s="6">
        <v>0.635</v>
      </c>
      <c r="I3044" s="6">
        <v>0.8778</v>
      </c>
      <c r="J3044" s="6">
        <v>-0.2428</v>
      </c>
    </row>
    <row r="3045">
      <c r="A3045" s="5" t="s">
        <v>59</v>
      </c>
      <c r="B3045" s="5" t="s">
        <v>1867</v>
      </c>
      <c r="C3045" s="5" t="s">
        <v>72</v>
      </c>
      <c r="D3045" s="6">
        <v>8.0</v>
      </c>
      <c r="E3045" s="6">
        <v>7804.0</v>
      </c>
      <c r="F3045" s="6">
        <v>10439.0</v>
      </c>
      <c r="G3045" s="6">
        <v>12217.0</v>
      </c>
      <c r="H3045" s="6">
        <v>0.6388</v>
      </c>
      <c r="I3045" s="6">
        <v>0.8545</v>
      </c>
      <c r="J3045" s="6">
        <v>-0.2157</v>
      </c>
    </row>
    <row r="3046">
      <c r="A3046" s="5" t="s">
        <v>59</v>
      </c>
      <c r="B3046" s="5" t="s">
        <v>1867</v>
      </c>
      <c r="C3046" s="5" t="s">
        <v>72</v>
      </c>
      <c r="D3046" s="6">
        <v>9.0</v>
      </c>
      <c r="E3046" s="6">
        <v>7140.0</v>
      </c>
      <c r="F3046" s="6">
        <v>10418.0</v>
      </c>
      <c r="G3046" s="6">
        <v>12217.0</v>
      </c>
      <c r="H3046" s="6">
        <v>0.5844</v>
      </c>
      <c r="I3046" s="6">
        <v>0.8527</v>
      </c>
      <c r="J3046" s="6">
        <v>-0.2683</v>
      </c>
    </row>
    <row r="3047">
      <c r="A3047" s="5" t="s">
        <v>59</v>
      </c>
      <c r="B3047" s="5" t="s">
        <v>1867</v>
      </c>
      <c r="C3047" s="5" t="s">
        <v>72</v>
      </c>
      <c r="D3047" s="6">
        <v>10.0</v>
      </c>
      <c r="E3047" s="6">
        <v>9541.0</v>
      </c>
      <c r="F3047" s="6">
        <v>11809.0</v>
      </c>
      <c r="G3047" s="6">
        <v>12217.0</v>
      </c>
      <c r="H3047" s="6">
        <v>0.781</v>
      </c>
      <c r="I3047" s="6">
        <v>0.9666</v>
      </c>
      <c r="J3047" s="6">
        <v>-0.1856</v>
      </c>
    </row>
    <row r="3048">
      <c r="A3048" s="5" t="s">
        <v>59</v>
      </c>
      <c r="B3048" s="5" t="s">
        <v>1867</v>
      </c>
      <c r="C3048" s="5" t="s">
        <v>72</v>
      </c>
      <c r="D3048" s="6">
        <v>11.0</v>
      </c>
      <c r="E3048" s="6">
        <v>8095.0</v>
      </c>
      <c r="F3048" s="6">
        <v>11169.0</v>
      </c>
      <c r="G3048" s="6">
        <v>12217.0</v>
      </c>
      <c r="H3048" s="6">
        <v>0.6626</v>
      </c>
      <c r="I3048" s="6">
        <v>0.9142</v>
      </c>
      <c r="J3048" s="6">
        <v>-0.2516</v>
      </c>
    </row>
    <row r="3049">
      <c r="A3049" s="5" t="s">
        <v>59</v>
      </c>
      <c r="B3049" s="5" t="s">
        <v>1867</v>
      </c>
      <c r="C3049" s="5" t="s">
        <v>72</v>
      </c>
      <c r="D3049" s="6">
        <v>12.0</v>
      </c>
      <c r="E3049" s="6">
        <v>8343.0</v>
      </c>
      <c r="F3049" s="6">
        <v>12197.0</v>
      </c>
      <c r="G3049" s="6">
        <v>12217.0</v>
      </c>
      <c r="H3049" s="6">
        <v>0.6829</v>
      </c>
      <c r="I3049" s="6">
        <v>0.9984</v>
      </c>
      <c r="J3049" s="6">
        <v>-0.3155</v>
      </c>
    </row>
    <row r="3050">
      <c r="A3050" s="5" t="s">
        <v>59</v>
      </c>
      <c r="B3050" s="5" t="s">
        <v>1867</v>
      </c>
      <c r="C3050" s="5" t="s">
        <v>72</v>
      </c>
      <c r="D3050" s="6">
        <v>13.0</v>
      </c>
      <c r="E3050" s="6">
        <v>9944.0</v>
      </c>
      <c r="F3050" s="6">
        <v>13857.0</v>
      </c>
      <c r="G3050" s="6">
        <v>12217.0</v>
      </c>
      <c r="H3050" s="6">
        <v>0.8139</v>
      </c>
      <c r="I3050" s="6">
        <v>1.1342</v>
      </c>
      <c r="J3050" s="6">
        <v>-0.3203</v>
      </c>
    </row>
    <row r="3051">
      <c r="A3051" s="5" t="s">
        <v>59</v>
      </c>
      <c r="B3051" s="5" t="s">
        <v>1867</v>
      </c>
      <c r="C3051" s="5" t="s">
        <v>72</v>
      </c>
      <c r="D3051" s="6">
        <v>14.0</v>
      </c>
      <c r="E3051" s="6">
        <v>7409.0</v>
      </c>
      <c r="F3051" s="6">
        <v>10720.0</v>
      </c>
      <c r="G3051" s="6">
        <v>12217.0</v>
      </c>
      <c r="H3051" s="6">
        <v>0.6065</v>
      </c>
      <c r="I3051" s="6">
        <v>0.8775</v>
      </c>
      <c r="J3051" s="6">
        <v>-0.271</v>
      </c>
    </row>
    <row r="3052">
      <c r="A3052" s="5" t="s">
        <v>59</v>
      </c>
      <c r="B3052" s="5" t="s">
        <v>1867</v>
      </c>
      <c r="C3052" s="5" t="s">
        <v>72</v>
      </c>
      <c r="D3052" s="6">
        <v>15.0</v>
      </c>
      <c r="E3052" s="6">
        <v>7780.0</v>
      </c>
      <c r="F3052" s="6">
        <v>11223.0</v>
      </c>
      <c r="G3052" s="6">
        <v>12217.0</v>
      </c>
      <c r="H3052" s="6">
        <v>0.6368</v>
      </c>
      <c r="I3052" s="6">
        <v>0.9186</v>
      </c>
      <c r="J3052" s="6">
        <v>-0.2818</v>
      </c>
    </row>
    <row r="3053">
      <c r="A3053" s="5" t="s">
        <v>59</v>
      </c>
      <c r="B3053" s="5" t="s">
        <v>1867</v>
      </c>
      <c r="C3053" s="5" t="s">
        <v>72</v>
      </c>
      <c r="D3053" s="6">
        <v>16.0</v>
      </c>
      <c r="E3053" s="6">
        <v>8535.0</v>
      </c>
      <c r="F3053" s="6">
        <v>11248.0</v>
      </c>
      <c r="G3053" s="6">
        <v>12217.0</v>
      </c>
      <c r="H3053" s="6">
        <v>0.6986</v>
      </c>
      <c r="I3053" s="6">
        <v>0.9207</v>
      </c>
      <c r="J3053" s="6">
        <v>-0.2221</v>
      </c>
    </row>
    <row r="3054">
      <c r="A3054" s="5" t="s">
        <v>59</v>
      </c>
      <c r="B3054" s="5" t="s">
        <v>1867</v>
      </c>
      <c r="C3054" s="5" t="s">
        <v>72</v>
      </c>
      <c r="D3054" s="6">
        <v>17.0</v>
      </c>
      <c r="E3054" s="6">
        <v>10794.0</v>
      </c>
      <c r="F3054" s="6">
        <v>12860.0</v>
      </c>
      <c r="G3054" s="6">
        <v>12217.0</v>
      </c>
      <c r="H3054" s="6">
        <v>0.8835</v>
      </c>
      <c r="I3054" s="6">
        <v>1.0526</v>
      </c>
      <c r="J3054" s="6">
        <v>-0.1691</v>
      </c>
    </row>
    <row r="3055">
      <c r="A3055" s="5" t="s">
        <v>59</v>
      </c>
      <c r="B3055" s="5" t="s">
        <v>1867</v>
      </c>
      <c r="C3055" s="5" t="s">
        <v>72</v>
      </c>
      <c r="D3055" s="6">
        <v>18.0</v>
      </c>
      <c r="E3055" s="6">
        <v>9243.0</v>
      </c>
      <c r="F3055" s="6">
        <v>11856.0</v>
      </c>
      <c r="G3055" s="6">
        <v>12217.0</v>
      </c>
      <c r="H3055" s="6">
        <v>0.7566</v>
      </c>
      <c r="I3055" s="6">
        <v>0.9705</v>
      </c>
      <c r="J3055" s="6">
        <v>-0.2139</v>
      </c>
    </row>
    <row r="3056">
      <c r="A3056" s="5" t="s">
        <v>59</v>
      </c>
      <c r="B3056" s="5" t="s">
        <v>1867</v>
      </c>
      <c r="C3056" s="5" t="s">
        <v>72</v>
      </c>
      <c r="D3056" s="6">
        <v>19.0</v>
      </c>
      <c r="E3056" s="6">
        <v>9204.0</v>
      </c>
      <c r="F3056" s="6">
        <v>12542.0</v>
      </c>
      <c r="G3056" s="6">
        <v>12217.0</v>
      </c>
      <c r="H3056" s="6">
        <v>0.7534</v>
      </c>
      <c r="I3056" s="6">
        <v>1.0266</v>
      </c>
      <c r="J3056" s="6">
        <v>-0.2732</v>
      </c>
    </row>
    <row r="3057">
      <c r="A3057" s="5" t="s">
        <v>59</v>
      </c>
      <c r="B3057" s="5" t="s">
        <v>1867</v>
      </c>
      <c r="C3057" s="5" t="s">
        <v>72</v>
      </c>
      <c r="D3057" s="6">
        <v>20.0</v>
      </c>
      <c r="E3057" s="6">
        <v>12054.0</v>
      </c>
      <c r="F3057" s="6">
        <v>15203.0</v>
      </c>
      <c r="G3057" s="6">
        <v>12217.0</v>
      </c>
      <c r="H3057" s="6">
        <v>0.9867</v>
      </c>
      <c r="I3057" s="6">
        <v>1.2444</v>
      </c>
      <c r="J3057" s="6">
        <v>-0.2578</v>
      </c>
    </row>
    <row r="3058">
      <c r="A3058" s="5" t="s">
        <v>59</v>
      </c>
      <c r="B3058" s="5" t="s">
        <v>1867</v>
      </c>
      <c r="C3058" s="5" t="s">
        <v>72</v>
      </c>
      <c r="D3058" s="6">
        <v>21.0</v>
      </c>
      <c r="E3058" s="6">
        <v>11713.0</v>
      </c>
      <c r="F3058" s="6">
        <v>13213.0</v>
      </c>
      <c r="G3058" s="6">
        <v>12217.0</v>
      </c>
      <c r="H3058" s="6">
        <v>0.9587</v>
      </c>
      <c r="I3058" s="6">
        <v>1.0815</v>
      </c>
      <c r="J3058" s="6">
        <v>-0.1228</v>
      </c>
    </row>
    <row r="3059">
      <c r="A3059" s="5" t="s">
        <v>59</v>
      </c>
      <c r="B3059" s="5" t="s">
        <v>1867</v>
      </c>
      <c r="C3059" s="5" t="s">
        <v>72</v>
      </c>
      <c r="D3059" s="6">
        <v>22.0</v>
      </c>
      <c r="E3059" s="6">
        <v>10642.0</v>
      </c>
      <c r="F3059" s="6">
        <v>13193.0</v>
      </c>
      <c r="G3059" s="6">
        <v>12217.0</v>
      </c>
      <c r="H3059" s="6">
        <v>0.8711</v>
      </c>
      <c r="I3059" s="6">
        <v>1.0799</v>
      </c>
      <c r="J3059" s="6">
        <v>-0.2088</v>
      </c>
    </row>
    <row r="3060">
      <c r="A3060" s="5" t="s">
        <v>59</v>
      </c>
      <c r="B3060" s="5" t="s">
        <v>1867</v>
      </c>
      <c r="C3060" s="5" t="s">
        <v>72</v>
      </c>
      <c r="D3060" s="6">
        <v>23.0</v>
      </c>
      <c r="E3060" s="6">
        <v>9628.0</v>
      </c>
      <c r="F3060" s="6">
        <v>12256.0</v>
      </c>
      <c r="G3060" s="6">
        <v>12217.0</v>
      </c>
      <c r="H3060" s="6">
        <v>0.7881</v>
      </c>
      <c r="I3060" s="6">
        <v>1.0032</v>
      </c>
      <c r="J3060" s="6">
        <v>-0.2151</v>
      </c>
    </row>
    <row r="3061">
      <c r="A3061" s="5" t="s">
        <v>59</v>
      </c>
      <c r="B3061" s="5" t="s">
        <v>1867</v>
      </c>
      <c r="C3061" s="5" t="s">
        <v>72</v>
      </c>
      <c r="D3061" s="6">
        <v>24.0</v>
      </c>
      <c r="E3061" s="6">
        <v>12927.0</v>
      </c>
      <c r="F3061" s="6">
        <v>14518.0</v>
      </c>
      <c r="G3061" s="6">
        <v>12217.0</v>
      </c>
      <c r="H3061" s="6">
        <v>1.0581</v>
      </c>
      <c r="I3061" s="6">
        <v>1.1883</v>
      </c>
      <c r="J3061" s="6">
        <v>-0.1302</v>
      </c>
    </row>
    <row r="3062">
      <c r="A3062" s="5" t="s">
        <v>59</v>
      </c>
      <c r="B3062" s="5" t="s">
        <v>1867</v>
      </c>
      <c r="C3062" s="5" t="s">
        <v>72</v>
      </c>
      <c r="D3062" s="6">
        <v>25.0</v>
      </c>
      <c r="E3062" s="6">
        <v>10585.0</v>
      </c>
      <c r="F3062" s="6">
        <v>13707.0</v>
      </c>
      <c r="G3062" s="6">
        <v>12217.0</v>
      </c>
      <c r="H3062" s="6">
        <v>0.8664</v>
      </c>
      <c r="I3062" s="6">
        <v>1.122</v>
      </c>
      <c r="J3062" s="6">
        <v>-0.2555</v>
      </c>
    </row>
    <row r="3063">
      <c r="A3063" s="5" t="s">
        <v>59</v>
      </c>
      <c r="B3063" s="5" t="s">
        <v>1867</v>
      </c>
      <c r="C3063" s="5" t="s">
        <v>72</v>
      </c>
      <c r="D3063" s="6">
        <v>26.0</v>
      </c>
      <c r="E3063" s="6">
        <v>10285.0</v>
      </c>
      <c r="F3063" s="6">
        <v>13816.0</v>
      </c>
      <c r="G3063" s="6">
        <v>12217.0</v>
      </c>
      <c r="H3063" s="6">
        <v>0.8419</v>
      </c>
      <c r="I3063" s="6">
        <v>1.1309</v>
      </c>
      <c r="J3063" s="6">
        <v>-0.289</v>
      </c>
    </row>
    <row r="3064">
      <c r="A3064" s="5" t="s">
        <v>59</v>
      </c>
      <c r="B3064" s="5" t="s">
        <v>1867</v>
      </c>
      <c r="C3064" s="5" t="s">
        <v>72</v>
      </c>
      <c r="D3064" s="6">
        <v>27.0</v>
      </c>
      <c r="E3064" s="6">
        <v>12194.0</v>
      </c>
      <c r="F3064" s="6">
        <v>15718.0</v>
      </c>
      <c r="G3064" s="6">
        <v>12217.0</v>
      </c>
      <c r="H3064" s="6">
        <v>0.9981</v>
      </c>
      <c r="I3064" s="6">
        <v>1.2866</v>
      </c>
      <c r="J3064" s="6">
        <v>-0.2885</v>
      </c>
    </row>
    <row r="3065">
      <c r="A3065" s="5" t="s">
        <v>59</v>
      </c>
      <c r="B3065" s="5" t="s">
        <v>1867</v>
      </c>
      <c r="C3065" s="5" t="s">
        <v>72</v>
      </c>
      <c r="D3065" s="6">
        <v>28.0</v>
      </c>
      <c r="E3065" s="6">
        <v>8955.0</v>
      </c>
      <c r="F3065" s="6">
        <v>12496.0</v>
      </c>
      <c r="G3065" s="6">
        <v>12217.0</v>
      </c>
      <c r="H3065" s="6">
        <v>0.733</v>
      </c>
      <c r="I3065" s="6">
        <v>1.0228</v>
      </c>
      <c r="J3065" s="6">
        <v>-0.2898</v>
      </c>
    </row>
    <row r="3066">
      <c r="A3066" s="5" t="s">
        <v>59</v>
      </c>
      <c r="B3066" s="5" t="s">
        <v>1867</v>
      </c>
      <c r="C3066" s="5" t="s">
        <v>72</v>
      </c>
      <c r="D3066" s="6">
        <v>29.0</v>
      </c>
      <c r="E3066" s="6">
        <v>8485.0</v>
      </c>
      <c r="F3066" s="6">
        <v>11943.0</v>
      </c>
      <c r="G3066" s="6">
        <v>12217.0</v>
      </c>
      <c r="H3066" s="6">
        <v>0.6945</v>
      </c>
      <c r="I3066" s="6">
        <v>0.9776</v>
      </c>
      <c r="J3066" s="6">
        <v>-0.283</v>
      </c>
    </row>
    <row r="3067">
      <c r="A3067" s="5" t="s">
        <v>59</v>
      </c>
      <c r="B3067" s="5" t="s">
        <v>1867</v>
      </c>
      <c r="C3067" s="5" t="s">
        <v>72</v>
      </c>
      <c r="D3067" s="6">
        <v>30.0</v>
      </c>
      <c r="E3067" s="6">
        <v>8809.0</v>
      </c>
      <c r="F3067" s="6">
        <v>11497.0</v>
      </c>
      <c r="G3067" s="6">
        <v>12217.0</v>
      </c>
      <c r="H3067" s="6">
        <v>0.721</v>
      </c>
      <c r="I3067" s="6">
        <v>0.9411</v>
      </c>
      <c r="J3067" s="6">
        <v>-0.22</v>
      </c>
    </row>
    <row r="3068">
      <c r="A3068" s="5" t="s">
        <v>59</v>
      </c>
      <c r="B3068" s="5" t="s">
        <v>1867</v>
      </c>
      <c r="C3068" s="5" t="s">
        <v>72</v>
      </c>
      <c r="D3068" s="6">
        <v>31.0</v>
      </c>
      <c r="E3068" s="6">
        <v>11724.0</v>
      </c>
      <c r="F3068" s="6">
        <v>13220.0</v>
      </c>
      <c r="G3068" s="6">
        <v>12217.0</v>
      </c>
      <c r="H3068" s="6">
        <v>0.9596</v>
      </c>
      <c r="I3068" s="6">
        <v>1.0821</v>
      </c>
      <c r="J3068" s="6">
        <v>-0.1225</v>
      </c>
    </row>
    <row r="3069">
      <c r="A3069" s="5" t="s">
        <v>59</v>
      </c>
      <c r="B3069" s="5" t="s">
        <v>1867</v>
      </c>
      <c r="C3069" s="5" t="s">
        <v>72</v>
      </c>
      <c r="D3069" s="6">
        <v>32.0</v>
      </c>
      <c r="E3069" s="6">
        <v>9839.0</v>
      </c>
      <c r="F3069" s="6">
        <v>12322.0</v>
      </c>
      <c r="G3069" s="6">
        <v>12217.0</v>
      </c>
      <c r="H3069" s="6">
        <v>0.8054</v>
      </c>
      <c r="I3069" s="6">
        <v>1.0086</v>
      </c>
      <c r="J3069" s="6">
        <v>-0.2032</v>
      </c>
    </row>
    <row r="3070">
      <c r="A3070" s="5" t="s">
        <v>59</v>
      </c>
      <c r="B3070" s="5" t="s">
        <v>1867</v>
      </c>
      <c r="C3070" s="5" t="s">
        <v>72</v>
      </c>
      <c r="D3070" s="6">
        <v>33.0</v>
      </c>
      <c r="E3070" s="6">
        <v>9746.0</v>
      </c>
      <c r="F3070" s="6">
        <v>12664.0</v>
      </c>
      <c r="G3070" s="6">
        <v>12217.0</v>
      </c>
      <c r="H3070" s="6">
        <v>0.7977</v>
      </c>
      <c r="I3070" s="6">
        <v>1.0366</v>
      </c>
      <c r="J3070" s="6">
        <v>-0.2388</v>
      </c>
    </row>
    <row r="3071">
      <c r="A3071" s="5" t="s">
        <v>59</v>
      </c>
      <c r="B3071" s="5" t="s">
        <v>1867</v>
      </c>
      <c r="C3071" s="5" t="s">
        <v>73</v>
      </c>
      <c r="D3071" s="6">
        <v>1.0</v>
      </c>
      <c r="E3071" s="6">
        <v>6920.0</v>
      </c>
      <c r="F3071" s="6">
        <v>10836.0</v>
      </c>
      <c r="G3071" s="6">
        <v>12265.0</v>
      </c>
      <c r="H3071" s="6">
        <v>0.5642</v>
      </c>
      <c r="I3071" s="6">
        <v>0.8835</v>
      </c>
      <c r="J3071" s="6">
        <v>-0.3193</v>
      </c>
    </row>
    <row r="3072">
      <c r="A3072" s="5" t="s">
        <v>59</v>
      </c>
      <c r="B3072" s="5" t="s">
        <v>1867</v>
      </c>
      <c r="C3072" s="5" t="s">
        <v>73</v>
      </c>
      <c r="D3072" s="6">
        <v>2.0</v>
      </c>
      <c r="E3072" s="6">
        <v>9695.0</v>
      </c>
      <c r="F3072" s="6">
        <v>11582.0</v>
      </c>
      <c r="G3072" s="6">
        <v>12265.0</v>
      </c>
      <c r="H3072" s="6">
        <v>0.7905</v>
      </c>
      <c r="I3072" s="6">
        <v>0.9443</v>
      </c>
      <c r="J3072" s="6">
        <v>-0.1539</v>
      </c>
    </row>
    <row r="3073">
      <c r="A3073" s="5" t="s">
        <v>59</v>
      </c>
      <c r="B3073" s="5" t="s">
        <v>1867</v>
      </c>
      <c r="C3073" s="5" t="s">
        <v>73</v>
      </c>
      <c r="D3073" s="6">
        <v>3.0</v>
      </c>
      <c r="E3073" s="6">
        <v>9142.0</v>
      </c>
      <c r="F3073" s="6">
        <v>11985.0</v>
      </c>
      <c r="G3073" s="6">
        <v>12265.0</v>
      </c>
      <c r="H3073" s="6">
        <v>0.7454</v>
      </c>
      <c r="I3073" s="6">
        <v>0.9772</v>
      </c>
      <c r="J3073" s="6">
        <v>-0.2318</v>
      </c>
    </row>
    <row r="3074">
      <c r="A3074" s="5" t="s">
        <v>59</v>
      </c>
      <c r="B3074" s="5" t="s">
        <v>1867</v>
      </c>
      <c r="C3074" s="5" t="s">
        <v>73</v>
      </c>
      <c r="D3074" s="6">
        <v>4.0</v>
      </c>
      <c r="E3074" s="6">
        <v>9763.0</v>
      </c>
      <c r="F3074" s="6">
        <v>12134.0</v>
      </c>
      <c r="G3074" s="6">
        <v>12265.0</v>
      </c>
      <c r="H3074" s="6">
        <v>0.796</v>
      </c>
      <c r="I3074" s="6">
        <v>0.9893</v>
      </c>
      <c r="J3074" s="6">
        <v>-0.1933</v>
      </c>
    </row>
    <row r="3075">
      <c r="A3075" s="5" t="s">
        <v>59</v>
      </c>
      <c r="B3075" s="5" t="s">
        <v>1867</v>
      </c>
      <c r="C3075" s="5" t="s">
        <v>73</v>
      </c>
      <c r="D3075" s="6">
        <v>5.0</v>
      </c>
      <c r="E3075" s="6">
        <v>8379.0</v>
      </c>
      <c r="F3075" s="6">
        <v>11628.0</v>
      </c>
      <c r="G3075" s="6">
        <v>12265.0</v>
      </c>
      <c r="H3075" s="6">
        <v>0.6832</v>
      </c>
      <c r="I3075" s="6">
        <v>0.9481</v>
      </c>
      <c r="J3075" s="6">
        <v>-0.2649</v>
      </c>
    </row>
    <row r="3076">
      <c r="A3076" s="5" t="s">
        <v>59</v>
      </c>
      <c r="B3076" s="5" t="s">
        <v>1867</v>
      </c>
      <c r="C3076" s="5" t="s">
        <v>73</v>
      </c>
      <c r="D3076" s="6">
        <v>6.0</v>
      </c>
      <c r="E3076" s="6">
        <v>11155.0</v>
      </c>
      <c r="F3076" s="6">
        <v>13667.0</v>
      </c>
      <c r="G3076" s="6">
        <v>12265.0</v>
      </c>
      <c r="H3076" s="6">
        <v>0.9095</v>
      </c>
      <c r="I3076" s="6">
        <v>1.1143</v>
      </c>
      <c r="J3076" s="6">
        <v>-0.2048</v>
      </c>
    </row>
    <row r="3077">
      <c r="A3077" s="5" t="s">
        <v>59</v>
      </c>
      <c r="B3077" s="5" t="s">
        <v>1867</v>
      </c>
      <c r="C3077" s="5" t="s">
        <v>73</v>
      </c>
      <c r="D3077" s="6">
        <v>7.0</v>
      </c>
      <c r="E3077" s="6">
        <v>8733.0</v>
      </c>
      <c r="F3077" s="6">
        <v>11373.0</v>
      </c>
      <c r="G3077" s="6">
        <v>12265.0</v>
      </c>
      <c r="H3077" s="6">
        <v>0.712</v>
      </c>
      <c r="I3077" s="6">
        <v>0.9273</v>
      </c>
      <c r="J3077" s="6">
        <v>-0.2152</v>
      </c>
    </row>
    <row r="3078">
      <c r="A3078" s="5" t="s">
        <v>59</v>
      </c>
      <c r="B3078" s="5" t="s">
        <v>1867</v>
      </c>
      <c r="C3078" s="5" t="s">
        <v>73</v>
      </c>
      <c r="D3078" s="6">
        <v>8.0</v>
      </c>
      <c r="E3078" s="6">
        <v>6912.0</v>
      </c>
      <c r="F3078" s="6">
        <v>10478.0</v>
      </c>
      <c r="G3078" s="6">
        <v>12265.0</v>
      </c>
      <c r="H3078" s="6">
        <v>0.5636</v>
      </c>
      <c r="I3078" s="6">
        <v>0.8543</v>
      </c>
      <c r="J3078" s="6">
        <v>-0.2907</v>
      </c>
    </row>
    <row r="3079">
      <c r="A3079" s="5" t="s">
        <v>59</v>
      </c>
      <c r="B3079" s="5" t="s">
        <v>1867</v>
      </c>
      <c r="C3079" s="5" t="s">
        <v>73</v>
      </c>
      <c r="D3079" s="6">
        <v>9.0</v>
      </c>
      <c r="E3079" s="6">
        <v>7789.0</v>
      </c>
      <c r="F3079" s="6">
        <v>10615.0</v>
      </c>
      <c r="G3079" s="6">
        <v>12265.0</v>
      </c>
      <c r="H3079" s="6">
        <v>0.6351</v>
      </c>
      <c r="I3079" s="6">
        <v>0.8655</v>
      </c>
      <c r="J3079" s="6">
        <v>-0.2304</v>
      </c>
    </row>
    <row r="3080">
      <c r="A3080" s="5" t="s">
        <v>59</v>
      </c>
      <c r="B3080" s="5" t="s">
        <v>1867</v>
      </c>
      <c r="C3080" s="5" t="s">
        <v>73</v>
      </c>
      <c r="D3080" s="6">
        <v>10.0</v>
      </c>
      <c r="E3080" s="6">
        <v>8773.0</v>
      </c>
      <c r="F3080" s="6">
        <v>11383.0</v>
      </c>
      <c r="G3080" s="6">
        <v>12265.0</v>
      </c>
      <c r="H3080" s="6">
        <v>0.7153</v>
      </c>
      <c r="I3080" s="6">
        <v>0.9281</v>
      </c>
      <c r="J3080" s="6">
        <v>-0.2128</v>
      </c>
    </row>
    <row r="3081">
      <c r="A3081" s="5" t="s">
        <v>59</v>
      </c>
      <c r="B3081" s="5" t="s">
        <v>1867</v>
      </c>
      <c r="C3081" s="5" t="s">
        <v>73</v>
      </c>
      <c r="D3081" s="6">
        <v>11.0</v>
      </c>
      <c r="E3081" s="6">
        <v>9081.0</v>
      </c>
      <c r="F3081" s="6">
        <v>11850.0</v>
      </c>
      <c r="G3081" s="6">
        <v>12265.0</v>
      </c>
      <c r="H3081" s="6">
        <v>0.7404</v>
      </c>
      <c r="I3081" s="6">
        <v>0.9662</v>
      </c>
      <c r="J3081" s="6">
        <v>-0.2258</v>
      </c>
    </row>
    <row r="3082">
      <c r="A3082" s="5" t="s">
        <v>59</v>
      </c>
      <c r="B3082" s="5" t="s">
        <v>1867</v>
      </c>
      <c r="C3082" s="5" t="s">
        <v>73</v>
      </c>
      <c r="D3082" s="6">
        <v>12.0</v>
      </c>
      <c r="E3082" s="6">
        <v>7830.0</v>
      </c>
      <c r="F3082" s="6">
        <v>11482.0</v>
      </c>
      <c r="G3082" s="6">
        <v>12265.0</v>
      </c>
      <c r="H3082" s="6">
        <v>0.6384</v>
      </c>
      <c r="I3082" s="6">
        <v>0.9362</v>
      </c>
      <c r="J3082" s="6">
        <v>-0.2978</v>
      </c>
    </row>
    <row r="3083">
      <c r="A3083" s="5" t="s">
        <v>59</v>
      </c>
      <c r="B3083" s="5" t="s">
        <v>1867</v>
      </c>
      <c r="C3083" s="5" t="s">
        <v>73</v>
      </c>
      <c r="D3083" s="6">
        <v>13.0</v>
      </c>
      <c r="E3083" s="6">
        <v>11077.0</v>
      </c>
      <c r="F3083" s="6">
        <v>13942.0</v>
      </c>
      <c r="G3083" s="6">
        <v>12265.0</v>
      </c>
      <c r="H3083" s="6">
        <v>0.9031</v>
      </c>
      <c r="I3083" s="6">
        <v>1.1367</v>
      </c>
      <c r="J3083" s="6">
        <v>-0.2336</v>
      </c>
    </row>
    <row r="3084">
      <c r="A3084" s="5" t="s">
        <v>59</v>
      </c>
      <c r="B3084" s="5" t="s">
        <v>1867</v>
      </c>
      <c r="C3084" s="5" t="s">
        <v>73</v>
      </c>
      <c r="D3084" s="6">
        <v>14.0</v>
      </c>
      <c r="E3084" s="6">
        <v>8819.0</v>
      </c>
      <c r="F3084" s="6">
        <v>11633.0</v>
      </c>
      <c r="G3084" s="6">
        <v>12265.0</v>
      </c>
      <c r="H3084" s="6">
        <v>0.719</v>
      </c>
      <c r="I3084" s="6">
        <v>0.9485</v>
      </c>
      <c r="J3084" s="6">
        <v>-0.2294</v>
      </c>
    </row>
    <row r="3085">
      <c r="A3085" s="5" t="s">
        <v>59</v>
      </c>
      <c r="B3085" s="5" t="s">
        <v>1867</v>
      </c>
      <c r="C3085" s="5" t="s">
        <v>73</v>
      </c>
      <c r="D3085" s="6">
        <v>15.0</v>
      </c>
      <c r="E3085" s="6">
        <v>7316.0</v>
      </c>
      <c r="F3085" s="6">
        <v>11509.0</v>
      </c>
      <c r="G3085" s="6">
        <v>12265.0</v>
      </c>
      <c r="H3085" s="6">
        <v>0.5965</v>
      </c>
      <c r="I3085" s="6">
        <v>0.9384</v>
      </c>
      <c r="J3085" s="6">
        <v>-0.3419</v>
      </c>
    </row>
    <row r="3086">
      <c r="A3086" s="5" t="s">
        <v>59</v>
      </c>
      <c r="B3086" s="5" t="s">
        <v>1867</v>
      </c>
      <c r="C3086" s="5" t="s">
        <v>73</v>
      </c>
      <c r="D3086" s="6">
        <v>16.0</v>
      </c>
      <c r="E3086" s="6">
        <v>10388.0</v>
      </c>
      <c r="F3086" s="6">
        <v>12272.0</v>
      </c>
      <c r="G3086" s="6">
        <v>12265.0</v>
      </c>
      <c r="H3086" s="6">
        <v>0.847</v>
      </c>
      <c r="I3086" s="6">
        <v>1.0006</v>
      </c>
      <c r="J3086" s="6">
        <v>-0.1536</v>
      </c>
    </row>
    <row r="3087">
      <c r="A3087" s="5" t="s">
        <v>59</v>
      </c>
      <c r="B3087" s="5" t="s">
        <v>1867</v>
      </c>
      <c r="C3087" s="5" t="s">
        <v>73</v>
      </c>
      <c r="D3087" s="6">
        <v>17.0</v>
      </c>
      <c r="E3087" s="6">
        <v>10217.0</v>
      </c>
      <c r="F3087" s="6">
        <v>12486.0</v>
      </c>
      <c r="G3087" s="6">
        <v>12265.0</v>
      </c>
      <c r="H3087" s="6">
        <v>0.833</v>
      </c>
      <c r="I3087" s="6">
        <v>1.018</v>
      </c>
      <c r="J3087" s="6">
        <v>-0.185</v>
      </c>
    </row>
    <row r="3088">
      <c r="A3088" s="5" t="s">
        <v>59</v>
      </c>
      <c r="B3088" s="5" t="s">
        <v>1867</v>
      </c>
      <c r="C3088" s="5" t="s">
        <v>73</v>
      </c>
      <c r="D3088" s="6">
        <v>18.0</v>
      </c>
      <c r="E3088" s="6">
        <v>10373.0</v>
      </c>
      <c r="F3088" s="6">
        <v>12565.0</v>
      </c>
      <c r="G3088" s="6">
        <v>12265.0</v>
      </c>
      <c r="H3088" s="6">
        <v>0.8457</v>
      </c>
      <c r="I3088" s="6">
        <v>1.0245</v>
      </c>
      <c r="J3088" s="6">
        <v>-0.1787</v>
      </c>
    </row>
    <row r="3089">
      <c r="A3089" s="5" t="s">
        <v>59</v>
      </c>
      <c r="B3089" s="5" t="s">
        <v>1867</v>
      </c>
      <c r="C3089" s="5" t="s">
        <v>73</v>
      </c>
      <c r="D3089" s="6">
        <v>19.0</v>
      </c>
      <c r="E3089" s="6">
        <v>8702.0</v>
      </c>
      <c r="F3089" s="6">
        <v>12260.0</v>
      </c>
      <c r="G3089" s="6">
        <v>12265.0</v>
      </c>
      <c r="H3089" s="6">
        <v>0.7095</v>
      </c>
      <c r="I3089" s="6">
        <v>0.9996</v>
      </c>
      <c r="J3089" s="6">
        <v>-0.2901</v>
      </c>
    </row>
    <row r="3090">
      <c r="A3090" s="5" t="s">
        <v>59</v>
      </c>
      <c r="B3090" s="5" t="s">
        <v>1867</v>
      </c>
      <c r="C3090" s="5" t="s">
        <v>73</v>
      </c>
      <c r="D3090" s="6">
        <v>20.0</v>
      </c>
      <c r="E3090" s="6">
        <v>12727.0</v>
      </c>
      <c r="F3090" s="6">
        <v>15380.0</v>
      </c>
      <c r="G3090" s="6">
        <v>12265.0</v>
      </c>
      <c r="H3090" s="6">
        <v>1.0377</v>
      </c>
      <c r="I3090" s="6">
        <v>1.254</v>
      </c>
      <c r="J3090" s="6">
        <v>-0.2163</v>
      </c>
    </row>
    <row r="3091">
      <c r="A3091" s="5" t="s">
        <v>59</v>
      </c>
      <c r="B3091" s="5" t="s">
        <v>1867</v>
      </c>
      <c r="C3091" s="5" t="s">
        <v>73</v>
      </c>
      <c r="D3091" s="6">
        <v>21.0</v>
      </c>
      <c r="E3091" s="6">
        <v>15305.0</v>
      </c>
      <c r="F3091" s="6">
        <v>14935.0</v>
      </c>
      <c r="G3091" s="6">
        <v>12265.0</v>
      </c>
      <c r="H3091" s="6">
        <v>1.2479</v>
      </c>
      <c r="I3091" s="6">
        <v>1.2177</v>
      </c>
      <c r="J3091" s="6">
        <v>0.0302</v>
      </c>
    </row>
    <row r="3092">
      <c r="A3092" s="5" t="s">
        <v>59</v>
      </c>
      <c r="B3092" s="5" t="s">
        <v>1867</v>
      </c>
      <c r="C3092" s="5" t="s">
        <v>73</v>
      </c>
      <c r="D3092" s="6">
        <v>22.0</v>
      </c>
      <c r="E3092" s="6">
        <v>10779.0</v>
      </c>
      <c r="F3092" s="6">
        <v>13523.0</v>
      </c>
      <c r="G3092" s="6">
        <v>12265.0</v>
      </c>
      <c r="H3092" s="6">
        <v>0.8788</v>
      </c>
      <c r="I3092" s="6">
        <v>1.1026</v>
      </c>
      <c r="J3092" s="6">
        <v>-0.2237</v>
      </c>
    </row>
    <row r="3093">
      <c r="A3093" s="5" t="s">
        <v>59</v>
      </c>
      <c r="B3093" s="5" t="s">
        <v>1867</v>
      </c>
      <c r="C3093" s="5" t="s">
        <v>73</v>
      </c>
      <c r="D3093" s="6">
        <v>23.0</v>
      </c>
      <c r="E3093" s="6">
        <v>10727.0</v>
      </c>
      <c r="F3093" s="6">
        <v>12966.0</v>
      </c>
      <c r="G3093" s="6">
        <v>12265.0</v>
      </c>
      <c r="H3093" s="6">
        <v>0.8746</v>
      </c>
      <c r="I3093" s="6">
        <v>1.0572</v>
      </c>
      <c r="J3093" s="6">
        <v>-0.1826</v>
      </c>
    </row>
    <row r="3094">
      <c r="A3094" s="5" t="s">
        <v>59</v>
      </c>
      <c r="B3094" s="5" t="s">
        <v>1867</v>
      </c>
      <c r="C3094" s="5" t="s">
        <v>73</v>
      </c>
      <c r="D3094" s="6">
        <v>24.0</v>
      </c>
      <c r="E3094" s="6">
        <v>11694.0</v>
      </c>
      <c r="F3094" s="6">
        <v>14272.0</v>
      </c>
      <c r="G3094" s="6">
        <v>12265.0</v>
      </c>
      <c r="H3094" s="6">
        <v>0.9534</v>
      </c>
      <c r="I3094" s="6">
        <v>1.1636</v>
      </c>
      <c r="J3094" s="6">
        <v>-0.2102</v>
      </c>
    </row>
    <row r="3095">
      <c r="A3095" s="5" t="s">
        <v>59</v>
      </c>
      <c r="B3095" s="5" t="s">
        <v>1867</v>
      </c>
      <c r="C3095" s="5" t="s">
        <v>73</v>
      </c>
      <c r="D3095" s="6">
        <v>25.0</v>
      </c>
      <c r="E3095" s="6">
        <v>11943.0</v>
      </c>
      <c r="F3095" s="6">
        <v>14118.0</v>
      </c>
      <c r="G3095" s="6">
        <v>12265.0</v>
      </c>
      <c r="H3095" s="6">
        <v>0.9737</v>
      </c>
      <c r="I3095" s="6">
        <v>1.1511</v>
      </c>
      <c r="J3095" s="6">
        <v>-0.1773</v>
      </c>
    </row>
    <row r="3096">
      <c r="A3096" s="5" t="s">
        <v>59</v>
      </c>
      <c r="B3096" s="5" t="s">
        <v>1867</v>
      </c>
      <c r="C3096" s="5" t="s">
        <v>73</v>
      </c>
      <c r="D3096" s="6">
        <v>26.0</v>
      </c>
      <c r="E3096" s="6">
        <v>9953.0</v>
      </c>
      <c r="F3096" s="6">
        <v>13798.0</v>
      </c>
      <c r="G3096" s="6">
        <v>12265.0</v>
      </c>
      <c r="H3096" s="6">
        <v>0.8115</v>
      </c>
      <c r="I3096" s="6">
        <v>1.125</v>
      </c>
      <c r="J3096" s="6">
        <v>-0.3135</v>
      </c>
    </row>
    <row r="3097">
      <c r="A3097" s="5" t="s">
        <v>59</v>
      </c>
      <c r="B3097" s="5" t="s">
        <v>1867</v>
      </c>
      <c r="C3097" s="5" t="s">
        <v>73</v>
      </c>
      <c r="D3097" s="6">
        <v>27.0</v>
      </c>
      <c r="E3097" s="6">
        <v>13517.0</v>
      </c>
      <c r="F3097" s="6">
        <v>16482.0</v>
      </c>
      <c r="G3097" s="6">
        <v>12265.0</v>
      </c>
      <c r="H3097" s="6">
        <v>1.1021</v>
      </c>
      <c r="I3097" s="6">
        <v>1.3438</v>
      </c>
      <c r="J3097" s="6">
        <v>-0.2417</v>
      </c>
    </row>
    <row r="3098">
      <c r="A3098" s="5" t="s">
        <v>59</v>
      </c>
      <c r="B3098" s="5" t="s">
        <v>1867</v>
      </c>
      <c r="C3098" s="5" t="s">
        <v>73</v>
      </c>
      <c r="D3098" s="6">
        <v>28.0</v>
      </c>
      <c r="E3098" s="6">
        <v>10622.0</v>
      </c>
      <c r="F3098" s="6">
        <v>13597.0</v>
      </c>
      <c r="G3098" s="6">
        <v>12265.0</v>
      </c>
      <c r="H3098" s="6">
        <v>0.866</v>
      </c>
      <c r="I3098" s="6">
        <v>1.1086</v>
      </c>
      <c r="J3098" s="6">
        <v>-0.2426</v>
      </c>
    </row>
    <row r="3099">
      <c r="A3099" s="5" t="s">
        <v>59</v>
      </c>
      <c r="B3099" s="5" t="s">
        <v>1867</v>
      </c>
      <c r="C3099" s="5" t="s">
        <v>73</v>
      </c>
      <c r="D3099" s="6">
        <v>29.0</v>
      </c>
      <c r="E3099" s="6">
        <v>8476.0</v>
      </c>
      <c r="F3099" s="6">
        <v>12481.0</v>
      </c>
      <c r="G3099" s="6">
        <v>12265.0</v>
      </c>
      <c r="H3099" s="6">
        <v>0.6911</v>
      </c>
      <c r="I3099" s="6">
        <v>1.0176</v>
      </c>
      <c r="J3099" s="6">
        <v>-0.3265</v>
      </c>
    </row>
    <row r="3100">
      <c r="A3100" s="5" t="s">
        <v>59</v>
      </c>
      <c r="B3100" s="5" t="s">
        <v>1867</v>
      </c>
      <c r="C3100" s="5" t="s">
        <v>73</v>
      </c>
      <c r="D3100" s="6">
        <v>30.0</v>
      </c>
      <c r="E3100" s="6">
        <v>11581.0</v>
      </c>
      <c r="F3100" s="6">
        <v>13864.0</v>
      </c>
      <c r="G3100" s="6">
        <v>12265.0</v>
      </c>
      <c r="H3100" s="6">
        <v>0.9442</v>
      </c>
      <c r="I3100" s="6">
        <v>1.1304</v>
      </c>
      <c r="J3100" s="6">
        <v>-0.1861</v>
      </c>
    </row>
    <row r="3101">
      <c r="A3101" s="5" t="s">
        <v>59</v>
      </c>
      <c r="B3101" s="5" t="s">
        <v>1867</v>
      </c>
      <c r="C3101" s="5" t="s">
        <v>73</v>
      </c>
      <c r="D3101" s="6">
        <v>31.0</v>
      </c>
      <c r="E3101" s="6">
        <v>10972.0</v>
      </c>
      <c r="F3101" s="6">
        <v>13187.0</v>
      </c>
      <c r="G3101" s="6">
        <v>12265.0</v>
      </c>
      <c r="H3101" s="6">
        <v>0.8946</v>
      </c>
      <c r="I3101" s="6">
        <v>1.0752</v>
      </c>
      <c r="J3101" s="6">
        <v>-0.1806</v>
      </c>
    </row>
    <row r="3102">
      <c r="A3102" s="5" t="s">
        <v>59</v>
      </c>
      <c r="B3102" s="5" t="s">
        <v>1867</v>
      </c>
      <c r="C3102" s="5" t="s">
        <v>73</v>
      </c>
      <c r="D3102" s="6">
        <v>32.0</v>
      </c>
      <c r="E3102" s="6">
        <v>11058.0</v>
      </c>
      <c r="F3102" s="6">
        <v>13048.0</v>
      </c>
      <c r="G3102" s="6">
        <v>12265.0</v>
      </c>
      <c r="H3102" s="6">
        <v>0.9016</v>
      </c>
      <c r="I3102" s="6">
        <v>1.0638</v>
      </c>
      <c r="J3102" s="6">
        <v>-0.1623</v>
      </c>
    </row>
    <row r="3103">
      <c r="A3103" s="5" t="s">
        <v>59</v>
      </c>
      <c r="B3103" s="5" t="s">
        <v>1867</v>
      </c>
      <c r="C3103" s="5" t="s">
        <v>73</v>
      </c>
      <c r="D3103" s="6">
        <v>33.0</v>
      </c>
      <c r="E3103" s="6">
        <v>9086.0</v>
      </c>
      <c r="F3103" s="6">
        <v>12859.0</v>
      </c>
      <c r="G3103" s="6">
        <v>12265.0</v>
      </c>
      <c r="H3103" s="6">
        <v>0.7408</v>
      </c>
      <c r="I3103" s="6">
        <v>1.0484</v>
      </c>
      <c r="J3103" s="6">
        <v>-0.3076</v>
      </c>
    </row>
    <row r="3104">
      <c r="A3104" s="5" t="s">
        <v>59</v>
      </c>
      <c r="B3104" s="5" t="s">
        <v>1867</v>
      </c>
      <c r="C3104" s="5" t="s">
        <v>74</v>
      </c>
      <c r="D3104" s="6">
        <v>1.0</v>
      </c>
      <c r="E3104" s="6">
        <v>4087.0</v>
      </c>
      <c r="F3104" s="6">
        <v>7127.0</v>
      </c>
      <c r="G3104" s="6">
        <v>12113.0</v>
      </c>
      <c r="H3104" s="6">
        <v>0.3374</v>
      </c>
      <c r="I3104" s="6">
        <v>0.5884</v>
      </c>
      <c r="J3104" s="6">
        <v>-0.251</v>
      </c>
    </row>
    <row r="3105">
      <c r="A3105" s="5" t="s">
        <v>59</v>
      </c>
      <c r="B3105" s="5" t="s">
        <v>1867</v>
      </c>
      <c r="C3105" s="5" t="s">
        <v>74</v>
      </c>
      <c r="D3105" s="6">
        <v>2.0</v>
      </c>
      <c r="E3105" s="6">
        <v>6314.0</v>
      </c>
      <c r="F3105" s="6">
        <v>8081.0</v>
      </c>
      <c r="G3105" s="6">
        <v>12113.0</v>
      </c>
      <c r="H3105" s="6">
        <v>0.5213</v>
      </c>
      <c r="I3105" s="6">
        <v>0.6671</v>
      </c>
      <c r="J3105" s="6">
        <v>-0.1459</v>
      </c>
    </row>
    <row r="3106">
      <c r="A3106" s="5" t="s">
        <v>59</v>
      </c>
      <c r="B3106" s="5" t="s">
        <v>1867</v>
      </c>
      <c r="C3106" s="5" t="s">
        <v>74</v>
      </c>
      <c r="D3106" s="6">
        <v>3.0</v>
      </c>
      <c r="E3106" s="6">
        <v>5497.0</v>
      </c>
      <c r="F3106" s="6">
        <v>7996.0</v>
      </c>
      <c r="G3106" s="6">
        <v>12113.0</v>
      </c>
      <c r="H3106" s="6">
        <v>0.4538</v>
      </c>
      <c r="I3106" s="6">
        <v>0.6601</v>
      </c>
      <c r="J3106" s="6">
        <v>-0.2063</v>
      </c>
    </row>
    <row r="3107">
      <c r="A3107" s="5" t="s">
        <v>59</v>
      </c>
      <c r="B3107" s="5" t="s">
        <v>1867</v>
      </c>
      <c r="C3107" s="5" t="s">
        <v>74</v>
      </c>
      <c r="D3107" s="6">
        <v>4.0</v>
      </c>
      <c r="E3107" s="6">
        <v>6678.0</v>
      </c>
      <c r="F3107" s="6">
        <v>8413.0</v>
      </c>
      <c r="G3107" s="6">
        <v>12113.0</v>
      </c>
      <c r="H3107" s="6">
        <v>0.5513</v>
      </c>
      <c r="I3107" s="6">
        <v>0.6945</v>
      </c>
      <c r="J3107" s="6">
        <v>-0.1432</v>
      </c>
    </row>
    <row r="3108">
      <c r="A3108" s="5" t="s">
        <v>59</v>
      </c>
      <c r="B3108" s="5" t="s">
        <v>1867</v>
      </c>
      <c r="C3108" s="5" t="s">
        <v>74</v>
      </c>
      <c r="D3108" s="6">
        <v>5.0</v>
      </c>
      <c r="E3108" s="6">
        <v>5801.0</v>
      </c>
      <c r="F3108" s="6">
        <v>8188.0</v>
      </c>
      <c r="G3108" s="6">
        <v>12113.0</v>
      </c>
      <c r="H3108" s="6">
        <v>0.4789</v>
      </c>
      <c r="I3108" s="6">
        <v>0.676</v>
      </c>
      <c r="J3108" s="6">
        <v>-0.1971</v>
      </c>
    </row>
    <row r="3109">
      <c r="A3109" s="5" t="s">
        <v>59</v>
      </c>
      <c r="B3109" s="5" t="s">
        <v>1867</v>
      </c>
      <c r="C3109" s="5" t="s">
        <v>74</v>
      </c>
      <c r="D3109" s="6">
        <v>6.0</v>
      </c>
      <c r="E3109" s="6">
        <v>9435.0</v>
      </c>
      <c r="F3109" s="6">
        <v>11559.0</v>
      </c>
      <c r="G3109" s="6">
        <v>12113.0</v>
      </c>
      <c r="H3109" s="6">
        <v>0.7789</v>
      </c>
      <c r="I3109" s="6">
        <v>0.9543</v>
      </c>
      <c r="J3109" s="6">
        <v>-0.1753</v>
      </c>
    </row>
    <row r="3110">
      <c r="A3110" s="5" t="s">
        <v>59</v>
      </c>
      <c r="B3110" s="5" t="s">
        <v>1867</v>
      </c>
      <c r="C3110" s="5" t="s">
        <v>74</v>
      </c>
      <c r="D3110" s="6">
        <v>7.0</v>
      </c>
      <c r="E3110" s="6">
        <v>6440.0</v>
      </c>
      <c r="F3110" s="6">
        <v>8493.0</v>
      </c>
      <c r="G3110" s="6">
        <v>12113.0</v>
      </c>
      <c r="H3110" s="6">
        <v>0.5317</v>
      </c>
      <c r="I3110" s="6">
        <v>0.7011</v>
      </c>
      <c r="J3110" s="6">
        <v>-0.1695</v>
      </c>
    </row>
    <row r="3111">
      <c r="A3111" s="5" t="s">
        <v>59</v>
      </c>
      <c r="B3111" s="5" t="s">
        <v>1867</v>
      </c>
      <c r="C3111" s="5" t="s">
        <v>74</v>
      </c>
      <c r="D3111" s="6">
        <v>8.0</v>
      </c>
      <c r="E3111" s="6">
        <v>5035.0</v>
      </c>
      <c r="F3111" s="6">
        <v>7757.0</v>
      </c>
      <c r="G3111" s="6">
        <v>12113.0</v>
      </c>
      <c r="H3111" s="6">
        <v>0.4157</v>
      </c>
      <c r="I3111" s="6">
        <v>0.6404</v>
      </c>
      <c r="J3111" s="6">
        <v>-0.2247</v>
      </c>
    </row>
    <row r="3112">
      <c r="A3112" s="5" t="s">
        <v>59</v>
      </c>
      <c r="B3112" s="5" t="s">
        <v>1867</v>
      </c>
      <c r="C3112" s="5" t="s">
        <v>74</v>
      </c>
      <c r="D3112" s="6">
        <v>9.0</v>
      </c>
      <c r="E3112" s="6">
        <v>5652.0</v>
      </c>
      <c r="F3112" s="6">
        <v>7955.0</v>
      </c>
      <c r="G3112" s="6">
        <v>12113.0</v>
      </c>
      <c r="H3112" s="6">
        <v>0.4666</v>
      </c>
      <c r="I3112" s="6">
        <v>0.6567</v>
      </c>
      <c r="J3112" s="6">
        <v>-0.1901</v>
      </c>
    </row>
    <row r="3113">
      <c r="A3113" s="5" t="s">
        <v>59</v>
      </c>
      <c r="B3113" s="5" t="s">
        <v>1867</v>
      </c>
      <c r="C3113" s="5" t="s">
        <v>74</v>
      </c>
      <c r="D3113" s="6">
        <v>10.0</v>
      </c>
      <c r="E3113" s="6">
        <v>5031.0</v>
      </c>
      <c r="F3113" s="6">
        <v>7764.0</v>
      </c>
      <c r="G3113" s="6">
        <v>12113.0</v>
      </c>
      <c r="H3113" s="6">
        <v>0.4153</v>
      </c>
      <c r="I3113" s="6">
        <v>0.641</v>
      </c>
      <c r="J3113" s="6">
        <v>-0.2256</v>
      </c>
    </row>
    <row r="3114">
      <c r="A3114" s="5" t="s">
        <v>59</v>
      </c>
      <c r="B3114" s="5" t="s">
        <v>1867</v>
      </c>
      <c r="C3114" s="5" t="s">
        <v>74</v>
      </c>
      <c r="D3114" s="6">
        <v>11.0</v>
      </c>
      <c r="E3114" s="6">
        <v>5998.0</v>
      </c>
      <c r="F3114" s="6">
        <v>8257.0</v>
      </c>
      <c r="G3114" s="6">
        <v>12113.0</v>
      </c>
      <c r="H3114" s="6">
        <v>0.4952</v>
      </c>
      <c r="I3114" s="6">
        <v>0.6817</v>
      </c>
      <c r="J3114" s="6">
        <v>-0.1865</v>
      </c>
    </row>
    <row r="3115">
      <c r="A3115" s="5" t="s">
        <v>59</v>
      </c>
      <c r="B3115" s="5" t="s">
        <v>1867</v>
      </c>
      <c r="C3115" s="5" t="s">
        <v>74</v>
      </c>
      <c r="D3115" s="6">
        <v>12.0</v>
      </c>
      <c r="E3115" s="6">
        <v>5187.0</v>
      </c>
      <c r="F3115" s="6">
        <v>8483.0</v>
      </c>
      <c r="G3115" s="6">
        <v>12113.0</v>
      </c>
      <c r="H3115" s="6">
        <v>0.4282</v>
      </c>
      <c r="I3115" s="6">
        <v>0.7003</v>
      </c>
      <c r="J3115" s="6">
        <v>-0.2721</v>
      </c>
    </row>
    <row r="3116">
      <c r="A3116" s="5" t="s">
        <v>59</v>
      </c>
      <c r="B3116" s="5" t="s">
        <v>1867</v>
      </c>
      <c r="C3116" s="5" t="s">
        <v>74</v>
      </c>
      <c r="D3116" s="6">
        <v>13.0</v>
      </c>
      <c r="E3116" s="6">
        <v>8817.0</v>
      </c>
      <c r="F3116" s="6">
        <v>11578.0</v>
      </c>
      <c r="G3116" s="6">
        <v>12113.0</v>
      </c>
      <c r="H3116" s="6">
        <v>0.7279</v>
      </c>
      <c r="I3116" s="6">
        <v>0.9558</v>
      </c>
      <c r="J3116" s="6">
        <v>-0.2279</v>
      </c>
    </row>
    <row r="3117">
      <c r="A3117" s="5" t="s">
        <v>59</v>
      </c>
      <c r="B3117" s="5" t="s">
        <v>1867</v>
      </c>
      <c r="C3117" s="5" t="s">
        <v>74</v>
      </c>
      <c r="D3117" s="6">
        <v>14.0</v>
      </c>
      <c r="E3117" s="6">
        <v>6062.0</v>
      </c>
      <c r="F3117" s="6">
        <v>8518.0</v>
      </c>
      <c r="G3117" s="6">
        <v>12113.0</v>
      </c>
      <c r="H3117" s="6">
        <v>0.5005</v>
      </c>
      <c r="I3117" s="6">
        <v>0.7032</v>
      </c>
      <c r="J3117" s="6">
        <v>-0.2028</v>
      </c>
    </row>
    <row r="3118">
      <c r="A3118" s="5" t="s">
        <v>59</v>
      </c>
      <c r="B3118" s="5" t="s">
        <v>1867</v>
      </c>
      <c r="C3118" s="5" t="s">
        <v>74</v>
      </c>
      <c r="D3118" s="6">
        <v>15.0</v>
      </c>
      <c r="E3118" s="6">
        <v>4655.0</v>
      </c>
      <c r="F3118" s="6">
        <v>7864.0</v>
      </c>
      <c r="G3118" s="6">
        <v>12113.0</v>
      </c>
      <c r="H3118" s="6">
        <v>0.3843</v>
      </c>
      <c r="I3118" s="6">
        <v>0.6492</v>
      </c>
      <c r="J3118" s="6">
        <v>-0.2649</v>
      </c>
    </row>
    <row r="3119">
      <c r="A3119" s="5" t="s">
        <v>59</v>
      </c>
      <c r="B3119" s="5" t="s">
        <v>1867</v>
      </c>
      <c r="C3119" s="5" t="s">
        <v>74</v>
      </c>
      <c r="D3119" s="6">
        <v>16.0</v>
      </c>
      <c r="E3119" s="6">
        <v>7092.0</v>
      </c>
      <c r="F3119" s="6">
        <v>8749.0</v>
      </c>
      <c r="G3119" s="6">
        <v>12113.0</v>
      </c>
      <c r="H3119" s="6">
        <v>0.5855</v>
      </c>
      <c r="I3119" s="6">
        <v>0.7223</v>
      </c>
      <c r="J3119" s="6">
        <v>-0.1368</v>
      </c>
    </row>
    <row r="3120">
      <c r="A3120" s="5" t="s">
        <v>59</v>
      </c>
      <c r="B3120" s="5" t="s">
        <v>1867</v>
      </c>
      <c r="C3120" s="5" t="s">
        <v>74</v>
      </c>
      <c r="D3120" s="6">
        <v>17.0</v>
      </c>
      <c r="E3120" s="6">
        <v>6297.0</v>
      </c>
      <c r="F3120" s="6">
        <v>8621.0</v>
      </c>
      <c r="G3120" s="6">
        <v>12113.0</v>
      </c>
      <c r="H3120" s="6">
        <v>0.5199</v>
      </c>
      <c r="I3120" s="6">
        <v>0.7117</v>
      </c>
      <c r="J3120" s="6">
        <v>-0.1919</v>
      </c>
    </row>
    <row r="3121">
      <c r="A3121" s="5" t="s">
        <v>59</v>
      </c>
      <c r="B3121" s="5" t="s">
        <v>1867</v>
      </c>
      <c r="C3121" s="5" t="s">
        <v>74</v>
      </c>
      <c r="D3121" s="6">
        <v>18.0</v>
      </c>
      <c r="E3121" s="6">
        <v>6955.0</v>
      </c>
      <c r="F3121" s="6">
        <v>8844.0</v>
      </c>
      <c r="G3121" s="6">
        <v>12113.0</v>
      </c>
      <c r="H3121" s="6">
        <v>0.5742</v>
      </c>
      <c r="I3121" s="6">
        <v>0.7301</v>
      </c>
      <c r="J3121" s="6">
        <v>-0.1559</v>
      </c>
    </row>
    <row r="3122">
      <c r="A3122" s="5" t="s">
        <v>59</v>
      </c>
      <c r="B3122" s="5" t="s">
        <v>1867</v>
      </c>
      <c r="C3122" s="5" t="s">
        <v>74</v>
      </c>
      <c r="D3122" s="6">
        <v>19.0</v>
      </c>
      <c r="E3122" s="6">
        <v>6189.0</v>
      </c>
      <c r="F3122" s="6">
        <v>8824.0</v>
      </c>
      <c r="G3122" s="6">
        <v>12113.0</v>
      </c>
      <c r="H3122" s="6">
        <v>0.5109</v>
      </c>
      <c r="I3122" s="6">
        <v>0.7285</v>
      </c>
      <c r="J3122" s="6">
        <v>-0.2175</v>
      </c>
    </row>
    <row r="3123">
      <c r="A3123" s="5" t="s">
        <v>59</v>
      </c>
      <c r="B3123" s="5" t="s">
        <v>1867</v>
      </c>
      <c r="C3123" s="5" t="s">
        <v>74</v>
      </c>
      <c r="D3123" s="6">
        <v>20.0</v>
      </c>
      <c r="E3123" s="6">
        <v>10632.0</v>
      </c>
      <c r="F3123" s="6">
        <v>12780.0</v>
      </c>
      <c r="G3123" s="6">
        <v>12113.0</v>
      </c>
      <c r="H3123" s="6">
        <v>0.8777</v>
      </c>
      <c r="I3123" s="6">
        <v>1.0551</v>
      </c>
      <c r="J3123" s="6">
        <v>-0.1773</v>
      </c>
    </row>
    <row r="3124">
      <c r="A3124" s="5" t="s">
        <v>59</v>
      </c>
      <c r="B3124" s="5" t="s">
        <v>1867</v>
      </c>
      <c r="C3124" s="5" t="s">
        <v>74</v>
      </c>
      <c r="D3124" s="6">
        <v>21.0</v>
      </c>
      <c r="E3124" s="6">
        <v>9022.0</v>
      </c>
      <c r="F3124" s="6">
        <v>10263.0</v>
      </c>
      <c r="G3124" s="6">
        <v>12113.0</v>
      </c>
      <c r="H3124" s="6">
        <v>0.7448</v>
      </c>
      <c r="I3124" s="6">
        <v>0.8473</v>
      </c>
      <c r="J3124" s="6">
        <v>-0.1025</v>
      </c>
    </row>
    <row r="3125">
      <c r="A3125" s="5" t="s">
        <v>59</v>
      </c>
      <c r="B3125" s="5" t="s">
        <v>1867</v>
      </c>
      <c r="C3125" s="5" t="s">
        <v>74</v>
      </c>
      <c r="D3125" s="6">
        <v>22.0</v>
      </c>
      <c r="E3125" s="6">
        <v>7013.0</v>
      </c>
      <c r="F3125" s="6">
        <v>9466.0</v>
      </c>
      <c r="G3125" s="6">
        <v>12113.0</v>
      </c>
      <c r="H3125" s="6">
        <v>0.579</v>
      </c>
      <c r="I3125" s="6">
        <v>0.7815</v>
      </c>
      <c r="J3125" s="6">
        <v>-0.2025</v>
      </c>
    </row>
    <row r="3126">
      <c r="A3126" s="5" t="s">
        <v>59</v>
      </c>
      <c r="B3126" s="5" t="s">
        <v>1867</v>
      </c>
      <c r="C3126" s="5" t="s">
        <v>74</v>
      </c>
      <c r="D3126" s="6">
        <v>23.0</v>
      </c>
      <c r="E3126" s="6">
        <v>7250.0</v>
      </c>
      <c r="F3126" s="6">
        <v>9251.0</v>
      </c>
      <c r="G3126" s="6">
        <v>12113.0</v>
      </c>
      <c r="H3126" s="6">
        <v>0.5985</v>
      </c>
      <c r="I3126" s="6">
        <v>0.7637</v>
      </c>
      <c r="J3126" s="6">
        <v>-0.1652</v>
      </c>
    </row>
    <row r="3127">
      <c r="A3127" s="5" t="s">
        <v>59</v>
      </c>
      <c r="B3127" s="5" t="s">
        <v>1867</v>
      </c>
      <c r="C3127" s="5" t="s">
        <v>74</v>
      </c>
      <c r="D3127" s="6">
        <v>24.0</v>
      </c>
      <c r="E3127" s="6">
        <v>6559.0</v>
      </c>
      <c r="F3127" s="6">
        <v>9281.0</v>
      </c>
      <c r="G3127" s="6">
        <v>12113.0</v>
      </c>
      <c r="H3127" s="6">
        <v>0.5415</v>
      </c>
      <c r="I3127" s="6">
        <v>0.7662</v>
      </c>
      <c r="J3127" s="6">
        <v>-0.2247</v>
      </c>
    </row>
    <row r="3128">
      <c r="A3128" s="5" t="s">
        <v>59</v>
      </c>
      <c r="B3128" s="5" t="s">
        <v>1867</v>
      </c>
      <c r="C3128" s="5" t="s">
        <v>74</v>
      </c>
      <c r="D3128" s="6">
        <v>25.0</v>
      </c>
      <c r="E3128" s="6">
        <v>7659.0</v>
      </c>
      <c r="F3128" s="6">
        <v>9693.0</v>
      </c>
      <c r="G3128" s="6">
        <v>12113.0</v>
      </c>
      <c r="H3128" s="6">
        <v>0.6323</v>
      </c>
      <c r="I3128" s="6">
        <v>0.8002</v>
      </c>
      <c r="J3128" s="6">
        <v>-0.1679</v>
      </c>
    </row>
    <row r="3129">
      <c r="A3129" s="5" t="s">
        <v>59</v>
      </c>
      <c r="B3129" s="5" t="s">
        <v>1867</v>
      </c>
      <c r="C3129" s="5" t="s">
        <v>74</v>
      </c>
      <c r="D3129" s="6">
        <v>26.0</v>
      </c>
      <c r="E3129" s="6">
        <v>6460.0</v>
      </c>
      <c r="F3129" s="6">
        <v>9499.0</v>
      </c>
      <c r="G3129" s="6">
        <v>12113.0</v>
      </c>
      <c r="H3129" s="6">
        <v>0.5333</v>
      </c>
      <c r="I3129" s="6">
        <v>0.7842</v>
      </c>
      <c r="J3129" s="6">
        <v>-0.2509</v>
      </c>
    </row>
    <row r="3130">
      <c r="A3130" s="5" t="s">
        <v>59</v>
      </c>
      <c r="B3130" s="5" t="s">
        <v>1867</v>
      </c>
      <c r="C3130" s="5" t="s">
        <v>74</v>
      </c>
      <c r="D3130" s="6">
        <v>27.0</v>
      </c>
      <c r="E3130" s="6">
        <v>10380.0</v>
      </c>
      <c r="F3130" s="6">
        <v>12799.0</v>
      </c>
      <c r="G3130" s="6">
        <v>12113.0</v>
      </c>
      <c r="H3130" s="6">
        <v>0.8569</v>
      </c>
      <c r="I3130" s="6">
        <v>1.0566</v>
      </c>
      <c r="J3130" s="6">
        <v>-0.1997</v>
      </c>
    </row>
    <row r="3131">
      <c r="A3131" s="5" t="s">
        <v>59</v>
      </c>
      <c r="B3131" s="5" t="s">
        <v>1867</v>
      </c>
      <c r="C3131" s="5" t="s">
        <v>74</v>
      </c>
      <c r="D3131" s="6">
        <v>28.0</v>
      </c>
      <c r="E3131" s="6">
        <v>7050.0</v>
      </c>
      <c r="F3131" s="6">
        <v>9553.0</v>
      </c>
      <c r="G3131" s="6">
        <v>12113.0</v>
      </c>
      <c r="H3131" s="6">
        <v>0.582</v>
      </c>
      <c r="I3131" s="6">
        <v>0.7887</v>
      </c>
      <c r="J3131" s="6">
        <v>-0.2066</v>
      </c>
    </row>
    <row r="3132">
      <c r="A3132" s="5" t="s">
        <v>59</v>
      </c>
      <c r="B3132" s="5" t="s">
        <v>1867</v>
      </c>
      <c r="C3132" s="5" t="s">
        <v>74</v>
      </c>
      <c r="D3132" s="6">
        <v>29.0</v>
      </c>
      <c r="E3132" s="6">
        <v>5033.0</v>
      </c>
      <c r="F3132" s="6">
        <v>8163.0</v>
      </c>
      <c r="G3132" s="6">
        <v>12113.0</v>
      </c>
      <c r="H3132" s="6">
        <v>0.4155</v>
      </c>
      <c r="I3132" s="6">
        <v>0.6739</v>
      </c>
      <c r="J3132" s="6">
        <v>-0.2584</v>
      </c>
    </row>
    <row r="3133">
      <c r="A3133" s="5" t="s">
        <v>59</v>
      </c>
      <c r="B3133" s="5" t="s">
        <v>1867</v>
      </c>
      <c r="C3133" s="5" t="s">
        <v>74</v>
      </c>
      <c r="D3133" s="6">
        <v>30.0</v>
      </c>
      <c r="E3133" s="6">
        <v>7459.0</v>
      </c>
      <c r="F3133" s="6">
        <v>9045.0</v>
      </c>
      <c r="G3133" s="6">
        <v>12113.0</v>
      </c>
      <c r="H3133" s="6">
        <v>0.6158</v>
      </c>
      <c r="I3133" s="6">
        <v>0.7467</v>
      </c>
      <c r="J3133" s="6">
        <v>-0.1309</v>
      </c>
    </row>
    <row r="3134">
      <c r="A3134" s="5" t="s">
        <v>59</v>
      </c>
      <c r="B3134" s="5" t="s">
        <v>1867</v>
      </c>
      <c r="C3134" s="5" t="s">
        <v>74</v>
      </c>
      <c r="D3134" s="6">
        <v>31.0</v>
      </c>
      <c r="E3134" s="6">
        <v>6601.0</v>
      </c>
      <c r="F3134" s="6">
        <v>8779.0</v>
      </c>
      <c r="G3134" s="6">
        <v>12113.0</v>
      </c>
      <c r="H3134" s="6">
        <v>0.545</v>
      </c>
      <c r="I3134" s="6">
        <v>0.7248</v>
      </c>
      <c r="J3134" s="6">
        <v>-0.1798</v>
      </c>
    </row>
    <row r="3135">
      <c r="A3135" s="5" t="s">
        <v>59</v>
      </c>
      <c r="B3135" s="5" t="s">
        <v>1867</v>
      </c>
      <c r="C3135" s="5" t="s">
        <v>74</v>
      </c>
      <c r="D3135" s="6">
        <v>32.0</v>
      </c>
      <c r="E3135" s="6">
        <v>7339.0</v>
      </c>
      <c r="F3135" s="6">
        <v>9016.0</v>
      </c>
      <c r="G3135" s="6">
        <v>12113.0</v>
      </c>
      <c r="H3135" s="6">
        <v>0.6059</v>
      </c>
      <c r="I3135" s="6">
        <v>0.7443</v>
      </c>
      <c r="J3135" s="6">
        <v>-0.1384</v>
      </c>
    </row>
    <row r="3136">
      <c r="A3136" s="5" t="s">
        <v>59</v>
      </c>
      <c r="B3136" s="5" t="s">
        <v>1867</v>
      </c>
      <c r="C3136" s="5" t="s">
        <v>74</v>
      </c>
      <c r="D3136" s="6">
        <v>33.0</v>
      </c>
      <c r="E3136" s="6">
        <v>6254.0</v>
      </c>
      <c r="F3136" s="6">
        <v>8912.0</v>
      </c>
      <c r="G3136" s="6">
        <v>12113.0</v>
      </c>
      <c r="H3136" s="6">
        <v>0.5163</v>
      </c>
      <c r="I3136" s="6">
        <v>0.7357</v>
      </c>
      <c r="J3136" s="6">
        <v>-0.2194</v>
      </c>
    </row>
    <row r="3137">
      <c r="A3137" s="5" t="s">
        <v>59</v>
      </c>
      <c r="B3137" s="5" t="s">
        <v>1867</v>
      </c>
      <c r="C3137" s="5" t="s">
        <v>69</v>
      </c>
      <c r="D3137" s="6">
        <v>1.0</v>
      </c>
      <c r="E3137" s="6">
        <v>9931.0</v>
      </c>
      <c r="F3137" s="6">
        <v>14323.0</v>
      </c>
      <c r="G3137" s="6">
        <v>12321.0</v>
      </c>
      <c r="H3137" s="6">
        <v>0.806</v>
      </c>
      <c r="I3137" s="6">
        <v>1.1625</v>
      </c>
      <c r="J3137" s="6">
        <v>-0.3565</v>
      </c>
    </row>
    <row r="3138">
      <c r="A3138" s="5" t="s">
        <v>59</v>
      </c>
      <c r="B3138" s="5" t="s">
        <v>1867</v>
      </c>
      <c r="C3138" s="5" t="s">
        <v>69</v>
      </c>
      <c r="D3138" s="6">
        <v>2.0</v>
      </c>
      <c r="E3138" s="6">
        <v>9866.0</v>
      </c>
      <c r="F3138" s="6">
        <v>13447.0</v>
      </c>
      <c r="G3138" s="6">
        <v>12321.0</v>
      </c>
      <c r="H3138" s="6">
        <v>0.8007</v>
      </c>
      <c r="I3138" s="6">
        <v>1.0914</v>
      </c>
      <c r="J3138" s="6">
        <v>-0.2906</v>
      </c>
    </row>
    <row r="3139">
      <c r="A3139" s="5" t="s">
        <v>59</v>
      </c>
      <c r="B3139" s="5" t="s">
        <v>1867</v>
      </c>
      <c r="C3139" s="5" t="s">
        <v>69</v>
      </c>
      <c r="D3139" s="6">
        <v>3.0</v>
      </c>
      <c r="E3139" s="6">
        <v>13608.0</v>
      </c>
      <c r="F3139" s="6">
        <v>15924.0</v>
      </c>
      <c r="G3139" s="6">
        <v>12321.0</v>
      </c>
      <c r="H3139" s="6">
        <v>1.1045</v>
      </c>
      <c r="I3139" s="6">
        <v>1.2924</v>
      </c>
      <c r="J3139" s="6">
        <v>-0.188</v>
      </c>
    </row>
    <row r="3140">
      <c r="A3140" s="5" t="s">
        <v>59</v>
      </c>
      <c r="B3140" s="5" t="s">
        <v>1867</v>
      </c>
      <c r="C3140" s="5" t="s">
        <v>69</v>
      </c>
      <c r="D3140" s="6">
        <v>4.0</v>
      </c>
      <c r="E3140" s="6">
        <v>10932.0</v>
      </c>
      <c r="F3140" s="6">
        <v>15053.0</v>
      </c>
      <c r="G3140" s="6">
        <v>12321.0</v>
      </c>
      <c r="H3140" s="6">
        <v>0.8873</v>
      </c>
      <c r="I3140" s="6">
        <v>1.2217</v>
      </c>
      <c r="J3140" s="6">
        <v>-0.3345</v>
      </c>
    </row>
    <row r="3141">
      <c r="A3141" s="5" t="s">
        <v>59</v>
      </c>
      <c r="B3141" s="5" t="s">
        <v>1867</v>
      </c>
      <c r="C3141" s="5" t="s">
        <v>69</v>
      </c>
      <c r="D3141" s="6">
        <v>5.0</v>
      </c>
      <c r="E3141" s="6">
        <v>11605.0</v>
      </c>
      <c r="F3141" s="6">
        <v>15818.0</v>
      </c>
      <c r="G3141" s="6">
        <v>12321.0</v>
      </c>
      <c r="H3141" s="6">
        <v>0.9419</v>
      </c>
      <c r="I3141" s="6">
        <v>1.2838</v>
      </c>
      <c r="J3141" s="6">
        <v>-0.3419</v>
      </c>
    </row>
    <row r="3142">
      <c r="A3142" s="5" t="s">
        <v>59</v>
      </c>
      <c r="B3142" s="5" t="s">
        <v>1867</v>
      </c>
      <c r="C3142" s="5" t="s">
        <v>69</v>
      </c>
      <c r="D3142" s="6">
        <v>6.0</v>
      </c>
      <c r="E3142" s="6">
        <v>12751.0</v>
      </c>
      <c r="F3142" s="6">
        <v>17272.0</v>
      </c>
      <c r="G3142" s="6">
        <v>12321.0</v>
      </c>
      <c r="H3142" s="6">
        <v>1.0349</v>
      </c>
      <c r="I3142" s="6">
        <v>1.4018</v>
      </c>
      <c r="J3142" s="6">
        <v>-0.3669</v>
      </c>
    </row>
    <row r="3143">
      <c r="A3143" s="5" t="s">
        <v>59</v>
      </c>
      <c r="B3143" s="5" t="s">
        <v>1867</v>
      </c>
      <c r="C3143" s="5" t="s">
        <v>69</v>
      </c>
      <c r="D3143" s="6">
        <v>7.0</v>
      </c>
      <c r="E3143" s="6">
        <v>10199.0</v>
      </c>
      <c r="F3143" s="6">
        <v>14218.0</v>
      </c>
      <c r="G3143" s="6">
        <v>12321.0</v>
      </c>
      <c r="H3143" s="6">
        <v>0.8278</v>
      </c>
      <c r="I3143" s="6">
        <v>1.154</v>
      </c>
      <c r="J3143" s="6">
        <v>-0.3262</v>
      </c>
    </row>
    <row r="3144">
      <c r="A3144" s="5" t="s">
        <v>59</v>
      </c>
      <c r="B3144" s="5" t="s">
        <v>1867</v>
      </c>
      <c r="C3144" s="5" t="s">
        <v>69</v>
      </c>
      <c r="D3144" s="6">
        <v>8.0</v>
      </c>
      <c r="E3144" s="6">
        <v>10100.0</v>
      </c>
      <c r="F3144" s="6">
        <v>13858.0</v>
      </c>
      <c r="G3144" s="6">
        <v>12321.0</v>
      </c>
      <c r="H3144" s="6">
        <v>0.8197</v>
      </c>
      <c r="I3144" s="6">
        <v>1.1247</v>
      </c>
      <c r="J3144" s="6">
        <v>-0.305</v>
      </c>
    </row>
    <row r="3145">
      <c r="A3145" s="5" t="s">
        <v>59</v>
      </c>
      <c r="B3145" s="5" t="s">
        <v>1867</v>
      </c>
      <c r="C3145" s="5" t="s">
        <v>69</v>
      </c>
      <c r="D3145" s="6">
        <v>9.0</v>
      </c>
      <c r="E3145" s="6">
        <v>8724.0</v>
      </c>
      <c r="F3145" s="6">
        <v>12950.0</v>
      </c>
      <c r="G3145" s="6">
        <v>12321.0</v>
      </c>
      <c r="H3145" s="6">
        <v>0.7081</v>
      </c>
      <c r="I3145" s="6">
        <v>1.0511</v>
      </c>
      <c r="J3145" s="6">
        <v>-0.343</v>
      </c>
    </row>
    <row r="3146">
      <c r="A3146" s="5" t="s">
        <v>59</v>
      </c>
      <c r="B3146" s="5" t="s">
        <v>1867</v>
      </c>
      <c r="C3146" s="5" t="s">
        <v>69</v>
      </c>
      <c r="D3146" s="6">
        <v>10.0</v>
      </c>
      <c r="E3146" s="6">
        <v>13913.0</v>
      </c>
      <c r="F3146" s="6">
        <v>16339.0</v>
      </c>
      <c r="G3146" s="6">
        <v>12321.0</v>
      </c>
      <c r="H3146" s="6">
        <v>1.1292</v>
      </c>
      <c r="I3146" s="6">
        <v>1.3261</v>
      </c>
      <c r="J3146" s="6">
        <v>-0.1969</v>
      </c>
    </row>
    <row r="3147">
      <c r="A3147" s="5" t="s">
        <v>59</v>
      </c>
      <c r="B3147" s="5" t="s">
        <v>1867</v>
      </c>
      <c r="C3147" s="5" t="s">
        <v>69</v>
      </c>
      <c r="D3147" s="6">
        <v>11.0</v>
      </c>
      <c r="E3147" s="6">
        <v>10185.0</v>
      </c>
      <c r="F3147" s="6">
        <v>14625.0</v>
      </c>
      <c r="G3147" s="6">
        <v>12321.0</v>
      </c>
      <c r="H3147" s="6">
        <v>0.8266</v>
      </c>
      <c r="I3147" s="6">
        <v>1.187</v>
      </c>
      <c r="J3147" s="6">
        <v>-0.3604</v>
      </c>
    </row>
    <row r="3148">
      <c r="A3148" s="5" t="s">
        <v>59</v>
      </c>
      <c r="B3148" s="5" t="s">
        <v>1867</v>
      </c>
      <c r="C3148" s="5" t="s">
        <v>69</v>
      </c>
      <c r="D3148" s="6">
        <v>12.0</v>
      </c>
      <c r="E3148" s="6">
        <v>10925.0</v>
      </c>
      <c r="F3148" s="6">
        <v>16213.0</v>
      </c>
      <c r="G3148" s="6">
        <v>12321.0</v>
      </c>
      <c r="H3148" s="6">
        <v>0.8867</v>
      </c>
      <c r="I3148" s="6">
        <v>1.3159</v>
      </c>
      <c r="J3148" s="6">
        <v>-0.4292</v>
      </c>
    </row>
    <row r="3149">
      <c r="A3149" s="5" t="s">
        <v>59</v>
      </c>
      <c r="B3149" s="5" t="s">
        <v>1867</v>
      </c>
      <c r="C3149" s="5" t="s">
        <v>69</v>
      </c>
      <c r="D3149" s="6">
        <v>13.0</v>
      </c>
      <c r="E3149" s="6">
        <v>12157.0</v>
      </c>
      <c r="F3149" s="6">
        <v>17383.0</v>
      </c>
      <c r="G3149" s="6">
        <v>12321.0</v>
      </c>
      <c r="H3149" s="6">
        <v>0.9867</v>
      </c>
      <c r="I3149" s="6">
        <v>1.4108</v>
      </c>
      <c r="J3149" s="6">
        <v>-0.4242</v>
      </c>
    </row>
    <row r="3150">
      <c r="A3150" s="5" t="s">
        <v>59</v>
      </c>
      <c r="B3150" s="5" t="s">
        <v>1867</v>
      </c>
      <c r="C3150" s="5" t="s">
        <v>69</v>
      </c>
      <c r="D3150" s="6">
        <v>14.0</v>
      </c>
      <c r="E3150" s="6">
        <v>10325.0</v>
      </c>
      <c r="F3150" s="6">
        <v>14705.0</v>
      </c>
      <c r="G3150" s="6">
        <v>12321.0</v>
      </c>
      <c r="H3150" s="6">
        <v>0.838</v>
      </c>
      <c r="I3150" s="6">
        <v>1.1935</v>
      </c>
      <c r="J3150" s="6">
        <v>-0.3555</v>
      </c>
    </row>
    <row r="3151">
      <c r="A3151" s="5" t="s">
        <v>59</v>
      </c>
      <c r="B3151" s="5" t="s">
        <v>1867</v>
      </c>
      <c r="C3151" s="5" t="s">
        <v>69</v>
      </c>
      <c r="D3151" s="6">
        <v>15.0</v>
      </c>
      <c r="E3151" s="6">
        <v>10617.0</v>
      </c>
      <c r="F3151" s="6">
        <v>15501.0</v>
      </c>
      <c r="G3151" s="6">
        <v>12321.0</v>
      </c>
      <c r="H3151" s="6">
        <v>0.8617</v>
      </c>
      <c r="I3151" s="6">
        <v>1.2581</v>
      </c>
      <c r="J3151" s="6">
        <v>-0.3964</v>
      </c>
    </row>
    <row r="3152">
      <c r="A3152" s="5" t="s">
        <v>59</v>
      </c>
      <c r="B3152" s="5" t="s">
        <v>1867</v>
      </c>
      <c r="C3152" s="5" t="s">
        <v>69</v>
      </c>
      <c r="D3152" s="6">
        <v>16.0</v>
      </c>
      <c r="E3152" s="6">
        <v>10542.0</v>
      </c>
      <c r="F3152" s="6">
        <v>14246.0</v>
      </c>
      <c r="G3152" s="6">
        <v>12321.0</v>
      </c>
      <c r="H3152" s="6">
        <v>0.8556</v>
      </c>
      <c r="I3152" s="6">
        <v>1.1562</v>
      </c>
      <c r="J3152" s="6">
        <v>-0.3006</v>
      </c>
    </row>
    <row r="3153">
      <c r="A3153" s="5" t="s">
        <v>59</v>
      </c>
      <c r="B3153" s="5" t="s">
        <v>1867</v>
      </c>
      <c r="C3153" s="5" t="s">
        <v>69</v>
      </c>
      <c r="D3153" s="6">
        <v>17.0</v>
      </c>
      <c r="E3153" s="6">
        <v>15324.0</v>
      </c>
      <c r="F3153" s="6">
        <v>17498.0</v>
      </c>
      <c r="G3153" s="6">
        <v>12321.0</v>
      </c>
      <c r="H3153" s="6">
        <v>1.2437</v>
      </c>
      <c r="I3153" s="6">
        <v>1.4202</v>
      </c>
      <c r="J3153" s="6">
        <v>-0.1764</v>
      </c>
    </row>
    <row r="3154">
      <c r="A3154" s="5" t="s">
        <v>59</v>
      </c>
      <c r="B3154" s="5" t="s">
        <v>1867</v>
      </c>
      <c r="C3154" s="5" t="s">
        <v>69</v>
      </c>
      <c r="D3154" s="6">
        <v>18.0</v>
      </c>
      <c r="E3154" s="6">
        <v>11698.0</v>
      </c>
      <c r="F3154" s="6">
        <v>15845.0</v>
      </c>
      <c r="G3154" s="6">
        <v>12321.0</v>
      </c>
      <c r="H3154" s="6">
        <v>0.9494</v>
      </c>
      <c r="I3154" s="6">
        <v>1.286</v>
      </c>
      <c r="J3154" s="6">
        <v>-0.3366</v>
      </c>
    </row>
    <row r="3155">
      <c r="A3155" s="5" t="s">
        <v>59</v>
      </c>
      <c r="B3155" s="5" t="s">
        <v>1867</v>
      </c>
      <c r="C3155" s="5" t="s">
        <v>69</v>
      </c>
      <c r="D3155" s="6">
        <v>19.0</v>
      </c>
      <c r="E3155" s="6">
        <v>12346.0</v>
      </c>
      <c r="F3155" s="6">
        <v>16686.0</v>
      </c>
      <c r="G3155" s="6">
        <v>12321.0</v>
      </c>
      <c r="H3155" s="6">
        <v>1.002</v>
      </c>
      <c r="I3155" s="6">
        <v>1.3543</v>
      </c>
      <c r="J3155" s="6">
        <v>-0.3522</v>
      </c>
    </row>
    <row r="3156">
      <c r="A3156" s="5" t="s">
        <v>59</v>
      </c>
      <c r="B3156" s="5" t="s">
        <v>1867</v>
      </c>
      <c r="C3156" s="5" t="s">
        <v>69</v>
      </c>
      <c r="D3156" s="6">
        <v>20.0</v>
      </c>
      <c r="E3156" s="6">
        <v>14273.0</v>
      </c>
      <c r="F3156" s="6">
        <v>19086.0</v>
      </c>
      <c r="G3156" s="6">
        <v>12321.0</v>
      </c>
      <c r="H3156" s="6">
        <v>1.1584</v>
      </c>
      <c r="I3156" s="6">
        <v>1.5491</v>
      </c>
      <c r="J3156" s="6">
        <v>-0.3906</v>
      </c>
    </row>
    <row r="3157">
      <c r="A3157" s="5" t="s">
        <v>59</v>
      </c>
      <c r="B3157" s="5" t="s">
        <v>1867</v>
      </c>
      <c r="C3157" s="5" t="s">
        <v>69</v>
      </c>
      <c r="D3157" s="6">
        <v>21.0</v>
      </c>
      <c r="E3157" s="6">
        <v>19218.0</v>
      </c>
      <c r="F3157" s="6">
        <v>19386.0</v>
      </c>
      <c r="G3157" s="6">
        <v>12321.0</v>
      </c>
      <c r="H3157" s="6">
        <v>1.5598</v>
      </c>
      <c r="I3157" s="6">
        <v>1.5734</v>
      </c>
      <c r="J3157" s="6">
        <v>-0.0136</v>
      </c>
    </row>
    <row r="3158">
      <c r="A3158" s="5" t="s">
        <v>59</v>
      </c>
      <c r="B3158" s="5" t="s">
        <v>1867</v>
      </c>
      <c r="C3158" s="5" t="s">
        <v>69</v>
      </c>
      <c r="D3158" s="6">
        <v>22.0</v>
      </c>
      <c r="E3158" s="6">
        <v>17612.0</v>
      </c>
      <c r="F3158" s="6">
        <v>20094.0</v>
      </c>
      <c r="G3158" s="6">
        <v>12321.0</v>
      </c>
      <c r="H3158" s="6">
        <v>1.4294</v>
      </c>
      <c r="I3158" s="6">
        <v>1.6309</v>
      </c>
      <c r="J3158" s="6">
        <v>-0.2014</v>
      </c>
    </row>
    <row r="3159">
      <c r="A3159" s="5" t="s">
        <v>59</v>
      </c>
      <c r="B3159" s="5" t="s">
        <v>1867</v>
      </c>
      <c r="C3159" s="5" t="s">
        <v>69</v>
      </c>
      <c r="D3159" s="6">
        <v>23.0</v>
      </c>
      <c r="E3159" s="6">
        <v>13856.0</v>
      </c>
      <c r="F3159" s="6">
        <v>18228.0</v>
      </c>
      <c r="G3159" s="6">
        <v>12321.0</v>
      </c>
      <c r="H3159" s="6">
        <v>1.1246</v>
      </c>
      <c r="I3159" s="6">
        <v>1.4794</v>
      </c>
      <c r="J3159" s="6">
        <v>-0.3548</v>
      </c>
    </row>
    <row r="3160">
      <c r="A3160" s="5" t="s">
        <v>59</v>
      </c>
      <c r="B3160" s="5" t="s">
        <v>1867</v>
      </c>
      <c r="C3160" s="5" t="s">
        <v>69</v>
      </c>
      <c r="D3160" s="6">
        <v>24.0</v>
      </c>
      <c r="E3160" s="6">
        <v>19169.0</v>
      </c>
      <c r="F3160" s="6">
        <v>21766.0</v>
      </c>
      <c r="G3160" s="6">
        <v>12321.0</v>
      </c>
      <c r="H3160" s="6">
        <v>1.5558</v>
      </c>
      <c r="I3160" s="6">
        <v>1.7666</v>
      </c>
      <c r="J3160" s="6">
        <v>-0.2108</v>
      </c>
    </row>
    <row r="3161">
      <c r="A3161" s="5" t="s">
        <v>59</v>
      </c>
      <c r="B3161" s="5" t="s">
        <v>1867</v>
      </c>
      <c r="C3161" s="5" t="s">
        <v>69</v>
      </c>
      <c r="D3161" s="6">
        <v>25.0</v>
      </c>
      <c r="E3161" s="6">
        <v>14361.0</v>
      </c>
      <c r="F3161" s="6">
        <v>19047.0</v>
      </c>
      <c r="G3161" s="6">
        <v>12321.0</v>
      </c>
      <c r="H3161" s="6">
        <v>1.1656</v>
      </c>
      <c r="I3161" s="6">
        <v>1.5459</v>
      </c>
      <c r="J3161" s="6">
        <v>-0.3803</v>
      </c>
    </row>
    <row r="3162">
      <c r="A3162" s="5" t="s">
        <v>59</v>
      </c>
      <c r="B3162" s="5" t="s">
        <v>1867</v>
      </c>
      <c r="C3162" s="5" t="s">
        <v>69</v>
      </c>
      <c r="D3162" s="6">
        <v>26.0</v>
      </c>
      <c r="E3162" s="6">
        <v>14629.0</v>
      </c>
      <c r="F3162" s="6">
        <v>20182.0</v>
      </c>
      <c r="G3162" s="6">
        <v>12321.0</v>
      </c>
      <c r="H3162" s="6">
        <v>1.1873</v>
      </c>
      <c r="I3162" s="6">
        <v>1.638</v>
      </c>
      <c r="J3162" s="6">
        <v>-0.4507</v>
      </c>
    </row>
    <row r="3163">
      <c r="A3163" s="5" t="s">
        <v>59</v>
      </c>
      <c r="B3163" s="5" t="s">
        <v>1867</v>
      </c>
      <c r="C3163" s="5" t="s">
        <v>69</v>
      </c>
      <c r="D3163" s="6">
        <v>27.0</v>
      </c>
      <c r="E3163" s="6">
        <v>15248.0</v>
      </c>
      <c r="F3163" s="6">
        <v>19837.0</v>
      </c>
      <c r="G3163" s="6">
        <v>12321.0</v>
      </c>
      <c r="H3163" s="6">
        <v>1.2376</v>
      </c>
      <c r="I3163" s="6">
        <v>1.61</v>
      </c>
      <c r="J3163" s="6">
        <v>-0.3725</v>
      </c>
    </row>
    <row r="3164">
      <c r="A3164" s="5" t="s">
        <v>59</v>
      </c>
      <c r="B3164" s="5" t="s">
        <v>1867</v>
      </c>
      <c r="C3164" s="5" t="s">
        <v>69</v>
      </c>
      <c r="D3164" s="6">
        <v>28.0</v>
      </c>
      <c r="E3164" s="6">
        <v>11969.0</v>
      </c>
      <c r="F3164" s="6">
        <v>16947.0</v>
      </c>
      <c r="G3164" s="6">
        <v>12321.0</v>
      </c>
      <c r="H3164" s="6">
        <v>0.9714</v>
      </c>
      <c r="I3164" s="6">
        <v>1.3755</v>
      </c>
      <c r="J3164" s="6">
        <v>-0.404</v>
      </c>
    </row>
    <row r="3165">
      <c r="A3165" s="5" t="s">
        <v>59</v>
      </c>
      <c r="B3165" s="5" t="s">
        <v>1867</v>
      </c>
      <c r="C3165" s="5" t="s">
        <v>69</v>
      </c>
      <c r="D3165" s="6">
        <v>29.0</v>
      </c>
      <c r="E3165" s="6">
        <v>11974.0</v>
      </c>
      <c r="F3165" s="6">
        <v>16834.0</v>
      </c>
      <c r="G3165" s="6">
        <v>12321.0</v>
      </c>
      <c r="H3165" s="6">
        <v>0.9718</v>
      </c>
      <c r="I3165" s="6">
        <v>1.3663</v>
      </c>
      <c r="J3165" s="6">
        <v>-0.3944</v>
      </c>
    </row>
    <row r="3166">
      <c r="A3166" s="5" t="s">
        <v>59</v>
      </c>
      <c r="B3166" s="5" t="s">
        <v>1867</v>
      </c>
      <c r="C3166" s="5" t="s">
        <v>69</v>
      </c>
      <c r="D3166" s="6">
        <v>30.0</v>
      </c>
      <c r="E3166" s="6">
        <v>11666.0</v>
      </c>
      <c r="F3166" s="6">
        <v>15465.0</v>
      </c>
      <c r="G3166" s="6">
        <v>12321.0</v>
      </c>
      <c r="H3166" s="6">
        <v>0.9468</v>
      </c>
      <c r="I3166" s="6">
        <v>1.2552</v>
      </c>
      <c r="J3166" s="6">
        <v>-0.3083</v>
      </c>
    </row>
    <row r="3167">
      <c r="A3167" s="5" t="s">
        <v>59</v>
      </c>
      <c r="B3167" s="5" t="s">
        <v>1867</v>
      </c>
      <c r="C3167" s="5" t="s">
        <v>69</v>
      </c>
      <c r="D3167" s="6">
        <v>31.0</v>
      </c>
      <c r="E3167" s="6">
        <v>17120.0</v>
      </c>
      <c r="F3167" s="6">
        <v>17639.0</v>
      </c>
      <c r="G3167" s="6">
        <v>12321.0</v>
      </c>
      <c r="H3167" s="6">
        <v>1.3895</v>
      </c>
      <c r="I3167" s="6">
        <v>1.4316</v>
      </c>
      <c r="J3167" s="6">
        <v>-0.0421</v>
      </c>
    </row>
    <row r="3168">
      <c r="A3168" s="5" t="s">
        <v>59</v>
      </c>
      <c r="B3168" s="5" t="s">
        <v>1867</v>
      </c>
      <c r="C3168" s="5" t="s">
        <v>69</v>
      </c>
      <c r="D3168" s="6">
        <v>32.0</v>
      </c>
      <c r="E3168" s="6">
        <v>12709.0</v>
      </c>
      <c r="F3168" s="6">
        <v>16621.0</v>
      </c>
      <c r="G3168" s="6">
        <v>12321.0</v>
      </c>
      <c r="H3168" s="6">
        <v>1.0315</v>
      </c>
      <c r="I3168" s="6">
        <v>1.349</v>
      </c>
      <c r="J3168" s="6">
        <v>-0.3175</v>
      </c>
    </row>
    <row r="3169">
      <c r="A3169" s="5" t="s">
        <v>59</v>
      </c>
      <c r="B3169" s="5" t="s">
        <v>1867</v>
      </c>
      <c r="C3169" s="5" t="s">
        <v>69</v>
      </c>
      <c r="D3169" s="6">
        <v>33.0</v>
      </c>
      <c r="E3169" s="6">
        <v>12845.0</v>
      </c>
      <c r="F3169" s="6">
        <v>16888.0</v>
      </c>
      <c r="G3169" s="6">
        <v>12321.0</v>
      </c>
      <c r="H3169" s="6">
        <v>1.0425</v>
      </c>
      <c r="I3169" s="6">
        <v>1.3707</v>
      </c>
      <c r="J3169" s="6">
        <v>-0.3281</v>
      </c>
    </row>
    <row r="3170">
      <c r="A3170" s="5" t="s">
        <v>59</v>
      </c>
      <c r="B3170" s="5" t="s">
        <v>1867</v>
      </c>
      <c r="C3170" s="5" t="s">
        <v>70</v>
      </c>
      <c r="D3170" s="6">
        <v>1.0</v>
      </c>
      <c r="E3170" s="6">
        <v>9643.0</v>
      </c>
      <c r="F3170" s="6">
        <v>14146.0</v>
      </c>
      <c r="G3170" s="6">
        <v>12318.0</v>
      </c>
      <c r="H3170" s="6">
        <v>0.7828</v>
      </c>
      <c r="I3170" s="6">
        <v>1.1484</v>
      </c>
      <c r="J3170" s="6">
        <v>-0.3656</v>
      </c>
    </row>
    <row r="3171">
      <c r="A3171" s="5" t="s">
        <v>59</v>
      </c>
      <c r="B3171" s="5" t="s">
        <v>1867</v>
      </c>
      <c r="C3171" s="5" t="s">
        <v>70</v>
      </c>
      <c r="D3171" s="6">
        <v>2.0</v>
      </c>
      <c r="E3171" s="6">
        <v>9575.0</v>
      </c>
      <c r="F3171" s="6">
        <v>13567.0</v>
      </c>
      <c r="G3171" s="6">
        <v>12318.0</v>
      </c>
      <c r="H3171" s="6">
        <v>0.7773</v>
      </c>
      <c r="I3171" s="6">
        <v>1.1014</v>
      </c>
      <c r="J3171" s="6">
        <v>-0.3241</v>
      </c>
    </row>
    <row r="3172">
      <c r="A3172" s="5" t="s">
        <v>59</v>
      </c>
      <c r="B3172" s="5" t="s">
        <v>1867</v>
      </c>
      <c r="C3172" s="5" t="s">
        <v>70</v>
      </c>
      <c r="D3172" s="6">
        <v>3.0</v>
      </c>
      <c r="E3172" s="6">
        <v>13178.0</v>
      </c>
      <c r="F3172" s="6">
        <v>15752.0</v>
      </c>
      <c r="G3172" s="6">
        <v>12318.0</v>
      </c>
      <c r="H3172" s="6">
        <v>1.0698</v>
      </c>
      <c r="I3172" s="6">
        <v>1.2788</v>
      </c>
      <c r="J3172" s="6">
        <v>-0.209</v>
      </c>
    </row>
    <row r="3173">
      <c r="A3173" s="5" t="s">
        <v>59</v>
      </c>
      <c r="B3173" s="5" t="s">
        <v>1867</v>
      </c>
      <c r="C3173" s="5" t="s">
        <v>70</v>
      </c>
      <c r="D3173" s="6">
        <v>4.0</v>
      </c>
      <c r="E3173" s="6">
        <v>10845.0</v>
      </c>
      <c r="F3173" s="6">
        <v>15048.0</v>
      </c>
      <c r="G3173" s="6">
        <v>12318.0</v>
      </c>
      <c r="H3173" s="6">
        <v>0.8804</v>
      </c>
      <c r="I3173" s="6">
        <v>1.2216</v>
      </c>
      <c r="J3173" s="6">
        <v>-0.3412</v>
      </c>
    </row>
    <row r="3174">
      <c r="A3174" s="5" t="s">
        <v>59</v>
      </c>
      <c r="B3174" s="5" t="s">
        <v>1867</v>
      </c>
      <c r="C3174" s="5" t="s">
        <v>70</v>
      </c>
      <c r="D3174" s="6">
        <v>5.0</v>
      </c>
      <c r="E3174" s="6">
        <v>11531.0</v>
      </c>
      <c r="F3174" s="6">
        <v>15821.0</v>
      </c>
      <c r="G3174" s="6">
        <v>12318.0</v>
      </c>
      <c r="H3174" s="6">
        <v>0.9361</v>
      </c>
      <c r="I3174" s="6">
        <v>1.2844</v>
      </c>
      <c r="J3174" s="6">
        <v>-0.3483</v>
      </c>
    </row>
    <row r="3175">
      <c r="A3175" s="5" t="s">
        <v>59</v>
      </c>
      <c r="B3175" s="5" t="s">
        <v>1867</v>
      </c>
      <c r="C3175" s="5" t="s">
        <v>70</v>
      </c>
      <c r="D3175" s="6">
        <v>6.0</v>
      </c>
      <c r="E3175" s="6">
        <v>13975.0</v>
      </c>
      <c r="F3175" s="6">
        <v>17957.0</v>
      </c>
      <c r="G3175" s="6">
        <v>12318.0</v>
      </c>
      <c r="H3175" s="6">
        <v>1.1345</v>
      </c>
      <c r="I3175" s="6">
        <v>1.4578</v>
      </c>
      <c r="J3175" s="6">
        <v>-0.3233</v>
      </c>
    </row>
    <row r="3176">
      <c r="A3176" s="5" t="s">
        <v>59</v>
      </c>
      <c r="B3176" s="5" t="s">
        <v>1867</v>
      </c>
      <c r="C3176" s="5" t="s">
        <v>70</v>
      </c>
      <c r="D3176" s="6">
        <v>7.0</v>
      </c>
      <c r="E3176" s="6">
        <v>9780.0</v>
      </c>
      <c r="F3176" s="6">
        <v>14127.0</v>
      </c>
      <c r="G3176" s="6">
        <v>12318.0</v>
      </c>
      <c r="H3176" s="6">
        <v>0.794</v>
      </c>
      <c r="I3176" s="6">
        <v>1.1469</v>
      </c>
      <c r="J3176" s="6">
        <v>-0.3529</v>
      </c>
    </row>
    <row r="3177">
      <c r="A3177" s="5" t="s">
        <v>59</v>
      </c>
      <c r="B3177" s="5" t="s">
        <v>1867</v>
      </c>
      <c r="C3177" s="5" t="s">
        <v>70</v>
      </c>
      <c r="D3177" s="6">
        <v>8.0</v>
      </c>
      <c r="E3177" s="6">
        <v>9798.0</v>
      </c>
      <c r="F3177" s="6">
        <v>13680.0</v>
      </c>
      <c r="G3177" s="6">
        <v>12318.0</v>
      </c>
      <c r="H3177" s="6">
        <v>0.7954</v>
      </c>
      <c r="I3177" s="6">
        <v>1.1106</v>
      </c>
      <c r="J3177" s="6">
        <v>-0.3151</v>
      </c>
    </row>
    <row r="3178">
      <c r="A3178" s="5" t="s">
        <v>59</v>
      </c>
      <c r="B3178" s="5" t="s">
        <v>1867</v>
      </c>
      <c r="C3178" s="5" t="s">
        <v>70</v>
      </c>
      <c r="D3178" s="6">
        <v>9.0</v>
      </c>
      <c r="E3178" s="6">
        <v>8867.0</v>
      </c>
      <c r="F3178" s="6">
        <v>12853.0</v>
      </c>
      <c r="G3178" s="6">
        <v>12318.0</v>
      </c>
      <c r="H3178" s="6">
        <v>0.7198</v>
      </c>
      <c r="I3178" s="6">
        <v>1.0434</v>
      </c>
      <c r="J3178" s="6">
        <v>-0.3236</v>
      </c>
    </row>
    <row r="3179">
      <c r="A3179" s="5" t="s">
        <v>59</v>
      </c>
      <c r="B3179" s="5" t="s">
        <v>1867</v>
      </c>
      <c r="C3179" s="5" t="s">
        <v>70</v>
      </c>
      <c r="D3179" s="6">
        <v>10.0</v>
      </c>
      <c r="E3179" s="6">
        <v>13700.0</v>
      </c>
      <c r="F3179" s="6">
        <v>16092.0</v>
      </c>
      <c r="G3179" s="6">
        <v>12318.0</v>
      </c>
      <c r="H3179" s="6">
        <v>1.1122</v>
      </c>
      <c r="I3179" s="6">
        <v>1.3064</v>
      </c>
      <c r="J3179" s="6">
        <v>-0.1942</v>
      </c>
    </row>
    <row r="3180">
      <c r="A3180" s="5" t="s">
        <v>59</v>
      </c>
      <c r="B3180" s="5" t="s">
        <v>1867</v>
      </c>
      <c r="C3180" s="5" t="s">
        <v>70</v>
      </c>
      <c r="D3180" s="6">
        <v>11.0</v>
      </c>
      <c r="E3180" s="6">
        <v>10279.0</v>
      </c>
      <c r="F3180" s="6">
        <v>14536.0</v>
      </c>
      <c r="G3180" s="6">
        <v>12318.0</v>
      </c>
      <c r="H3180" s="6">
        <v>0.8345</v>
      </c>
      <c r="I3180" s="6">
        <v>1.1801</v>
      </c>
      <c r="J3180" s="6">
        <v>-0.3456</v>
      </c>
    </row>
    <row r="3181">
      <c r="A3181" s="5" t="s">
        <v>59</v>
      </c>
      <c r="B3181" s="5" t="s">
        <v>1867</v>
      </c>
      <c r="C3181" s="5" t="s">
        <v>70</v>
      </c>
      <c r="D3181" s="6">
        <v>12.0</v>
      </c>
      <c r="E3181" s="6">
        <v>11141.0</v>
      </c>
      <c r="F3181" s="6">
        <v>16375.0</v>
      </c>
      <c r="G3181" s="6">
        <v>12318.0</v>
      </c>
      <c r="H3181" s="6">
        <v>0.9044</v>
      </c>
      <c r="I3181" s="6">
        <v>1.3294</v>
      </c>
      <c r="J3181" s="6">
        <v>-0.4249</v>
      </c>
    </row>
    <row r="3182">
      <c r="A3182" s="5" t="s">
        <v>59</v>
      </c>
      <c r="B3182" s="5" t="s">
        <v>1867</v>
      </c>
      <c r="C3182" s="5" t="s">
        <v>70</v>
      </c>
      <c r="D3182" s="6">
        <v>13.0</v>
      </c>
      <c r="E3182" s="6">
        <v>14179.0</v>
      </c>
      <c r="F3182" s="6">
        <v>18316.0</v>
      </c>
      <c r="G3182" s="6">
        <v>12318.0</v>
      </c>
      <c r="H3182" s="6">
        <v>1.1511</v>
      </c>
      <c r="I3182" s="6">
        <v>1.4869</v>
      </c>
      <c r="J3182" s="6">
        <v>-0.3358</v>
      </c>
    </row>
    <row r="3183">
      <c r="A3183" s="5" t="s">
        <v>59</v>
      </c>
      <c r="B3183" s="5" t="s">
        <v>1867</v>
      </c>
      <c r="C3183" s="5" t="s">
        <v>70</v>
      </c>
      <c r="D3183" s="6">
        <v>14.0</v>
      </c>
      <c r="E3183" s="6">
        <v>10087.0</v>
      </c>
      <c r="F3183" s="6">
        <v>14499.0</v>
      </c>
      <c r="G3183" s="6">
        <v>12318.0</v>
      </c>
      <c r="H3183" s="6">
        <v>0.8189</v>
      </c>
      <c r="I3183" s="6">
        <v>1.1771</v>
      </c>
      <c r="J3183" s="6">
        <v>-0.3582</v>
      </c>
    </row>
    <row r="3184">
      <c r="A3184" s="5" t="s">
        <v>59</v>
      </c>
      <c r="B3184" s="5" t="s">
        <v>1867</v>
      </c>
      <c r="C3184" s="5" t="s">
        <v>70</v>
      </c>
      <c r="D3184" s="6">
        <v>15.0</v>
      </c>
      <c r="E3184" s="6">
        <v>10431.0</v>
      </c>
      <c r="F3184" s="6">
        <v>15350.0</v>
      </c>
      <c r="G3184" s="6">
        <v>12318.0</v>
      </c>
      <c r="H3184" s="6">
        <v>0.8468</v>
      </c>
      <c r="I3184" s="6">
        <v>1.2461</v>
      </c>
      <c r="J3184" s="6">
        <v>-0.3993</v>
      </c>
    </row>
    <row r="3185">
      <c r="A3185" s="5" t="s">
        <v>59</v>
      </c>
      <c r="B3185" s="5" t="s">
        <v>1867</v>
      </c>
      <c r="C3185" s="5" t="s">
        <v>70</v>
      </c>
      <c r="D3185" s="6">
        <v>16.0</v>
      </c>
      <c r="E3185" s="6">
        <v>10432.0</v>
      </c>
      <c r="F3185" s="6">
        <v>14548.0</v>
      </c>
      <c r="G3185" s="6">
        <v>12318.0</v>
      </c>
      <c r="H3185" s="6">
        <v>0.8469</v>
      </c>
      <c r="I3185" s="6">
        <v>1.181</v>
      </c>
      <c r="J3185" s="6">
        <v>-0.3341</v>
      </c>
    </row>
    <row r="3186">
      <c r="A3186" s="5" t="s">
        <v>59</v>
      </c>
      <c r="B3186" s="5" t="s">
        <v>1867</v>
      </c>
      <c r="C3186" s="5" t="s">
        <v>70</v>
      </c>
      <c r="D3186" s="6">
        <v>17.0</v>
      </c>
      <c r="E3186" s="6">
        <v>15025.0</v>
      </c>
      <c r="F3186" s="6">
        <v>17568.0</v>
      </c>
      <c r="G3186" s="6">
        <v>12318.0</v>
      </c>
      <c r="H3186" s="6">
        <v>1.2198</v>
      </c>
      <c r="I3186" s="6">
        <v>1.4262</v>
      </c>
      <c r="J3186" s="6">
        <v>-0.2064</v>
      </c>
    </row>
    <row r="3187">
      <c r="A3187" s="5" t="s">
        <v>59</v>
      </c>
      <c r="B3187" s="5" t="s">
        <v>1867</v>
      </c>
      <c r="C3187" s="5" t="s">
        <v>70</v>
      </c>
      <c r="D3187" s="6">
        <v>18.0</v>
      </c>
      <c r="E3187" s="6">
        <v>11541.0</v>
      </c>
      <c r="F3187" s="6">
        <v>15515.0</v>
      </c>
      <c r="G3187" s="6">
        <v>12318.0</v>
      </c>
      <c r="H3187" s="6">
        <v>0.9369</v>
      </c>
      <c r="I3187" s="6">
        <v>1.2595</v>
      </c>
      <c r="J3187" s="6">
        <v>-0.3226</v>
      </c>
    </row>
    <row r="3188">
      <c r="A3188" s="5" t="s">
        <v>59</v>
      </c>
      <c r="B3188" s="5" t="s">
        <v>1867</v>
      </c>
      <c r="C3188" s="5" t="s">
        <v>70</v>
      </c>
      <c r="D3188" s="6">
        <v>19.0</v>
      </c>
      <c r="E3188" s="6">
        <v>12030.0</v>
      </c>
      <c r="F3188" s="6">
        <v>16630.0</v>
      </c>
      <c r="G3188" s="6">
        <v>12318.0</v>
      </c>
      <c r="H3188" s="6">
        <v>0.9766</v>
      </c>
      <c r="I3188" s="6">
        <v>1.3501</v>
      </c>
      <c r="J3188" s="6">
        <v>-0.3734</v>
      </c>
    </row>
    <row r="3189">
      <c r="A3189" s="5" t="s">
        <v>59</v>
      </c>
      <c r="B3189" s="5" t="s">
        <v>1867</v>
      </c>
      <c r="C3189" s="5" t="s">
        <v>70</v>
      </c>
      <c r="D3189" s="6">
        <v>20.0</v>
      </c>
      <c r="E3189" s="6">
        <v>15972.0</v>
      </c>
      <c r="F3189" s="6">
        <v>20114.0</v>
      </c>
      <c r="G3189" s="6">
        <v>12318.0</v>
      </c>
      <c r="H3189" s="6">
        <v>1.2966</v>
      </c>
      <c r="I3189" s="6">
        <v>1.6329</v>
      </c>
      <c r="J3189" s="6">
        <v>-0.3363</v>
      </c>
    </row>
    <row r="3190">
      <c r="A3190" s="5" t="s">
        <v>59</v>
      </c>
      <c r="B3190" s="5" t="s">
        <v>1867</v>
      </c>
      <c r="C3190" s="5" t="s">
        <v>70</v>
      </c>
      <c r="D3190" s="6">
        <v>21.0</v>
      </c>
      <c r="E3190" s="6">
        <v>19729.0</v>
      </c>
      <c r="F3190" s="6">
        <v>19300.0</v>
      </c>
      <c r="G3190" s="6">
        <v>12318.0</v>
      </c>
      <c r="H3190" s="6">
        <v>1.6016</v>
      </c>
      <c r="I3190" s="6">
        <v>1.5668</v>
      </c>
      <c r="J3190" s="6">
        <v>0.0348</v>
      </c>
    </row>
    <row r="3191">
      <c r="A3191" s="5" t="s">
        <v>59</v>
      </c>
      <c r="B3191" s="5" t="s">
        <v>1867</v>
      </c>
      <c r="C3191" s="5" t="s">
        <v>70</v>
      </c>
      <c r="D3191" s="6">
        <v>22.0</v>
      </c>
      <c r="E3191" s="6">
        <v>16504.0</v>
      </c>
      <c r="F3191" s="6">
        <v>19208.0</v>
      </c>
      <c r="G3191" s="6">
        <v>12318.0</v>
      </c>
      <c r="H3191" s="6">
        <v>1.3398</v>
      </c>
      <c r="I3191" s="6">
        <v>1.5593</v>
      </c>
      <c r="J3191" s="6">
        <v>-0.2195</v>
      </c>
    </row>
    <row r="3192">
      <c r="A3192" s="5" t="s">
        <v>59</v>
      </c>
      <c r="B3192" s="5" t="s">
        <v>1867</v>
      </c>
      <c r="C3192" s="5" t="s">
        <v>70</v>
      </c>
      <c r="D3192" s="6">
        <v>23.0</v>
      </c>
      <c r="E3192" s="6">
        <v>13753.0</v>
      </c>
      <c r="F3192" s="6">
        <v>17585.0</v>
      </c>
      <c r="G3192" s="6">
        <v>12318.0</v>
      </c>
      <c r="H3192" s="6">
        <v>1.1165</v>
      </c>
      <c r="I3192" s="6">
        <v>1.4276</v>
      </c>
      <c r="J3192" s="6">
        <v>-0.3111</v>
      </c>
    </row>
    <row r="3193">
      <c r="A3193" s="5" t="s">
        <v>59</v>
      </c>
      <c r="B3193" s="5" t="s">
        <v>1867</v>
      </c>
      <c r="C3193" s="5" t="s">
        <v>70</v>
      </c>
      <c r="D3193" s="6">
        <v>24.0</v>
      </c>
      <c r="E3193" s="6">
        <v>19458.0</v>
      </c>
      <c r="F3193" s="6">
        <v>21548.0</v>
      </c>
      <c r="G3193" s="6">
        <v>12318.0</v>
      </c>
      <c r="H3193" s="6">
        <v>1.5796</v>
      </c>
      <c r="I3193" s="6">
        <v>1.7493</v>
      </c>
      <c r="J3193" s="6">
        <v>-0.1697</v>
      </c>
    </row>
    <row r="3194">
      <c r="A3194" s="5" t="s">
        <v>59</v>
      </c>
      <c r="B3194" s="5" t="s">
        <v>1867</v>
      </c>
      <c r="C3194" s="5" t="s">
        <v>70</v>
      </c>
      <c r="D3194" s="6">
        <v>25.0</v>
      </c>
      <c r="E3194" s="6">
        <v>14847.0</v>
      </c>
      <c r="F3194" s="6">
        <v>19013.0</v>
      </c>
      <c r="G3194" s="6">
        <v>12318.0</v>
      </c>
      <c r="H3194" s="6">
        <v>1.2053</v>
      </c>
      <c r="I3194" s="6">
        <v>1.5435</v>
      </c>
      <c r="J3194" s="6">
        <v>-0.3382</v>
      </c>
    </row>
    <row r="3195">
      <c r="A3195" s="5" t="s">
        <v>59</v>
      </c>
      <c r="B3195" s="5" t="s">
        <v>1867</v>
      </c>
      <c r="C3195" s="5" t="s">
        <v>70</v>
      </c>
      <c r="D3195" s="6">
        <v>26.0</v>
      </c>
      <c r="E3195" s="6">
        <v>14708.0</v>
      </c>
      <c r="F3195" s="6">
        <v>19967.0</v>
      </c>
      <c r="G3195" s="6">
        <v>12318.0</v>
      </c>
      <c r="H3195" s="6">
        <v>1.194</v>
      </c>
      <c r="I3195" s="6">
        <v>1.621</v>
      </c>
      <c r="J3195" s="6">
        <v>-0.4269</v>
      </c>
    </row>
    <row r="3196">
      <c r="A3196" s="5" t="s">
        <v>59</v>
      </c>
      <c r="B3196" s="5" t="s">
        <v>1867</v>
      </c>
      <c r="C3196" s="5" t="s">
        <v>70</v>
      </c>
      <c r="D3196" s="6">
        <v>27.0</v>
      </c>
      <c r="E3196" s="6">
        <v>17056.0</v>
      </c>
      <c r="F3196" s="6">
        <v>20746.0</v>
      </c>
      <c r="G3196" s="6">
        <v>12318.0</v>
      </c>
      <c r="H3196" s="6">
        <v>1.3846</v>
      </c>
      <c r="I3196" s="6">
        <v>1.6842</v>
      </c>
      <c r="J3196" s="6">
        <v>-0.2996</v>
      </c>
    </row>
    <row r="3197">
      <c r="A3197" s="5" t="s">
        <v>59</v>
      </c>
      <c r="B3197" s="5" t="s">
        <v>1867</v>
      </c>
      <c r="C3197" s="5" t="s">
        <v>70</v>
      </c>
      <c r="D3197" s="6">
        <v>28.0</v>
      </c>
      <c r="E3197" s="6">
        <v>12233.0</v>
      </c>
      <c r="F3197" s="6">
        <v>17102.0</v>
      </c>
      <c r="G3197" s="6">
        <v>12318.0</v>
      </c>
      <c r="H3197" s="6">
        <v>0.9931</v>
      </c>
      <c r="I3197" s="6">
        <v>1.3884</v>
      </c>
      <c r="J3197" s="6">
        <v>-0.3953</v>
      </c>
    </row>
    <row r="3198">
      <c r="A3198" s="5" t="s">
        <v>59</v>
      </c>
      <c r="B3198" s="5" t="s">
        <v>1867</v>
      </c>
      <c r="C3198" s="5" t="s">
        <v>70</v>
      </c>
      <c r="D3198" s="6">
        <v>29.0</v>
      </c>
      <c r="E3198" s="6">
        <v>11990.0</v>
      </c>
      <c r="F3198" s="6">
        <v>16595.0</v>
      </c>
      <c r="G3198" s="6">
        <v>12318.0</v>
      </c>
      <c r="H3198" s="6">
        <v>0.9734</v>
      </c>
      <c r="I3198" s="6">
        <v>1.3472</v>
      </c>
      <c r="J3198" s="6">
        <v>-0.3738</v>
      </c>
    </row>
    <row r="3199">
      <c r="A3199" s="5" t="s">
        <v>59</v>
      </c>
      <c r="B3199" s="5" t="s">
        <v>1867</v>
      </c>
      <c r="C3199" s="5" t="s">
        <v>70</v>
      </c>
      <c r="D3199" s="6">
        <v>30.0</v>
      </c>
      <c r="E3199" s="6">
        <v>11460.0</v>
      </c>
      <c r="F3199" s="6">
        <v>15606.0</v>
      </c>
      <c r="G3199" s="6">
        <v>12318.0</v>
      </c>
      <c r="H3199" s="6">
        <v>0.9303</v>
      </c>
      <c r="I3199" s="6">
        <v>1.2669</v>
      </c>
      <c r="J3199" s="6">
        <v>-0.3366</v>
      </c>
    </row>
    <row r="3200">
      <c r="A3200" s="5" t="s">
        <v>59</v>
      </c>
      <c r="B3200" s="5" t="s">
        <v>1867</v>
      </c>
      <c r="C3200" s="5" t="s">
        <v>70</v>
      </c>
      <c r="D3200" s="6">
        <v>31.0</v>
      </c>
      <c r="E3200" s="6">
        <v>16500.0</v>
      </c>
      <c r="F3200" s="6">
        <v>17305.0</v>
      </c>
      <c r="G3200" s="6">
        <v>12318.0</v>
      </c>
      <c r="H3200" s="6">
        <v>1.3395</v>
      </c>
      <c r="I3200" s="6">
        <v>1.4049</v>
      </c>
      <c r="J3200" s="6">
        <v>-0.0654</v>
      </c>
    </row>
    <row r="3201">
      <c r="A3201" s="5" t="s">
        <v>59</v>
      </c>
      <c r="B3201" s="5" t="s">
        <v>1867</v>
      </c>
      <c r="C3201" s="5" t="s">
        <v>70</v>
      </c>
      <c r="D3201" s="6">
        <v>32.0</v>
      </c>
      <c r="E3201" s="6">
        <v>12510.0</v>
      </c>
      <c r="F3201" s="6">
        <v>16436.0</v>
      </c>
      <c r="G3201" s="6">
        <v>12318.0</v>
      </c>
      <c r="H3201" s="6">
        <v>1.0156</v>
      </c>
      <c r="I3201" s="6">
        <v>1.3343</v>
      </c>
      <c r="J3201" s="6">
        <v>-0.3187</v>
      </c>
    </row>
    <row r="3202">
      <c r="A3202" s="5" t="s">
        <v>59</v>
      </c>
      <c r="B3202" s="5" t="s">
        <v>1867</v>
      </c>
      <c r="C3202" s="5" t="s">
        <v>70</v>
      </c>
      <c r="D3202" s="6">
        <v>33.0</v>
      </c>
      <c r="E3202" s="6">
        <v>12558.0</v>
      </c>
      <c r="F3202" s="6">
        <v>16833.0</v>
      </c>
      <c r="G3202" s="6">
        <v>12318.0</v>
      </c>
      <c r="H3202" s="6">
        <v>1.0195</v>
      </c>
      <c r="I3202" s="6">
        <v>1.3665</v>
      </c>
      <c r="J3202" s="6">
        <v>-0.3471</v>
      </c>
    </row>
    <row r="3203">
      <c r="A3203" s="5" t="s">
        <v>59</v>
      </c>
      <c r="B3203" s="5" t="s">
        <v>1867</v>
      </c>
      <c r="C3203" s="5" t="s">
        <v>71</v>
      </c>
      <c r="D3203" s="6">
        <v>1.0</v>
      </c>
      <c r="E3203" s="6">
        <v>6222.0</v>
      </c>
      <c r="F3203" s="6">
        <v>9576.0</v>
      </c>
      <c r="G3203" s="6">
        <v>12232.0</v>
      </c>
      <c r="H3203" s="6">
        <v>0.5087</v>
      </c>
      <c r="I3203" s="6">
        <v>0.7829</v>
      </c>
      <c r="J3203" s="6">
        <v>-0.2742</v>
      </c>
    </row>
    <row r="3204">
      <c r="A3204" s="5" t="s">
        <v>59</v>
      </c>
      <c r="B3204" s="5" t="s">
        <v>1867</v>
      </c>
      <c r="C3204" s="5" t="s">
        <v>71</v>
      </c>
      <c r="D3204" s="6">
        <v>2.0</v>
      </c>
      <c r="E3204" s="6">
        <v>5993.0</v>
      </c>
      <c r="F3204" s="6">
        <v>9081.0</v>
      </c>
      <c r="G3204" s="6">
        <v>12232.0</v>
      </c>
      <c r="H3204" s="6">
        <v>0.4899</v>
      </c>
      <c r="I3204" s="6">
        <v>0.7424</v>
      </c>
      <c r="J3204" s="6">
        <v>-0.2525</v>
      </c>
    </row>
    <row r="3205">
      <c r="A3205" s="5" t="s">
        <v>59</v>
      </c>
      <c r="B3205" s="5" t="s">
        <v>1867</v>
      </c>
      <c r="C3205" s="5" t="s">
        <v>71</v>
      </c>
      <c r="D3205" s="6">
        <v>3.0</v>
      </c>
      <c r="E3205" s="6">
        <v>9408.0</v>
      </c>
      <c r="F3205" s="6">
        <v>10870.0</v>
      </c>
      <c r="G3205" s="6">
        <v>12232.0</v>
      </c>
      <c r="H3205" s="6">
        <v>0.7691</v>
      </c>
      <c r="I3205" s="6">
        <v>0.8887</v>
      </c>
      <c r="J3205" s="6">
        <v>-0.1195</v>
      </c>
    </row>
    <row r="3206">
      <c r="A3206" s="5" t="s">
        <v>59</v>
      </c>
      <c r="B3206" s="5" t="s">
        <v>1867</v>
      </c>
      <c r="C3206" s="5" t="s">
        <v>71</v>
      </c>
      <c r="D3206" s="6">
        <v>4.0</v>
      </c>
      <c r="E3206" s="6">
        <v>7374.0</v>
      </c>
      <c r="F3206" s="6">
        <v>9930.0</v>
      </c>
      <c r="G3206" s="6">
        <v>12232.0</v>
      </c>
      <c r="H3206" s="6">
        <v>0.6028</v>
      </c>
      <c r="I3206" s="6">
        <v>0.8118</v>
      </c>
      <c r="J3206" s="6">
        <v>-0.209</v>
      </c>
    </row>
    <row r="3207">
      <c r="A3207" s="5" t="s">
        <v>59</v>
      </c>
      <c r="B3207" s="5" t="s">
        <v>1867</v>
      </c>
      <c r="C3207" s="5" t="s">
        <v>71</v>
      </c>
      <c r="D3207" s="6">
        <v>5.0</v>
      </c>
      <c r="E3207" s="6">
        <v>7613.0</v>
      </c>
      <c r="F3207" s="6">
        <v>10355.0</v>
      </c>
      <c r="G3207" s="6">
        <v>12232.0</v>
      </c>
      <c r="H3207" s="6">
        <v>0.6224</v>
      </c>
      <c r="I3207" s="6">
        <v>0.8466</v>
      </c>
      <c r="J3207" s="6">
        <v>-0.2242</v>
      </c>
    </row>
    <row r="3208">
      <c r="A3208" s="5" t="s">
        <v>59</v>
      </c>
      <c r="B3208" s="5" t="s">
        <v>1867</v>
      </c>
      <c r="C3208" s="5" t="s">
        <v>71</v>
      </c>
      <c r="D3208" s="6">
        <v>6.0</v>
      </c>
      <c r="E3208" s="6">
        <v>8714.0</v>
      </c>
      <c r="F3208" s="6">
        <v>11689.0</v>
      </c>
      <c r="G3208" s="6">
        <v>12232.0</v>
      </c>
      <c r="H3208" s="6">
        <v>0.7124</v>
      </c>
      <c r="I3208" s="6">
        <v>0.9556</v>
      </c>
      <c r="J3208" s="6">
        <v>-0.2432</v>
      </c>
    </row>
    <row r="3209">
      <c r="A3209" s="5" t="s">
        <v>59</v>
      </c>
      <c r="B3209" s="5" t="s">
        <v>1867</v>
      </c>
      <c r="C3209" s="5" t="s">
        <v>71</v>
      </c>
      <c r="D3209" s="6">
        <v>7.0</v>
      </c>
      <c r="E3209" s="6">
        <v>5978.0</v>
      </c>
      <c r="F3209" s="6">
        <v>9528.0</v>
      </c>
      <c r="G3209" s="6">
        <v>12232.0</v>
      </c>
      <c r="H3209" s="6">
        <v>0.4887</v>
      </c>
      <c r="I3209" s="6">
        <v>0.7789</v>
      </c>
      <c r="J3209" s="6">
        <v>-0.2902</v>
      </c>
    </row>
    <row r="3210">
      <c r="A3210" s="5" t="s">
        <v>59</v>
      </c>
      <c r="B3210" s="5" t="s">
        <v>1867</v>
      </c>
      <c r="C3210" s="5" t="s">
        <v>71</v>
      </c>
      <c r="D3210" s="6">
        <v>8.0</v>
      </c>
      <c r="E3210" s="6">
        <v>6377.0</v>
      </c>
      <c r="F3210" s="6">
        <v>9370.0</v>
      </c>
      <c r="G3210" s="6">
        <v>12232.0</v>
      </c>
      <c r="H3210" s="6">
        <v>0.5213</v>
      </c>
      <c r="I3210" s="6">
        <v>0.766</v>
      </c>
      <c r="J3210" s="6">
        <v>-0.2447</v>
      </c>
    </row>
    <row r="3211">
      <c r="A3211" s="5" t="s">
        <v>59</v>
      </c>
      <c r="B3211" s="5" t="s">
        <v>1867</v>
      </c>
      <c r="C3211" s="5" t="s">
        <v>71</v>
      </c>
      <c r="D3211" s="6">
        <v>9.0</v>
      </c>
      <c r="E3211" s="6">
        <v>5616.0</v>
      </c>
      <c r="F3211" s="6">
        <v>8925.0</v>
      </c>
      <c r="G3211" s="6">
        <v>12232.0</v>
      </c>
      <c r="H3211" s="6">
        <v>0.4591</v>
      </c>
      <c r="I3211" s="6">
        <v>0.7296</v>
      </c>
      <c r="J3211" s="6">
        <v>-0.2705</v>
      </c>
    </row>
    <row r="3212">
      <c r="A3212" s="5" t="s">
        <v>59</v>
      </c>
      <c r="B3212" s="5" t="s">
        <v>1867</v>
      </c>
      <c r="C3212" s="5" t="s">
        <v>71</v>
      </c>
      <c r="D3212" s="6">
        <v>10.0</v>
      </c>
      <c r="E3212" s="6">
        <v>9701.0</v>
      </c>
      <c r="F3212" s="6">
        <v>11283.0</v>
      </c>
      <c r="G3212" s="6">
        <v>12232.0</v>
      </c>
      <c r="H3212" s="6">
        <v>0.7931</v>
      </c>
      <c r="I3212" s="6">
        <v>0.9224</v>
      </c>
      <c r="J3212" s="6">
        <v>-0.1293</v>
      </c>
    </row>
    <row r="3213">
      <c r="A3213" s="5" t="s">
        <v>59</v>
      </c>
      <c r="B3213" s="5" t="s">
        <v>1867</v>
      </c>
      <c r="C3213" s="5" t="s">
        <v>71</v>
      </c>
      <c r="D3213" s="6">
        <v>11.0</v>
      </c>
      <c r="E3213" s="6">
        <v>7271.0</v>
      </c>
      <c r="F3213" s="6">
        <v>9805.0</v>
      </c>
      <c r="G3213" s="6">
        <v>12232.0</v>
      </c>
      <c r="H3213" s="6">
        <v>0.5944</v>
      </c>
      <c r="I3213" s="6">
        <v>0.8016</v>
      </c>
      <c r="J3213" s="6">
        <v>-0.2072</v>
      </c>
    </row>
    <row r="3214">
      <c r="A3214" s="5" t="s">
        <v>59</v>
      </c>
      <c r="B3214" s="5" t="s">
        <v>1867</v>
      </c>
      <c r="C3214" s="5" t="s">
        <v>71</v>
      </c>
      <c r="D3214" s="6">
        <v>12.0</v>
      </c>
      <c r="E3214" s="6">
        <v>7574.0</v>
      </c>
      <c r="F3214" s="6">
        <v>10987.0</v>
      </c>
      <c r="G3214" s="6">
        <v>12232.0</v>
      </c>
      <c r="H3214" s="6">
        <v>0.6192</v>
      </c>
      <c r="I3214" s="6">
        <v>0.8982</v>
      </c>
      <c r="J3214" s="6">
        <v>-0.279</v>
      </c>
    </row>
    <row r="3215">
      <c r="A3215" s="5" t="s">
        <v>59</v>
      </c>
      <c r="B3215" s="5" t="s">
        <v>1867</v>
      </c>
      <c r="C3215" s="5" t="s">
        <v>71</v>
      </c>
      <c r="D3215" s="6">
        <v>13.0</v>
      </c>
      <c r="E3215" s="6">
        <v>8816.0</v>
      </c>
      <c r="F3215" s="6">
        <v>12261.0</v>
      </c>
      <c r="G3215" s="6">
        <v>12232.0</v>
      </c>
      <c r="H3215" s="6">
        <v>0.7207</v>
      </c>
      <c r="I3215" s="6">
        <v>1.0024</v>
      </c>
      <c r="J3215" s="6">
        <v>-0.2816</v>
      </c>
    </row>
    <row r="3216">
      <c r="A3216" s="5" t="s">
        <v>59</v>
      </c>
      <c r="B3216" s="5" t="s">
        <v>1867</v>
      </c>
      <c r="C3216" s="5" t="s">
        <v>71</v>
      </c>
      <c r="D3216" s="6">
        <v>14.0</v>
      </c>
      <c r="E3216" s="6">
        <v>5957.0</v>
      </c>
      <c r="F3216" s="6">
        <v>9946.0</v>
      </c>
      <c r="G3216" s="6">
        <v>12232.0</v>
      </c>
      <c r="H3216" s="6">
        <v>0.487</v>
      </c>
      <c r="I3216" s="6">
        <v>0.8131</v>
      </c>
      <c r="J3216" s="6">
        <v>-0.3261</v>
      </c>
    </row>
    <row r="3217">
      <c r="A3217" s="5" t="s">
        <v>59</v>
      </c>
      <c r="B3217" s="5" t="s">
        <v>1867</v>
      </c>
      <c r="C3217" s="5" t="s">
        <v>71</v>
      </c>
      <c r="D3217" s="6">
        <v>15.0</v>
      </c>
      <c r="E3217" s="6">
        <v>6648.0</v>
      </c>
      <c r="F3217" s="6">
        <v>10438.0</v>
      </c>
      <c r="G3217" s="6">
        <v>12232.0</v>
      </c>
      <c r="H3217" s="6">
        <v>0.5435</v>
      </c>
      <c r="I3217" s="6">
        <v>0.8533</v>
      </c>
      <c r="J3217" s="6">
        <v>-0.3098</v>
      </c>
    </row>
    <row r="3218">
      <c r="A3218" s="5" t="s">
        <v>59</v>
      </c>
      <c r="B3218" s="5" t="s">
        <v>1867</v>
      </c>
      <c r="C3218" s="5" t="s">
        <v>71</v>
      </c>
      <c r="D3218" s="6">
        <v>16.0</v>
      </c>
      <c r="E3218" s="6">
        <v>6657.0</v>
      </c>
      <c r="F3218" s="6">
        <v>9890.0</v>
      </c>
      <c r="G3218" s="6">
        <v>12232.0</v>
      </c>
      <c r="H3218" s="6">
        <v>0.5442</v>
      </c>
      <c r="I3218" s="6">
        <v>0.8085</v>
      </c>
      <c r="J3218" s="6">
        <v>-0.2643</v>
      </c>
    </row>
    <row r="3219">
      <c r="A3219" s="5" t="s">
        <v>59</v>
      </c>
      <c r="B3219" s="5" t="s">
        <v>1867</v>
      </c>
      <c r="C3219" s="5" t="s">
        <v>71</v>
      </c>
      <c r="D3219" s="6">
        <v>17.0</v>
      </c>
      <c r="E3219" s="6">
        <v>10654.0</v>
      </c>
      <c r="F3219" s="6">
        <v>12133.0</v>
      </c>
      <c r="G3219" s="6">
        <v>12232.0</v>
      </c>
      <c r="H3219" s="6">
        <v>0.871</v>
      </c>
      <c r="I3219" s="6">
        <v>0.9919</v>
      </c>
      <c r="J3219" s="6">
        <v>-0.1209</v>
      </c>
    </row>
    <row r="3220">
      <c r="A3220" s="5" t="s">
        <v>59</v>
      </c>
      <c r="B3220" s="5" t="s">
        <v>1867</v>
      </c>
      <c r="C3220" s="5" t="s">
        <v>71</v>
      </c>
      <c r="D3220" s="6">
        <v>18.0</v>
      </c>
      <c r="E3220" s="6">
        <v>7932.0</v>
      </c>
      <c r="F3220" s="6">
        <v>10676.0</v>
      </c>
      <c r="G3220" s="6">
        <v>12232.0</v>
      </c>
      <c r="H3220" s="6">
        <v>0.6485</v>
      </c>
      <c r="I3220" s="6">
        <v>0.8728</v>
      </c>
      <c r="J3220" s="6">
        <v>-0.2243</v>
      </c>
    </row>
    <row r="3221">
      <c r="A3221" s="5" t="s">
        <v>59</v>
      </c>
      <c r="B3221" s="5" t="s">
        <v>1867</v>
      </c>
      <c r="C3221" s="5" t="s">
        <v>71</v>
      </c>
      <c r="D3221" s="6">
        <v>19.0</v>
      </c>
      <c r="E3221" s="6">
        <v>8181.0</v>
      </c>
      <c r="F3221" s="6">
        <v>11011.0</v>
      </c>
      <c r="G3221" s="6">
        <v>12232.0</v>
      </c>
      <c r="H3221" s="6">
        <v>0.6688</v>
      </c>
      <c r="I3221" s="6">
        <v>0.9002</v>
      </c>
      <c r="J3221" s="6">
        <v>-0.2314</v>
      </c>
    </row>
    <row r="3222">
      <c r="A3222" s="5" t="s">
        <v>59</v>
      </c>
      <c r="B3222" s="5" t="s">
        <v>1867</v>
      </c>
      <c r="C3222" s="5" t="s">
        <v>71</v>
      </c>
      <c r="D3222" s="6">
        <v>20.0</v>
      </c>
      <c r="E3222" s="6">
        <v>10173.0</v>
      </c>
      <c r="F3222" s="6">
        <v>13355.0</v>
      </c>
      <c r="G3222" s="6">
        <v>12232.0</v>
      </c>
      <c r="H3222" s="6">
        <v>0.8317</v>
      </c>
      <c r="I3222" s="6">
        <v>1.0918</v>
      </c>
      <c r="J3222" s="6">
        <v>-0.2601</v>
      </c>
    </row>
    <row r="3223">
      <c r="A3223" s="5" t="s">
        <v>59</v>
      </c>
      <c r="B3223" s="5" t="s">
        <v>1867</v>
      </c>
      <c r="C3223" s="5" t="s">
        <v>71</v>
      </c>
      <c r="D3223" s="6">
        <v>21.0</v>
      </c>
      <c r="E3223" s="6">
        <v>10374.0</v>
      </c>
      <c r="F3223" s="6">
        <v>11883.0</v>
      </c>
      <c r="G3223" s="6">
        <v>12232.0</v>
      </c>
      <c r="H3223" s="6">
        <v>0.8481</v>
      </c>
      <c r="I3223" s="6">
        <v>0.9715</v>
      </c>
      <c r="J3223" s="6">
        <v>-0.1234</v>
      </c>
    </row>
    <row r="3224">
      <c r="A3224" s="5" t="s">
        <v>59</v>
      </c>
      <c r="B3224" s="5" t="s">
        <v>1867</v>
      </c>
      <c r="C3224" s="5" t="s">
        <v>71</v>
      </c>
      <c r="D3224" s="6">
        <v>22.0</v>
      </c>
      <c r="E3224" s="6">
        <v>10013.0</v>
      </c>
      <c r="F3224" s="6">
        <v>12209.0</v>
      </c>
      <c r="G3224" s="6">
        <v>12232.0</v>
      </c>
      <c r="H3224" s="6">
        <v>0.8186</v>
      </c>
      <c r="I3224" s="6">
        <v>0.9981</v>
      </c>
      <c r="J3224" s="6">
        <v>-0.1795</v>
      </c>
    </row>
    <row r="3225">
      <c r="A3225" s="5" t="s">
        <v>59</v>
      </c>
      <c r="B3225" s="5" t="s">
        <v>1867</v>
      </c>
      <c r="C3225" s="5" t="s">
        <v>71</v>
      </c>
      <c r="D3225" s="6">
        <v>23.0</v>
      </c>
      <c r="E3225" s="6">
        <v>8777.0</v>
      </c>
      <c r="F3225" s="6">
        <v>11675.0</v>
      </c>
      <c r="G3225" s="6">
        <v>12232.0</v>
      </c>
      <c r="H3225" s="6">
        <v>0.7175</v>
      </c>
      <c r="I3225" s="6">
        <v>0.9545</v>
      </c>
      <c r="J3225" s="6">
        <v>-0.2369</v>
      </c>
    </row>
    <row r="3226">
      <c r="A3226" s="5" t="s">
        <v>59</v>
      </c>
      <c r="B3226" s="5" t="s">
        <v>1867</v>
      </c>
      <c r="C3226" s="5" t="s">
        <v>71</v>
      </c>
      <c r="D3226" s="6">
        <v>24.0</v>
      </c>
      <c r="E3226" s="6">
        <v>13204.0</v>
      </c>
      <c r="F3226" s="6">
        <v>14669.0</v>
      </c>
      <c r="G3226" s="6">
        <v>12232.0</v>
      </c>
      <c r="H3226" s="6">
        <v>1.0795</v>
      </c>
      <c r="I3226" s="6">
        <v>1.1992</v>
      </c>
      <c r="J3226" s="6">
        <v>-0.1198</v>
      </c>
    </row>
    <row r="3227">
      <c r="A3227" s="5" t="s">
        <v>59</v>
      </c>
      <c r="B3227" s="5" t="s">
        <v>1867</v>
      </c>
      <c r="C3227" s="5" t="s">
        <v>71</v>
      </c>
      <c r="D3227" s="6">
        <v>25.0</v>
      </c>
      <c r="E3227" s="6">
        <v>9705.0</v>
      </c>
      <c r="F3227" s="6">
        <v>12487.0</v>
      </c>
      <c r="G3227" s="6">
        <v>12232.0</v>
      </c>
      <c r="H3227" s="6">
        <v>0.7934</v>
      </c>
      <c r="I3227" s="6">
        <v>1.0208</v>
      </c>
      <c r="J3227" s="6">
        <v>-0.2274</v>
      </c>
    </row>
    <row r="3228">
      <c r="A3228" s="5" t="s">
        <v>59</v>
      </c>
      <c r="B3228" s="5" t="s">
        <v>1867</v>
      </c>
      <c r="C3228" s="5" t="s">
        <v>71</v>
      </c>
      <c r="D3228" s="6">
        <v>26.0</v>
      </c>
      <c r="E3228" s="6">
        <v>9806.0</v>
      </c>
      <c r="F3228" s="6">
        <v>13342.0</v>
      </c>
      <c r="G3228" s="6">
        <v>12232.0</v>
      </c>
      <c r="H3228" s="6">
        <v>0.8017</v>
      </c>
      <c r="I3228" s="6">
        <v>1.0907</v>
      </c>
      <c r="J3228" s="6">
        <v>-0.2891</v>
      </c>
    </row>
    <row r="3229">
      <c r="A3229" s="5" t="s">
        <v>59</v>
      </c>
      <c r="B3229" s="5" t="s">
        <v>1867</v>
      </c>
      <c r="C3229" s="5" t="s">
        <v>71</v>
      </c>
      <c r="D3229" s="6">
        <v>27.0</v>
      </c>
      <c r="E3229" s="6">
        <v>10889.0</v>
      </c>
      <c r="F3229" s="6">
        <v>13560.0</v>
      </c>
      <c r="G3229" s="6">
        <v>12232.0</v>
      </c>
      <c r="H3229" s="6">
        <v>0.8902</v>
      </c>
      <c r="I3229" s="6">
        <v>1.1086</v>
      </c>
      <c r="J3229" s="6">
        <v>-0.2184</v>
      </c>
    </row>
    <row r="3230">
      <c r="A3230" s="5" t="s">
        <v>59</v>
      </c>
      <c r="B3230" s="5" t="s">
        <v>1867</v>
      </c>
      <c r="C3230" s="5" t="s">
        <v>71</v>
      </c>
      <c r="D3230" s="6">
        <v>28.0</v>
      </c>
      <c r="E3230" s="6">
        <v>7471.0</v>
      </c>
      <c r="F3230" s="6">
        <v>11225.0</v>
      </c>
      <c r="G3230" s="6">
        <v>12232.0</v>
      </c>
      <c r="H3230" s="6">
        <v>0.6108</v>
      </c>
      <c r="I3230" s="6">
        <v>0.9177</v>
      </c>
      <c r="J3230" s="6">
        <v>-0.3069</v>
      </c>
    </row>
    <row r="3231">
      <c r="A3231" s="5" t="s">
        <v>59</v>
      </c>
      <c r="B3231" s="5" t="s">
        <v>1867</v>
      </c>
      <c r="C3231" s="5" t="s">
        <v>71</v>
      </c>
      <c r="D3231" s="6">
        <v>29.0</v>
      </c>
      <c r="E3231" s="6">
        <v>7669.0</v>
      </c>
      <c r="F3231" s="6">
        <v>11123.0</v>
      </c>
      <c r="G3231" s="6">
        <v>12232.0</v>
      </c>
      <c r="H3231" s="6">
        <v>0.627</v>
      </c>
      <c r="I3231" s="6">
        <v>0.9093</v>
      </c>
      <c r="J3231" s="6">
        <v>-0.2824</v>
      </c>
    </row>
    <row r="3232">
      <c r="A3232" s="5" t="s">
        <v>59</v>
      </c>
      <c r="B3232" s="5" t="s">
        <v>1867</v>
      </c>
      <c r="C3232" s="5" t="s">
        <v>71</v>
      </c>
      <c r="D3232" s="6">
        <v>30.0</v>
      </c>
      <c r="E3232" s="6">
        <v>7219.0</v>
      </c>
      <c r="F3232" s="6">
        <v>10608.0</v>
      </c>
      <c r="G3232" s="6">
        <v>12232.0</v>
      </c>
      <c r="H3232" s="6">
        <v>0.5902</v>
      </c>
      <c r="I3232" s="6">
        <v>0.8672</v>
      </c>
      <c r="J3232" s="6">
        <v>-0.2771</v>
      </c>
    </row>
    <row r="3233">
      <c r="A3233" s="5" t="s">
        <v>59</v>
      </c>
      <c r="B3233" s="5" t="s">
        <v>1867</v>
      </c>
      <c r="C3233" s="5" t="s">
        <v>71</v>
      </c>
      <c r="D3233" s="6">
        <v>31.0</v>
      </c>
      <c r="E3233" s="6">
        <v>11664.0</v>
      </c>
      <c r="F3233" s="6">
        <v>12234.0</v>
      </c>
      <c r="G3233" s="6">
        <v>12232.0</v>
      </c>
      <c r="H3233" s="6">
        <v>0.9536</v>
      </c>
      <c r="I3233" s="6">
        <v>1.0002</v>
      </c>
      <c r="J3233" s="6">
        <v>-0.0466</v>
      </c>
    </row>
    <row r="3234">
      <c r="A3234" s="5" t="s">
        <v>59</v>
      </c>
      <c r="B3234" s="5" t="s">
        <v>1867</v>
      </c>
      <c r="C3234" s="5" t="s">
        <v>71</v>
      </c>
      <c r="D3234" s="6">
        <v>32.0</v>
      </c>
      <c r="E3234" s="6">
        <v>8524.0</v>
      </c>
      <c r="F3234" s="6">
        <v>10966.0</v>
      </c>
      <c r="G3234" s="6">
        <v>12232.0</v>
      </c>
      <c r="H3234" s="6">
        <v>0.6969</v>
      </c>
      <c r="I3234" s="6">
        <v>0.8965</v>
      </c>
      <c r="J3234" s="6">
        <v>-0.1996</v>
      </c>
    </row>
    <row r="3235">
      <c r="A3235" s="5" t="s">
        <v>59</v>
      </c>
      <c r="B3235" s="5" t="s">
        <v>1867</v>
      </c>
      <c r="C3235" s="5" t="s">
        <v>71</v>
      </c>
      <c r="D3235" s="6">
        <v>33.0</v>
      </c>
      <c r="E3235" s="6">
        <v>8557.0</v>
      </c>
      <c r="F3235" s="6">
        <v>11165.0</v>
      </c>
      <c r="G3235" s="6">
        <v>12232.0</v>
      </c>
      <c r="H3235" s="6">
        <v>0.6996</v>
      </c>
      <c r="I3235" s="6">
        <v>0.9128</v>
      </c>
      <c r="J3235" s="6">
        <v>-0.2132</v>
      </c>
    </row>
    <row r="3236">
      <c r="A3236" s="5" t="s">
        <v>59</v>
      </c>
      <c r="B3236" s="5" t="s">
        <v>1867</v>
      </c>
      <c r="C3236" s="5" t="s">
        <v>1883</v>
      </c>
      <c r="D3236" s="6">
        <v>1.0</v>
      </c>
      <c r="E3236" s="6">
        <v>20180.0</v>
      </c>
      <c r="F3236" s="6">
        <v>18857.0</v>
      </c>
      <c r="G3236" s="6">
        <v>9009.0</v>
      </c>
      <c r="H3236" s="6">
        <v>2.24</v>
      </c>
      <c r="I3236" s="6">
        <v>2.0931</v>
      </c>
      <c r="J3236" s="6">
        <v>0.1469</v>
      </c>
    </row>
    <row r="3237">
      <c r="A3237" s="5" t="s">
        <v>59</v>
      </c>
      <c r="B3237" s="5" t="s">
        <v>1867</v>
      </c>
      <c r="C3237" s="5" t="s">
        <v>1883</v>
      </c>
      <c r="D3237" s="6">
        <v>2.0</v>
      </c>
      <c r="E3237" s="6">
        <v>24980.0</v>
      </c>
      <c r="F3237" s="6">
        <v>26573.0</v>
      </c>
      <c r="G3237" s="6">
        <v>9009.0</v>
      </c>
      <c r="H3237" s="6">
        <v>2.7728</v>
      </c>
      <c r="I3237" s="6">
        <v>2.9496</v>
      </c>
      <c r="J3237" s="6">
        <v>-0.1768</v>
      </c>
    </row>
    <row r="3238">
      <c r="A3238" s="5" t="s">
        <v>59</v>
      </c>
      <c r="B3238" s="5" t="s">
        <v>1867</v>
      </c>
      <c r="C3238" s="5" t="s">
        <v>1883</v>
      </c>
      <c r="D3238" s="6">
        <v>3.0</v>
      </c>
      <c r="E3238" s="6">
        <v>14550.0</v>
      </c>
      <c r="F3238" s="6">
        <v>19977.0</v>
      </c>
      <c r="G3238" s="6">
        <v>9009.0</v>
      </c>
      <c r="H3238" s="6">
        <v>1.6151</v>
      </c>
      <c r="I3238" s="6">
        <v>2.2174</v>
      </c>
      <c r="J3238" s="6">
        <v>-0.6024</v>
      </c>
    </row>
    <row r="3239">
      <c r="A3239" s="5" t="s">
        <v>59</v>
      </c>
      <c r="B3239" s="5" t="s">
        <v>1867</v>
      </c>
      <c r="C3239" s="5" t="s">
        <v>1883</v>
      </c>
      <c r="D3239" s="6">
        <v>4.0</v>
      </c>
      <c r="E3239" s="6">
        <v>11225.0</v>
      </c>
      <c r="F3239" s="6">
        <v>18525.0</v>
      </c>
      <c r="G3239" s="6">
        <v>9009.0</v>
      </c>
      <c r="H3239" s="6">
        <v>1.246</v>
      </c>
      <c r="I3239" s="6">
        <v>2.0563</v>
      </c>
      <c r="J3239" s="6">
        <v>-0.8103</v>
      </c>
    </row>
    <row r="3240">
      <c r="A3240" s="5" t="s">
        <v>59</v>
      </c>
      <c r="B3240" s="5" t="s">
        <v>1867</v>
      </c>
      <c r="C3240" s="5" t="s">
        <v>1883</v>
      </c>
      <c r="D3240" s="6">
        <v>5.0</v>
      </c>
      <c r="E3240" s="6">
        <v>13585.0</v>
      </c>
      <c r="F3240" s="6">
        <v>18581.0</v>
      </c>
      <c r="G3240" s="6">
        <v>9009.0</v>
      </c>
      <c r="H3240" s="6">
        <v>1.5079</v>
      </c>
      <c r="I3240" s="6">
        <v>2.0625</v>
      </c>
      <c r="J3240" s="6">
        <v>-0.5546</v>
      </c>
    </row>
    <row r="3241">
      <c r="A3241" s="5" t="s">
        <v>59</v>
      </c>
      <c r="B3241" s="5" t="s">
        <v>1867</v>
      </c>
      <c r="C3241" s="5" t="s">
        <v>1883</v>
      </c>
      <c r="D3241" s="6">
        <v>6.0</v>
      </c>
      <c r="E3241" s="6">
        <v>18670.0</v>
      </c>
      <c r="F3241" s="6">
        <v>24422.0</v>
      </c>
      <c r="G3241" s="6">
        <v>9009.0</v>
      </c>
      <c r="H3241" s="6">
        <v>2.0724</v>
      </c>
      <c r="I3241" s="6">
        <v>2.7108</v>
      </c>
      <c r="J3241" s="6">
        <v>-0.6385</v>
      </c>
    </row>
    <row r="3242">
      <c r="A3242" s="5" t="s">
        <v>59</v>
      </c>
      <c r="B3242" s="5" t="s">
        <v>1867</v>
      </c>
      <c r="C3242" s="5" t="s">
        <v>1883</v>
      </c>
      <c r="D3242" s="6">
        <v>7.0</v>
      </c>
      <c r="E3242" s="6">
        <v>20655.0</v>
      </c>
      <c r="F3242" s="6">
        <v>23887.0</v>
      </c>
      <c r="G3242" s="6">
        <v>9009.0</v>
      </c>
      <c r="H3242" s="6">
        <v>2.2927</v>
      </c>
      <c r="I3242" s="6">
        <v>2.6515</v>
      </c>
      <c r="J3242" s="6">
        <v>-0.3588</v>
      </c>
    </row>
    <row r="3243">
      <c r="A3243" s="5" t="s">
        <v>59</v>
      </c>
      <c r="B3243" s="5" t="s">
        <v>1867</v>
      </c>
      <c r="C3243" s="5" t="s">
        <v>1883</v>
      </c>
      <c r="D3243" s="6">
        <v>8.0</v>
      </c>
      <c r="E3243" s="6">
        <v>20405.0</v>
      </c>
      <c r="F3243" s="6">
        <v>22909.0</v>
      </c>
      <c r="G3243" s="6">
        <v>9009.0</v>
      </c>
      <c r="H3243" s="6">
        <v>2.265</v>
      </c>
      <c r="I3243" s="6">
        <v>2.5429</v>
      </c>
      <c r="J3243" s="6">
        <v>-0.2779</v>
      </c>
    </row>
    <row r="3244">
      <c r="A3244" s="5" t="s">
        <v>59</v>
      </c>
      <c r="B3244" s="5" t="s">
        <v>1867</v>
      </c>
      <c r="C3244" s="5" t="s">
        <v>1883</v>
      </c>
      <c r="D3244" s="6">
        <v>9.0</v>
      </c>
      <c r="E3244" s="6">
        <v>16030.0</v>
      </c>
      <c r="F3244" s="6">
        <v>20665.0</v>
      </c>
      <c r="G3244" s="6">
        <v>9009.0</v>
      </c>
      <c r="H3244" s="6">
        <v>1.7793</v>
      </c>
      <c r="I3244" s="6">
        <v>2.2938</v>
      </c>
      <c r="J3244" s="6">
        <v>-0.5145</v>
      </c>
    </row>
    <row r="3245">
      <c r="A3245" s="5" t="s">
        <v>59</v>
      </c>
      <c r="B3245" s="5" t="s">
        <v>1867</v>
      </c>
      <c r="C3245" s="5" t="s">
        <v>1883</v>
      </c>
      <c r="D3245" s="6">
        <v>10.0</v>
      </c>
      <c r="E3245" s="6">
        <v>7840.0</v>
      </c>
      <c r="F3245" s="6">
        <v>13949.0</v>
      </c>
      <c r="G3245" s="6">
        <v>9009.0</v>
      </c>
      <c r="H3245" s="6">
        <v>0.8702</v>
      </c>
      <c r="I3245" s="6">
        <v>1.5483</v>
      </c>
      <c r="J3245" s="6">
        <v>-0.6781</v>
      </c>
    </row>
    <row r="3246">
      <c r="A3246" s="5" t="s">
        <v>59</v>
      </c>
      <c r="B3246" s="5" t="s">
        <v>1867</v>
      </c>
      <c r="C3246" s="5" t="s">
        <v>1883</v>
      </c>
      <c r="D3246" s="6">
        <v>11.0</v>
      </c>
      <c r="E3246" s="6">
        <v>5525.0</v>
      </c>
      <c r="F3246" s="6">
        <v>13755.0</v>
      </c>
      <c r="G3246" s="6">
        <v>9009.0</v>
      </c>
      <c r="H3246" s="6">
        <v>0.6133</v>
      </c>
      <c r="I3246" s="6">
        <v>1.5268</v>
      </c>
      <c r="J3246" s="6">
        <v>-0.9135</v>
      </c>
    </row>
    <row r="3247">
      <c r="A3247" s="5" t="s">
        <v>59</v>
      </c>
      <c r="B3247" s="5" t="s">
        <v>1867</v>
      </c>
      <c r="C3247" s="5" t="s">
        <v>1883</v>
      </c>
      <c r="D3247" s="6">
        <v>12.0</v>
      </c>
      <c r="E3247" s="6">
        <v>4890.0</v>
      </c>
      <c r="F3247" s="6">
        <v>15524.0</v>
      </c>
      <c r="G3247" s="6">
        <v>9009.0</v>
      </c>
      <c r="H3247" s="6">
        <v>0.5428</v>
      </c>
      <c r="I3247" s="6">
        <v>1.7232</v>
      </c>
      <c r="J3247" s="6">
        <v>-1.1804</v>
      </c>
    </row>
    <row r="3248">
      <c r="A3248" s="5" t="s">
        <v>59</v>
      </c>
      <c r="B3248" s="5" t="s">
        <v>1867</v>
      </c>
      <c r="C3248" s="5" t="s">
        <v>1883</v>
      </c>
      <c r="D3248" s="6">
        <v>13.0</v>
      </c>
      <c r="E3248" s="6">
        <v>17565.0</v>
      </c>
      <c r="F3248" s="6">
        <v>24751.0</v>
      </c>
      <c r="G3248" s="6">
        <v>9009.0</v>
      </c>
      <c r="H3248" s="6">
        <v>1.9497</v>
      </c>
      <c r="I3248" s="6">
        <v>2.7474</v>
      </c>
      <c r="J3248" s="6">
        <v>-0.7976</v>
      </c>
    </row>
    <row r="3249">
      <c r="A3249" s="5" t="s">
        <v>59</v>
      </c>
      <c r="B3249" s="5" t="s">
        <v>1867</v>
      </c>
      <c r="C3249" s="5" t="s">
        <v>1883</v>
      </c>
      <c r="D3249" s="6">
        <v>14.0</v>
      </c>
      <c r="E3249" s="6">
        <v>19255.0</v>
      </c>
      <c r="F3249" s="6">
        <v>23631.0</v>
      </c>
      <c r="G3249" s="6">
        <v>9009.0</v>
      </c>
      <c r="H3249" s="6">
        <v>2.1373</v>
      </c>
      <c r="I3249" s="6">
        <v>2.623</v>
      </c>
      <c r="J3249" s="6">
        <v>-0.4857</v>
      </c>
    </row>
    <row r="3250">
      <c r="A3250" s="5" t="s">
        <v>59</v>
      </c>
      <c r="B3250" s="5" t="s">
        <v>1867</v>
      </c>
      <c r="C3250" s="5" t="s">
        <v>1883</v>
      </c>
      <c r="D3250" s="6">
        <v>15.0</v>
      </c>
      <c r="E3250" s="6">
        <v>17430.0</v>
      </c>
      <c r="F3250" s="6">
        <v>22073.0</v>
      </c>
      <c r="G3250" s="6">
        <v>9009.0</v>
      </c>
      <c r="H3250" s="6">
        <v>1.9347</v>
      </c>
      <c r="I3250" s="6">
        <v>2.4501</v>
      </c>
      <c r="J3250" s="6">
        <v>-0.5154</v>
      </c>
    </row>
    <row r="3251">
      <c r="A3251" s="5" t="s">
        <v>59</v>
      </c>
      <c r="B3251" s="5" t="s">
        <v>1867</v>
      </c>
      <c r="C3251" s="5" t="s">
        <v>1883</v>
      </c>
      <c r="D3251" s="6">
        <v>16.0</v>
      </c>
      <c r="E3251" s="6">
        <v>32015.0</v>
      </c>
      <c r="F3251" s="6">
        <v>30704.0</v>
      </c>
      <c r="G3251" s="6">
        <v>9009.0</v>
      </c>
      <c r="H3251" s="6">
        <v>3.5537</v>
      </c>
      <c r="I3251" s="6">
        <v>3.4081</v>
      </c>
      <c r="J3251" s="6">
        <v>0.1455</v>
      </c>
    </row>
    <row r="3252">
      <c r="A3252" s="5" t="s">
        <v>59</v>
      </c>
      <c r="B3252" s="5" t="s">
        <v>1867</v>
      </c>
      <c r="C3252" s="5" t="s">
        <v>1883</v>
      </c>
      <c r="D3252" s="6">
        <v>17.0</v>
      </c>
      <c r="E3252" s="6">
        <v>18745.0</v>
      </c>
      <c r="F3252" s="6">
        <v>20111.0</v>
      </c>
      <c r="G3252" s="6">
        <v>9009.0</v>
      </c>
      <c r="H3252" s="6">
        <v>2.0807</v>
      </c>
      <c r="I3252" s="6">
        <v>2.2323</v>
      </c>
      <c r="J3252" s="6">
        <v>-0.1516</v>
      </c>
    </row>
    <row r="3253">
      <c r="A3253" s="5" t="s">
        <v>59</v>
      </c>
      <c r="B3253" s="5" t="s">
        <v>1867</v>
      </c>
      <c r="C3253" s="5" t="s">
        <v>1883</v>
      </c>
      <c r="D3253" s="6">
        <v>18.0</v>
      </c>
      <c r="E3253" s="6">
        <v>12455.0</v>
      </c>
      <c r="F3253" s="6">
        <v>18099.0</v>
      </c>
      <c r="G3253" s="6">
        <v>9009.0</v>
      </c>
      <c r="H3253" s="6">
        <v>1.3825</v>
      </c>
      <c r="I3253" s="6">
        <v>2.009</v>
      </c>
      <c r="J3253" s="6">
        <v>-0.6265</v>
      </c>
    </row>
    <row r="3254">
      <c r="A3254" s="5" t="s">
        <v>59</v>
      </c>
      <c r="B3254" s="5" t="s">
        <v>1867</v>
      </c>
      <c r="C3254" s="5" t="s">
        <v>1883</v>
      </c>
      <c r="D3254" s="6">
        <v>19.0</v>
      </c>
      <c r="E3254" s="6">
        <v>11545.0</v>
      </c>
      <c r="F3254" s="6">
        <v>17948.0</v>
      </c>
      <c r="G3254" s="6">
        <v>9009.0</v>
      </c>
      <c r="H3254" s="6">
        <v>1.2815</v>
      </c>
      <c r="I3254" s="6">
        <v>1.9922</v>
      </c>
      <c r="J3254" s="6">
        <v>-0.7107</v>
      </c>
    </row>
    <row r="3255">
      <c r="A3255" s="5" t="s">
        <v>59</v>
      </c>
      <c r="B3255" s="5" t="s">
        <v>1867</v>
      </c>
      <c r="C3255" s="5" t="s">
        <v>1883</v>
      </c>
      <c r="D3255" s="6">
        <v>20.0</v>
      </c>
      <c r="E3255" s="6">
        <v>22130.0</v>
      </c>
      <c r="F3255" s="6">
        <v>28407.0</v>
      </c>
      <c r="G3255" s="6">
        <v>9009.0</v>
      </c>
      <c r="H3255" s="6">
        <v>2.4564</v>
      </c>
      <c r="I3255" s="6">
        <v>3.1532</v>
      </c>
      <c r="J3255" s="6">
        <v>-0.6967</v>
      </c>
    </row>
    <row r="3256">
      <c r="A3256" s="5" t="s">
        <v>59</v>
      </c>
      <c r="B3256" s="5" t="s">
        <v>1867</v>
      </c>
      <c r="C3256" s="5" t="s">
        <v>1883</v>
      </c>
      <c r="D3256" s="6">
        <v>21.0</v>
      </c>
      <c r="E3256" s="6">
        <v>36525.0</v>
      </c>
      <c r="F3256" s="6">
        <v>32333.0</v>
      </c>
      <c r="G3256" s="6">
        <v>9009.0</v>
      </c>
      <c r="H3256" s="6">
        <v>4.0543</v>
      </c>
      <c r="I3256" s="6">
        <v>3.589</v>
      </c>
      <c r="J3256" s="6">
        <v>0.4653</v>
      </c>
    </row>
    <row r="3257">
      <c r="A3257" s="5" t="s">
        <v>59</v>
      </c>
      <c r="B3257" s="5" t="s">
        <v>1867</v>
      </c>
      <c r="C3257" s="5" t="s">
        <v>1883</v>
      </c>
      <c r="D3257" s="6">
        <v>22.0</v>
      </c>
      <c r="E3257" s="6">
        <v>28380.0</v>
      </c>
      <c r="F3257" s="6">
        <v>28521.0</v>
      </c>
      <c r="G3257" s="6">
        <v>9009.0</v>
      </c>
      <c r="H3257" s="6">
        <v>3.1502</v>
      </c>
      <c r="I3257" s="6">
        <v>3.1658</v>
      </c>
      <c r="J3257" s="6">
        <v>-0.0157</v>
      </c>
    </row>
    <row r="3258">
      <c r="A3258" s="5" t="s">
        <v>59</v>
      </c>
      <c r="B3258" s="5" t="s">
        <v>1867</v>
      </c>
      <c r="C3258" s="5" t="s">
        <v>1883</v>
      </c>
      <c r="D3258" s="6">
        <v>23.0</v>
      </c>
      <c r="E3258" s="6">
        <v>24955.0</v>
      </c>
      <c r="F3258" s="6">
        <v>24474.0</v>
      </c>
      <c r="G3258" s="6">
        <v>9009.0</v>
      </c>
      <c r="H3258" s="6">
        <v>2.77</v>
      </c>
      <c r="I3258" s="6">
        <v>2.7166</v>
      </c>
      <c r="J3258" s="6">
        <v>0.0534</v>
      </c>
    </row>
    <row r="3259">
      <c r="A3259" s="5" t="s">
        <v>59</v>
      </c>
      <c r="B3259" s="5" t="s">
        <v>1867</v>
      </c>
      <c r="C3259" s="5" t="s">
        <v>1883</v>
      </c>
      <c r="D3259" s="6">
        <v>24.0</v>
      </c>
      <c r="E3259" s="6">
        <v>14610.0</v>
      </c>
      <c r="F3259" s="6">
        <v>18283.0</v>
      </c>
      <c r="G3259" s="6">
        <v>9009.0</v>
      </c>
      <c r="H3259" s="6">
        <v>1.6217</v>
      </c>
      <c r="I3259" s="6">
        <v>2.0294</v>
      </c>
      <c r="J3259" s="6">
        <v>-0.4077</v>
      </c>
    </row>
    <row r="3260">
      <c r="A3260" s="5" t="s">
        <v>59</v>
      </c>
      <c r="B3260" s="5" t="s">
        <v>1867</v>
      </c>
      <c r="C3260" s="5" t="s">
        <v>1883</v>
      </c>
      <c r="D3260" s="6">
        <v>25.0</v>
      </c>
      <c r="E3260" s="6">
        <v>11420.0</v>
      </c>
      <c r="F3260" s="6">
        <v>17543.0</v>
      </c>
      <c r="G3260" s="6">
        <v>9009.0</v>
      </c>
      <c r="H3260" s="6">
        <v>1.2676</v>
      </c>
      <c r="I3260" s="6">
        <v>1.9473</v>
      </c>
      <c r="J3260" s="6">
        <v>-0.6797</v>
      </c>
    </row>
    <row r="3261">
      <c r="A3261" s="5" t="s">
        <v>59</v>
      </c>
      <c r="B3261" s="5" t="s">
        <v>1867</v>
      </c>
      <c r="C3261" s="5" t="s">
        <v>1883</v>
      </c>
      <c r="D3261" s="6">
        <v>26.0</v>
      </c>
      <c r="E3261" s="6">
        <v>12335.0</v>
      </c>
      <c r="F3261" s="6">
        <v>18285.0</v>
      </c>
      <c r="G3261" s="6">
        <v>9009.0</v>
      </c>
      <c r="H3261" s="6">
        <v>1.3692</v>
      </c>
      <c r="I3261" s="6">
        <v>2.0296</v>
      </c>
      <c r="J3261" s="6">
        <v>-0.6605</v>
      </c>
    </row>
    <row r="3262">
      <c r="A3262" s="5" t="s">
        <v>59</v>
      </c>
      <c r="B3262" s="5" t="s">
        <v>1867</v>
      </c>
      <c r="C3262" s="5" t="s">
        <v>1883</v>
      </c>
      <c r="D3262" s="6">
        <v>27.0</v>
      </c>
      <c r="E3262" s="6">
        <v>12195.0</v>
      </c>
      <c r="F3262" s="6">
        <v>20444.0</v>
      </c>
      <c r="G3262" s="6">
        <v>9009.0</v>
      </c>
      <c r="H3262" s="6">
        <v>1.3536</v>
      </c>
      <c r="I3262" s="6">
        <v>2.2693</v>
      </c>
      <c r="J3262" s="6">
        <v>-0.9156</v>
      </c>
    </row>
    <row r="3263">
      <c r="A3263" s="5" t="s">
        <v>59</v>
      </c>
      <c r="B3263" s="5" t="s">
        <v>1867</v>
      </c>
      <c r="C3263" s="5" t="s">
        <v>1883</v>
      </c>
      <c r="D3263" s="6">
        <v>28.0</v>
      </c>
      <c r="E3263" s="6">
        <v>15350.0</v>
      </c>
      <c r="F3263" s="6">
        <v>21198.0</v>
      </c>
      <c r="G3263" s="6">
        <v>9009.0</v>
      </c>
      <c r="H3263" s="6">
        <v>1.7039</v>
      </c>
      <c r="I3263" s="6">
        <v>2.353</v>
      </c>
      <c r="J3263" s="6">
        <v>-0.6491</v>
      </c>
    </row>
    <row r="3264">
      <c r="A3264" s="5" t="s">
        <v>59</v>
      </c>
      <c r="B3264" s="5" t="s">
        <v>1867</v>
      </c>
      <c r="C3264" s="5" t="s">
        <v>1883</v>
      </c>
      <c r="D3264" s="6">
        <v>29.0</v>
      </c>
      <c r="E3264" s="6">
        <v>14955.0</v>
      </c>
      <c r="F3264" s="6">
        <v>21450.0</v>
      </c>
      <c r="G3264" s="6">
        <v>9009.0</v>
      </c>
      <c r="H3264" s="6">
        <v>1.66</v>
      </c>
      <c r="I3264" s="6">
        <v>2.381</v>
      </c>
      <c r="J3264" s="6">
        <v>-0.7209</v>
      </c>
    </row>
    <row r="3265">
      <c r="A3265" s="5" t="s">
        <v>59</v>
      </c>
      <c r="B3265" s="5" t="s">
        <v>1867</v>
      </c>
      <c r="C3265" s="5" t="s">
        <v>1883</v>
      </c>
      <c r="D3265" s="6">
        <v>30.0</v>
      </c>
      <c r="E3265" s="6">
        <v>27985.0</v>
      </c>
      <c r="F3265" s="6">
        <v>30609.0</v>
      </c>
      <c r="G3265" s="6">
        <v>9009.0</v>
      </c>
      <c r="H3265" s="6">
        <v>3.1063</v>
      </c>
      <c r="I3265" s="6">
        <v>3.3976</v>
      </c>
      <c r="J3265" s="6">
        <v>-0.2913</v>
      </c>
    </row>
    <row r="3266">
      <c r="A3266" s="5" t="s">
        <v>59</v>
      </c>
      <c r="B3266" s="5" t="s">
        <v>1867</v>
      </c>
      <c r="C3266" s="5" t="s">
        <v>1883</v>
      </c>
      <c r="D3266" s="6">
        <v>31.0</v>
      </c>
      <c r="E3266" s="6">
        <v>18450.0</v>
      </c>
      <c r="F3266" s="6">
        <v>21748.0</v>
      </c>
      <c r="G3266" s="6">
        <v>9009.0</v>
      </c>
      <c r="H3266" s="6">
        <v>2.048</v>
      </c>
      <c r="I3266" s="6">
        <v>2.414</v>
      </c>
      <c r="J3266" s="6">
        <v>-0.3661</v>
      </c>
    </row>
    <row r="3267">
      <c r="A3267" s="5" t="s">
        <v>59</v>
      </c>
      <c r="B3267" s="5" t="s">
        <v>1867</v>
      </c>
      <c r="C3267" s="5" t="s">
        <v>1883</v>
      </c>
      <c r="D3267" s="6">
        <v>32.0</v>
      </c>
      <c r="E3267" s="6">
        <v>13900.0</v>
      </c>
      <c r="F3267" s="6">
        <v>19079.0</v>
      </c>
      <c r="G3267" s="6">
        <v>9009.0</v>
      </c>
      <c r="H3267" s="6">
        <v>1.5429</v>
      </c>
      <c r="I3267" s="6">
        <v>2.1178</v>
      </c>
      <c r="J3267" s="6">
        <v>-0.5749</v>
      </c>
    </row>
    <row r="3268">
      <c r="A3268" s="5" t="s">
        <v>59</v>
      </c>
      <c r="B3268" s="5" t="s">
        <v>1867</v>
      </c>
      <c r="C3268" s="5" t="s">
        <v>1883</v>
      </c>
      <c r="D3268" s="6">
        <v>33.0</v>
      </c>
      <c r="E3268" s="6">
        <v>12400.0</v>
      </c>
      <c r="F3268" s="6">
        <v>17650.0</v>
      </c>
      <c r="G3268" s="6">
        <v>9009.0</v>
      </c>
      <c r="H3268" s="6">
        <v>1.3764</v>
      </c>
      <c r="I3268" s="6">
        <v>1.9592</v>
      </c>
      <c r="J3268" s="6">
        <v>-0.5828</v>
      </c>
    </row>
    <row r="3269">
      <c r="A3269" s="5" t="s">
        <v>59</v>
      </c>
      <c r="B3269" s="5" t="s">
        <v>1867</v>
      </c>
      <c r="C3269" s="5" t="s">
        <v>1884</v>
      </c>
      <c r="D3269" s="6">
        <v>1.0</v>
      </c>
      <c r="E3269" s="6">
        <v>26080.0</v>
      </c>
      <c r="F3269" s="6">
        <v>24299.0</v>
      </c>
      <c r="G3269" s="6">
        <v>11641.0</v>
      </c>
      <c r="H3269" s="6">
        <v>2.2404</v>
      </c>
      <c r="I3269" s="6">
        <v>2.0874</v>
      </c>
      <c r="J3269" s="6">
        <v>0.153</v>
      </c>
    </row>
    <row r="3270">
      <c r="A3270" s="5" t="s">
        <v>59</v>
      </c>
      <c r="B3270" s="5" t="s">
        <v>1867</v>
      </c>
      <c r="C3270" s="5" t="s">
        <v>1884</v>
      </c>
      <c r="D3270" s="6">
        <v>2.0</v>
      </c>
      <c r="E3270" s="6">
        <v>31415.0</v>
      </c>
      <c r="F3270" s="6">
        <v>29649.0</v>
      </c>
      <c r="G3270" s="6">
        <v>11641.0</v>
      </c>
      <c r="H3270" s="6">
        <v>2.6987</v>
      </c>
      <c r="I3270" s="6">
        <v>2.5469</v>
      </c>
      <c r="J3270" s="6">
        <v>0.1517</v>
      </c>
    </row>
    <row r="3271">
      <c r="A3271" s="5" t="s">
        <v>59</v>
      </c>
      <c r="B3271" s="5" t="s">
        <v>1867</v>
      </c>
      <c r="C3271" s="5" t="s">
        <v>1884</v>
      </c>
      <c r="D3271" s="6">
        <v>3.0</v>
      </c>
      <c r="E3271" s="6">
        <v>26880.0</v>
      </c>
      <c r="F3271" s="6">
        <v>26659.0</v>
      </c>
      <c r="G3271" s="6">
        <v>11641.0</v>
      </c>
      <c r="H3271" s="6">
        <v>2.3091</v>
      </c>
      <c r="I3271" s="6">
        <v>2.2901</v>
      </c>
      <c r="J3271" s="6">
        <v>0.019</v>
      </c>
    </row>
    <row r="3272">
      <c r="A3272" s="5" t="s">
        <v>59</v>
      </c>
      <c r="B3272" s="5" t="s">
        <v>1867</v>
      </c>
      <c r="C3272" s="5" t="s">
        <v>1884</v>
      </c>
      <c r="D3272" s="6">
        <v>4.0</v>
      </c>
      <c r="E3272" s="6">
        <v>33440.0</v>
      </c>
      <c r="F3272" s="6">
        <v>31438.0</v>
      </c>
      <c r="G3272" s="6">
        <v>11641.0</v>
      </c>
      <c r="H3272" s="6">
        <v>2.8726</v>
      </c>
      <c r="I3272" s="6">
        <v>2.7006</v>
      </c>
      <c r="J3272" s="6">
        <v>0.172</v>
      </c>
    </row>
    <row r="3273">
      <c r="A3273" s="5" t="s">
        <v>59</v>
      </c>
      <c r="B3273" s="5" t="s">
        <v>1867</v>
      </c>
      <c r="C3273" s="5" t="s">
        <v>1884</v>
      </c>
      <c r="D3273" s="6">
        <v>5.0</v>
      </c>
      <c r="E3273" s="6">
        <v>33185.0</v>
      </c>
      <c r="F3273" s="6">
        <v>31069.0</v>
      </c>
      <c r="G3273" s="6">
        <v>11641.0</v>
      </c>
      <c r="H3273" s="6">
        <v>2.8507</v>
      </c>
      <c r="I3273" s="6">
        <v>2.6689</v>
      </c>
      <c r="J3273" s="6">
        <v>0.1818</v>
      </c>
    </row>
    <row r="3274">
      <c r="A3274" s="5" t="s">
        <v>59</v>
      </c>
      <c r="B3274" s="5" t="s">
        <v>1867</v>
      </c>
      <c r="C3274" s="5" t="s">
        <v>1884</v>
      </c>
      <c r="D3274" s="6">
        <v>6.0</v>
      </c>
      <c r="E3274" s="6">
        <v>47565.0</v>
      </c>
      <c r="F3274" s="6">
        <v>41800.0</v>
      </c>
      <c r="G3274" s="6">
        <v>11641.0</v>
      </c>
      <c r="H3274" s="6">
        <v>4.086</v>
      </c>
      <c r="I3274" s="6">
        <v>3.5908</v>
      </c>
      <c r="J3274" s="6">
        <v>0.4952</v>
      </c>
    </row>
    <row r="3275">
      <c r="A3275" s="5" t="s">
        <v>59</v>
      </c>
      <c r="B3275" s="5" t="s">
        <v>1867</v>
      </c>
      <c r="C3275" s="5" t="s">
        <v>1884</v>
      </c>
      <c r="D3275" s="6">
        <v>7.0</v>
      </c>
      <c r="E3275" s="6">
        <v>37170.0</v>
      </c>
      <c r="F3275" s="6">
        <v>32846.0</v>
      </c>
      <c r="G3275" s="6">
        <v>11641.0</v>
      </c>
      <c r="H3275" s="6">
        <v>3.193</v>
      </c>
      <c r="I3275" s="6">
        <v>2.8216</v>
      </c>
      <c r="J3275" s="6">
        <v>0.3714</v>
      </c>
    </row>
    <row r="3276">
      <c r="A3276" s="5" t="s">
        <v>59</v>
      </c>
      <c r="B3276" s="5" t="s">
        <v>1867</v>
      </c>
      <c r="C3276" s="5" t="s">
        <v>1884</v>
      </c>
      <c r="D3276" s="6">
        <v>8.0</v>
      </c>
      <c r="E3276" s="6">
        <v>34810.0</v>
      </c>
      <c r="F3276" s="6">
        <v>31403.0</v>
      </c>
      <c r="G3276" s="6">
        <v>11641.0</v>
      </c>
      <c r="H3276" s="6">
        <v>2.9903</v>
      </c>
      <c r="I3276" s="6">
        <v>2.6976</v>
      </c>
      <c r="J3276" s="6">
        <v>0.2927</v>
      </c>
    </row>
    <row r="3277">
      <c r="A3277" s="5" t="s">
        <v>59</v>
      </c>
      <c r="B3277" s="5" t="s">
        <v>1867</v>
      </c>
      <c r="C3277" s="5" t="s">
        <v>1884</v>
      </c>
      <c r="D3277" s="6">
        <v>9.0</v>
      </c>
      <c r="E3277" s="6">
        <v>24950.0</v>
      </c>
      <c r="F3277" s="6">
        <v>24584.0</v>
      </c>
      <c r="G3277" s="6">
        <v>11641.0</v>
      </c>
      <c r="H3277" s="6">
        <v>2.1433</v>
      </c>
      <c r="I3277" s="6">
        <v>2.1118</v>
      </c>
      <c r="J3277" s="6">
        <v>0.0314</v>
      </c>
    </row>
    <row r="3278">
      <c r="A3278" s="5" t="s">
        <v>59</v>
      </c>
      <c r="B3278" s="5" t="s">
        <v>1867</v>
      </c>
      <c r="C3278" s="5" t="s">
        <v>1884</v>
      </c>
      <c r="D3278" s="6">
        <v>10.0</v>
      </c>
      <c r="E3278" s="6">
        <v>19895.0</v>
      </c>
      <c r="F3278" s="6">
        <v>19615.0</v>
      </c>
      <c r="G3278" s="6">
        <v>11641.0</v>
      </c>
      <c r="H3278" s="6">
        <v>1.709</v>
      </c>
      <c r="I3278" s="6">
        <v>1.685</v>
      </c>
      <c r="J3278" s="6">
        <v>0.0241</v>
      </c>
    </row>
    <row r="3279">
      <c r="A3279" s="5" t="s">
        <v>59</v>
      </c>
      <c r="B3279" s="5" t="s">
        <v>1867</v>
      </c>
      <c r="C3279" s="5" t="s">
        <v>1884</v>
      </c>
      <c r="D3279" s="6">
        <v>11.0</v>
      </c>
      <c r="E3279" s="6">
        <v>20950.0</v>
      </c>
      <c r="F3279" s="6">
        <v>22019.0</v>
      </c>
      <c r="G3279" s="6">
        <v>11641.0</v>
      </c>
      <c r="H3279" s="6">
        <v>1.7997</v>
      </c>
      <c r="I3279" s="6">
        <v>1.8915</v>
      </c>
      <c r="J3279" s="6">
        <v>-0.0918</v>
      </c>
    </row>
    <row r="3280">
      <c r="A3280" s="5" t="s">
        <v>59</v>
      </c>
      <c r="B3280" s="5" t="s">
        <v>1867</v>
      </c>
      <c r="C3280" s="5" t="s">
        <v>1884</v>
      </c>
      <c r="D3280" s="6">
        <v>12.0</v>
      </c>
      <c r="E3280" s="6">
        <v>22470.0</v>
      </c>
      <c r="F3280" s="6">
        <v>25361.0</v>
      </c>
      <c r="G3280" s="6">
        <v>11641.0</v>
      </c>
      <c r="H3280" s="6">
        <v>1.9302</v>
      </c>
      <c r="I3280" s="6">
        <v>2.1786</v>
      </c>
      <c r="J3280" s="6">
        <v>-0.2483</v>
      </c>
    </row>
    <row r="3281">
      <c r="A3281" s="5" t="s">
        <v>59</v>
      </c>
      <c r="B3281" s="5" t="s">
        <v>1867</v>
      </c>
      <c r="C3281" s="5" t="s">
        <v>1884</v>
      </c>
      <c r="D3281" s="6">
        <v>13.0</v>
      </c>
      <c r="E3281" s="6">
        <v>40005.0</v>
      </c>
      <c r="F3281" s="6">
        <v>37200.0</v>
      </c>
      <c r="G3281" s="6">
        <v>11641.0</v>
      </c>
      <c r="H3281" s="6">
        <v>3.4366</v>
      </c>
      <c r="I3281" s="6">
        <v>3.1956</v>
      </c>
      <c r="J3281" s="6">
        <v>0.241</v>
      </c>
    </row>
    <row r="3282">
      <c r="A3282" s="5" t="s">
        <v>59</v>
      </c>
      <c r="B3282" s="5" t="s">
        <v>1867</v>
      </c>
      <c r="C3282" s="5" t="s">
        <v>1884</v>
      </c>
      <c r="D3282" s="6">
        <v>14.0</v>
      </c>
      <c r="E3282" s="6">
        <v>28290.0</v>
      </c>
      <c r="F3282" s="6">
        <v>27239.0</v>
      </c>
      <c r="G3282" s="6">
        <v>11641.0</v>
      </c>
      <c r="H3282" s="6">
        <v>2.4302</v>
      </c>
      <c r="I3282" s="6">
        <v>2.3399</v>
      </c>
      <c r="J3282" s="6">
        <v>0.0903</v>
      </c>
    </row>
    <row r="3283">
      <c r="A3283" s="5" t="s">
        <v>59</v>
      </c>
      <c r="B3283" s="5" t="s">
        <v>1867</v>
      </c>
      <c r="C3283" s="5" t="s">
        <v>1884</v>
      </c>
      <c r="D3283" s="6">
        <v>15.0</v>
      </c>
      <c r="E3283" s="6">
        <v>26525.0</v>
      </c>
      <c r="F3283" s="6">
        <v>25636.0</v>
      </c>
      <c r="G3283" s="6">
        <v>11641.0</v>
      </c>
      <c r="H3283" s="6">
        <v>2.2786</v>
      </c>
      <c r="I3283" s="6">
        <v>2.2022</v>
      </c>
      <c r="J3283" s="6">
        <v>0.0764</v>
      </c>
    </row>
    <row r="3284">
      <c r="A3284" s="5" t="s">
        <v>59</v>
      </c>
      <c r="B3284" s="5" t="s">
        <v>1867</v>
      </c>
      <c r="C3284" s="5" t="s">
        <v>1884</v>
      </c>
      <c r="D3284" s="6">
        <v>16.0</v>
      </c>
      <c r="E3284" s="6">
        <v>38140.0</v>
      </c>
      <c r="F3284" s="6">
        <v>32470.0</v>
      </c>
      <c r="G3284" s="6">
        <v>11641.0</v>
      </c>
      <c r="H3284" s="6">
        <v>3.2764</v>
      </c>
      <c r="I3284" s="6">
        <v>2.7893</v>
      </c>
      <c r="J3284" s="6">
        <v>0.4871</v>
      </c>
    </row>
    <row r="3285">
      <c r="A3285" s="5" t="s">
        <v>59</v>
      </c>
      <c r="B3285" s="5" t="s">
        <v>1867</v>
      </c>
      <c r="C3285" s="5" t="s">
        <v>1884</v>
      </c>
      <c r="D3285" s="6">
        <v>17.0</v>
      </c>
      <c r="E3285" s="6">
        <v>30800.0</v>
      </c>
      <c r="F3285" s="6">
        <v>27064.0</v>
      </c>
      <c r="G3285" s="6">
        <v>11641.0</v>
      </c>
      <c r="H3285" s="6">
        <v>2.6458</v>
      </c>
      <c r="I3285" s="6">
        <v>2.3249</v>
      </c>
      <c r="J3285" s="6">
        <v>0.3209</v>
      </c>
    </row>
    <row r="3286">
      <c r="A3286" s="5" t="s">
        <v>59</v>
      </c>
      <c r="B3286" s="5" t="s">
        <v>1867</v>
      </c>
      <c r="C3286" s="5" t="s">
        <v>1884</v>
      </c>
      <c r="D3286" s="6">
        <v>18.0</v>
      </c>
      <c r="E3286" s="6">
        <v>32110.0</v>
      </c>
      <c r="F3286" s="6">
        <v>28814.0</v>
      </c>
      <c r="G3286" s="6">
        <v>11641.0</v>
      </c>
      <c r="H3286" s="6">
        <v>2.7584</v>
      </c>
      <c r="I3286" s="6">
        <v>2.4752</v>
      </c>
      <c r="J3286" s="6">
        <v>0.2831</v>
      </c>
    </row>
    <row r="3287">
      <c r="A3287" s="5" t="s">
        <v>59</v>
      </c>
      <c r="B3287" s="5" t="s">
        <v>1867</v>
      </c>
      <c r="C3287" s="5" t="s">
        <v>1884</v>
      </c>
      <c r="D3287" s="6">
        <v>19.0</v>
      </c>
      <c r="E3287" s="6">
        <v>32675.0</v>
      </c>
      <c r="F3287" s="6">
        <v>30008.0</v>
      </c>
      <c r="G3287" s="6">
        <v>11641.0</v>
      </c>
      <c r="H3287" s="6">
        <v>2.8069</v>
      </c>
      <c r="I3287" s="6">
        <v>2.5778</v>
      </c>
      <c r="J3287" s="6">
        <v>0.2291</v>
      </c>
    </row>
    <row r="3288">
      <c r="A3288" s="5" t="s">
        <v>59</v>
      </c>
      <c r="B3288" s="5" t="s">
        <v>1867</v>
      </c>
      <c r="C3288" s="5" t="s">
        <v>1884</v>
      </c>
      <c r="D3288" s="6">
        <v>20.0</v>
      </c>
      <c r="E3288" s="6">
        <v>54685.0</v>
      </c>
      <c r="F3288" s="6">
        <v>47482.0</v>
      </c>
      <c r="G3288" s="6">
        <v>11641.0</v>
      </c>
      <c r="H3288" s="6">
        <v>4.6976</v>
      </c>
      <c r="I3288" s="6">
        <v>4.0789</v>
      </c>
      <c r="J3288" s="6">
        <v>0.6188</v>
      </c>
    </row>
    <row r="3289">
      <c r="A3289" s="5" t="s">
        <v>59</v>
      </c>
      <c r="B3289" s="5" t="s">
        <v>1867</v>
      </c>
      <c r="C3289" s="5" t="s">
        <v>1884</v>
      </c>
      <c r="D3289" s="6">
        <v>21.0</v>
      </c>
      <c r="E3289" s="6">
        <v>104075.0</v>
      </c>
      <c r="F3289" s="6">
        <v>65503.0</v>
      </c>
      <c r="G3289" s="6">
        <v>11641.0</v>
      </c>
      <c r="H3289" s="6">
        <v>8.9404</v>
      </c>
      <c r="I3289" s="6">
        <v>5.6269</v>
      </c>
      <c r="J3289" s="6">
        <v>3.3135</v>
      </c>
    </row>
    <row r="3290">
      <c r="A3290" s="5" t="s">
        <v>59</v>
      </c>
      <c r="B3290" s="5" t="s">
        <v>1867</v>
      </c>
      <c r="C3290" s="5" t="s">
        <v>1884</v>
      </c>
      <c r="D3290" s="6">
        <v>22.0</v>
      </c>
      <c r="E3290" s="6">
        <v>74260.0</v>
      </c>
      <c r="F3290" s="6">
        <v>52638.0</v>
      </c>
      <c r="G3290" s="6">
        <v>11641.0</v>
      </c>
      <c r="H3290" s="6">
        <v>6.3792</v>
      </c>
      <c r="I3290" s="6">
        <v>4.5218</v>
      </c>
      <c r="J3290" s="6">
        <v>1.8574</v>
      </c>
    </row>
    <row r="3291">
      <c r="A3291" s="5" t="s">
        <v>59</v>
      </c>
      <c r="B3291" s="5" t="s">
        <v>1867</v>
      </c>
      <c r="C3291" s="5" t="s">
        <v>1884</v>
      </c>
      <c r="D3291" s="6">
        <v>23.0</v>
      </c>
      <c r="E3291" s="6">
        <v>49390.0</v>
      </c>
      <c r="F3291" s="6">
        <v>37685.0</v>
      </c>
      <c r="G3291" s="6">
        <v>11641.0</v>
      </c>
      <c r="H3291" s="6">
        <v>4.2428</v>
      </c>
      <c r="I3291" s="6">
        <v>3.2373</v>
      </c>
      <c r="J3291" s="6">
        <v>1.0055</v>
      </c>
    </row>
    <row r="3292">
      <c r="A3292" s="5" t="s">
        <v>59</v>
      </c>
      <c r="B3292" s="5" t="s">
        <v>1867</v>
      </c>
      <c r="C3292" s="5" t="s">
        <v>1884</v>
      </c>
      <c r="D3292" s="6">
        <v>24.0</v>
      </c>
      <c r="E3292" s="6">
        <v>42425.0</v>
      </c>
      <c r="F3292" s="6">
        <v>32298.0</v>
      </c>
      <c r="G3292" s="6">
        <v>11641.0</v>
      </c>
      <c r="H3292" s="6">
        <v>3.6444</v>
      </c>
      <c r="I3292" s="6">
        <v>2.7745</v>
      </c>
      <c r="J3292" s="6">
        <v>0.8699</v>
      </c>
    </row>
    <row r="3293">
      <c r="A3293" s="5" t="s">
        <v>59</v>
      </c>
      <c r="B3293" s="5" t="s">
        <v>1867</v>
      </c>
      <c r="C3293" s="5" t="s">
        <v>1884</v>
      </c>
      <c r="D3293" s="6">
        <v>25.0</v>
      </c>
      <c r="E3293" s="6">
        <v>39710.0</v>
      </c>
      <c r="F3293" s="6">
        <v>33308.0</v>
      </c>
      <c r="G3293" s="6">
        <v>11641.0</v>
      </c>
      <c r="H3293" s="6">
        <v>3.4112</v>
      </c>
      <c r="I3293" s="6">
        <v>2.8613</v>
      </c>
      <c r="J3293" s="6">
        <v>0.55</v>
      </c>
    </row>
    <row r="3294">
      <c r="A3294" s="5" t="s">
        <v>59</v>
      </c>
      <c r="B3294" s="5" t="s">
        <v>1867</v>
      </c>
      <c r="C3294" s="5" t="s">
        <v>1884</v>
      </c>
      <c r="D3294" s="6">
        <v>26.0</v>
      </c>
      <c r="E3294" s="6">
        <v>37310.0</v>
      </c>
      <c r="F3294" s="6">
        <v>32694.0</v>
      </c>
      <c r="G3294" s="6">
        <v>11641.0</v>
      </c>
      <c r="H3294" s="6">
        <v>3.2051</v>
      </c>
      <c r="I3294" s="6">
        <v>2.8085</v>
      </c>
      <c r="J3294" s="6">
        <v>0.3965</v>
      </c>
    </row>
    <row r="3295">
      <c r="A3295" s="5" t="s">
        <v>59</v>
      </c>
      <c r="B3295" s="5" t="s">
        <v>1867</v>
      </c>
      <c r="C3295" s="5" t="s">
        <v>1884</v>
      </c>
      <c r="D3295" s="6">
        <v>27.0</v>
      </c>
      <c r="E3295" s="6">
        <v>33730.0</v>
      </c>
      <c r="F3295" s="6">
        <v>32458.0</v>
      </c>
      <c r="G3295" s="6">
        <v>11641.0</v>
      </c>
      <c r="H3295" s="6">
        <v>2.8975</v>
      </c>
      <c r="I3295" s="6">
        <v>2.7882</v>
      </c>
      <c r="J3295" s="6">
        <v>0.1093</v>
      </c>
    </row>
    <row r="3296">
      <c r="A3296" s="5" t="s">
        <v>59</v>
      </c>
      <c r="B3296" s="5" t="s">
        <v>1867</v>
      </c>
      <c r="C3296" s="5" t="s">
        <v>1884</v>
      </c>
      <c r="D3296" s="6">
        <v>28.0</v>
      </c>
      <c r="E3296" s="6">
        <v>31465.0</v>
      </c>
      <c r="F3296" s="6">
        <v>29855.0</v>
      </c>
      <c r="G3296" s="6">
        <v>11641.0</v>
      </c>
      <c r="H3296" s="6">
        <v>2.7029</v>
      </c>
      <c r="I3296" s="6">
        <v>2.5646</v>
      </c>
      <c r="J3296" s="6">
        <v>0.1383</v>
      </c>
    </row>
    <row r="3297">
      <c r="A3297" s="5" t="s">
        <v>59</v>
      </c>
      <c r="B3297" s="5" t="s">
        <v>1867</v>
      </c>
      <c r="C3297" s="5" t="s">
        <v>1884</v>
      </c>
      <c r="D3297" s="6">
        <v>29.0</v>
      </c>
      <c r="E3297" s="6">
        <v>28910.0</v>
      </c>
      <c r="F3297" s="6">
        <v>28758.0</v>
      </c>
      <c r="G3297" s="6">
        <v>11641.0</v>
      </c>
      <c r="H3297" s="6">
        <v>2.4835</v>
      </c>
      <c r="I3297" s="6">
        <v>2.4704</v>
      </c>
      <c r="J3297" s="6">
        <v>0.0131</v>
      </c>
    </row>
    <row r="3298">
      <c r="A3298" s="5" t="s">
        <v>59</v>
      </c>
      <c r="B3298" s="5" t="s">
        <v>1867</v>
      </c>
      <c r="C3298" s="5" t="s">
        <v>1884</v>
      </c>
      <c r="D3298" s="6">
        <v>30.0</v>
      </c>
      <c r="E3298" s="6">
        <v>39415.0</v>
      </c>
      <c r="F3298" s="6">
        <v>36148.0</v>
      </c>
      <c r="G3298" s="6">
        <v>11641.0</v>
      </c>
      <c r="H3298" s="6">
        <v>3.3859</v>
      </c>
      <c r="I3298" s="6">
        <v>3.1052</v>
      </c>
      <c r="J3298" s="6">
        <v>0.2806</v>
      </c>
    </row>
    <row r="3299">
      <c r="A3299" s="5" t="s">
        <v>59</v>
      </c>
      <c r="B3299" s="5" t="s">
        <v>1867</v>
      </c>
      <c r="C3299" s="5" t="s">
        <v>1884</v>
      </c>
      <c r="D3299" s="6">
        <v>31.0</v>
      </c>
      <c r="E3299" s="6">
        <v>31640.0</v>
      </c>
      <c r="F3299" s="6">
        <v>28569.0</v>
      </c>
      <c r="G3299" s="6">
        <v>11641.0</v>
      </c>
      <c r="H3299" s="6">
        <v>2.718</v>
      </c>
      <c r="I3299" s="6">
        <v>2.4542</v>
      </c>
      <c r="J3299" s="6">
        <v>0.2638</v>
      </c>
    </row>
    <row r="3300">
      <c r="A3300" s="5" t="s">
        <v>59</v>
      </c>
      <c r="B3300" s="5" t="s">
        <v>1867</v>
      </c>
      <c r="C3300" s="5" t="s">
        <v>1884</v>
      </c>
      <c r="D3300" s="6">
        <v>32.0</v>
      </c>
      <c r="E3300" s="6">
        <v>37315.0</v>
      </c>
      <c r="F3300" s="6">
        <v>32260.0</v>
      </c>
      <c r="G3300" s="6">
        <v>11641.0</v>
      </c>
      <c r="H3300" s="6">
        <v>3.2055</v>
      </c>
      <c r="I3300" s="6">
        <v>2.7712</v>
      </c>
      <c r="J3300" s="6">
        <v>0.4342</v>
      </c>
    </row>
    <row r="3301">
      <c r="A3301" s="5" t="s">
        <v>59</v>
      </c>
      <c r="B3301" s="5" t="s">
        <v>1867</v>
      </c>
      <c r="C3301" s="5" t="s">
        <v>1884</v>
      </c>
      <c r="D3301" s="6">
        <v>33.0</v>
      </c>
      <c r="E3301" s="6">
        <v>34495.0</v>
      </c>
      <c r="F3301" s="6">
        <v>30230.0</v>
      </c>
      <c r="G3301" s="6">
        <v>11641.0</v>
      </c>
      <c r="H3301" s="6">
        <v>2.9632</v>
      </c>
      <c r="I3301" s="6">
        <v>2.5969</v>
      </c>
      <c r="J3301" s="6">
        <v>0.3664</v>
      </c>
    </row>
    <row r="3302">
      <c r="A3302" s="5" t="s">
        <v>59</v>
      </c>
      <c r="B3302" s="5" t="s">
        <v>1867</v>
      </c>
      <c r="C3302" s="5" t="s">
        <v>1885</v>
      </c>
      <c r="D3302" s="6">
        <v>1.0</v>
      </c>
      <c r="E3302" s="6">
        <v>26615.0</v>
      </c>
      <c r="F3302" s="6">
        <v>24484.0</v>
      </c>
      <c r="G3302" s="6">
        <v>11933.0</v>
      </c>
      <c r="H3302" s="6">
        <v>2.2304</v>
      </c>
      <c r="I3302" s="6">
        <v>2.0518</v>
      </c>
      <c r="J3302" s="6">
        <v>0.1786</v>
      </c>
    </row>
    <row r="3303">
      <c r="A3303" s="5" t="s">
        <v>59</v>
      </c>
      <c r="B3303" s="5" t="s">
        <v>1867</v>
      </c>
      <c r="C3303" s="5" t="s">
        <v>1885</v>
      </c>
      <c r="D3303" s="6">
        <v>2.0</v>
      </c>
      <c r="E3303" s="6">
        <v>34155.0</v>
      </c>
      <c r="F3303" s="6">
        <v>28536.0</v>
      </c>
      <c r="G3303" s="6">
        <v>11933.0</v>
      </c>
      <c r="H3303" s="6">
        <v>2.8622</v>
      </c>
      <c r="I3303" s="6">
        <v>2.3914</v>
      </c>
      <c r="J3303" s="6">
        <v>0.4709</v>
      </c>
    </row>
    <row r="3304">
      <c r="A3304" s="5" t="s">
        <v>59</v>
      </c>
      <c r="B3304" s="5" t="s">
        <v>1867</v>
      </c>
      <c r="C3304" s="5" t="s">
        <v>1885</v>
      </c>
      <c r="D3304" s="6">
        <v>3.0</v>
      </c>
      <c r="E3304" s="6">
        <v>33815.0</v>
      </c>
      <c r="F3304" s="6">
        <v>29315.0</v>
      </c>
      <c r="G3304" s="6">
        <v>11933.0</v>
      </c>
      <c r="H3304" s="6">
        <v>2.8337</v>
      </c>
      <c r="I3304" s="6">
        <v>2.4566</v>
      </c>
      <c r="J3304" s="6">
        <v>0.3771</v>
      </c>
    </row>
    <row r="3305">
      <c r="A3305" s="5" t="s">
        <v>59</v>
      </c>
      <c r="B3305" s="5" t="s">
        <v>1867</v>
      </c>
      <c r="C3305" s="5" t="s">
        <v>1885</v>
      </c>
      <c r="D3305" s="6">
        <v>4.0</v>
      </c>
      <c r="E3305" s="6">
        <v>39120.0</v>
      </c>
      <c r="F3305" s="6">
        <v>33398.0</v>
      </c>
      <c r="G3305" s="6">
        <v>11933.0</v>
      </c>
      <c r="H3305" s="6">
        <v>3.2783</v>
      </c>
      <c r="I3305" s="6">
        <v>2.7988</v>
      </c>
      <c r="J3305" s="6">
        <v>0.4795</v>
      </c>
    </row>
    <row r="3306">
      <c r="A3306" s="5" t="s">
        <v>59</v>
      </c>
      <c r="B3306" s="5" t="s">
        <v>1867</v>
      </c>
      <c r="C3306" s="5" t="s">
        <v>1885</v>
      </c>
      <c r="D3306" s="6">
        <v>5.0</v>
      </c>
      <c r="E3306" s="6">
        <v>37920.0</v>
      </c>
      <c r="F3306" s="6">
        <v>32245.0</v>
      </c>
      <c r="G3306" s="6">
        <v>11933.0</v>
      </c>
      <c r="H3306" s="6">
        <v>3.1777</v>
      </c>
      <c r="I3306" s="6">
        <v>2.7022</v>
      </c>
      <c r="J3306" s="6">
        <v>0.4756</v>
      </c>
    </row>
    <row r="3307">
      <c r="A3307" s="5" t="s">
        <v>59</v>
      </c>
      <c r="B3307" s="5" t="s">
        <v>1867</v>
      </c>
      <c r="C3307" s="5" t="s">
        <v>1885</v>
      </c>
      <c r="D3307" s="6">
        <v>6.0</v>
      </c>
      <c r="E3307" s="6">
        <v>65275.0</v>
      </c>
      <c r="F3307" s="6">
        <v>49942.0</v>
      </c>
      <c r="G3307" s="6">
        <v>11933.0</v>
      </c>
      <c r="H3307" s="6">
        <v>5.4701</v>
      </c>
      <c r="I3307" s="6">
        <v>4.1852</v>
      </c>
      <c r="J3307" s="6">
        <v>1.2849</v>
      </c>
    </row>
    <row r="3308">
      <c r="A3308" s="5" t="s">
        <v>59</v>
      </c>
      <c r="B3308" s="5" t="s">
        <v>1867</v>
      </c>
      <c r="C3308" s="5" t="s">
        <v>1885</v>
      </c>
      <c r="D3308" s="6">
        <v>7.0</v>
      </c>
      <c r="E3308" s="6">
        <v>48480.0</v>
      </c>
      <c r="F3308" s="6">
        <v>36828.0</v>
      </c>
      <c r="G3308" s="6">
        <v>11933.0</v>
      </c>
      <c r="H3308" s="6">
        <v>4.0627</v>
      </c>
      <c r="I3308" s="6">
        <v>3.0862</v>
      </c>
      <c r="J3308" s="6">
        <v>0.9765</v>
      </c>
    </row>
    <row r="3309">
      <c r="A3309" s="5" t="s">
        <v>59</v>
      </c>
      <c r="B3309" s="5" t="s">
        <v>1867</v>
      </c>
      <c r="C3309" s="5" t="s">
        <v>1885</v>
      </c>
      <c r="D3309" s="6">
        <v>8.0</v>
      </c>
      <c r="E3309" s="6">
        <v>42495.0</v>
      </c>
      <c r="F3309" s="6">
        <v>33541.0</v>
      </c>
      <c r="G3309" s="6">
        <v>11933.0</v>
      </c>
      <c r="H3309" s="6">
        <v>3.5611</v>
      </c>
      <c r="I3309" s="6">
        <v>2.8108</v>
      </c>
      <c r="J3309" s="6">
        <v>0.7504</v>
      </c>
    </row>
    <row r="3310">
      <c r="A3310" s="5" t="s">
        <v>59</v>
      </c>
      <c r="B3310" s="5" t="s">
        <v>1867</v>
      </c>
      <c r="C3310" s="5" t="s">
        <v>1885</v>
      </c>
      <c r="D3310" s="6">
        <v>9.0</v>
      </c>
      <c r="E3310" s="6">
        <v>26730.0</v>
      </c>
      <c r="F3310" s="6">
        <v>25129.0</v>
      </c>
      <c r="G3310" s="6">
        <v>11933.0</v>
      </c>
      <c r="H3310" s="6">
        <v>2.24</v>
      </c>
      <c r="I3310" s="6">
        <v>2.1058</v>
      </c>
      <c r="J3310" s="6">
        <v>0.1342</v>
      </c>
    </row>
    <row r="3311">
      <c r="A3311" s="5" t="s">
        <v>59</v>
      </c>
      <c r="B3311" s="5" t="s">
        <v>1867</v>
      </c>
      <c r="C3311" s="5" t="s">
        <v>1885</v>
      </c>
      <c r="D3311" s="6">
        <v>10.0</v>
      </c>
      <c r="E3311" s="6">
        <v>27715.0</v>
      </c>
      <c r="F3311" s="6">
        <v>23088.0</v>
      </c>
      <c r="G3311" s="6">
        <v>11933.0</v>
      </c>
      <c r="H3311" s="6">
        <v>2.3226</v>
      </c>
      <c r="I3311" s="6">
        <v>1.9348</v>
      </c>
      <c r="J3311" s="6">
        <v>0.3877</v>
      </c>
    </row>
    <row r="3312">
      <c r="A3312" s="5" t="s">
        <v>59</v>
      </c>
      <c r="B3312" s="5" t="s">
        <v>1867</v>
      </c>
      <c r="C3312" s="5" t="s">
        <v>1885</v>
      </c>
      <c r="D3312" s="6">
        <v>11.0</v>
      </c>
      <c r="E3312" s="6">
        <v>27400.0</v>
      </c>
      <c r="F3312" s="6">
        <v>25398.0</v>
      </c>
      <c r="G3312" s="6">
        <v>11933.0</v>
      </c>
      <c r="H3312" s="6">
        <v>2.2962</v>
      </c>
      <c r="I3312" s="6">
        <v>2.1284</v>
      </c>
      <c r="J3312" s="6">
        <v>0.1678</v>
      </c>
    </row>
    <row r="3313">
      <c r="A3313" s="5" t="s">
        <v>59</v>
      </c>
      <c r="B3313" s="5" t="s">
        <v>1867</v>
      </c>
      <c r="C3313" s="5" t="s">
        <v>1885</v>
      </c>
      <c r="D3313" s="6">
        <v>12.0</v>
      </c>
      <c r="E3313" s="6">
        <v>24890.0</v>
      </c>
      <c r="F3313" s="6">
        <v>26501.0</v>
      </c>
      <c r="G3313" s="6">
        <v>11933.0</v>
      </c>
      <c r="H3313" s="6">
        <v>2.0858</v>
      </c>
      <c r="I3313" s="6">
        <v>2.2208</v>
      </c>
      <c r="J3313" s="6">
        <v>-0.135</v>
      </c>
    </row>
    <row r="3314">
      <c r="A3314" s="5" t="s">
        <v>59</v>
      </c>
      <c r="B3314" s="5" t="s">
        <v>1867</v>
      </c>
      <c r="C3314" s="5" t="s">
        <v>1885</v>
      </c>
      <c r="D3314" s="6">
        <v>13.0</v>
      </c>
      <c r="E3314" s="6">
        <v>48940.0</v>
      </c>
      <c r="F3314" s="6">
        <v>41811.0</v>
      </c>
      <c r="G3314" s="6">
        <v>11933.0</v>
      </c>
      <c r="H3314" s="6">
        <v>4.1012</v>
      </c>
      <c r="I3314" s="6">
        <v>3.5038</v>
      </c>
      <c r="J3314" s="6">
        <v>0.5974</v>
      </c>
    </row>
    <row r="3315">
      <c r="A3315" s="5" t="s">
        <v>59</v>
      </c>
      <c r="B3315" s="5" t="s">
        <v>1867</v>
      </c>
      <c r="C3315" s="5" t="s">
        <v>1885</v>
      </c>
      <c r="D3315" s="6">
        <v>14.0</v>
      </c>
      <c r="E3315" s="6">
        <v>36720.0</v>
      </c>
      <c r="F3315" s="6">
        <v>31454.0</v>
      </c>
      <c r="G3315" s="6">
        <v>11933.0</v>
      </c>
      <c r="H3315" s="6">
        <v>3.0772</v>
      </c>
      <c r="I3315" s="6">
        <v>2.6359</v>
      </c>
      <c r="J3315" s="6">
        <v>0.4413</v>
      </c>
    </row>
    <row r="3316">
      <c r="A3316" s="5" t="s">
        <v>59</v>
      </c>
      <c r="B3316" s="5" t="s">
        <v>1867</v>
      </c>
      <c r="C3316" s="5" t="s">
        <v>1885</v>
      </c>
      <c r="D3316" s="6">
        <v>15.0</v>
      </c>
      <c r="E3316" s="6">
        <v>32900.0</v>
      </c>
      <c r="F3316" s="6">
        <v>27967.0</v>
      </c>
      <c r="G3316" s="6">
        <v>11933.0</v>
      </c>
      <c r="H3316" s="6">
        <v>2.7571</v>
      </c>
      <c r="I3316" s="6">
        <v>2.3437</v>
      </c>
      <c r="J3316" s="6">
        <v>0.4134</v>
      </c>
    </row>
    <row r="3317">
      <c r="A3317" s="5" t="s">
        <v>59</v>
      </c>
      <c r="B3317" s="5" t="s">
        <v>1867</v>
      </c>
      <c r="C3317" s="5" t="s">
        <v>1885</v>
      </c>
      <c r="D3317" s="6">
        <v>16.0</v>
      </c>
      <c r="E3317" s="6">
        <v>39885.0</v>
      </c>
      <c r="F3317" s="6">
        <v>32581.0</v>
      </c>
      <c r="G3317" s="6">
        <v>11933.0</v>
      </c>
      <c r="H3317" s="6">
        <v>3.3424</v>
      </c>
      <c r="I3317" s="6">
        <v>2.7303</v>
      </c>
      <c r="J3317" s="6">
        <v>0.6121</v>
      </c>
    </row>
    <row r="3318">
      <c r="A3318" s="5" t="s">
        <v>59</v>
      </c>
      <c r="B3318" s="5" t="s">
        <v>1867</v>
      </c>
      <c r="C3318" s="5" t="s">
        <v>1885</v>
      </c>
      <c r="D3318" s="6">
        <v>17.0</v>
      </c>
      <c r="E3318" s="6">
        <v>37170.0</v>
      </c>
      <c r="F3318" s="6">
        <v>30181.0</v>
      </c>
      <c r="G3318" s="6">
        <v>11933.0</v>
      </c>
      <c r="H3318" s="6">
        <v>3.1149</v>
      </c>
      <c r="I3318" s="6">
        <v>2.5292</v>
      </c>
      <c r="J3318" s="6">
        <v>0.5857</v>
      </c>
    </row>
    <row r="3319">
      <c r="A3319" s="5" t="s">
        <v>59</v>
      </c>
      <c r="B3319" s="5" t="s">
        <v>1867</v>
      </c>
      <c r="C3319" s="5" t="s">
        <v>1885</v>
      </c>
      <c r="D3319" s="6">
        <v>18.0</v>
      </c>
      <c r="E3319" s="6">
        <v>38990.0</v>
      </c>
      <c r="F3319" s="6">
        <v>32121.0</v>
      </c>
      <c r="G3319" s="6">
        <v>11933.0</v>
      </c>
      <c r="H3319" s="6">
        <v>3.2674</v>
      </c>
      <c r="I3319" s="6">
        <v>2.6918</v>
      </c>
      <c r="J3319" s="6">
        <v>0.5756</v>
      </c>
    </row>
    <row r="3320">
      <c r="A3320" s="5" t="s">
        <v>59</v>
      </c>
      <c r="B3320" s="5" t="s">
        <v>1867</v>
      </c>
      <c r="C3320" s="5" t="s">
        <v>1885</v>
      </c>
      <c r="D3320" s="6">
        <v>19.0</v>
      </c>
      <c r="E3320" s="6">
        <v>37860.0</v>
      </c>
      <c r="F3320" s="6">
        <v>31664.0</v>
      </c>
      <c r="G3320" s="6">
        <v>11933.0</v>
      </c>
      <c r="H3320" s="6">
        <v>3.1727</v>
      </c>
      <c r="I3320" s="6">
        <v>2.6535</v>
      </c>
      <c r="J3320" s="6">
        <v>0.5192</v>
      </c>
    </row>
    <row r="3321">
      <c r="A3321" s="5" t="s">
        <v>59</v>
      </c>
      <c r="B3321" s="5" t="s">
        <v>1867</v>
      </c>
      <c r="C3321" s="5" t="s">
        <v>1885</v>
      </c>
      <c r="D3321" s="6">
        <v>20.0</v>
      </c>
      <c r="E3321" s="6">
        <v>73880.0</v>
      </c>
      <c r="F3321" s="6">
        <v>55924.0</v>
      </c>
      <c r="G3321" s="6">
        <v>11933.0</v>
      </c>
      <c r="H3321" s="6">
        <v>6.1912</v>
      </c>
      <c r="I3321" s="6">
        <v>4.6865</v>
      </c>
      <c r="J3321" s="6">
        <v>1.5047</v>
      </c>
    </row>
    <row r="3322">
      <c r="A3322" s="5" t="s">
        <v>59</v>
      </c>
      <c r="B3322" s="5" t="s">
        <v>1867</v>
      </c>
      <c r="C3322" s="5" t="s">
        <v>1885</v>
      </c>
      <c r="D3322" s="6">
        <v>21.0</v>
      </c>
      <c r="E3322" s="6">
        <v>127750.0</v>
      </c>
      <c r="F3322" s="6">
        <v>72096.0</v>
      </c>
      <c r="G3322" s="6">
        <v>11933.0</v>
      </c>
      <c r="H3322" s="6">
        <v>10.7056</v>
      </c>
      <c r="I3322" s="6">
        <v>6.0417</v>
      </c>
      <c r="J3322" s="6">
        <v>4.6639</v>
      </c>
    </row>
    <row r="3323">
      <c r="A3323" s="5" t="s">
        <v>59</v>
      </c>
      <c r="B3323" s="5" t="s">
        <v>1867</v>
      </c>
      <c r="C3323" s="5" t="s">
        <v>1885</v>
      </c>
      <c r="D3323" s="6">
        <v>22.0</v>
      </c>
      <c r="E3323" s="6">
        <v>88780.0</v>
      </c>
      <c r="F3323" s="6">
        <v>57385.0</v>
      </c>
      <c r="G3323" s="6">
        <v>11933.0</v>
      </c>
      <c r="H3323" s="6">
        <v>7.4399</v>
      </c>
      <c r="I3323" s="6">
        <v>4.8089</v>
      </c>
      <c r="J3323" s="6">
        <v>2.6309</v>
      </c>
    </row>
    <row r="3324">
      <c r="A3324" s="5" t="s">
        <v>59</v>
      </c>
      <c r="B3324" s="5" t="s">
        <v>1867</v>
      </c>
      <c r="C3324" s="5" t="s">
        <v>1885</v>
      </c>
      <c r="D3324" s="6">
        <v>23.0</v>
      </c>
      <c r="E3324" s="6">
        <v>58800.0</v>
      </c>
      <c r="F3324" s="6">
        <v>41632.0</v>
      </c>
      <c r="G3324" s="6">
        <v>11933.0</v>
      </c>
      <c r="H3324" s="6">
        <v>4.9275</v>
      </c>
      <c r="I3324" s="6">
        <v>3.4888</v>
      </c>
      <c r="J3324" s="6">
        <v>1.4387</v>
      </c>
    </row>
    <row r="3325">
      <c r="A3325" s="5" t="s">
        <v>59</v>
      </c>
      <c r="B3325" s="5" t="s">
        <v>1867</v>
      </c>
      <c r="C3325" s="5" t="s">
        <v>1885</v>
      </c>
      <c r="D3325" s="6">
        <v>24.0</v>
      </c>
      <c r="E3325" s="6">
        <v>57965.0</v>
      </c>
      <c r="F3325" s="6">
        <v>40460.0</v>
      </c>
      <c r="G3325" s="6">
        <v>11933.0</v>
      </c>
      <c r="H3325" s="6">
        <v>4.8575</v>
      </c>
      <c r="I3325" s="6">
        <v>3.3906</v>
      </c>
      <c r="J3325" s="6">
        <v>1.4669</v>
      </c>
    </row>
    <row r="3326">
      <c r="A3326" s="5" t="s">
        <v>59</v>
      </c>
      <c r="B3326" s="5" t="s">
        <v>1867</v>
      </c>
      <c r="C3326" s="5" t="s">
        <v>1885</v>
      </c>
      <c r="D3326" s="6">
        <v>25.0</v>
      </c>
      <c r="E3326" s="6">
        <v>53685.0</v>
      </c>
      <c r="F3326" s="6">
        <v>40160.0</v>
      </c>
      <c r="G3326" s="6">
        <v>11933.0</v>
      </c>
      <c r="H3326" s="6">
        <v>4.4989</v>
      </c>
      <c r="I3326" s="6">
        <v>3.3655</v>
      </c>
      <c r="J3326" s="6">
        <v>1.1334</v>
      </c>
    </row>
    <row r="3327">
      <c r="A3327" s="5" t="s">
        <v>59</v>
      </c>
      <c r="B3327" s="5" t="s">
        <v>1867</v>
      </c>
      <c r="C3327" s="5" t="s">
        <v>1885</v>
      </c>
      <c r="D3327" s="6">
        <v>26.0</v>
      </c>
      <c r="E3327" s="6">
        <v>43280.0</v>
      </c>
      <c r="F3327" s="6">
        <v>36046.0</v>
      </c>
      <c r="G3327" s="6">
        <v>11933.0</v>
      </c>
      <c r="H3327" s="6">
        <v>3.6269</v>
      </c>
      <c r="I3327" s="6">
        <v>3.0207</v>
      </c>
      <c r="J3327" s="6">
        <v>0.6062</v>
      </c>
    </row>
    <row r="3328">
      <c r="A3328" s="5" t="s">
        <v>59</v>
      </c>
      <c r="B3328" s="5" t="s">
        <v>1867</v>
      </c>
      <c r="C3328" s="5" t="s">
        <v>1885</v>
      </c>
      <c r="D3328" s="6">
        <v>27.0</v>
      </c>
      <c r="E3328" s="6">
        <v>51065.0</v>
      </c>
      <c r="F3328" s="6">
        <v>41440.0</v>
      </c>
      <c r="G3328" s="6">
        <v>11933.0</v>
      </c>
      <c r="H3328" s="6">
        <v>4.2793</v>
      </c>
      <c r="I3328" s="6">
        <v>3.4727</v>
      </c>
      <c r="J3328" s="6">
        <v>0.8066</v>
      </c>
    </row>
    <row r="3329">
      <c r="A3329" s="5" t="s">
        <v>59</v>
      </c>
      <c r="B3329" s="5" t="s">
        <v>1867</v>
      </c>
      <c r="C3329" s="5" t="s">
        <v>1885</v>
      </c>
      <c r="D3329" s="6">
        <v>28.0</v>
      </c>
      <c r="E3329" s="6">
        <v>40605.0</v>
      </c>
      <c r="F3329" s="6">
        <v>34059.0</v>
      </c>
      <c r="G3329" s="6">
        <v>11933.0</v>
      </c>
      <c r="H3329" s="6">
        <v>3.4027</v>
      </c>
      <c r="I3329" s="6">
        <v>2.8542</v>
      </c>
      <c r="J3329" s="6">
        <v>0.5486</v>
      </c>
    </row>
    <row r="3330">
      <c r="A3330" s="5" t="s">
        <v>59</v>
      </c>
      <c r="B3330" s="5" t="s">
        <v>1867</v>
      </c>
      <c r="C3330" s="5" t="s">
        <v>1885</v>
      </c>
      <c r="D3330" s="6">
        <v>29.0</v>
      </c>
      <c r="E3330" s="6">
        <v>33785.0</v>
      </c>
      <c r="F3330" s="6">
        <v>29754.0</v>
      </c>
      <c r="G3330" s="6">
        <v>11933.0</v>
      </c>
      <c r="H3330" s="6">
        <v>2.8312</v>
      </c>
      <c r="I3330" s="6">
        <v>2.4934</v>
      </c>
      <c r="J3330" s="6">
        <v>0.3378</v>
      </c>
    </row>
    <row r="3331">
      <c r="A3331" s="5" t="s">
        <v>59</v>
      </c>
      <c r="B3331" s="5" t="s">
        <v>1867</v>
      </c>
      <c r="C3331" s="5" t="s">
        <v>1885</v>
      </c>
      <c r="D3331" s="6">
        <v>30.0</v>
      </c>
      <c r="E3331" s="6">
        <v>40875.0</v>
      </c>
      <c r="F3331" s="6">
        <v>34306.0</v>
      </c>
      <c r="G3331" s="6">
        <v>11933.0</v>
      </c>
      <c r="H3331" s="6">
        <v>3.4254</v>
      </c>
      <c r="I3331" s="6">
        <v>2.8749</v>
      </c>
      <c r="J3331" s="6">
        <v>0.5505</v>
      </c>
    </row>
    <row r="3332">
      <c r="A3332" s="5" t="s">
        <v>59</v>
      </c>
      <c r="B3332" s="5" t="s">
        <v>1867</v>
      </c>
      <c r="C3332" s="5" t="s">
        <v>1885</v>
      </c>
      <c r="D3332" s="6">
        <v>31.0</v>
      </c>
      <c r="E3332" s="6">
        <v>38740.0</v>
      </c>
      <c r="F3332" s="6">
        <v>31305.0</v>
      </c>
      <c r="G3332" s="6">
        <v>11933.0</v>
      </c>
      <c r="H3332" s="6">
        <v>3.2465</v>
      </c>
      <c r="I3332" s="6">
        <v>2.6234</v>
      </c>
      <c r="J3332" s="6">
        <v>0.6231</v>
      </c>
    </row>
    <row r="3333">
      <c r="A3333" s="5" t="s">
        <v>59</v>
      </c>
      <c r="B3333" s="5" t="s">
        <v>1867</v>
      </c>
      <c r="C3333" s="5" t="s">
        <v>1885</v>
      </c>
      <c r="D3333" s="6">
        <v>32.0</v>
      </c>
      <c r="E3333" s="6">
        <v>44355.0</v>
      </c>
      <c r="F3333" s="6">
        <v>34907.0</v>
      </c>
      <c r="G3333" s="6">
        <v>11933.0</v>
      </c>
      <c r="H3333" s="6">
        <v>3.717</v>
      </c>
      <c r="I3333" s="6">
        <v>2.9252</v>
      </c>
      <c r="J3333" s="6">
        <v>0.7918</v>
      </c>
    </row>
    <row r="3334">
      <c r="A3334" s="5" t="s">
        <v>59</v>
      </c>
      <c r="B3334" s="5" t="s">
        <v>1867</v>
      </c>
      <c r="C3334" s="5" t="s">
        <v>1885</v>
      </c>
      <c r="D3334" s="6">
        <v>33.0</v>
      </c>
      <c r="E3334" s="6">
        <v>42560.0</v>
      </c>
      <c r="F3334" s="6">
        <v>32580.0</v>
      </c>
      <c r="G3334" s="6">
        <v>11933.0</v>
      </c>
      <c r="H3334" s="6">
        <v>3.5666</v>
      </c>
      <c r="I3334" s="6">
        <v>2.7302</v>
      </c>
      <c r="J3334" s="6">
        <v>0.8363</v>
      </c>
    </row>
    <row r="3335">
      <c r="A3335" s="5" t="s">
        <v>59</v>
      </c>
      <c r="B3335" s="5" t="s">
        <v>1867</v>
      </c>
      <c r="C3335" s="5" t="s">
        <v>75</v>
      </c>
      <c r="D3335" s="6">
        <v>1.0</v>
      </c>
      <c r="E3335" s="6">
        <v>897155.0</v>
      </c>
      <c r="F3335" s="6">
        <v>0.0</v>
      </c>
      <c r="G3335" s="6">
        <v>12352.0</v>
      </c>
      <c r="H3335" s="6">
        <v>72.6324</v>
      </c>
      <c r="I3335" s="6">
        <v>0.0</v>
      </c>
      <c r="J3335" s="6">
        <v>72.6324</v>
      </c>
    </row>
    <row r="3336">
      <c r="A3336" s="5" t="s">
        <v>59</v>
      </c>
      <c r="B3336" s="5" t="s">
        <v>1867</v>
      </c>
      <c r="C3336" s="5" t="s">
        <v>75</v>
      </c>
      <c r="D3336" s="6">
        <v>2.0</v>
      </c>
      <c r="E3336" s="6">
        <v>717249.0</v>
      </c>
      <c r="F3336" s="6">
        <v>0.0</v>
      </c>
      <c r="G3336" s="6">
        <v>12352.0</v>
      </c>
      <c r="H3336" s="6">
        <v>58.0674</v>
      </c>
      <c r="I3336" s="6">
        <v>0.0</v>
      </c>
      <c r="J3336" s="6">
        <v>58.0674</v>
      </c>
    </row>
    <row r="3337">
      <c r="A3337" s="5" t="s">
        <v>59</v>
      </c>
      <c r="B3337" s="5" t="s">
        <v>1867</v>
      </c>
      <c r="C3337" s="5" t="s">
        <v>75</v>
      </c>
      <c r="D3337" s="6">
        <v>3.0</v>
      </c>
      <c r="E3337" s="6">
        <v>886125.0</v>
      </c>
      <c r="F3337" s="6">
        <v>0.0</v>
      </c>
      <c r="G3337" s="6">
        <v>12352.0</v>
      </c>
      <c r="H3337" s="6">
        <v>71.7394</v>
      </c>
      <c r="I3337" s="6">
        <v>0.0</v>
      </c>
      <c r="J3337" s="6">
        <v>71.7394</v>
      </c>
    </row>
    <row r="3338">
      <c r="A3338" s="5" t="s">
        <v>59</v>
      </c>
      <c r="B3338" s="5" t="s">
        <v>1867</v>
      </c>
      <c r="C3338" s="5" t="s">
        <v>75</v>
      </c>
      <c r="D3338" s="6">
        <v>4.0</v>
      </c>
      <c r="E3338" s="6">
        <v>711980.0</v>
      </c>
      <c r="F3338" s="6">
        <v>0.0</v>
      </c>
      <c r="G3338" s="6">
        <v>12352.0</v>
      </c>
      <c r="H3338" s="6">
        <v>57.6409</v>
      </c>
      <c r="I3338" s="6">
        <v>0.0</v>
      </c>
      <c r="J3338" s="6">
        <v>57.6409</v>
      </c>
    </row>
    <row r="3339">
      <c r="A3339" s="5" t="s">
        <v>59</v>
      </c>
      <c r="B3339" s="5" t="s">
        <v>1867</v>
      </c>
      <c r="C3339" s="5" t="s">
        <v>75</v>
      </c>
      <c r="D3339" s="6">
        <v>5.0</v>
      </c>
      <c r="E3339" s="6">
        <v>860644.0</v>
      </c>
      <c r="F3339" s="6">
        <v>0.0</v>
      </c>
      <c r="G3339" s="6">
        <v>12352.0</v>
      </c>
      <c r="H3339" s="6">
        <v>69.6765</v>
      </c>
      <c r="I3339" s="6">
        <v>0.0</v>
      </c>
      <c r="J3339" s="6">
        <v>69.6765</v>
      </c>
    </row>
    <row r="3340">
      <c r="A3340" s="5" t="s">
        <v>59</v>
      </c>
      <c r="B3340" s="5" t="s">
        <v>1867</v>
      </c>
      <c r="C3340" s="5" t="s">
        <v>75</v>
      </c>
      <c r="D3340" s="6">
        <v>6.0</v>
      </c>
      <c r="E3340" s="6">
        <v>954956.0</v>
      </c>
      <c r="F3340" s="6">
        <v>0.0</v>
      </c>
      <c r="G3340" s="6">
        <v>12352.0</v>
      </c>
      <c r="H3340" s="6">
        <v>77.3119</v>
      </c>
      <c r="I3340" s="6">
        <v>0.0</v>
      </c>
      <c r="J3340" s="6">
        <v>77.3119</v>
      </c>
    </row>
    <row r="3341">
      <c r="A3341" s="5" t="s">
        <v>59</v>
      </c>
      <c r="B3341" s="5" t="s">
        <v>1867</v>
      </c>
      <c r="C3341" s="5" t="s">
        <v>75</v>
      </c>
      <c r="D3341" s="6">
        <v>7.0</v>
      </c>
      <c r="E3341" s="6">
        <v>684156.0</v>
      </c>
      <c r="F3341" s="6">
        <v>0.0</v>
      </c>
      <c r="G3341" s="6">
        <v>12352.0</v>
      </c>
      <c r="H3341" s="6">
        <v>55.3883</v>
      </c>
      <c r="I3341" s="6">
        <v>0.0</v>
      </c>
      <c r="J3341" s="6">
        <v>55.3883</v>
      </c>
    </row>
    <row r="3342">
      <c r="A3342" s="5" t="s">
        <v>59</v>
      </c>
      <c r="B3342" s="5" t="s">
        <v>1867</v>
      </c>
      <c r="C3342" s="5" t="s">
        <v>75</v>
      </c>
      <c r="D3342" s="6">
        <v>8.0</v>
      </c>
      <c r="E3342" s="6">
        <v>874170.0</v>
      </c>
      <c r="F3342" s="6">
        <v>0.0</v>
      </c>
      <c r="G3342" s="6">
        <v>12352.0</v>
      </c>
      <c r="H3342" s="6">
        <v>70.7715</v>
      </c>
      <c r="I3342" s="6">
        <v>0.0</v>
      </c>
      <c r="J3342" s="6">
        <v>70.7715</v>
      </c>
    </row>
    <row r="3343">
      <c r="A3343" s="5" t="s">
        <v>59</v>
      </c>
      <c r="B3343" s="5" t="s">
        <v>1867</v>
      </c>
      <c r="C3343" s="5" t="s">
        <v>75</v>
      </c>
      <c r="D3343" s="6">
        <v>9.0</v>
      </c>
      <c r="E3343" s="6">
        <v>695487.0</v>
      </c>
      <c r="F3343" s="6">
        <v>0.0</v>
      </c>
      <c r="G3343" s="6">
        <v>12352.0</v>
      </c>
      <c r="H3343" s="6">
        <v>56.3056</v>
      </c>
      <c r="I3343" s="6">
        <v>0.0</v>
      </c>
      <c r="J3343" s="6">
        <v>56.3056</v>
      </c>
    </row>
    <row r="3344">
      <c r="A3344" s="5" t="s">
        <v>59</v>
      </c>
      <c r="B3344" s="5" t="s">
        <v>1867</v>
      </c>
      <c r="C3344" s="5" t="s">
        <v>75</v>
      </c>
      <c r="D3344" s="6">
        <v>10.0</v>
      </c>
      <c r="E3344" s="6">
        <v>951251.0</v>
      </c>
      <c r="F3344" s="6">
        <v>0.0</v>
      </c>
      <c r="G3344" s="6">
        <v>12352.0</v>
      </c>
      <c r="H3344" s="6">
        <v>77.0119</v>
      </c>
      <c r="I3344" s="6">
        <v>0.0</v>
      </c>
      <c r="J3344" s="6">
        <v>77.0119</v>
      </c>
    </row>
    <row r="3345">
      <c r="A3345" s="5" t="s">
        <v>59</v>
      </c>
      <c r="B3345" s="5" t="s">
        <v>1867</v>
      </c>
      <c r="C3345" s="5" t="s">
        <v>75</v>
      </c>
      <c r="D3345" s="6">
        <v>11.0</v>
      </c>
      <c r="E3345" s="6">
        <v>724137.0</v>
      </c>
      <c r="F3345" s="6">
        <v>0.0</v>
      </c>
      <c r="G3345" s="6">
        <v>12352.0</v>
      </c>
      <c r="H3345" s="6">
        <v>58.6251</v>
      </c>
      <c r="I3345" s="6">
        <v>0.0</v>
      </c>
      <c r="J3345" s="6">
        <v>58.6251</v>
      </c>
    </row>
    <row r="3346">
      <c r="A3346" s="5" t="s">
        <v>59</v>
      </c>
      <c r="B3346" s="5" t="s">
        <v>1867</v>
      </c>
      <c r="C3346" s="5" t="s">
        <v>75</v>
      </c>
      <c r="D3346" s="6">
        <v>12.0</v>
      </c>
      <c r="E3346" s="6">
        <v>886737.0</v>
      </c>
      <c r="F3346" s="6">
        <v>54.0</v>
      </c>
      <c r="G3346" s="6">
        <v>12352.0</v>
      </c>
      <c r="H3346" s="6">
        <v>71.7889</v>
      </c>
      <c r="I3346" s="6">
        <v>0.0044</v>
      </c>
      <c r="J3346" s="6">
        <v>71.7846</v>
      </c>
    </row>
    <row r="3347">
      <c r="A3347" s="5" t="s">
        <v>59</v>
      </c>
      <c r="B3347" s="5" t="s">
        <v>1867</v>
      </c>
      <c r="C3347" s="5" t="s">
        <v>75</v>
      </c>
      <c r="D3347" s="6">
        <v>13.0</v>
      </c>
      <c r="E3347" s="6">
        <v>1006647.0</v>
      </c>
      <c r="F3347" s="6">
        <v>0.0</v>
      </c>
      <c r="G3347" s="6">
        <v>12352.0</v>
      </c>
      <c r="H3347" s="6">
        <v>81.4967</v>
      </c>
      <c r="I3347" s="6">
        <v>0.0</v>
      </c>
      <c r="J3347" s="6">
        <v>81.4967</v>
      </c>
    </row>
    <row r="3348">
      <c r="A3348" s="5" t="s">
        <v>59</v>
      </c>
      <c r="B3348" s="5" t="s">
        <v>1867</v>
      </c>
      <c r="C3348" s="5" t="s">
        <v>75</v>
      </c>
      <c r="D3348" s="6">
        <v>14.0</v>
      </c>
      <c r="E3348" s="6">
        <v>733900.0</v>
      </c>
      <c r="F3348" s="6">
        <v>0.0</v>
      </c>
      <c r="G3348" s="6">
        <v>12352.0</v>
      </c>
      <c r="H3348" s="6">
        <v>59.4155</v>
      </c>
      <c r="I3348" s="6">
        <v>0.0</v>
      </c>
      <c r="J3348" s="6">
        <v>59.4155</v>
      </c>
    </row>
    <row r="3349">
      <c r="A3349" s="5" t="s">
        <v>59</v>
      </c>
      <c r="B3349" s="5" t="s">
        <v>1867</v>
      </c>
      <c r="C3349" s="5" t="s">
        <v>75</v>
      </c>
      <c r="D3349" s="6">
        <v>15.0</v>
      </c>
      <c r="E3349" s="6">
        <v>961947.0</v>
      </c>
      <c r="F3349" s="6">
        <v>0.0</v>
      </c>
      <c r="G3349" s="6">
        <v>12352.0</v>
      </c>
      <c r="H3349" s="6">
        <v>77.8778</v>
      </c>
      <c r="I3349" s="6">
        <v>0.0</v>
      </c>
      <c r="J3349" s="6">
        <v>77.8778</v>
      </c>
    </row>
    <row r="3350">
      <c r="A3350" s="5" t="s">
        <v>59</v>
      </c>
      <c r="B3350" s="5" t="s">
        <v>1867</v>
      </c>
      <c r="C3350" s="5" t="s">
        <v>75</v>
      </c>
      <c r="D3350" s="6">
        <v>16.0</v>
      </c>
      <c r="E3350" s="6">
        <v>720480.0</v>
      </c>
      <c r="F3350" s="6">
        <v>157.0</v>
      </c>
      <c r="G3350" s="6">
        <v>12352.0</v>
      </c>
      <c r="H3350" s="6">
        <v>58.329</v>
      </c>
      <c r="I3350" s="6">
        <v>0.0127</v>
      </c>
      <c r="J3350" s="6">
        <v>58.3163</v>
      </c>
    </row>
    <row r="3351">
      <c r="A3351" s="5" t="s">
        <v>59</v>
      </c>
      <c r="B3351" s="5" t="s">
        <v>1867</v>
      </c>
      <c r="C3351" s="5" t="s">
        <v>75</v>
      </c>
      <c r="D3351" s="6">
        <v>17.0</v>
      </c>
      <c r="E3351" s="6">
        <v>990098.0</v>
      </c>
      <c r="F3351" s="6">
        <v>83.0</v>
      </c>
      <c r="G3351" s="6">
        <v>12352.0</v>
      </c>
      <c r="H3351" s="6">
        <v>80.1569</v>
      </c>
      <c r="I3351" s="6">
        <v>0.0067</v>
      </c>
      <c r="J3351" s="6">
        <v>80.1502</v>
      </c>
    </row>
    <row r="3352">
      <c r="A3352" s="5" t="s">
        <v>59</v>
      </c>
      <c r="B3352" s="5" t="s">
        <v>1867</v>
      </c>
      <c r="C3352" s="5" t="s">
        <v>75</v>
      </c>
      <c r="D3352" s="6">
        <v>18.0</v>
      </c>
      <c r="E3352" s="6">
        <v>752046.0</v>
      </c>
      <c r="F3352" s="6">
        <v>118.0</v>
      </c>
      <c r="G3352" s="6">
        <v>12352.0</v>
      </c>
      <c r="H3352" s="6">
        <v>60.8846</v>
      </c>
      <c r="I3352" s="6">
        <v>0.0096</v>
      </c>
      <c r="J3352" s="6">
        <v>60.875</v>
      </c>
    </row>
    <row r="3353">
      <c r="A3353" s="5" t="s">
        <v>59</v>
      </c>
      <c r="B3353" s="5" t="s">
        <v>1867</v>
      </c>
      <c r="C3353" s="5" t="s">
        <v>75</v>
      </c>
      <c r="D3353" s="6">
        <v>19.0</v>
      </c>
      <c r="E3353" s="6">
        <v>923006.0</v>
      </c>
      <c r="F3353" s="6">
        <v>0.0</v>
      </c>
      <c r="G3353" s="6">
        <v>12352.0</v>
      </c>
      <c r="H3353" s="6">
        <v>74.7252</v>
      </c>
      <c r="I3353" s="6">
        <v>0.0</v>
      </c>
      <c r="J3353" s="6">
        <v>74.7252</v>
      </c>
    </row>
    <row r="3354">
      <c r="A3354" s="5" t="s">
        <v>59</v>
      </c>
      <c r="B3354" s="5" t="s">
        <v>1867</v>
      </c>
      <c r="C3354" s="5" t="s">
        <v>75</v>
      </c>
      <c r="D3354" s="6">
        <v>20.0</v>
      </c>
      <c r="E3354" s="6">
        <v>1099434.0</v>
      </c>
      <c r="F3354" s="6">
        <v>30.0</v>
      </c>
      <c r="G3354" s="6">
        <v>12352.0</v>
      </c>
      <c r="H3354" s="6">
        <v>89.0086</v>
      </c>
      <c r="I3354" s="6">
        <v>0.0024</v>
      </c>
      <c r="J3354" s="6">
        <v>89.0062</v>
      </c>
    </row>
    <row r="3355">
      <c r="A3355" s="5" t="s">
        <v>59</v>
      </c>
      <c r="B3355" s="5" t="s">
        <v>1867</v>
      </c>
      <c r="C3355" s="5" t="s">
        <v>75</v>
      </c>
      <c r="D3355" s="6">
        <v>21.0</v>
      </c>
      <c r="E3355" s="6">
        <v>1443834.0</v>
      </c>
      <c r="F3355" s="6">
        <v>0.0</v>
      </c>
      <c r="G3355" s="6">
        <v>12352.0</v>
      </c>
      <c r="H3355" s="6">
        <v>116.8907</v>
      </c>
      <c r="I3355" s="6">
        <v>0.0</v>
      </c>
      <c r="J3355" s="6">
        <v>116.8907</v>
      </c>
    </row>
    <row r="3356">
      <c r="A3356" s="5" t="s">
        <v>59</v>
      </c>
      <c r="B3356" s="5" t="s">
        <v>1867</v>
      </c>
      <c r="C3356" s="5" t="s">
        <v>75</v>
      </c>
      <c r="D3356" s="6">
        <v>22.0</v>
      </c>
      <c r="E3356" s="6">
        <v>1235670.0</v>
      </c>
      <c r="F3356" s="6">
        <v>0.0</v>
      </c>
      <c r="G3356" s="6">
        <v>12352.0</v>
      </c>
      <c r="H3356" s="6">
        <v>100.0381</v>
      </c>
      <c r="I3356" s="6">
        <v>0.0</v>
      </c>
      <c r="J3356" s="6">
        <v>100.0381</v>
      </c>
    </row>
    <row r="3357">
      <c r="A3357" s="5" t="s">
        <v>59</v>
      </c>
      <c r="B3357" s="5" t="s">
        <v>1867</v>
      </c>
      <c r="C3357" s="5" t="s">
        <v>75</v>
      </c>
      <c r="D3357" s="6">
        <v>23.0</v>
      </c>
      <c r="E3357" s="6">
        <v>994820.0</v>
      </c>
      <c r="F3357" s="6">
        <v>0.0</v>
      </c>
      <c r="G3357" s="6">
        <v>12352.0</v>
      </c>
      <c r="H3357" s="6">
        <v>80.5392</v>
      </c>
      <c r="I3357" s="6">
        <v>0.0</v>
      </c>
      <c r="J3357" s="6">
        <v>80.5392</v>
      </c>
    </row>
    <row r="3358">
      <c r="A3358" s="5" t="s">
        <v>59</v>
      </c>
      <c r="B3358" s="5" t="s">
        <v>1867</v>
      </c>
      <c r="C3358" s="5" t="s">
        <v>75</v>
      </c>
      <c r="D3358" s="6">
        <v>24.0</v>
      </c>
      <c r="E3358" s="6">
        <v>1282244.0</v>
      </c>
      <c r="F3358" s="6">
        <v>0.0</v>
      </c>
      <c r="G3358" s="6">
        <v>12352.0</v>
      </c>
      <c r="H3358" s="6">
        <v>103.8086</v>
      </c>
      <c r="I3358" s="6">
        <v>0.0</v>
      </c>
      <c r="J3358" s="6">
        <v>103.8086</v>
      </c>
    </row>
    <row r="3359">
      <c r="A3359" s="5" t="s">
        <v>59</v>
      </c>
      <c r="B3359" s="5" t="s">
        <v>1867</v>
      </c>
      <c r="C3359" s="5" t="s">
        <v>75</v>
      </c>
      <c r="D3359" s="6">
        <v>25.0</v>
      </c>
      <c r="E3359" s="6">
        <v>1003051.0</v>
      </c>
      <c r="F3359" s="6">
        <v>0.0</v>
      </c>
      <c r="G3359" s="6">
        <v>12352.0</v>
      </c>
      <c r="H3359" s="6">
        <v>81.2056</v>
      </c>
      <c r="I3359" s="6">
        <v>0.0</v>
      </c>
      <c r="J3359" s="6">
        <v>81.2056</v>
      </c>
    </row>
    <row r="3360">
      <c r="A3360" s="5" t="s">
        <v>59</v>
      </c>
      <c r="B3360" s="5" t="s">
        <v>1867</v>
      </c>
      <c r="C3360" s="5" t="s">
        <v>75</v>
      </c>
      <c r="D3360" s="6">
        <v>26.0</v>
      </c>
      <c r="E3360" s="6">
        <v>1146665.0</v>
      </c>
      <c r="F3360" s="6">
        <v>0.0</v>
      </c>
      <c r="G3360" s="6">
        <v>12352.0</v>
      </c>
      <c r="H3360" s="6">
        <v>92.8323</v>
      </c>
      <c r="I3360" s="6">
        <v>0.0</v>
      </c>
      <c r="J3360" s="6">
        <v>92.8323</v>
      </c>
    </row>
    <row r="3361">
      <c r="A3361" s="5" t="s">
        <v>59</v>
      </c>
      <c r="B3361" s="5" t="s">
        <v>1867</v>
      </c>
      <c r="C3361" s="5" t="s">
        <v>75</v>
      </c>
      <c r="D3361" s="6">
        <v>27.0</v>
      </c>
      <c r="E3361" s="6">
        <v>1247211.0</v>
      </c>
      <c r="F3361" s="6">
        <v>0.0</v>
      </c>
      <c r="G3361" s="6">
        <v>12352.0</v>
      </c>
      <c r="H3361" s="6">
        <v>100.9724</v>
      </c>
      <c r="I3361" s="6">
        <v>0.0</v>
      </c>
      <c r="J3361" s="6">
        <v>100.9724</v>
      </c>
    </row>
    <row r="3362">
      <c r="A3362" s="5" t="s">
        <v>59</v>
      </c>
      <c r="B3362" s="5" t="s">
        <v>1867</v>
      </c>
      <c r="C3362" s="5" t="s">
        <v>75</v>
      </c>
      <c r="D3362" s="6">
        <v>28.0</v>
      </c>
      <c r="E3362" s="6">
        <v>918625.0</v>
      </c>
      <c r="F3362" s="6">
        <v>0.0</v>
      </c>
      <c r="G3362" s="6">
        <v>12352.0</v>
      </c>
      <c r="H3362" s="6">
        <v>74.3705</v>
      </c>
      <c r="I3362" s="6">
        <v>0.0</v>
      </c>
      <c r="J3362" s="6">
        <v>74.3705</v>
      </c>
    </row>
    <row r="3363">
      <c r="A3363" s="5" t="s">
        <v>59</v>
      </c>
      <c r="B3363" s="5" t="s">
        <v>1867</v>
      </c>
      <c r="C3363" s="5" t="s">
        <v>75</v>
      </c>
      <c r="D3363" s="6">
        <v>29.0</v>
      </c>
      <c r="E3363" s="6">
        <v>1166131.0</v>
      </c>
      <c r="F3363" s="6">
        <v>0.0</v>
      </c>
      <c r="G3363" s="6">
        <v>12352.0</v>
      </c>
      <c r="H3363" s="6">
        <v>94.4083</v>
      </c>
      <c r="I3363" s="6">
        <v>0.0</v>
      </c>
      <c r="J3363" s="6">
        <v>94.4083</v>
      </c>
    </row>
    <row r="3364">
      <c r="A3364" s="5" t="s">
        <v>59</v>
      </c>
      <c r="B3364" s="5" t="s">
        <v>1867</v>
      </c>
      <c r="C3364" s="5" t="s">
        <v>75</v>
      </c>
      <c r="D3364" s="6">
        <v>30.0</v>
      </c>
      <c r="E3364" s="6">
        <v>852770.0</v>
      </c>
      <c r="F3364" s="6">
        <v>0.0</v>
      </c>
      <c r="G3364" s="6">
        <v>12352.0</v>
      </c>
      <c r="H3364" s="6">
        <v>69.039</v>
      </c>
      <c r="I3364" s="6">
        <v>0.0</v>
      </c>
      <c r="J3364" s="6">
        <v>69.039</v>
      </c>
    </row>
    <row r="3365">
      <c r="A3365" s="5" t="s">
        <v>59</v>
      </c>
      <c r="B3365" s="5" t="s">
        <v>1867</v>
      </c>
      <c r="C3365" s="5" t="s">
        <v>75</v>
      </c>
      <c r="D3365" s="6">
        <v>31.0</v>
      </c>
      <c r="E3365" s="6">
        <v>1094627.0</v>
      </c>
      <c r="F3365" s="6">
        <v>0.0</v>
      </c>
      <c r="G3365" s="6">
        <v>12352.0</v>
      </c>
      <c r="H3365" s="6">
        <v>88.6194</v>
      </c>
      <c r="I3365" s="6">
        <v>0.0</v>
      </c>
      <c r="J3365" s="6">
        <v>88.6194</v>
      </c>
    </row>
    <row r="3366">
      <c r="A3366" s="5" t="s">
        <v>59</v>
      </c>
      <c r="B3366" s="5" t="s">
        <v>1867</v>
      </c>
      <c r="C3366" s="5" t="s">
        <v>75</v>
      </c>
      <c r="D3366" s="6">
        <v>32.0</v>
      </c>
      <c r="E3366" s="6">
        <v>828486.0</v>
      </c>
      <c r="F3366" s="6">
        <v>0.0</v>
      </c>
      <c r="G3366" s="6">
        <v>12352.0</v>
      </c>
      <c r="H3366" s="6">
        <v>67.073</v>
      </c>
      <c r="I3366" s="6">
        <v>0.0</v>
      </c>
      <c r="J3366" s="6">
        <v>67.073</v>
      </c>
    </row>
    <row r="3367">
      <c r="A3367" s="5" t="s">
        <v>59</v>
      </c>
      <c r="B3367" s="5" t="s">
        <v>1867</v>
      </c>
      <c r="C3367" s="5" t="s">
        <v>75</v>
      </c>
      <c r="D3367" s="6">
        <v>33.0</v>
      </c>
      <c r="E3367" s="6">
        <v>988860.0</v>
      </c>
      <c r="F3367" s="6">
        <v>0.0</v>
      </c>
      <c r="G3367" s="6">
        <v>12352.0</v>
      </c>
      <c r="H3367" s="6">
        <v>80.0567</v>
      </c>
      <c r="I3367" s="6">
        <v>0.0</v>
      </c>
      <c r="J3367" s="6">
        <v>80.0567</v>
      </c>
    </row>
    <row r="3368">
      <c r="A3368" s="5" t="s">
        <v>59</v>
      </c>
      <c r="B3368" s="5" t="s">
        <v>1867</v>
      </c>
      <c r="C3368" s="5" t="s">
        <v>68</v>
      </c>
      <c r="D3368" s="6">
        <v>1.0</v>
      </c>
      <c r="E3368" s="6">
        <v>115254.0</v>
      </c>
      <c r="F3368" s="6">
        <v>0.0</v>
      </c>
      <c r="G3368" s="6">
        <v>11899.0</v>
      </c>
      <c r="H3368" s="6">
        <v>9.686</v>
      </c>
      <c r="I3368" s="6">
        <v>0.0</v>
      </c>
      <c r="J3368" s="6">
        <v>9.686</v>
      </c>
    </row>
    <row r="3369">
      <c r="A3369" s="5" t="s">
        <v>59</v>
      </c>
      <c r="B3369" s="5" t="s">
        <v>1867</v>
      </c>
      <c r="C3369" s="5" t="s">
        <v>68</v>
      </c>
      <c r="D3369" s="6">
        <v>2.0</v>
      </c>
      <c r="E3369" s="6">
        <v>466319.0</v>
      </c>
      <c r="F3369" s="6">
        <v>0.0</v>
      </c>
      <c r="G3369" s="6">
        <v>11899.0</v>
      </c>
      <c r="H3369" s="6">
        <v>39.1898</v>
      </c>
      <c r="I3369" s="6">
        <v>0.0</v>
      </c>
      <c r="J3369" s="6">
        <v>39.1898</v>
      </c>
    </row>
    <row r="3370">
      <c r="A3370" s="5" t="s">
        <v>59</v>
      </c>
      <c r="B3370" s="5" t="s">
        <v>1867</v>
      </c>
      <c r="C3370" s="5" t="s">
        <v>68</v>
      </c>
      <c r="D3370" s="6">
        <v>3.0</v>
      </c>
      <c r="E3370" s="6">
        <v>287601.0</v>
      </c>
      <c r="F3370" s="6">
        <v>0.0</v>
      </c>
      <c r="G3370" s="6">
        <v>11899.0</v>
      </c>
      <c r="H3370" s="6">
        <v>24.1702</v>
      </c>
      <c r="I3370" s="6">
        <v>0.0</v>
      </c>
      <c r="J3370" s="6">
        <v>24.1702</v>
      </c>
    </row>
    <row r="3371">
      <c r="A3371" s="5" t="s">
        <v>59</v>
      </c>
      <c r="B3371" s="5" t="s">
        <v>1867</v>
      </c>
      <c r="C3371" s="5" t="s">
        <v>68</v>
      </c>
      <c r="D3371" s="6">
        <v>4.0</v>
      </c>
      <c r="E3371" s="6">
        <v>250715.0</v>
      </c>
      <c r="F3371" s="6">
        <v>0.0</v>
      </c>
      <c r="G3371" s="6">
        <v>11899.0</v>
      </c>
      <c r="H3371" s="6">
        <v>21.0703</v>
      </c>
      <c r="I3371" s="6">
        <v>0.0</v>
      </c>
      <c r="J3371" s="6">
        <v>21.0703</v>
      </c>
    </row>
    <row r="3372">
      <c r="A3372" s="5" t="s">
        <v>59</v>
      </c>
      <c r="B3372" s="5" t="s">
        <v>1867</v>
      </c>
      <c r="C3372" s="5" t="s">
        <v>68</v>
      </c>
      <c r="D3372" s="6">
        <v>5.0</v>
      </c>
      <c r="E3372" s="6">
        <v>179410.0</v>
      </c>
      <c r="F3372" s="6">
        <v>0.0</v>
      </c>
      <c r="G3372" s="6">
        <v>11899.0</v>
      </c>
      <c r="H3372" s="6">
        <v>15.0777</v>
      </c>
      <c r="I3372" s="6">
        <v>0.0</v>
      </c>
      <c r="J3372" s="6">
        <v>15.0777</v>
      </c>
    </row>
    <row r="3373">
      <c r="A3373" s="5" t="s">
        <v>59</v>
      </c>
      <c r="B3373" s="5" t="s">
        <v>1867</v>
      </c>
      <c r="C3373" s="5" t="s">
        <v>68</v>
      </c>
      <c r="D3373" s="6">
        <v>6.0</v>
      </c>
      <c r="E3373" s="6">
        <v>149813.0</v>
      </c>
      <c r="F3373" s="6">
        <v>0.0</v>
      </c>
      <c r="G3373" s="6">
        <v>11899.0</v>
      </c>
      <c r="H3373" s="6">
        <v>12.5904</v>
      </c>
      <c r="I3373" s="6">
        <v>0.0</v>
      </c>
      <c r="J3373" s="6">
        <v>12.5904</v>
      </c>
    </row>
    <row r="3374">
      <c r="A3374" s="5" t="s">
        <v>59</v>
      </c>
      <c r="B3374" s="5" t="s">
        <v>1867</v>
      </c>
      <c r="C3374" s="5" t="s">
        <v>68</v>
      </c>
      <c r="D3374" s="6">
        <v>7.0</v>
      </c>
      <c r="E3374" s="6">
        <v>196664.0</v>
      </c>
      <c r="F3374" s="6">
        <v>0.0</v>
      </c>
      <c r="G3374" s="6">
        <v>11899.0</v>
      </c>
      <c r="H3374" s="6">
        <v>16.5278</v>
      </c>
      <c r="I3374" s="6">
        <v>0.0</v>
      </c>
      <c r="J3374" s="6">
        <v>16.5278</v>
      </c>
    </row>
    <row r="3375">
      <c r="A3375" s="5" t="s">
        <v>59</v>
      </c>
      <c r="B3375" s="5" t="s">
        <v>1867</v>
      </c>
      <c r="C3375" s="5" t="s">
        <v>68</v>
      </c>
      <c r="D3375" s="6">
        <v>8.0</v>
      </c>
      <c r="E3375" s="6">
        <v>129554.0</v>
      </c>
      <c r="F3375" s="6">
        <v>0.0</v>
      </c>
      <c r="G3375" s="6">
        <v>11899.0</v>
      </c>
      <c r="H3375" s="6">
        <v>10.8878</v>
      </c>
      <c r="I3375" s="6">
        <v>0.0</v>
      </c>
      <c r="J3375" s="6">
        <v>10.8878</v>
      </c>
    </row>
    <row r="3376">
      <c r="A3376" s="5" t="s">
        <v>59</v>
      </c>
      <c r="B3376" s="5" t="s">
        <v>1867</v>
      </c>
      <c r="C3376" s="5" t="s">
        <v>68</v>
      </c>
      <c r="D3376" s="6">
        <v>9.0</v>
      </c>
      <c r="E3376" s="6">
        <v>178011.0</v>
      </c>
      <c r="F3376" s="6">
        <v>0.0</v>
      </c>
      <c r="G3376" s="6">
        <v>11899.0</v>
      </c>
      <c r="H3376" s="6">
        <v>14.9602</v>
      </c>
      <c r="I3376" s="6">
        <v>0.0</v>
      </c>
      <c r="J3376" s="6">
        <v>14.9602</v>
      </c>
    </row>
    <row r="3377">
      <c r="A3377" s="5" t="s">
        <v>59</v>
      </c>
      <c r="B3377" s="5" t="s">
        <v>1867</v>
      </c>
      <c r="C3377" s="5" t="s">
        <v>68</v>
      </c>
      <c r="D3377" s="6">
        <v>10.0</v>
      </c>
      <c r="E3377" s="6">
        <v>271284.0</v>
      </c>
      <c r="F3377" s="6">
        <v>0.0</v>
      </c>
      <c r="G3377" s="6">
        <v>11899.0</v>
      </c>
      <c r="H3377" s="6">
        <v>22.7989</v>
      </c>
      <c r="I3377" s="6">
        <v>0.0</v>
      </c>
      <c r="J3377" s="6">
        <v>22.7989</v>
      </c>
    </row>
    <row r="3378">
      <c r="A3378" s="5" t="s">
        <v>59</v>
      </c>
      <c r="B3378" s="5" t="s">
        <v>1867</v>
      </c>
      <c r="C3378" s="5" t="s">
        <v>68</v>
      </c>
      <c r="D3378" s="6">
        <v>11.0</v>
      </c>
      <c r="E3378" s="6">
        <v>231663.0</v>
      </c>
      <c r="F3378" s="6">
        <v>0.0</v>
      </c>
      <c r="G3378" s="6">
        <v>11899.0</v>
      </c>
      <c r="H3378" s="6">
        <v>19.4691</v>
      </c>
      <c r="I3378" s="6">
        <v>0.0</v>
      </c>
      <c r="J3378" s="6">
        <v>19.4691</v>
      </c>
    </row>
    <row r="3379">
      <c r="A3379" s="5" t="s">
        <v>59</v>
      </c>
      <c r="B3379" s="5" t="s">
        <v>1867</v>
      </c>
      <c r="C3379" s="5" t="s">
        <v>68</v>
      </c>
      <c r="D3379" s="6">
        <v>12.0</v>
      </c>
      <c r="E3379" s="6">
        <v>165441.0</v>
      </c>
      <c r="F3379" s="6">
        <v>0.0</v>
      </c>
      <c r="G3379" s="6">
        <v>11899.0</v>
      </c>
      <c r="H3379" s="6">
        <v>13.9038</v>
      </c>
      <c r="I3379" s="6">
        <v>0.0</v>
      </c>
      <c r="J3379" s="6">
        <v>13.9038</v>
      </c>
    </row>
    <row r="3380">
      <c r="A3380" s="5" t="s">
        <v>59</v>
      </c>
      <c r="B3380" s="5" t="s">
        <v>1867</v>
      </c>
      <c r="C3380" s="5" t="s">
        <v>68</v>
      </c>
      <c r="D3380" s="6">
        <v>13.0</v>
      </c>
      <c r="E3380" s="6">
        <v>137887.0</v>
      </c>
      <c r="F3380" s="6">
        <v>0.0</v>
      </c>
      <c r="G3380" s="6">
        <v>11899.0</v>
      </c>
      <c r="H3380" s="6">
        <v>11.5881</v>
      </c>
      <c r="I3380" s="6">
        <v>0.0</v>
      </c>
      <c r="J3380" s="6">
        <v>11.5881</v>
      </c>
    </row>
    <row r="3381">
      <c r="A3381" s="5" t="s">
        <v>59</v>
      </c>
      <c r="B3381" s="5" t="s">
        <v>1867</v>
      </c>
      <c r="C3381" s="5" t="s">
        <v>68</v>
      </c>
      <c r="D3381" s="6">
        <v>14.0</v>
      </c>
      <c r="E3381" s="6">
        <v>200795.0</v>
      </c>
      <c r="F3381" s="6">
        <v>0.0</v>
      </c>
      <c r="G3381" s="6">
        <v>11899.0</v>
      </c>
      <c r="H3381" s="6">
        <v>16.8749</v>
      </c>
      <c r="I3381" s="6">
        <v>0.0</v>
      </c>
      <c r="J3381" s="6">
        <v>16.8749</v>
      </c>
    </row>
    <row r="3382">
      <c r="A3382" s="5" t="s">
        <v>59</v>
      </c>
      <c r="B3382" s="5" t="s">
        <v>1867</v>
      </c>
      <c r="C3382" s="5" t="s">
        <v>68</v>
      </c>
      <c r="D3382" s="6">
        <v>15.0</v>
      </c>
      <c r="E3382" s="6">
        <v>124562.0</v>
      </c>
      <c r="F3382" s="6">
        <v>0.0</v>
      </c>
      <c r="G3382" s="6">
        <v>11899.0</v>
      </c>
      <c r="H3382" s="6">
        <v>10.4683</v>
      </c>
      <c r="I3382" s="6">
        <v>0.0</v>
      </c>
      <c r="J3382" s="6">
        <v>10.4683</v>
      </c>
    </row>
    <row r="3383">
      <c r="A3383" s="5" t="s">
        <v>59</v>
      </c>
      <c r="B3383" s="5" t="s">
        <v>1867</v>
      </c>
      <c r="C3383" s="5" t="s">
        <v>68</v>
      </c>
      <c r="D3383" s="6">
        <v>16.0</v>
      </c>
      <c r="E3383" s="6">
        <v>504545.0</v>
      </c>
      <c r="F3383" s="6">
        <v>0.0</v>
      </c>
      <c r="G3383" s="6">
        <v>11899.0</v>
      </c>
      <c r="H3383" s="6">
        <v>42.4023</v>
      </c>
      <c r="I3383" s="6">
        <v>0.0</v>
      </c>
      <c r="J3383" s="6">
        <v>42.4023</v>
      </c>
    </row>
    <row r="3384">
      <c r="A3384" s="5" t="s">
        <v>59</v>
      </c>
      <c r="B3384" s="5" t="s">
        <v>1867</v>
      </c>
      <c r="C3384" s="5" t="s">
        <v>68</v>
      </c>
      <c r="D3384" s="6">
        <v>17.0</v>
      </c>
      <c r="E3384" s="6">
        <v>323991.0</v>
      </c>
      <c r="F3384" s="6">
        <v>0.0</v>
      </c>
      <c r="G3384" s="6">
        <v>11899.0</v>
      </c>
      <c r="H3384" s="6">
        <v>27.2284</v>
      </c>
      <c r="I3384" s="6">
        <v>0.0</v>
      </c>
      <c r="J3384" s="6">
        <v>27.2284</v>
      </c>
    </row>
    <row r="3385">
      <c r="A3385" s="5" t="s">
        <v>59</v>
      </c>
      <c r="B3385" s="5" t="s">
        <v>1867</v>
      </c>
      <c r="C3385" s="5" t="s">
        <v>68</v>
      </c>
      <c r="D3385" s="6">
        <v>18.0</v>
      </c>
      <c r="E3385" s="6">
        <v>266958.0</v>
      </c>
      <c r="F3385" s="6">
        <v>0.0</v>
      </c>
      <c r="G3385" s="6">
        <v>11899.0</v>
      </c>
      <c r="H3385" s="6">
        <v>22.4353</v>
      </c>
      <c r="I3385" s="6">
        <v>0.0</v>
      </c>
      <c r="J3385" s="6">
        <v>22.4353</v>
      </c>
    </row>
    <row r="3386">
      <c r="A3386" s="5" t="s">
        <v>59</v>
      </c>
      <c r="B3386" s="5" t="s">
        <v>1867</v>
      </c>
      <c r="C3386" s="5" t="s">
        <v>68</v>
      </c>
      <c r="D3386" s="6">
        <v>19.0</v>
      </c>
      <c r="E3386" s="6">
        <v>179790.0</v>
      </c>
      <c r="F3386" s="6">
        <v>0.0</v>
      </c>
      <c r="G3386" s="6">
        <v>11899.0</v>
      </c>
      <c r="H3386" s="6">
        <v>15.1097</v>
      </c>
      <c r="I3386" s="6">
        <v>0.0</v>
      </c>
      <c r="J3386" s="6">
        <v>15.1097</v>
      </c>
    </row>
    <row r="3387">
      <c r="A3387" s="5" t="s">
        <v>59</v>
      </c>
      <c r="B3387" s="5" t="s">
        <v>1867</v>
      </c>
      <c r="C3387" s="5" t="s">
        <v>68</v>
      </c>
      <c r="D3387" s="6">
        <v>20.0</v>
      </c>
      <c r="E3387" s="6">
        <v>158427.0</v>
      </c>
      <c r="F3387" s="6">
        <v>0.0</v>
      </c>
      <c r="G3387" s="6">
        <v>11899.0</v>
      </c>
      <c r="H3387" s="6">
        <v>13.3143</v>
      </c>
      <c r="I3387" s="6">
        <v>0.0</v>
      </c>
      <c r="J3387" s="6">
        <v>13.3143</v>
      </c>
    </row>
    <row r="3388">
      <c r="A3388" s="5" t="s">
        <v>59</v>
      </c>
      <c r="B3388" s="5" t="s">
        <v>1867</v>
      </c>
      <c r="C3388" s="5" t="s">
        <v>68</v>
      </c>
      <c r="D3388" s="6">
        <v>21.0</v>
      </c>
      <c r="E3388" s="6">
        <v>196478.0</v>
      </c>
      <c r="F3388" s="6">
        <v>0.0</v>
      </c>
      <c r="G3388" s="6">
        <v>11899.0</v>
      </c>
      <c r="H3388" s="6">
        <v>16.5121</v>
      </c>
      <c r="I3388" s="6">
        <v>0.0</v>
      </c>
      <c r="J3388" s="6">
        <v>16.5121</v>
      </c>
    </row>
    <row r="3389">
      <c r="A3389" s="5" t="s">
        <v>59</v>
      </c>
      <c r="B3389" s="5" t="s">
        <v>1867</v>
      </c>
      <c r="C3389" s="5" t="s">
        <v>68</v>
      </c>
      <c r="D3389" s="6">
        <v>22.0</v>
      </c>
      <c r="E3389" s="6">
        <v>121096.0</v>
      </c>
      <c r="F3389" s="6">
        <v>0.0</v>
      </c>
      <c r="G3389" s="6">
        <v>11899.0</v>
      </c>
      <c r="H3389" s="6">
        <v>10.177</v>
      </c>
      <c r="I3389" s="6">
        <v>0.0</v>
      </c>
      <c r="J3389" s="6">
        <v>10.177</v>
      </c>
    </row>
    <row r="3390">
      <c r="A3390" s="5" t="s">
        <v>59</v>
      </c>
      <c r="B3390" s="5" t="s">
        <v>1867</v>
      </c>
      <c r="C3390" s="5" t="s">
        <v>68</v>
      </c>
      <c r="D3390" s="6">
        <v>23.0</v>
      </c>
      <c r="E3390" s="6">
        <v>170513.0</v>
      </c>
      <c r="F3390" s="6">
        <v>0.0</v>
      </c>
      <c r="G3390" s="6">
        <v>11899.0</v>
      </c>
      <c r="H3390" s="6">
        <v>14.33</v>
      </c>
      <c r="I3390" s="6">
        <v>0.0</v>
      </c>
      <c r="J3390" s="6">
        <v>14.33</v>
      </c>
    </row>
    <row r="3391">
      <c r="A3391" s="5" t="s">
        <v>59</v>
      </c>
      <c r="B3391" s="5" t="s">
        <v>1867</v>
      </c>
      <c r="C3391" s="5" t="s">
        <v>68</v>
      </c>
      <c r="D3391" s="6">
        <v>24.0</v>
      </c>
      <c r="E3391" s="6">
        <v>272094.0</v>
      </c>
      <c r="F3391" s="6">
        <v>0.0</v>
      </c>
      <c r="G3391" s="6">
        <v>11899.0</v>
      </c>
      <c r="H3391" s="6">
        <v>22.867</v>
      </c>
      <c r="I3391" s="6">
        <v>0.0</v>
      </c>
      <c r="J3391" s="6">
        <v>22.867</v>
      </c>
    </row>
    <row r="3392">
      <c r="A3392" s="5" t="s">
        <v>59</v>
      </c>
      <c r="B3392" s="5" t="s">
        <v>1867</v>
      </c>
      <c r="C3392" s="5" t="s">
        <v>68</v>
      </c>
      <c r="D3392" s="6">
        <v>25.0</v>
      </c>
      <c r="E3392" s="6">
        <v>247135.0</v>
      </c>
      <c r="F3392" s="6">
        <v>0.0</v>
      </c>
      <c r="G3392" s="6">
        <v>11899.0</v>
      </c>
      <c r="H3392" s="6">
        <v>20.7694</v>
      </c>
      <c r="I3392" s="6">
        <v>0.0</v>
      </c>
      <c r="J3392" s="6">
        <v>20.7694</v>
      </c>
    </row>
    <row r="3393">
      <c r="A3393" s="5" t="s">
        <v>59</v>
      </c>
      <c r="B3393" s="5" t="s">
        <v>1867</v>
      </c>
      <c r="C3393" s="5" t="s">
        <v>68</v>
      </c>
      <c r="D3393" s="6">
        <v>26.0</v>
      </c>
      <c r="E3393" s="6">
        <v>163031.0</v>
      </c>
      <c r="F3393" s="6">
        <v>0.0</v>
      </c>
      <c r="G3393" s="6">
        <v>11899.0</v>
      </c>
      <c r="H3393" s="6">
        <v>13.7012</v>
      </c>
      <c r="I3393" s="6">
        <v>0.0</v>
      </c>
      <c r="J3393" s="6">
        <v>13.7012</v>
      </c>
    </row>
    <row r="3394">
      <c r="A3394" s="5" t="s">
        <v>59</v>
      </c>
      <c r="B3394" s="5" t="s">
        <v>1867</v>
      </c>
      <c r="C3394" s="5" t="s">
        <v>68</v>
      </c>
      <c r="D3394" s="6">
        <v>27.0</v>
      </c>
      <c r="E3394" s="6">
        <v>129444.0</v>
      </c>
      <c r="F3394" s="6">
        <v>0.0</v>
      </c>
      <c r="G3394" s="6">
        <v>11899.0</v>
      </c>
      <c r="H3394" s="6">
        <v>10.8786</v>
      </c>
      <c r="I3394" s="6">
        <v>0.0</v>
      </c>
      <c r="J3394" s="6">
        <v>10.8786</v>
      </c>
    </row>
    <row r="3395">
      <c r="A3395" s="5" t="s">
        <v>59</v>
      </c>
      <c r="B3395" s="5" t="s">
        <v>1867</v>
      </c>
      <c r="C3395" s="5" t="s">
        <v>68</v>
      </c>
      <c r="D3395" s="6">
        <v>28.0</v>
      </c>
      <c r="E3395" s="6">
        <v>210569.0</v>
      </c>
      <c r="F3395" s="6">
        <v>0.0</v>
      </c>
      <c r="G3395" s="6">
        <v>11899.0</v>
      </c>
      <c r="H3395" s="6">
        <v>17.6964</v>
      </c>
      <c r="I3395" s="6">
        <v>0.0</v>
      </c>
      <c r="J3395" s="6">
        <v>17.6964</v>
      </c>
    </row>
    <row r="3396">
      <c r="A3396" s="5" t="s">
        <v>59</v>
      </c>
      <c r="B3396" s="5" t="s">
        <v>1867</v>
      </c>
      <c r="C3396" s="5" t="s">
        <v>68</v>
      </c>
      <c r="D3396" s="6">
        <v>29.0</v>
      </c>
      <c r="E3396" s="6">
        <v>132593.0</v>
      </c>
      <c r="F3396" s="6">
        <v>0.0</v>
      </c>
      <c r="G3396" s="6">
        <v>11899.0</v>
      </c>
      <c r="H3396" s="6">
        <v>11.1432</v>
      </c>
      <c r="I3396" s="6">
        <v>0.0</v>
      </c>
      <c r="J3396" s="6">
        <v>11.1432</v>
      </c>
    </row>
    <row r="3397">
      <c r="A3397" s="5" t="s">
        <v>59</v>
      </c>
      <c r="B3397" s="5" t="s">
        <v>1867</v>
      </c>
      <c r="C3397" s="5" t="s">
        <v>68</v>
      </c>
      <c r="D3397" s="6">
        <v>30.0</v>
      </c>
      <c r="E3397" s="6">
        <v>558453.0</v>
      </c>
      <c r="F3397" s="6">
        <v>0.0</v>
      </c>
      <c r="G3397" s="6">
        <v>11899.0</v>
      </c>
      <c r="H3397" s="6">
        <v>46.9328</v>
      </c>
      <c r="I3397" s="6">
        <v>0.0</v>
      </c>
      <c r="J3397" s="6">
        <v>46.9328</v>
      </c>
    </row>
    <row r="3398">
      <c r="A3398" s="5" t="s">
        <v>59</v>
      </c>
      <c r="B3398" s="5" t="s">
        <v>1867</v>
      </c>
      <c r="C3398" s="5" t="s">
        <v>68</v>
      </c>
      <c r="D3398" s="6">
        <v>31.0</v>
      </c>
      <c r="E3398" s="6">
        <v>352226.0</v>
      </c>
      <c r="F3398" s="6">
        <v>0.0</v>
      </c>
      <c r="G3398" s="6">
        <v>11899.0</v>
      </c>
      <c r="H3398" s="6">
        <v>29.6013</v>
      </c>
      <c r="I3398" s="6">
        <v>0.0</v>
      </c>
      <c r="J3398" s="6">
        <v>29.6013</v>
      </c>
    </row>
    <row r="3399">
      <c r="A3399" s="5" t="s">
        <v>59</v>
      </c>
      <c r="B3399" s="5" t="s">
        <v>1867</v>
      </c>
      <c r="C3399" s="5" t="s">
        <v>68</v>
      </c>
      <c r="D3399" s="6">
        <v>32.0</v>
      </c>
      <c r="E3399" s="6">
        <v>279901.0</v>
      </c>
      <c r="F3399" s="6">
        <v>0.0</v>
      </c>
      <c r="G3399" s="6">
        <v>11899.0</v>
      </c>
      <c r="H3399" s="6">
        <v>23.5231</v>
      </c>
      <c r="I3399" s="6">
        <v>0.0</v>
      </c>
      <c r="J3399" s="6">
        <v>23.5231</v>
      </c>
    </row>
    <row r="3400">
      <c r="A3400" s="5" t="s">
        <v>59</v>
      </c>
      <c r="B3400" s="5" t="s">
        <v>1867</v>
      </c>
      <c r="C3400" s="5" t="s">
        <v>68</v>
      </c>
      <c r="D3400" s="6">
        <v>33.0</v>
      </c>
      <c r="E3400" s="6">
        <v>182068.0</v>
      </c>
      <c r="F3400" s="6">
        <v>0.0</v>
      </c>
      <c r="G3400" s="6">
        <v>11899.0</v>
      </c>
      <c r="H3400" s="6">
        <v>15.3011</v>
      </c>
      <c r="I3400" s="6">
        <v>0.0</v>
      </c>
      <c r="J3400" s="6">
        <v>15.3011</v>
      </c>
    </row>
    <row r="3401">
      <c r="A3401" s="5" t="s">
        <v>59</v>
      </c>
      <c r="B3401" s="5" t="s">
        <v>1867</v>
      </c>
      <c r="C3401" s="5" t="s">
        <v>2035</v>
      </c>
      <c r="D3401" s="6">
        <v>1.0</v>
      </c>
      <c r="E3401" s="6">
        <v>30.0</v>
      </c>
      <c r="F3401" s="6">
        <v>0.0</v>
      </c>
      <c r="G3401" s="6">
        <v>3095.0</v>
      </c>
      <c r="H3401" s="6">
        <v>0.0097</v>
      </c>
      <c r="I3401" s="6">
        <v>0.0</v>
      </c>
      <c r="J3401" s="6">
        <v>0.0097</v>
      </c>
    </row>
    <row r="3402">
      <c r="A3402" s="5" t="s">
        <v>59</v>
      </c>
      <c r="B3402" s="5" t="s">
        <v>1867</v>
      </c>
      <c r="C3402" s="5" t="s">
        <v>2035</v>
      </c>
      <c r="D3402" s="6">
        <v>2.0</v>
      </c>
      <c r="E3402" s="6">
        <v>4285.0</v>
      </c>
      <c r="F3402" s="6">
        <v>0.0</v>
      </c>
      <c r="G3402" s="6">
        <v>3095.0</v>
      </c>
      <c r="H3402" s="6">
        <v>1.3845</v>
      </c>
      <c r="I3402" s="6">
        <v>0.0</v>
      </c>
      <c r="J3402" s="6">
        <v>1.3845</v>
      </c>
    </row>
    <row r="3403">
      <c r="A3403" s="5" t="s">
        <v>59</v>
      </c>
      <c r="B3403" s="5" t="s">
        <v>1867</v>
      </c>
      <c r="C3403" s="5" t="s">
        <v>2035</v>
      </c>
      <c r="D3403" s="6">
        <v>3.0</v>
      </c>
      <c r="E3403" s="6">
        <v>5030.0</v>
      </c>
      <c r="F3403" s="6">
        <v>0.0</v>
      </c>
      <c r="G3403" s="6">
        <v>3095.0</v>
      </c>
      <c r="H3403" s="6">
        <v>1.6252</v>
      </c>
      <c r="I3403" s="6">
        <v>0.0</v>
      </c>
      <c r="J3403" s="6">
        <v>1.6252</v>
      </c>
    </row>
    <row r="3404">
      <c r="A3404" s="5" t="s">
        <v>59</v>
      </c>
      <c r="B3404" s="5" t="s">
        <v>1867</v>
      </c>
      <c r="C3404" s="5" t="s">
        <v>2035</v>
      </c>
      <c r="D3404" s="6">
        <v>4.0</v>
      </c>
      <c r="E3404" s="6">
        <v>4235.0</v>
      </c>
      <c r="F3404" s="6">
        <v>0.0</v>
      </c>
      <c r="G3404" s="6">
        <v>3095.0</v>
      </c>
      <c r="H3404" s="6">
        <v>1.3683</v>
      </c>
      <c r="I3404" s="6">
        <v>0.0</v>
      </c>
      <c r="J3404" s="6">
        <v>1.3683</v>
      </c>
    </row>
    <row r="3405">
      <c r="A3405" s="5" t="s">
        <v>59</v>
      </c>
      <c r="B3405" s="5" t="s">
        <v>1867</v>
      </c>
      <c r="C3405" s="5" t="s">
        <v>2035</v>
      </c>
      <c r="D3405" s="6">
        <v>5.0</v>
      </c>
      <c r="E3405" s="6">
        <v>4205.0</v>
      </c>
      <c r="F3405" s="6">
        <v>0.0</v>
      </c>
      <c r="G3405" s="6">
        <v>3095.0</v>
      </c>
      <c r="H3405" s="6">
        <v>1.3586</v>
      </c>
      <c r="I3405" s="6">
        <v>0.0</v>
      </c>
      <c r="J3405" s="6">
        <v>1.3586</v>
      </c>
    </row>
    <row r="3406">
      <c r="A3406" s="5" t="s">
        <v>59</v>
      </c>
      <c r="B3406" s="5" t="s">
        <v>1867</v>
      </c>
      <c r="C3406" s="5" t="s">
        <v>2035</v>
      </c>
      <c r="D3406" s="6">
        <v>6.0</v>
      </c>
      <c r="E3406" s="6">
        <v>3775.0</v>
      </c>
      <c r="F3406" s="6">
        <v>0.0</v>
      </c>
      <c r="G3406" s="6">
        <v>3095.0</v>
      </c>
      <c r="H3406" s="6">
        <v>1.2197</v>
      </c>
      <c r="I3406" s="6">
        <v>0.0</v>
      </c>
      <c r="J3406" s="6">
        <v>1.2197</v>
      </c>
    </row>
    <row r="3407">
      <c r="A3407" s="5" t="s">
        <v>59</v>
      </c>
      <c r="B3407" s="5" t="s">
        <v>1867</v>
      </c>
      <c r="C3407" s="5" t="s">
        <v>2035</v>
      </c>
      <c r="D3407" s="6">
        <v>7.0</v>
      </c>
      <c r="E3407" s="6">
        <v>3335.0</v>
      </c>
      <c r="F3407" s="6">
        <v>0.0</v>
      </c>
      <c r="G3407" s="6">
        <v>3095.0</v>
      </c>
      <c r="H3407" s="6">
        <v>1.0775</v>
      </c>
      <c r="I3407" s="6">
        <v>0.0</v>
      </c>
      <c r="J3407" s="6">
        <v>1.0775</v>
      </c>
    </row>
    <row r="3408">
      <c r="A3408" s="5" t="s">
        <v>59</v>
      </c>
      <c r="B3408" s="5" t="s">
        <v>1867</v>
      </c>
      <c r="C3408" s="5" t="s">
        <v>2035</v>
      </c>
      <c r="D3408" s="6">
        <v>8.0</v>
      </c>
      <c r="E3408" s="6">
        <v>3195.0</v>
      </c>
      <c r="F3408" s="6">
        <v>0.0</v>
      </c>
      <c r="G3408" s="6">
        <v>3095.0</v>
      </c>
      <c r="H3408" s="6">
        <v>1.0323</v>
      </c>
      <c r="I3408" s="6">
        <v>0.0</v>
      </c>
      <c r="J3408" s="6">
        <v>1.0323</v>
      </c>
    </row>
    <row r="3409">
      <c r="A3409" s="5" t="s">
        <v>59</v>
      </c>
      <c r="B3409" s="5" t="s">
        <v>1867</v>
      </c>
      <c r="C3409" s="5" t="s">
        <v>2035</v>
      </c>
      <c r="D3409" s="6">
        <v>9.0</v>
      </c>
      <c r="E3409" s="6">
        <v>40.0</v>
      </c>
      <c r="F3409" s="6">
        <v>0.0</v>
      </c>
      <c r="G3409" s="6">
        <v>3095.0</v>
      </c>
      <c r="H3409" s="6">
        <v>0.0129</v>
      </c>
      <c r="I3409" s="6">
        <v>0.0</v>
      </c>
      <c r="J3409" s="6">
        <v>0.0129</v>
      </c>
    </row>
    <row r="3410">
      <c r="A3410" s="5" t="s">
        <v>59</v>
      </c>
      <c r="B3410" s="5" t="s">
        <v>1867</v>
      </c>
      <c r="C3410" s="5" t="s">
        <v>2035</v>
      </c>
      <c r="D3410" s="6">
        <v>10.0</v>
      </c>
      <c r="E3410" s="6">
        <v>15.0</v>
      </c>
      <c r="F3410" s="6">
        <v>0.0</v>
      </c>
      <c r="G3410" s="6">
        <v>3095.0</v>
      </c>
      <c r="H3410" s="6">
        <v>0.0048</v>
      </c>
      <c r="I3410" s="6">
        <v>0.0</v>
      </c>
      <c r="J3410" s="6">
        <v>0.0048</v>
      </c>
    </row>
    <row r="3411">
      <c r="A3411" s="5" t="s">
        <v>59</v>
      </c>
      <c r="B3411" s="5" t="s">
        <v>1867</v>
      </c>
      <c r="C3411" s="5" t="s">
        <v>2035</v>
      </c>
      <c r="D3411" s="6">
        <v>11.0</v>
      </c>
      <c r="E3411" s="6">
        <v>45.0</v>
      </c>
      <c r="F3411" s="6">
        <v>0.0</v>
      </c>
      <c r="G3411" s="6">
        <v>3095.0</v>
      </c>
      <c r="H3411" s="6">
        <v>0.0145</v>
      </c>
      <c r="I3411" s="6">
        <v>0.0</v>
      </c>
      <c r="J3411" s="6">
        <v>0.0145</v>
      </c>
    </row>
    <row r="3412">
      <c r="A3412" s="5" t="s">
        <v>59</v>
      </c>
      <c r="B3412" s="5" t="s">
        <v>1867</v>
      </c>
      <c r="C3412" s="5" t="s">
        <v>2035</v>
      </c>
      <c r="D3412" s="6">
        <v>12.0</v>
      </c>
      <c r="E3412" s="6">
        <v>45.0</v>
      </c>
      <c r="F3412" s="6">
        <v>0.0</v>
      </c>
      <c r="G3412" s="6">
        <v>3095.0</v>
      </c>
      <c r="H3412" s="6">
        <v>0.0145</v>
      </c>
      <c r="I3412" s="6">
        <v>0.0</v>
      </c>
      <c r="J3412" s="6">
        <v>0.0145</v>
      </c>
    </row>
    <row r="3413">
      <c r="A3413" s="5" t="s">
        <v>59</v>
      </c>
      <c r="B3413" s="5" t="s">
        <v>1867</v>
      </c>
      <c r="C3413" s="5" t="s">
        <v>2035</v>
      </c>
      <c r="D3413" s="6">
        <v>13.0</v>
      </c>
      <c r="E3413" s="6">
        <v>15.0</v>
      </c>
      <c r="F3413" s="6">
        <v>0.0</v>
      </c>
      <c r="G3413" s="6">
        <v>3095.0</v>
      </c>
      <c r="H3413" s="6">
        <v>0.0048</v>
      </c>
      <c r="I3413" s="6">
        <v>0.0</v>
      </c>
      <c r="J3413" s="6">
        <v>0.0048</v>
      </c>
    </row>
    <row r="3414">
      <c r="A3414" s="5" t="s">
        <v>59</v>
      </c>
      <c r="B3414" s="5" t="s">
        <v>1867</v>
      </c>
      <c r="C3414" s="5" t="s">
        <v>2035</v>
      </c>
      <c r="D3414" s="6">
        <v>14.0</v>
      </c>
      <c r="E3414" s="6">
        <v>60.0</v>
      </c>
      <c r="F3414" s="6">
        <v>0.0</v>
      </c>
      <c r="G3414" s="6">
        <v>3095.0</v>
      </c>
      <c r="H3414" s="6">
        <v>0.0194</v>
      </c>
      <c r="I3414" s="6">
        <v>0.0</v>
      </c>
      <c r="J3414" s="6">
        <v>0.0194</v>
      </c>
    </row>
    <row r="3415">
      <c r="A3415" s="5" t="s">
        <v>59</v>
      </c>
      <c r="B3415" s="5" t="s">
        <v>1867</v>
      </c>
      <c r="C3415" s="5" t="s">
        <v>2035</v>
      </c>
      <c r="D3415" s="6">
        <v>15.0</v>
      </c>
      <c r="E3415" s="6">
        <v>0.0</v>
      </c>
      <c r="F3415" s="6">
        <v>0.0</v>
      </c>
      <c r="G3415" s="6">
        <v>3095.0</v>
      </c>
      <c r="H3415" s="6">
        <v>0.0</v>
      </c>
      <c r="I3415" s="6">
        <v>0.0</v>
      </c>
      <c r="J3415" s="6">
        <v>0.0</v>
      </c>
    </row>
    <row r="3416">
      <c r="A3416" s="5" t="s">
        <v>59</v>
      </c>
      <c r="B3416" s="5" t="s">
        <v>1867</v>
      </c>
      <c r="C3416" s="5" t="s">
        <v>2035</v>
      </c>
      <c r="D3416" s="6">
        <v>16.0</v>
      </c>
      <c r="E3416" s="6">
        <v>5370.0</v>
      </c>
      <c r="F3416" s="6">
        <v>0.0</v>
      </c>
      <c r="G3416" s="6">
        <v>3095.0</v>
      </c>
      <c r="H3416" s="6">
        <v>1.7351</v>
      </c>
      <c r="I3416" s="6">
        <v>0.0</v>
      </c>
      <c r="J3416" s="6">
        <v>1.7351</v>
      </c>
    </row>
    <row r="3417">
      <c r="A3417" s="5" t="s">
        <v>59</v>
      </c>
      <c r="B3417" s="5" t="s">
        <v>1867</v>
      </c>
      <c r="C3417" s="5" t="s">
        <v>2035</v>
      </c>
      <c r="D3417" s="6">
        <v>17.0</v>
      </c>
      <c r="E3417" s="6">
        <v>4165.0</v>
      </c>
      <c r="F3417" s="6">
        <v>0.0</v>
      </c>
      <c r="G3417" s="6">
        <v>3095.0</v>
      </c>
      <c r="H3417" s="6">
        <v>1.3457</v>
      </c>
      <c r="I3417" s="6">
        <v>0.0</v>
      </c>
      <c r="J3417" s="6">
        <v>1.3457</v>
      </c>
    </row>
    <row r="3418">
      <c r="A3418" s="5" t="s">
        <v>59</v>
      </c>
      <c r="B3418" s="5" t="s">
        <v>1867</v>
      </c>
      <c r="C3418" s="5" t="s">
        <v>2035</v>
      </c>
      <c r="D3418" s="6">
        <v>18.0</v>
      </c>
      <c r="E3418" s="6">
        <v>4580.0</v>
      </c>
      <c r="F3418" s="6">
        <v>0.0</v>
      </c>
      <c r="G3418" s="6">
        <v>3095.0</v>
      </c>
      <c r="H3418" s="6">
        <v>1.4798</v>
      </c>
      <c r="I3418" s="6">
        <v>0.0</v>
      </c>
      <c r="J3418" s="6">
        <v>1.4798</v>
      </c>
    </row>
    <row r="3419">
      <c r="A3419" s="5" t="s">
        <v>59</v>
      </c>
      <c r="B3419" s="5" t="s">
        <v>1867</v>
      </c>
      <c r="C3419" s="5" t="s">
        <v>2035</v>
      </c>
      <c r="D3419" s="6">
        <v>19.0</v>
      </c>
      <c r="E3419" s="6">
        <v>3985.0</v>
      </c>
      <c r="F3419" s="6">
        <v>0.0</v>
      </c>
      <c r="G3419" s="6">
        <v>3095.0</v>
      </c>
      <c r="H3419" s="6">
        <v>1.2876</v>
      </c>
      <c r="I3419" s="6">
        <v>0.0</v>
      </c>
      <c r="J3419" s="6">
        <v>1.2876</v>
      </c>
    </row>
    <row r="3420">
      <c r="A3420" s="5" t="s">
        <v>59</v>
      </c>
      <c r="B3420" s="5" t="s">
        <v>1867</v>
      </c>
      <c r="C3420" s="5" t="s">
        <v>2035</v>
      </c>
      <c r="D3420" s="6">
        <v>20.0</v>
      </c>
      <c r="E3420" s="6">
        <v>4825.0</v>
      </c>
      <c r="F3420" s="6">
        <v>0.0</v>
      </c>
      <c r="G3420" s="6">
        <v>3095.0</v>
      </c>
      <c r="H3420" s="6">
        <v>1.559</v>
      </c>
      <c r="I3420" s="6">
        <v>0.0</v>
      </c>
      <c r="J3420" s="6">
        <v>1.559</v>
      </c>
    </row>
    <row r="3421">
      <c r="A3421" s="5" t="s">
        <v>59</v>
      </c>
      <c r="B3421" s="5" t="s">
        <v>1867</v>
      </c>
      <c r="C3421" s="5" t="s">
        <v>2035</v>
      </c>
      <c r="D3421" s="6">
        <v>21.0</v>
      </c>
      <c r="E3421" s="6">
        <v>4845.0</v>
      </c>
      <c r="F3421" s="6">
        <v>0.0</v>
      </c>
      <c r="G3421" s="6">
        <v>3095.0</v>
      </c>
      <c r="H3421" s="6">
        <v>1.5654</v>
      </c>
      <c r="I3421" s="6">
        <v>0.0</v>
      </c>
      <c r="J3421" s="6">
        <v>1.5654</v>
      </c>
    </row>
    <row r="3422">
      <c r="A3422" s="5" t="s">
        <v>59</v>
      </c>
      <c r="B3422" s="5" t="s">
        <v>1867</v>
      </c>
      <c r="C3422" s="5" t="s">
        <v>2035</v>
      </c>
      <c r="D3422" s="6">
        <v>22.0</v>
      </c>
      <c r="E3422" s="6">
        <v>4045.0</v>
      </c>
      <c r="F3422" s="6">
        <v>0.0</v>
      </c>
      <c r="G3422" s="6">
        <v>3095.0</v>
      </c>
      <c r="H3422" s="6">
        <v>1.3069</v>
      </c>
      <c r="I3422" s="6">
        <v>0.0</v>
      </c>
      <c r="J3422" s="6">
        <v>1.3069</v>
      </c>
    </row>
    <row r="3423">
      <c r="A3423" s="5" t="s">
        <v>59</v>
      </c>
      <c r="B3423" s="5" t="s">
        <v>1867</v>
      </c>
      <c r="C3423" s="5" t="s">
        <v>2035</v>
      </c>
      <c r="D3423" s="6">
        <v>23.0</v>
      </c>
      <c r="E3423" s="6">
        <v>170.0</v>
      </c>
      <c r="F3423" s="6">
        <v>0.0</v>
      </c>
      <c r="G3423" s="6">
        <v>3095.0</v>
      </c>
      <c r="H3423" s="6">
        <v>0.0549</v>
      </c>
      <c r="I3423" s="6">
        <v>0.0</v>
      </c>
      <c r="J3423" s="6">
        <v>0.0549</v>
      </c>
    </row>
    <row r="3424">
      <c r="A3424" s="5" t="s">
        <v>59</v>
      </c>
      <c r="B3424" s="5" t="s">
        <v>1867</v>
      </c>
      <c r="C3424" s="5" t="s">
        <v>2035</v>
      </c>
      <c r="D3424" s="6">
        <v>24.0</v>
      </c>
      <c r="E3424" s="6">
        <v>105.0</v>
      </c>
      <c r="F3424" s="6">
        <v>0.0</v>
      </c>
      <c r="G3424" s="6">
        <v>3095.0</v>
      </c>
      <c r="H3424" s="6">
        <v>0.0339</v>
      </c>
      <c r="I3424" s="6">
        <v>0.0</v>
      </c>
      <c r="J3424" s="6">
        <v>0.0339</v>
      </c>
    </row>
    <row r="3425">
      <c r="A3425" s="5" t="s">
        <v>59</v>
      </c>
      <c r="B3425" s="5" t="s">
        <v>1867</v>
      </c>
      <c r="C3425" s="5" t="s">
        <v>2035</v>
      </c>
      <c r="D3425" s="6">
        <v>25.0</v>
      </c>
      <c r="E3425" s="6">
        <v>45.0</v>
      </c>
      <c r="F3425" s="6">
        <v>0.0</v>
      </c>
      <c r="G3425" s="6">
        <v>3095.0</v>
      </c>
      <c r="H3425" s="6">
        <v>0.0145</v>
      </c>
      <c r="I3425" s="6">
        <v>0.0</v>
      </c>
      <c r="J3425" s="6">
        <v>0.0145</v>
      </c>
    </row>
    <row r="3426">
      <c r="A3426" s="5" t="s">
        <v>59</v>
      </c>
      <c r="B3426" s="5" t="s">
        <v>1867</v>
      </c>
      <c r="C3426" s="5" t="s">
        <v>2035</v>
      </c>
      <c r="D3426" s="6">
        <v>26.0</v>
      </c>
      <c r="E3426" s="6">
        <v>0.0</v>
      </c>
      <c r="F3426" s="6">
        <v>0.0</v>
      </c>
      <c r="G3426" s="6">
        <v>3095.0</v>
      </c>
      <c r="H3426" s="6">
        <v>0.0</v>
      </c>
      <c r="I3426" s="6">
        <v>0.0</v>
      </c>
      <c r="J3426" s="6">
        <v>0.0</v>
      </c>
    </row>
    <row r="3427">
      <c r="A3427" s="5" t="s">
        <v>59</v>
      </c>
      <c r="B3427" s="5" t="s">
        <v>1867</v>
      </c>
      <c r="C3427" s="5" t="s">
        <v>2035</v>
      </c>
      <c r="D3427" s="6">
        <v>27.0</v>
      </c>
      <c r="E3427" s="6">
        <v>45.0</v>
      </c>
      <c r="F3427" s="6">
        <v>0.0</v>
      </c>
      <c r="G3427" s="6">
        <v>3095.0</v>
      </c>
      <c r="H3427" s="6">
        <v>0.0145</v>
      </c>
      <c r="I3427" s="6">
        <v>0.0</v>
      </c>
      <c r="J3427" s="6">
        <v>0.0145</v>
      </c>
    </row>
    <row r="3428">
      <c r="A3428" s="5" t="s">
        <v>59</v>
      </c>
      <c r="B3428" s="5" t="s">
        <v>1867</v>
      </c>
      <c r="C3428" s="5" t="s">
        <v>2035</v>
      </c>
      <c r="D3428" s="6">
        <v>28.0</v>
      </c>
      <c r="E3428" s="6">
        <v>30.0</v>
      </c>
      <c r="F3428" s="6">
        <v>0.0</v>
      </c>
      <c r="G3428" s="6">
        <v>3095.0</v>
      </c>
      <c r="H3428" s="6">
        <v>0.0097</v>
      </c>
      <c r="I3428" s="6">
        <v>0.0</v>
      </c>
      <c r="J3428" s="6">
        <v>0.0097</v>
      </c>
    </row>
    <row r="3429">
      <c r="A3429" s="5" t="s">
        <v>59</v>
      </c>
      <c r="B3429" s="5" t="s">
        <v>1867</v>
      </c>
      <c r="C3429" s="5" t="s">
        <v>2035</v>
      </c>
      <c r="D3429" s="6">
        <v>29.0</v>
      </c>
      <c r="E3429" s="6">
        <v>90.0</v>
      </c>
      <c r="F3429" s="6">
        <v>0.0</v>
      </c>
      <c r="G3429" s="6">
        <v>3095.0</v>
      </c>
      <c r="H3429" s="6">
        <v>0.0291</v>
      </c>
      <c r="I3429" s="6">
        <v>0.0</v>
      </c>
      <c r="J3429" s="6">
        <v>0.0291</v>
      </c>
    </row>
    <row r="3430">
      <c r="A3430" s="5" t="s">
        <v>59</v>
      </c>
      <c r="B3430" s="5" t="s">
        <v>1867</v>
      </c>
      <c r="C3430" s="5" t="s">
        <v>2035</v>
      </c>
      <c r="D3430" s="6">
        <v>30.0</v>
      </c>
      <c r="E3430" s="6">
        <v>5610.0</v>
      </c>
      <c r="F3430" s="6">
        <v>0.0</v>
      </c>
      <c r="G3430" s="6">
        <v>3095.0</v>
      </c>
      <c r="H3430" s="6">
        <v>1.8126</v>
      </c>
      <c r="I3430" s="6">
        <v>0.0</v>
      </c>
      <c r="J3430" s="6">
        <v>1.8126</v>
      </c>
    </row>
    <row r="3431">
      <c r="A3431" s="5" t="s">
        <v>59</v>
      </c>
      <c r="B3431" s="5" t="s">
        <v>1867</v>
      </c>
      <c r="C3431" s="5" t="s">
        <v>2035</v>
      </c>
      <c r="D3431" s="6">
        <v>31.0</v>
      </c>
      <c r="E3431" s="6">
        <v>5370.0</v>
      </c>
      <c r="F3431" s="6">
        <v>0.0</v>
      </c>
      <c r="G3431" s="6">
        <v>3095.0</v>
      </c>
      <c r="H3431" s="6">
        <v>1.7351</v>
      </c>
      <c r="I3431" s="6">
        <v>0.0</v>
      </c>
      <c r="J3431" s="6">
        <v>1.7351</v>
      </c>
    </row>
    <row r="3432">
      <c r="A3432" s="5" t="s">
        <v>59</v>
      </c>
      <c r="B3432" s="5" t="s">
        <v>1867</v>
      </c>
      <c r="C3432" s="5" t="s">
        <v>2035</v>
      </c>
      <c r="D3432" s="6">
        <v>32.0</v>
      </c>
      <c r="E3432" s="6">
        <v>5010.0</v>
      </c>
      <c r="F3432" s="6">
        <v>0.0</v>
      </c>
      <c r="G3432" s="6">
        <v>3095.0</v>
      </c>
      <c r="H3432" s="6">
        <v>1.6187</v>
      </c>
      <c r="I3432" s="6">
        <v>0.0</v>
      </c>
      <c r="J3432" s="6">
        <v>1.6187</v>
      </c>
    </row>
    <row r="3433">
      <c r="A3433" s="5" t="s">
        <v>59</v>
      </c>
      <c r="B3433" s="5" t="s">
        <v>1867</v>
      </c>
      <c r="C3433" s="5" t="s">
        <v>2035</v>
      </c>
      <c r="D3433" s="6">
        <v>33.0</v>
      </c>
      <c r="E3433" s="6">
        <v>4445.0</v>
      </c>
      <c r="F3433" s="6">
        <v>0.0</v>
      </c>
      <c r="G3433" s="6">
        <v>3095.0</v>
      </c>
      <c r="H3433" s="6">
        <v>1.4362</v>
      </c>
      <c r="I3433" s="6">
        <v>0.0</v>
      </c>
      <c r="J3433" s="6">
        <v>1.4362</v>
      </c>
    </row>
    <row r="3434">
      <c r="A3434" s="5" t="s">
        <v>60</v>
      </c>
      <c r="B3434" s="5" t="s">
        <v>163</v>
      </c>
      <c r="C3434" s="5" t="s">
        <v>1882</v>
      </c>
      <c r="D3434" s="6">
        <v>1.0</v>
      </c>
      <c r="E3434" s="6">
        <v>268759.0</v>
      </c>
      <c r="F3434" s="6">
        <v>338150.0</v>
      </c>
      <c r="G3434" s="6">
        <v>4193.0</v>
      </c>
      <c r="H3434" s="6">
        <v>64.0971</v>
      </c>
      <c r="I3434" s="6">
        <v>80.6463</v>
      </c>
      <c r="J3434" s="6">
        <v>-16.5492</v>
      </c>
    </row>
    <row r="3435">
      <c r="A3435" s="5" t="s">
        <v>60</v>
      </c>
      <c r="B3435" s="5" t="s">
        <v>163</v>
      </c>
      <c r="C3435" s="5" t="s">
        <v>1882</v>
      </c>
      <c r="D3435" s="6">
        <v>2.0</v>
      </c>
      <c r="E3435" s="6">
        <v>470083.0</v>
      </c>
      <c r="F3435" s="6">
        <v>393500.0</v>
      </c>
      <c r="G3435" s="6">
        <v>4193.0</v>
      </c>
      <c r="H3435" s="6">
        <v>112.1114</v>
      </c>
      <c r="I3435" s="6">
        <v>93.8469</v>
      </c>
      <c r="J3435" s="6">
        <v>18.2645</v>
      </c>
    </row>
    <row r="3436">
      <c r="A3436" s="5" t="s">
        <v>60</v>
      </c>
      <c r="B3436" s="5" t="s">
        <v>163</v>
      </c>
      <c r="C3436" s="5" t="s">
        <v>1882</v>
      </c>
      <c r="D3436" s="6">
        <v>3.0</v>
      </c>
      <c r="E3436" s="6">
        <v>336502.0</v>
      </c>
      <c r="F3436" s="6">
        <v>338350.0</v>
      </c>
      <c r="G3436" s="6">
        <v>4193.0</v>
      </c>
      <c r="H3436" s="6">
        <v>80.2533</v>
      </c>
      <c r="I3436" s="6">
        <v>80.694</v>
      </c>
      <c r="J3436" s="6">
        <v>-0.4407</v>
      </c>
    </row>
    <row r="3437">
      <c r="A3437" s="5" t="s">
        <v>60</v>
      </c>
      <c r="B3437" s="5" t="s">
        <v>163</v>
      </c>
      <c r="C3437" s="5" t="s">
        <v>1882</v>
      </c>
      <c r="D3437" s="6">
        <v>4.0</v>
      </c>
      <c r="E3437" s="6">
        <v>376686.0</v>
      </c>
      <c r="F3437" s="6">
        <v>333850.0</v>
      </c>
      <c r="G3437" s="6">
        <v>4193.0</v>
      </c>
      <c r="H3437" s="6">
        <v>89.8369</v>
      </c>
      <c r="I3437" s="6">
        <v>79.6208</v>
      </c>
      <c r="J3437" s="6">
        <v>10.2161</v>
      </c>
    </row>
    <row r="3438">
      <c r="A3438" s="5" t="s">
        <v>60</v>
      </c>
      <c r="B3438" s="5" t="s">
        <v>163</v>
      </c>
      <c r="C3438" s="5" t="s">
        <v>1882</v>
      </c>
      <c r="D3438" s="6">
        <v>5.0</v>
      </c>
      <c r="E3438" s="6">
        <v>306587.0</v>
      </c>
      <c r="F3438" s="6">
        <v>406450.0</v>
      </c>
      <c r="G3438" s="6">
        <v>4193.0</v>
      </c>
      <c r="H3438" s="6">
        <v>73.1188</v>
      </c>
      <c r="I3438" s="6">
        <v>96.9354</v>
      </c>
      <c r="J3438" s="6">
        <v>-23.8166</v>
      </c>
    </row>
    <row r="3439">
      <c r="A3439" s="5" t="s">
        <v>60</v>
      </c>
      <c r="B3439" s="5" t="s">
        <v>163</v>
      </c>
      <c r="C3439" s="5" t="s">
        <v>1882</v>
      </c>
      <c r="D3439" s="6">
        <v>6.0</v>
      </c>
      <c r="E3439" s="6">
        <v>453122.0</v>
      </c>
      <c r="F3439" s="6">
        <v>472550.0</v>
      </c>
      <c r="G3439" s="6">
        <v>4193.0</v>
      </c>
      <c r="H3439" s="6">
        <v>108.0663</v>
      </c>
      <c r="I3439" s="6">
        <v>112.6997</v>
      </c>
      <c r="J3439" s="6">
        <v>-4.6334</v>
      </c>
    </row>
    <row r="3440">
      <c r="A3440" s="5" t="s">
        <v>60</v>
      </c>
      <c r="B3440" s="5" t="s">
        <v>163</v>
      </c>
      <c r="C3440" s="5" t="s">
        <v>1882</v>
      </c>
      <c r="D3440" s="6">
        <v>7.0</v>
      </c>
      <c r="E3440" s="6">
        <v>457228.0</v>
      </c>
      <c r="F3440" s="6">
        <v>420450.0</v>
      </c>
      <c r="G3440" s="6">
        <v>4193.0</v>
      </c>
      <c r="H3440" s="6">
        <v>109.0456</v>
      </c>
      <c r="I3440" s="6">
        <v>100.2743</v>
      </c>
      <c r="J3440" s="6">
        <v>8.7713</v>
      </c>
    </row>
    <row r="3441">
      <c r="A3441" s="5" t="s">
        <v>60</v>
      </c>
      <c r="B3441" s="5" t="s">
        <v>163</v>
      </c>
      <c r="C3441" s="5" t="s">
        <v>1882</v>
      </c>
      <c r="D3441" s="6">
        <v>8.0</v>
      </c>
      <c r="E3441" s="6">
        <v>310944.0</v>
      </c>
      <c r="F3441" s="6">
        <v>351150.0</v>
      </c>
      <c r="G3441" s="6">
        <v>4193.0</v>
      </c>
      <c r="H3441" s="6">
        <v>74.1579</v>
      </c>
      <c r="I3441" s="6">
        <v>83.7467</v>
      </c>
      <c r="J3441" s="6">
        <v>-9.5888</v>
      </c>
    </row>
    <row r="3442">
      <c r="A3442" s="5" t="s">
        <v>60</v>
      </c>
      <c r="B3442" s="5" t="s">
        <v>163</v>
      </c>
      <c r="C3442" s="5" t="s">
        <v>1882</v>
      </c>
      <c r="D3442" s="6">
        <v>9.0</v>
      </c>
      <c r="E3442" s="6">
        <v>391573.0</v>
      </c>
      <c r="F3442" s="6">
        <v>438850.0</v>
      </c>
      <c r="G3442" s="6">
        <v>4193.0</v>
      </c>
      <c r="H3442" s="6">
        <v>93.3873</v>
      </c>
      <c r="I3442" s="6">
        <v>104.6625</v>
      </c>
      <c r="J3442" s="6">
        <v>-11.2752</v>
      </c>
    </row>
    <row r="3443">
      <c r="A3443" s="5" t="s">
        <v>60</v>
      </c>
      <c r="B3443" s="5" t="s">
        <v>163</v>
      </c>
      <c r="C3443" s="5" t="s">
        <v>1882</v>
      </c>
      <c r="D3443" s="6">
        <v>10.0</v>
      </c>
      <c r="E3443" s="6">
        <v>348563.0</v>
      </c>
      <c r="F3443" s="6">
        <v>465650.0</v>
      </c>
      <c r="G3443" s="6">
        <v>4193.0</v>
      </c>
      <c r="H3443" s="6">
        <v>83.1297</v>
      </c>
      <c r="I3443" s="6">
        <v>111.0541</v>
      </c>
      <c r="J3443" s="6">
        <v>-27.9244</v>
      </c>
    </row>
    <row r="3444">
      <c r="A3444" s="5" t="s">
        <v>60</v>
      </c>
      <c r="B3444" s="5" t="s">
        <v>163</v>
      </c>
      <c r="C3444" s="5" t="s">
        <v>1882</v>
      </c>
      <c r="D3444" s="6">
        <v>11.0</v>
      </c>
      <c r="E3444" s="6">
        <v>378240.0</v>
      </c>
      <c r="F3444" s="6">
        <v>391350.0</v>
      </c>
      <c r="G3444" s="6">
        <v>4193.0</v>
      </c>
      <c r="H3444" s="6">
        <v>90.2075</v>
      </c>
      <c r="I3444" s="6">
        <v>93.3341</v>
      </c>
      <c r="J3444" s="6">
        <v>-3.1266</v>
      </c>
    </row>
    <row r="3445">
      <c r="A3445" s="5" t="s">
        <v>60</v>
      </c>
      <c r="B3445" s="5" t="s">
        <v>163</v>
      </c>
      <c r="C3445" s="5" t="s">
        <v>1882</v>
      </c>
      <c r="D3445" s="6">
        <v>12.0</v>
      </c>
      <c r="E3445" s="6">
        <v>301872.0</v>
      </c>
      <c r="F3445" s="6">
        <v>408450.0</v>
      </c>
      <c r="G3445" s="6">
        <v>4193.0</v>
      </c>
      <c r="H3445" s="6">
        <v>71.9943</v>
      </c>
      <c r="I3445" s="6">
        <v>97.4124</v>
      </c>
      <c r="J3445" s="6">
        <v>-25.4181</v>
      </c>
    </row>
    <row r="3446">
      <c r="A3446" s="5" t="s">
        <v>60</v>
      </c>
      <c r="B3446" s="5" t="s">
        <v>163</v>
      </c>
      <c r="C3446" s="5" t="s">
        <v>1882</v>
      </c>
      <c r="D3446" s="6">
        <v>13.0</v>
      </c>
      <c r="E3446" s="6">
        <v>446825.0</v>
      </c>
      <c r="F3446" s="6">
        <v>453700.0</v>
      </c>
      <c r="G3446" s="6">
        <v>4193.0</v>
      </c>
      <c r="H3446" s="6">
        <v>106.5645</v>
      </c>
      <c r="I3446" s="6">
        <v>108.2041</v>
      </c>
      <c r="J3446" s="6">
        <v>-1.6396</v>
      </c>
    </row>
    <row r="3447">
      <c r="A3447" s="5" t="s">
        <v>60</v>
      </c>
      <c r="B3447" s="5" t="s">
        <v>163</v>
      </c>
      <c r="C3447" s="5" t="s">
        <v>1882</v>
      </c>
      <c r="D3447" s="6">
        <v>14.0</v>
      </c>
      <c r="E3447" s="6">
        <v>417709.0</v>
      </c>
      <c r="F3447" s="6">
        <v>480250.0</v>
      </c>
      <c r="G3447" s="6">
        <v>4193.0</v>
      </c>
      <c r="H3447" s="6">
        <v>99.6206</v>
      </c>
      <c r="I3447" s="6">
        <v>114.5361</v>
      </c>
      <c r="J3447" s="6">
        <v>-14.9156</v>
      </c>
    </row>
    <row r="3448">
      <c r="A3448" s="5" t="s">
        <v>60</v>
      </c>
      <c r="B3448" s="5" t="s">
        <v>163</v>
      </c>
      <c r="C3448" s="5" t="s">
        <v>1882</v>
      </c>
      <c r="D3448" s="6">
        <v>15.0</v>
      </c>
      <c r="E3448" s="6">
        <v>313306.0</v>
      </c>
      <c r="F3448" s="6">
        <v>477400.0</v>
      </c>
      <c r="G3448" s="6">
        <v>4193.0</v>
      </c>
      <c r="H3448" s="6">
        <v>74.7212</v>
      </c>
      <c r="I3448" s="6">
        <v>113.8564</v>
      </c>
      <c r="J3448" s="6">
        <v>-39.1352</v>
      </c>
    </row>
    <row r="3449">
      <c r="A3449" s="5" t="s">
        <v>60</v>
      </c>
      <c r="B3449" s="5" t="s">
        <v>163</v>
      </c>
      <c r="C3449" s="5" t="s">
        <v>1882</v>
      </c>
      <c r="D3449" s="6">
        <v>16.0</v>
      </c>
      <c r="E3449" s="6">
        <v>534705.0</v>
      </c>
      <c r="F3449" s="6">
        <v>629750.0</v>
      </c>
      <c r="G3449" s="6">
        <v>4193.0</v>
      </c>
      <c r="H3449" s="6">
        <v>127.5233</v>
      </c>
      <c r="I3449" s="6">
        <v>150.1908</v>
      </c>
      <c r="J3449" s="6">
        <v>-22.6675</v>
      </c>
    </row>
    <row r="3450">
      <c r="A3450" s="5" t="s">
        <v>60</v>
      </c>
      <c r="B3450" s="5" t="s">
        <v>163</v>
      </c>
      <c r="C3450" s="5" t="s">
        <v>1882</v>
      </c>
      <c r="D3450" s="6">
        <v>17.0</v>
      </c>
      <c r="E3450" s="6">
        <v>399377.0</v>
      </c>
      <c r="F3450" s="6">
        <v>565400.0</v>
      </c>
      <c r="G3450" s="6">
        <v>4193.0</v>
      </c>
      <c r="H3450" s="6">
        <v>95.2485</v>
      </c>
      <c r="I3450" s="6">
        <v>134.8438</v>
      </c>
      <c r="J3450" s="6">
        <v>-39.5953</v>
      </c>
    </row>
    <row r="3451">
      <c r="A3451" s="5" t="s">
        <v>60</v>
      </c>
      <c r="B3451" s="5" t="s">
        <v>163</v>
      </c>
      <c r="C3451" s="5" t="s">
        <v>1882</v>
      </c>
      <c r="D3451" s="6">
        <v>18.0</v>
      </c>
      <c r="E3451" s="6">
        <v>439683.0</v>
      </c>
      <c r="F3451" s="6">
        <v>565350.0</v>
      </c>
      <c r="G3451" s="6">
        <v>4193.0</v>
      </c>
      <c r="H3451" s="6">
        <v>104.8612</v>
      </c>
      <c r="I3451" s="6">
        <v>134.8319</v>
      </c>
      <c r="J3451" s="6">
        <v>-29.9707</v>
      </c>
    </row>
    <row r="3452">
      <c r="A3452" s="5" t="s">
        <v>60</v>
      </c>
      <c r="B3452" s="5" t="s">
        <v>163</v>
      </c>
      <c r="C3452" s="5" t="s">
        <v>1882</v>
      </c>
      <c r="D3452" s="6">
        <v>19.0</v>
      </c>
      <c r="E3452" s="6">
        <v>316445.0</v>
      </c>
      <c r="F3452" s="6">
        <v>442550.0</v>
      </c>
      <c r="G3452" s="6">
        <v>4193.0</v>
      </c>
      <c r="H3452" s="6">
        <v>75.4698</v>
      </c>
      <c r="I3452" s="6">
        <v>105.545</v>
      </c>
      <c r="J3452" s="6">
        <v>-30.0751</v>
      </c>
    </row>
    <row r="3453">
      <c r="A3453" s="5" t="s">
        <v>60</v>
      </c>
      <c r="B3453" s="5" t="s">
        <v>163</v>
      </c>
      <c r="C3453" s="5" t="s">
        <v>1882</v>
      </c>
      <c r="D3453" s="6">
        <v>20.0</v>
      </c>
      <c r="E3453" s="6">
        <v>509224.0</v>
      </c>
      <c r="F3453" s="6">
        <v>600650.0</v>
      </c>
      <c r="G3453" s="6">
        <v>4193.0</v>
      </c>
      <c r="H3453" s="6">
        <v>121.4462</v>
      </c>
      <c r="I3453" s="6">
        <v>143.2507</v>
      </c>
      <c r="J3453" s="6">
        <v>-21.8044</v>
      </c>
    </row>
    <row r="3454">
      <c r="A3454" s="5" t="s">
        <v>60</v>
      </c>
      <c r="B3454" s="5" t="s">
        <v>163</v>
      </c>
      <c r="C3454" s="5" t="s">
        <v>1882</v>
      </c>
      <c r="D3454" s="6">
        <v>21.0</v>
      </c>
      <c r="E3454" s="6">
        <v>743304.0</v>
      </c>
      <c r="F3454" s="6">
        <v>638750.0</v>
      </c>
      <c r="G3454" s="6">
        <v>4193.0</v>
      </c>
      <c r="H3454" s="6">
        <v>177.2726</v>
      </c>
      <c r="I3454" s="6">
        <v>152.3372</v>
      </c>
      <c r="J3454" s="6">
        <v>24.9354</v>
      </c>
    </row>
    <row r="3455">
      <c r="A3455" s="5" t="s">
        <v>60</v>
      </c>
      <c r="B3455" s="5" t="s">
        <v>163</v>
      </c>
      <c r="C3455" s="5" t="s">
        <v>1882</v>
      </c>
      <c r="D3455" s="6">
        <v>22.0</v>
      </c>
      <c r="E3455" s="6">
        <v>396631.0</v>
      </c>
      <c r="F3455" s="6">
        <v>575800.0</v>
      </c>
      <c r="G3455" s="6">
        <v>4193.0</v>
      </c>
      <c r="H3455" s="6">
        <v>94.5936</v>
      </c>
      <c r="I3455" s="6">
        <v>137.3241</v>
      </c>
      <c r="J3455" s="6">
        <v>-42.7305</v>
      </c>
    </row>
    <row r="3456">
      <c r="A3456" s="5" t="s">
        <v>60</v>
      </c>
      <c r="B3456" s="5" t="s">
        <v>163</v>
      </c>
      <c r="C3456" s="5" t="s">
        <v>1882</v>
      </c>
      <c r="D3456" s="6">
        <v>23.0</v>
      </c>
      <c r="E3456" s="6">
        <v>475291.0</v>
      </c>
      <c r="F3456" s="6">
        <v>586400.0</v>
      </c>
      <c r="G3456" s="6">
        <v>4193.0</v>
      </c>
      <c r="H3456" s="6">
        <v>113.3534</v>
      </c>
      <c r="I3456" s="6">
        <v>139.8521</v>
      </c>
      <c r="J3456" s="6">
        <v>-26.4987</v>
      </c>
    </row>
    <row r="3457">
      <c r="A3457" s="5" t="s">
        <v>60</v>
      </c>
      <c r="B3457" s="5" t="s">
        <v>163</v>
      </c>
      <c r="C3457" s="5" t="s">
        <v>1882</v>
      </c>
      <c r="D3457" s="6">
        <v>24.0</v>
      </c>
      <c r="E3457" s="6">
        <v>404265.0</v>
      </c>
      <c r="F3457" s="6">
        <v>589900.0</v>
      </c>
      <c r="G3457" s="6">
        <v>4193.0</v>
      </c>
      <c r="H3457" s="6">
        <v>96.4143</v>
      </c>
      <c r="I3457" s="6">
        <v>140.6869</v>
      </c>
      <c r="J3457" s="6">
        <v>-44.2726</v>
      </c>
    </row>
    <row r="3458">
      <c r="A3458" s="5" t="s">
        <v>60</v>
      </c>
      <c r="B3458" s="5" t="s">
        <v>163</v>
      </c>
      <c r="C3458" s="5" t="s">
        <v>1882</v>
      </c>
      <c r="D3458" s="6">
        <v>25.0</v>
      </c>
      <c r="E3458" s="6">
        <v>475009.0</v>
      </c>
      <c r="F3458" s="6">
        <v>607550.0</v>
      </c>
      <c r="G3458" s="6">
        <v>4193.0</v>
      </c>
      <c r="H3458" s="6">
        <v>113.2862</v>
      </c>
      <c r="I3458" s="6">
        <v>144.8963</v>
      </c>
      <c r="J3458" s="6">
        <v>-31.6101</v>
      </c>
    </row>
    <row r="3459">
      <c r="A3459" s="5" t="s">
        <v>60</v>
      </c>
      <c r="B3459" s="5" t="s">
        <v>163</v>
      </c>
      <c r="C3459" s="5" t="s">
        <v>1882</v>
      </c>
      <c r="D3459" s="6">
        <v>26.0</v>
      </c>
      <c r="E3459" s="6">
        <v>357777.0</v>
      </c>
      <c r="F3459" s="6">
        <v>493300.0</v>
      </c>
      <c r="G3459" s="6">
        <v>4193.0</v>
      </c>
      <c r="H3459" s="6">
        <v>85.3272</v>
      </c>
      <c r="I3459" s="6">
        <v>117.6485</v>
      </c>
      <c r="J3459" s="6">
        <v>-32.3212</v>
      </c>
    </row>
    <row r="3460">
      <c r="A3460" s="5" t="s">
        <v>60</v>
      </c>
      <c r="B3460" s="5" t="s">
        <v>163</v>
      </c>
      <c r="C3460" s="5" t="s">
        <v>1882</v>
      </c>
      <c r="D3460" s="6">
        <v>27.0</v>
      </c>
      <c r="E3460" s="6">
        <v>554066.0</v>
      </c>
      <c r="F3460" s="6">
        <v>546550.0</v>
      </c>
      <c r="G3460" s="6">
        <v>4193.0</v>
      </c>
      <c r="H3460" s="6">
        <v>132.1407</v>
      </c>
      <c r="I3460" s="6">
        <v>130.3482</v>
      </c>
      <c r="J3460" s="6">
        <v>1.7925</v>
      </c>
    </row>
    <row r="3461">
      <c r="A3461" s="5" t="s">
        <v>60</v>
      </c>
      <c r="B3461" s="5" t="s">
        <v>163</v>
      </c>
      <c r="C3461" s="5" t="s">
        <v>1882</v>
      </c>
      <c r="D3461" s="6">
        <v>28.0</v>
      </c>
      <c r="E3461" s="6">
        <v>527249.0</v>
      </c>
      <c r="F3461" s="6">
        <v>518900.0</v>
      </c>
      <c r="G3461" s="6">
        <v>4193.0</v>
      </c>
      <c r="H3461" s="6">
        <v>125.7451</v>
      </c>
      <c r="I3461" s="6">
        <v>123.7539</v>
      </c>
      <c r="J3461" s="6">
        <v>1.9912</v>
      </c>
    </row>
    <row r="3462">
      <c r="A3462" s="5" t="s">
        <v>60</v>
      </c>
      <c r="B3462" s="5" t="s">
        <v>163</v>
      </c>
      <c r="C3462" s="5" t="s">
        <v>1882</v>
      </c>
      <c r="D3462" s="6">
        <v>29.0</v>
      </c>
      <c r="E3462" s="6">
        <v>386116.0</v>
      </c>
      <c r="F3462" s="6">
        <v>490400.0</v>
      </c>
      <c r="G3462" s="6">
        <v>4193.0</v>
      </c>
      <c r="H3462" s="6">
        <v>92.0859</v>
      </c>
      <c r="I3462" s="6">
        <v>116.9568</v>
      </c>
      <c r="J3462" s="6">
        <v>-24.871</v>
      </c>
    </row>
    <row r="3463">
      <c r="A3463" s="5" t="s">
        <v>60</v>
      </c>
      <c r="B3463" s="5" t="s">
        <v>163</v>
      </c>
      <c r="C3463" s="5" t="s">
        <v>1882</v>
      </c>
      <c r="D3463" s="6">
        <v>30.0</v>
      </c>
      <c r="E3463" s="6">
        <v>682450.0</v>
      </c>
      <c r="F3463" s="6">
        <v>588450.0</v>
      </c>
      <c r="G3463" s="6">
        <v>4193.0</v>
      </c>
      <c r="H3463" s="6">
        <v>162.7594</v>
      </c>
      <c r="I3463" s="6">
        <v>140.341</v>
      </c>
      <c r="J3463" s="6">
        <v>22.4183</v>
      </c>
    </row>
    <row r="3464">
      <c r="A3464" s="5" t="s">
        <v>60</v>
      </c>
      <c r="B3464" s="5" t="s">
        <v>163</v>
      </c>
      <c r="C3464" s="5" t="s">
        <v>1882</v>
      </c>
      <c r="D3464" s="6">
        <v>31.0</v>
      </c>
      <c r="E3464" s="6">
        <v>539856.0</v>
      </c>
      <c r="F3464" s="6">
        <v>581400.0</v>
      </c>
      <c r="G3464" s="6">
        <v>4193.0</v>
      </c>
      <c r="H3464" s="6">
        <v>128.7517</v>
      </c>
      <c r="I3464" s="6">
        <v>138.6597</v>
      </c>
      <c r="J3464" s="6">
        <v>-9.9079</v>
      </c>
    </row>
    <row r="3465">
      <c r="A3465" s="5" t="s">
        <v>60</v>
      </c>
      <c r="B3465" s="5" t="s">
        <v>163</v>
      </c>
      <c r="C3465" s="5" t="s">
        <v>1882</v>
      </c>
      <c r="D3465" s="6">
        <v>32.0</v>
      </c>
      <c r="E3465" s="6">
        <v>639334.0</v>
      </c>
      <c r="F3465" s="6">
        <v>646000.0</v>
      </c>
      <c r="G3465" s="6">
        <v>4193.0</v>
      </c>
      <c r="H3465" s="6">
        <v>152.4765</v>
      </c>
      <c r="I3465" s="6">
        <v>154.0663</v>
      </c>
      <c r="J3465" s="6">
        <v>-1.5898</v>
      </c>
    </row>
    <row r="3466">
      <c r="A3466" s="5" t="s">
        <v>60</v>
      </c>
      <c r="B3466" s="5" t="s">
        <v>163</v>
      </c>
      <c r="C3466" s="5" t="s">
        <v>1882</v>
      </c>
      <c r="D3466" s="6">
        <v>33.0</v>
      </c>
      <c r="E3466" s="6">
        <v>534679.0</v>
      </c>
      <c r="F3466" s="6">
        <v>588600.0</v>
      </c>
      <c r="G3466" s="6">
        <v>4193.0</v>
      </c>
      <c r="H3466" s="6">
        <v>127.5171</v>
      </c>
      <c r="I3466" s="6">
        <v>140.3768</v>
      </c>
      <c r="J3466" s="6">
        <v>-12.8598</v>
      </c>
    </row>
    <row r="3467">
      <c r="A3467" s="5" t="s">
        <v>60</v>
      </c>
      <c r="B3467" s="5" t="s">
        <v>163</v>
      </c>
      <c r="C3467" s="5" t="s">
        <v>72</v>
      </c>
      <c r="D3467" s="6">
        <v>1.0</v>
      </c>
      <c r="E3467" s="6">
        <v>2298.0</v>
      </c>
      <c r="F3467" s="6">
        <v>2990.0</v>
      </c>
      <c r="G3467" s="6">
        <v>4070.0</v>
      </c>
      <c r="H3467" s="6">
        <v>0.5646</v>
      </c>
      <c r="I3467" s="6">
        <v>0.7346</v>
      </c>
      <c r="J3467" s="6">
        <v>-0.17</v>
      </c>
    </row>
    <row r="3468">
      <c r="A3468" s="5" t="s">
        <v>60</v>
      </c>
      <c r="B3468" s="5" t="s">
        <v>163</v>
      </c>
      <c r="C3468" s="5" t="s">
        <v>72</v>
      </c>
      <c r="D3468" s="6">
        <v>2.0</v>
      </c>
      <c r="E3468" s="6">
        <v>2479.0</v>
      </c>
      <c r="F3468" s="6">
        <v>3610.0</v>
      </c>
      <c r="G3468" s="6">
        <v>4070.0</v>
      </c>
      <c r="H3468" s="6">
        <v>0.6091</v>
      </c>
      <c r="I3468" s="6">
        <v>0.887</v>
      </c>
      <c r="J3468" s="6">
        <v>-0.2779</v>
      </c>
    </row>
    <row r="3469">
      <c r="A3469" s="5" t="s">
        <v>60</v>
      </c>
      <c r="B3469" s="5" t="s">
        <v>163</v>
      </c>
      <c r="C3469" s="5" t="s">
        <v>72</v>
      </c>
      <c r="D3469" s="6">
        <v>3.0</v>
      </c>
      <c r="E3469" s="6">
        <v>3037.0</v>
      </c>
      <c r="F3469" s="6">
        <v>3091.0</v>
      </c>
      <c r="G3469" s="6">
        <v>4070.0</v>
      </c>
      <c r="H3469" s="6">
        <v>0.7462</v>
      </c>
      <c r="I3469" s="6">
        <v>0.7595</v>
      </c>
      <c r="J3469" s="6">
        <v>-0.0133</v>
      </c>
    </row>
    <row r="3470">
      <c r="A3470" s="5" t="s">
        <v>60</v>
      </c>
      <c r="B3470" s="5" t="s">
        <v>163</v>
      </c>
      <c r="C3470" s="5" t="s">
        <v>72</v>
      </c>
      <c r="D3470" s="6">
        <v>4.0</v>
      </c>
      <c r="E3470" s="6">
        <v>2574.0</v>
      </c>
      <c r="F3470" s="6">
        <v>2922.0</v>
      </c>
      <c r="G3470" s="6">
        <v>4070.0</v>
      </c>
      <c r="H3470" s="6">
        <v>0.6324</v>
      </c>
      <c r="I3470" s="6">
        <v>0.7179</v>
      </c>
      <c r="J3470" s="6">
        <v>-0.0855</v>
      </c>
    </row>
    <row r="3471">
      <c r="A3471" s="5" t="s">
        <v>60</v>
      </c>
      <c r="B3471" s="5" t="s">
        <v>163</v>
      </c>
      <c r="C3471" s="5" t="s">
        <v>72</v>
      </c>
      <c r="D3471" s="6">
        <v>5.0</v>
      </c>
      <c r="E3471" s="6">
        <v>2837.0</v>
      </c>
      <c r="F3471" s="6">
        <v>3226.0</v>
      </c>
      <c r="G3471" s="6">
        <v>4070.0</v>
      </c>
      <c r="H3471" s="6">
        <v>0.6971</v>
      </c>
      <c r="I3471" s="6">
        <v>0.7926</v>
      </c>
      <c r="J3471" s="6">
        <v>-0.0956</v>
      </c>
    </row>
    <row r="3472">
      <c r="A3472" s="5" t="s">
        <v>60</v>
      </c>
      <c r="B3472" s="5" t="s">
        <v>163</v>
      </c>
      <c r="C3472" s="5" t="s">
        <v>72</v>
      </c>
      <c r="D3472" s="6">
        <v>6.0</v>
      </c>
      <c r="E3472" s="6">
        <v>3159.0</v>
      </c>
      <c r="F3472" s="6">
        <v>3208.0</v>
      </c>
      <c r="G3472" s="6">
        <v>4070.0</v>
      </c>
      <c r="H3472" s="6">
        <v>0.7762</v>
      </c>
      <c r="I3472" s="6">
        <v>0.7882</v>
      </c>
      <c r="J3472" s="6">
        <v>-0.012</v>
      </c>
    </row>
    <row r="3473">
      <c r="A3473" s="5" t="s">
        <v>60</v>
      </c>
      <c r="B3473" s="5" t="s">
        <v>163</v>
      </c>
      <c r="C3473" s="5" t="s">
        <v>72</v>
      </c>
      <c r="D3473" s="6">
        <v>7.0</v>
      </c>
      <c r="E3473" s="6">
        <v>3028.0</v>
      </c>
      <c r="F3473" s="6">
        <v>3400.0</v>
      </c>
      <c r="G3473" s="6">
        <v>4070.0</v>
      </c>
      <c r="H3473" s="6">
        <v>0.744</v>
      </c>
      <c r="I3473" s="6">
        <v>0.8354</v>
      </c>
      <c r="J3473" s="6">
        <v>-0.0914</v>
      </c>
    </row>
    <row r="3474">
      <c r="A3474" s="5" t="s">
        <v>60</v>
      </c>
      <c r="B3474" s="5" t="s">
        <v>163</v>
      </c>
      <c r="C3474" s="5" t="s">
        <v>72</v>
      </c>
      <c r="D3474" s="6">
        <v>8.0</v>
      </c>
      <c r="E3474" s="6">
        <v>2898.0</v>
      </c>
      <c r="F3474" s="6">
        <v>3151.0</v>
      </c>
      <c r="G3474" s="6">
        <v>4070.0</v>
      </c>
      <c r="H3474" s="6">
        <v>0.712</v>
      </c>
      <c r="I3474" s="6">
        <v>0.7742</v>
      </c>
      <c r="J3474" s="6">
        <v>-0.0622</v>
      </c>
    </row>
    <row r="3475">
      <c r="A3475" s="5" t="s">
        <v>60</v>
      </c>
      <c r="B3475" s="5" t="s">
        <v>163</v>
      </c>
      <c r="C3475" s="5" t="s">
        <v>72</v>
      </c>
      <c r="D3475" s="6">
        <v>9.0</v>
      </c>
      <c r="E3475" s="6">
        <v>2369.0</v>
      </c>
      <c r="F3475" s="6">
        <v>3223.0</v>
      </c>
      <c r="G3475" s="6">
        <v>4070.0</v>
      </c>
      <c r="H3475" s="6">
        <v>0.5821</v>
      </c>
      <c r="I3475" s="6">
        <v>0.7919</v>
      </c>
      <c r="J3475" s="6">
        <v>-0.2098</v>
      </c>
    </row>
    <row r="3476">
      <c r="A3476" s="5" t="s">
        <v>60</v>
      </c>
      <c r="B3476" s="5" t="s">
        <v>163</v>
      </c>
      <c r="C3476" s="5" t="s">
        <v>72</v>
      </c>
      <c r="D3476" s="6">
        <v>10.0</v>
      </c>
      <c r="E3476" s="6">
        <v>3215.0</v>
      </c>
      <c r="F3476" s="6">
        <v>3487.0</v>
      </c>
      <c r="G3476" s="6">
        <v>4070.0</v>
      </c>
      <c r="H3476" s="6">
        <v>0.7899</v>
      </c>
      <c r="I3476" s="6">
        <v>0.8568</v>
      </c>
      <c r="J3476" s="6">
        <v>-0.0668</v>
      </c>
    </row>
    <row r="3477">
      <c r="A3477" s="5" t="s">
        <v>60</v>
      </c>
      <c r="B3477" s="5" t="s">
        <v>163</v>
      </c>
      <c r="C3477" s="5" t="s">
        <v>72</v>
      </c>
      <c r="D3477" s="6">
        <v>11.0</v>
      </c>
      <c r="E3477" s="6">
        <v>2514.0</v>
      </c>
      <c r="F3477" s="6">
        <v>2870.0</v>
      </c>
      <c r="G3477" s="6">
        <v>4070.0</v>
      </c>
      <c r="H3477" s="6">
        <v>0.6177</v>
      </c>
      <c r="I3477" s="6">
        <v>0.7052</v>
      </c>
      <c r="J3477" s="6">
        <v>-0.0875</v>
      </c>
    </row>
    <row r="3478">
      <c r="A3478" s="5" t="s">
        <v>60</v>
      </c>
      <c r="B3478" s="5" t="s">
        <v>163</v>
      </c>
      <c r="C3478" s="5" t="s">
        <v>72</v>
      </c>
      <c r="D3478" s="6">
        <v>12.0</v>
      </c>
      <c r="E3478" s="6">
        <v>2839.0</v>
      </c>
      <c r="F3478" s="6">
        <v>3500.0</v>
      </c>
      <c r="G3478" s="6">
        <v>4070.0</v>
      </c>
      <c r="H3478" s="6">
        <v>0.6975</v>
      </c>
      <c r="I3478" s="6">
        <v>0.86</v>
      </c>
      <c r="J3478" s="6">
        <v>-0.1624</v>
      </c>
    </row>
    <row r="3479">
      <c r="A3479" s="5" t="s">
        <v>60</v>
      </c>
      <c r="B3479" s="5" t="s">
        <v>163</v>
      </c>
      <c r="C3479" s="5" t="s">
        <v>72</v>
      </c>
      <c r="D3479" s="6">
        <v>13.0</v>
      </c>
      <c r="E3479" s="6">
        <v>2990.0</v>
      </c>
      <c r="F3479" s="6">
        <v>3330.0</v>
      </c>
      <c r="G3479" s="6">
        <v>4070.0</v>
      </c>
      <c r="H3479" s="6">
        <v>0.7346</v>
      </c>
      <c r="I3479" s="6">
        <v>0.8182</v>
      </c>
      <c r="J3479" s="6">
        <v>-0.0835</v>
      </c>
    </row>
    <row r="3480">
      <c r="A3480" s="5" t="s">
        <v>60</v>
      </c>
      <c r="B3480" s="5" t="s">
        <v>163</v>
      </c>
      <c r="C3480" s="5" t="s">
        <v>72</v>
      </c>
      <c r="D3480" s="6">
        <v>14.0</v>
      </c>
      <c r="E3480" s="6">
        <v>2786.0</v>
      </c>
      <c r="F3480" s="6">
        <v>3083.0</v>
      </c>
      <c r="G3480" s="6">
        <v>4070.0</v>
      </c>
      <c r="H3480" s="6">
        <v>0.6845</v>
      </c>
      <c r="I3480" s="6">
        <v>0.7575</v>
      </c>
      <c r="J3480" s="6">
        <v>-0.073</v>
      </c>
    </row>
    <row r="3481">
      <c r="A3481" s="5" t="s">
        <v>60</v>
      </c>
      <c r="B3481" s="5" t="s">
        <v>163</v>
      </c>
      <c r="C3481" s="5" t="s">
        <v>72</v>
      </c>
      <c r="D3481" s="6">
        <v>15.0</v>
      </c>
      <c r="E3481" s="6">
        <v>2981.0</v>
      </c>
      <c r="F3481" s="6">
        <v>3416.0</v>
      </c>
      <c r="G3481" s="6">
        <v>4070.0</v>
      </c>
      <c r="H3481" s="6">
        <v>0.7324</v>
      </c>
      <c r="I3481" s="6">
        <v>0.8393</v>
      </c>
      <c r="J3481" s="6">
        <v>-0.1069</v>
      </c>
    </row>
    <row r="3482">
      <c r="A3482" s="5" t="s">
        <v>60</v>
      </c>
      <c r="B3482" s="5" t="s">
        <v>163</v>
      </c>
      <c r="C3482" s="5" t="s">
        <v>72</v>
      </c>
      <c r="D3482" s="6">
        <v>16.0</v>
      </c>
      <c r="E3482" s="6">
        <v>2997.0</v>
      </c>
      <c r="F3482" s="6">
        <v>3329.0</v>
      </c>
      <c r="G3482" s="6">
        <v>4070.0</v>
      </c>
      <c r="H3482" s="6">
        <v>0.7364</v>
      </c>
      <c r="I3482" s="6">
        <v>0.8179</v>
      </c>
      <c r="J3482" s="6">
        <v>-0.0816</v>
      </c>
    </row>
    <row r="3483">
      <c r="A3483" s="5" t="s">
        <v>60</v>
      </c>
      <c r="B3483" s="5" t="s">
        <v>163</v>
      </c>
      <c r="C3483" s="5" t="s">
        <v>72</v>
      </c>
      <c r="D3483" s="6">
        <v>17.0</v>
      </c>
      <c r="E3483" s="6">
        <v>3834.0</v>
      </c>
      <c r="F3483" s="6">
        <v>3611.0</v>
      </c>
      <c r="G3483" s="6">
        <v>4070.0</v>
      </c>
      <c r="H3483" s="6">
        <v>0.942</v>
      </c>
      <c r="I3483" s="6">
        <v>0.8872</v>
      </c>
      <c r="J3483" s="6">
        <v>0.0548</v>
      </c>
    </row>
    <row r="3484">
      <c r="A3484" s="5" t="s">
        <v>60</v>
      </c>
      <c r="B3484" s="5" t="s">
        <v>163</v>
      </c>
      <c r="C3484" s="5" t="s">
        <v>72</v>
      </c>
      <c r="D3484" s="6">
        <v>18.0</v>
      </c>
      <c r="E3484" s="6">
        <v>3171.0</v>
      </c>
      <c r="F3484" s="6">
        <v>3614.0</v>
      </c>
      <c r="G3484" s="6">
        <v>4070.0</v>
      </c>
      <c r="H3484" s="6">
        <v>0.7791</v>
      </c>
      <c r="I3484" s="6">
        <v>0.888</v>
      </c>
      <c r="J3484" s="6">
        <v>-0.1088</v>
      </c>
    </row>
    <row r="3485">
      <c r="A3485" s="5" t="s">
        <v>60</v>
      </c>
      <c r="B3485" s="5" t="s">
        <v>163</v>
      </c>
      <c r="C3485" s="5" t="s">
        <v>72</v>
      </c>
      <c r="D3485" s="6">
        <v>19.0</v>
      </c>
      <c r="E3485" s="6">
        <v>3126.0</v>
      </c>
      <c r="F3485" s="6">
        <v>3608.0</v>
      </c>
      <c r="G3485" s="6">
        <v>4070.0</v>
      </c>
      <c r="H3485" s="6">
        <v>0.7681</v>
      </c>
      <c r="I3485" s="6">
        <v>0.8865</v>
      </c>
      <c r="J3485" s="6">
        <v>-0.1184</v>
      </c>
    </row>
    <row r="3486">
      <c r="A3486" s="5" t="s">
        <v>60</v>
      </c>
      <c r="B3486" s="5" t="s">
        <v>163</v>
      </c>
      <c r="C3486" s="5" t="s">
        <v>72</v>
      </c>
      <c r="D3486" s="6">
        <v>20.0</v>
      </c>
      <c r="E3486" s="6">
        <v>3743.0</v>
      </c>
      <c r="F3486" s="6">
        <v>3791.0</v>
      </c>
      <c r="G3486" s="6">
        <v>4070.0</v>
      </c>
      <c r="H3486" s="6">
        <v>0.9197</v>
      </c>
      <c r="I3486" s="6">
        <v>0.9314</v>
      </c>
      <c r="J3486" s="6">
        <v>-0.0118</v>
      </c>
    </row>
    <row r="3487">
      <c r="A3487" s="5" t="s">
        <v>60</v>
      </c>
      <c r="B3487" s="5" t="s">
        <v>163</v>
      </c>
      <c r="C3487" s="5" t="s">
        <v>72</v>
      </c>
      <c r="D3487" s="6">
        <v>21.0</v>
      </c>
      <c r="E3487" s="6">
        <v>4019.0</v>
      </c>
      <c r="F3487" s="6">
        <v>3941.0</v>
      </c>
      <c r="G3487" s="6">
        <v>4070.0</v>
      </c>
      <c r="H3487" s="6">
        <v>0.9875</v>
      </c>
      <c r="I3487" s="6">
        <v>0.9683</v>
      </c>
      <c r="J3487" s="6">
        <v>0.0192</v>
      </c>
    </row>
    <row r="3488">
      <c r="A3488" s="5" t="s">
        <v>60</v>
      </c>
      <c r="B3488" s="5" t="s">
        <v>163</v>
      </c>
      <c r="C3488" s="5" t="s">
        <v>72</v>
      </c>
      <c r="D3488" s="6">
        <v>22.0</v>
      </c>
      <c r="E3488" s="6">
        <v>3703.0</v>
      </c>
      <c r="F3488" s="6">
        <v>3905.0</v>
      </c>
      <c r="G3488" s="6">
        <v>4070.0</v>
      </c>
      <c r="H3488" s="6">
        <v>0.9098</v>
      </c>
      <c r="I3488" s="6">
        <v>0.9595</v>
      </c>
      <c r="J3488" s="6">
        <v>-0.0496</v>
      </c>
    </row>
    <row r="3489">
      <c r="A3489" s="5" t="s">
        <v>60</v>
      </c>
      <c r="B3489" s="5" t="s">
        <v>163</v>
      </c>
      <c r="C3489" s="5" t="s">
        <v>72</v>
      </c>
      <c r="D3489" s="6">
        <v>23.0</v>
      </c>
      <c r="E3489" s="6">
        <v>3190.0</v>
      </c>
      <c r="F3489" s="6">
        <v>3642.0</v>
      </c>
      <c r="G3489" s="6">
        <v>4070.0</v>
      </c>
      <c r="H3489" s="6">
        <v>0.7838</v>
      </c>
      <c r="I3489" s="6">
        <v>0.8948</v>
      </c>
      <c r="J3489" s="6">
        <v>-0.1111</v>
      </c>
    </row>
    <row r="3490">
      <c r="A3490" s="5" t="s">
        <v>60</v>
      </c>
      <c r="B3490" s="5" t="s">
        <v>163</v>
      </c>
      <c r="C3490" s="5" t="s">
        <v>72</v>
      </c>
      <c r="D3490" s="6">
        <v>24.0</v>
      </c>
      <c r="E3490" s="6">
        <v>3918.0</v>
      </c>
      <c r="F3490" s="6">
        <v>4139.0</v>
      </c>
      <c r="G3490" s="6">
        <v>4070.0</v>
      </c>
      <c r="H3490" s="6">
        <v>0.9627</v>
      </c>
      <c r="I3490" s="6">
        <v>1.017</v>
      </c>
      <c r="J3490" s="6">
        <v>-0.0543</v>
      </c>
    </row>
    <row r="3491">
      <c r="A3491" s="5" t="s">
        <v>60</v>
      </c>
      <c r="B3491" s="5" t="s">
        <v>163</v>
      </c>
      <c r="C3491" s="5" t="s">
        <v>72</v>
      </c>
      <c r="D3491" s="6">
        <v>25.0</v>
      </c>
      <c r="E3491" s="6">
        <v>3336.0</v>
      </c>
      <c r="F3491" s="6">
        <v>3759.0</v>
      </c>
      <c r="G3491" s="6">
        <v>4070.0</v>
      </c>
      <c r="H3491" s="6">
        <v>0.8197</v>
      </c>
      <c r="I3491" s="6">
        <v>0.9236</v>
      </c>
      <c r="J3491" s="6">
        <v>-0.1039</v>
      </c>
    </row>
    <row r="3492">
      <c r="A3492" s="5" t="s">
        <v>60</v>
      </c>
      <c r="B3492" s="5" t="s">
        <v>163</v>
      </c>
      <c r="C3492" s="5" t="s">
        <v>72</v>
      </c>
      <c r="D3492" s="6">
        <v>26.0</v>
      </c>
      <c r="E3492" s="6">
        <v>3462.0</v>
      </c>
      <c r="F3492" s="6">
        <v>3917.0</v>
      </c>
      <c r="G3492" s="6">
        <v>4070.0</v>
      </c>
      <c r="H3492" s="6">
        <v>0.8506</v>
      </c>
      <c r="I3492" s="6">
        <v>0.9624</v>
      </c>
      <c r="J3492" s="6">
        <v>-0.1118</v>
      </c>
    </row>
    <row r="3493">
      <c r="A3493" s="5" t="s">
        <v>60</v>
      </c>
      <c r="B3493" s="5" t="s">
        <v>163</v>
      </c>
      <c r="C3493" s="5" t="s">
        <v>72</v>
      </c>
      <c r="D3493" s="6">
        <v>27.0</v>
      </c>
      <c r="E3493" s="6">
        <v>3775.0</v>
      </c>
      <c r="F3493" s="6">
        <v>4282.0</v>
      </c>
      <c r="G3493" s="6">
        <v>4070.0</v>
      </c>
      <c r="H3493" s="6">
        <v>0.9275</v>
      </c>
      <c r="I3493" s="6">
        <v>1.0521</v>
      </c>
      <c r="J3493" s="6">
        <v>-0.1246</v>
      </c>
    </row>
    <row r="3494">
      <c r="A3494" s="5" t="s">
        <v>60</v>
      </c>
      <c r="B3494" s="5" t="s">
        <v>163</v>
      </c>
      <c r="C3494" s="5" t="s">
        <v>72</v>
      </c>
      <c r="D3494" s="6">
        <v>28.0</v>
      </c>
      <c r="E3494" s="6">
        <v>3304.0</v>
      </c>
      <c r="F3494" s="6">
        <v>3978.0</v>
      </c>
      <c r="G3494" s="6">
        <v>4070.0</v>
      </c>
      <c r="H3494" s="6">
        <v>0.8118</v>
      </c>
      <c r="I3494" s="6">
        <v>0.9774</v>
      </c>
      <c r="J3494" s="6">
        <v>-0.1656</v>
      </c>
    </row>
    <row r="3495">
      <c r="A3495" s="5" t="s">
        <v>60</v>
      </c>
      <c r="B3495" s="5" t="s">
        <v>163</v>
      </c>
      <c r="C3495" s="5" t="s">
        <v>72</v>
      </c>
      <c r="D3495" s="6">
        <v>29.0</v>
      </c>
      <c r="E3495" s="6">
        <v>3485.0</v>
      </c>
      <c r="F3495" s="6">
        <v>4491.0</v>
      </c>
      <c r="G3495" s="6">
        <v>4070.0</v>
      </c>
      <c r="H3495" s="6">
        <v>0.8563</v>
      </c>
      <c r="I3495" s="6">
        <v>1.1034</v>
      </c>
      <c r="J3495" s="6">
        <v>-0.2472</v>
      </c>
    </row>
    <row r="3496">
      <c r="A3496" s="5" t="s">
        <v>60</v>
      </c>
      <c r="B3496" s="5" t="s">
        <v>163</v>
      </c>
      <c r="C3496" s="5" t="s">
        <v>72</v>
      </c>
      <c r="D3496" s="6">
        <v>30.0</v>
      </c>
      <c r="E3496" s="6">
        <v>3987.0</v>
      </c>
      <c r="F3496" s="6">
        <v>4733.0</v>
      </c>
      <c r="G3496" s="6">
        <v>4070.0</v>
      </c>
      <c r="H3496" s="6">
        <v>0.9796</v>
      </c>
      <c r="I3496" s="6">
        <v>1.1629</v>
      </c>
      <c r="J3496" s="6">
        <v>-0.1833</v>
      </c>
    </row>
    <row r="3497">
      <c r="A3497" s="5" t="s">
        <v>60</v>
      </c>
      <c r="B3497" s="5" t="s">
        <v>163</v>
      </c>
      <c r="C3497" s="5" t="s">
        <v>72</v>
      </c>
      <c r="D3497" s="6">
        <v>31.0</v>
      </c>
      <c r="E3497" s="6">
        <v>5342.0</v>
      </c>
      <c r="F3497" s="6">
        <v>5435.0</v>
      </c>
      <c r="G3497" s="6">
        <v>4070.0</v>
      </c>
      <c r="H3497" s="6">
        <v>1.3125</v>
      </c>
      <c r="I3497" s="6">
        <v>1.3354</v>
      </c>
      <c r="J3497" s="6">
        <v>-0.0229</v>
      </c>
    </row>
    <row r="3498">
      <c r="A3498" s="5" t="s">
        <v>60</v>
      </c>
      <c r="B3498" s="5" t="s">
        <v>163</v>
      </c>
      <c r="C3498" s="5" t="s">
        <v>72</v>
      </c>
      <c r="D3498" s="6">
        <v>32.0</v>
      </c>
      <c r="E3498" s="6">
        <v>4829.0</v>
      </c>
      <c r="F3498" s="6">
        <v>5419.0</v>
      </c>
      <c r="G3498" s="6">
        <v>4070.0</v>
      </c>
      <c r="H3498" s="6">
        <v>1.1865</v>
      </c>
      <c r="I3498" s="6">
        <v>1.3314</v>
      </c>
      <c r="J3498" s="6">
        <v>-0.145</v>
      </c>
    </row>
    <row r="3499">
      <c r="A3499" s="5" t="s">
        <v>60</v>
      </c>
      <c r="B3499" s="5" t="s">
        <v>163</v>
      </c>
      <c r="C3499" s="5" t="s">
        <v>72</v>
      </c>
      <c r="D3499" s="6">
        <v>33.0</v>
      </c>
      <c r="E3499" s="6">
        <v>5309.0</v>
      </c>
      <c r="F3499" s="6">
        <v>5885.0</v>
      </c>
      <c r="G3499" s="6">
        <v>4070.0</v>
      </c>
      <c r="H3499" s="6">
        <v>1.3044</v>
      </c>
      <c r="I3499" s="6">
        <v>1.4459</v>
      </c>
      <c r="J3499" s="6">
        <v>-0.1415</v>
      </c>
    </row>
    <row r="3500">
      <c r="A3500" s="5" t="s">
        <v>60</v>
      </c>
      <c r="B3500" s="5" t="s">
        <v>163</v>
      </c>
      <c r="C3500" s="5" t="s">
        <v>73</v>
      </c>
      <c r="D3500" s="6">
        <v>1.0</v>
      </c>
      <c r="E3500" s="6">
        <v>2553.0</v>
      </c>
      <c r="F3500" s="6">
        <v>4059.0</v>
      </c>
      <c r="G3500" s="6">
        <v>4082.0</v>
      </c>
      <c r="H3500" s="6">
        <v>0.6254</v>
      </c>
      <c r="I3500" s="6">
        <v>0.9944</v>
      </c>
      <c r="J3500" s="6">
        <v>-0.3689</v>
      </c>
    </row>
    <row r="3501">
      <c r="A3501" s="5" t="s">
        <v>60</v>
      </c>
      <c r="B3501" s="5" t="s">
        <v>163</v>
      </c>
      <c r="C3501" s="5" t="s">
        <v>73</v>
      </c>
      <c r="D3501" s="6">
        <v>2.0</v>
      </c>
      <c r="E3501" s="6">
        <v>3417.0</v>
      </c>
      <c r="F3501" s="6">
        <v>4757.0</v>
      </c>
      <c r="G3501" s="6">
        <v>4082.0</v>
      </c>
      <c r="H3501" s="6">
        <v>0.8371</v>
      </c>
      <c r="I3501" s="6">
        <v>1.1654</v>
      </c>
      <c r="J3501" s="6">
        <v>-0.3283</v>
      </c>
    </row>
    <row r="3502">
      <c r="A3502" s="5" t="s">
        <v>60</v>
      </c>
      <c r="B3502" s="5" t="s">
        <v>163</v>
      </c>
      <c r="C3502" s="5" t="s">
        <v>73</v>
      </c>
      <c r="D3502" s="6">
        <v>3.0</v>
      </c>
      <c r="E3502" s="6">
        <v>3113.0</v>
      </c>
      <c r="F3502" s="6">
        <v>4209.0</v>
      </c>
      <c r="G3502" s="6">
        <v>4082.0</v>
      </c>
      <c r="H3502" s="6">
        <v>0.7626</v>
      </c>
      <c r="I3502" s="6">
        <v>1.0311</v>
      </c>
      <c r="J3502" s="6">
        <v>-0.2685</v>
      </c>
    </row>
    <row r="3503">
      <c r="A3503" s="5" t="s">
        <v>60</v>
      </c>
      <c r="B3503" s="5" t="s">
        <v>163</v>
      </c>
      <c r="C3503" s="5" t="s">
        <v>73</v>
      </c>
      <c r="D3503" s="6">
        <v>4.0</v>
      </c>
      <c r="E3503" s="6">
        <v>3039.0</v>
      </c>
      <c r="F3503" s="6">
        <v>4394.0</v>
      </c>
      <c r="G3503" s="6">
        <v>4082.0</v>
      </c>
      <c r="H3503" s="6">
        <v>0.7445</v>
      </c>
      <c r="I3503" s="6">
        <v>1.0764</v>
      </c>
      <c r="J3503" s="6">
        <v>-0.3319</v>
      </c>
    </row>
    <row r="3504">
      <c r="A3504" s="5" t="s">
        <v>60</v>
      </c>
      <c r="B3504" s="5" t="s">
        <v>163</v>
      </c>
      <c r="C3504" s="5" t="s">
        <v>73</v>
      </c>
      <c r="D3504" s="6">
        <v>5.0</v>
      </c>
      <c r="E3504" s="6">
        <v>2870.0</v>
      </c>
      <c r="F3504" s="6">
        <v>4488.0</v>
      </c>
      <c r="G3504" s="6">
        <v>4082.0</v>
      </c>
      <c r="H3504" s="6">
        <v>0.7031</v>
      </c>
      <c r="I3504" s="6">
        <v>1.0995</v>
      </c>
      <c r="J3504" s="6">
        <v>-0.3964</v>
      </c>
    </row>
    <row r="3505">
      <c r="A3505" s="5" t="s">
        <v>60</v>
      </c>
      <c r="B3505" s="5" t="s">
        <v>163</v>
      </c>
      <c r="C3505" s="5" t="s">
        <v>73</v>
      </c>
      <c r="D3505" s="6">
        <v>6.0</v>
      </c>
      <c r="E3505" s="6">
        <v>3429.0</v>
      </c>
      <c r="F3505" s="6">
        <v>4327.0</v>
      </c>
      <c r="G3505" s="6">
        <v>4082.0</v>
      </c>
      <c r="H3505" s="6">
        <v>0.84</v>
      </c>
      <c r="I3505" s="6">
        <v>1.06</v>
      </c>
      <c r="J3505" s="6">
        <v>-0.22</v>
      </c>
    </row>
    <row r="3506">
      <c r="A3506" s="5" t="s">
        <v>60</v>
      </c>
      <c r="B3506" s="5" t="s">
        <v>163</v>
      </c>
      <c r="C3506" s="5" t="s">
        <v>73</v>
      </c>
      <c r="D3506" s="6">
        <v>7.0</v>
      </c>
      <c r="E3506" s="6">
        <v>3301.0</v>
      </c>
      <c r="F3506" s="6">
        <v>4655.0</v>
      </c>
      <c r="G3506" s="6">
        <v>4082.0</v>
      </c>
      <c r="H3506" s="6">
        <v>0.8087</v>
      </c>
      <c r="I3506" s="6">
        <v>1.1404</v>
      </c>
      <c r="J3506" s="6">
        <v>-0.3317</v>
      </c>
    </row>
    <row r="3507">
      <c r="A3507" s="5" t="s">
        <v>60</v>
      </c>
      <c r="B3507" s="5" t="s">
        <v>163</v>
      </c>
      <c r="C3507" s="5" t="s">
        <v>73</v>
      </c>
      <c r="D3507" s="6">
        <v>8.0</v>
      </c>
      <c r="E3507" s="6">
        <v>2794.0</v>
      </c>
      <c r="F3507" s="6">
        <v>4709.0</v>
      </c>
      <c r="G3507" s="6">
        <v>4082.0</v>
      </c>
      <c r="H3507" s="6">
        <v>0.6845</v>
      </c>
      <c r="I3507" s="6">
        <v>1.1536</v>
      </c>
      <c r="J3507" s="6">
        <v>-0.4691</v>
      </c>
    </row>
    <row r="3508">
      <c r="A3508" s="5" t="s">
        <v>60</v>
      </c>
      <c r="B3508" s="5" t="s">
        <v>163</v>
      </c>
      <c r="C3508" s="5" t="s">
        <v>73</v>
      </c>
      <c r="D3508" s="6">
        <v>9.0</v>
      </c>
      <c r="E3508" s="6">
        <v>2949.0</v>
      </c>
      <c r="F3508" s="6">
        <v>5028.0</v>
      </c>
      <c r="G3508" s="6">
        <v>4082.0</v>
      </c>
      <c r="H3508" s="6">
        <v>0.7224</v>
      </c>
      <c r="I3508" s="6">
        <v>1.2317</v>
      </c>
      <c r="J3508" s="6">
        <v>-0.5093</v>
      </c>
    </row>
    <row r="3509">
      <c r="A3509" s="5" t="s">
        <v>60</v>
      </c>
      <c r="B3509" s="5" t="s">
        <v>163</v>
      </c>
      <c r="C3509" s="5" t="s">
        <v>73</v>
      </c>
      <c r="D3509" s="6">
        <v>10.0</v>
      </c>
      <c r="E3509" s="6">
        <v>3376.0</v>
      </c>
      <c r="F3509" s="6">
        <v>6715.0</v>
      </c>
      <c r="G3509" s="6">
        <v>4082.0</v>
      </c>
      <c r="H3509" s="6">
        <v>0.827</v>
      </c>
      <c r="I3509" s="6">
        <v>1.645</v>
      </c>
      <c r="J3509" s="6">
        <v>-0.818</v>
      </c>
    </row>
    <row r="3510">
      <c r="A3510" s="5" t="s">
        <v>60</v>
      </c>
      <c r="B3510" s="5" t="s">
        <v>163</v>
      </c>
      <c r="C3510" s="5" t="s">
        <v>73</v>
      </c>
      <c r="D3510" s="6">
        <v>11.0</v>
      </c>
      <c r="E3510" s="6">
        <v>3260.0</v>
      </c>
      <c r="F3510" s="6">
        <v>5121.0</v>
      </c>
      <c r="G3510" s="6">
        <v>4082.0</v>
      </c>
      <c r="H3510" s="6">
        <v>0.7986</v>
      </c>
      <c r="I3510" s="6">
        <v>1.2545</v>
      </c>
      <c r="J3510" s="6">
        <v>-0.4559</v>
      </c>
    </row>
    <row r="3511">
      <c r="A3511" s="5" t="s">
        <v>60</v>
      </c>
      <c r="B3511" s="5" t="s">
        <v>163</v>
      </c>
      <c r="C3511" s="5" t="s">
        <v>73</v>
      </c>
      <c r="D3511" s="6">
        <v>12.0</v>
      </c>
      <c r="E3511" s="6">
        <v>3053.0</v>
      </c>
      <c r="F3511" s="6">
        <v>6316.0</v>
      </c>
      <c r="G3511" s="6">
        <v>4082.0</v>
      </c>
      <c r="H3511" s="6">
        <v>0.7479</v>
      </c>
      <c r="I3511" s="6">
        <v>1.5473</v>
      </c>
      <c r="J3511" s="6">
        <v>-0.7994</v>
      </c>
    </row>
    <row r="3512">
      <c r="A3512" s="5" t="s">
        <v>60</v>
      </c>
      <c r="B3512" s="5" t="s">
        <v>163</v>
      </c>
      <c r="C3512" s="5" t="s">
        <v>73</v>
      </c>
      <c r="D3512" s="6">
        <v>13.0</v>
      </c>
      <c r="E3512" s="6">
        <v>3536.0</v>
      </c>
      <c r="F3512" s="6">
        <v>4988.0</v>
      </c>
      <c r="G3512" s="6">
        <v>4082.0</v>
      </c>
      <c r="H3512" s="6">
        <v>0.8662</v>
      </c>
      <c r="I3512" s="6">
        <v>1.222</v>
      </c>
      <c r="J3512" s="6">
        <v>-0.3557</v>
      </c>
    </row>
    <row r="3513">
      <c r="A3513" s="5" t="s">
        <v>60</v>
      </c>
      <c r="B3513" s="5" t="s">
        <v>163</v>
      </c>
      <c r="C3513" s="5" t="s">
        <v>73</v>
      </c>
      <c r="D3513" s="6">
        <v>14.0</v>
      </c>
      <c r="E3513" s="6">
        <v>3379.0</v>
      </c>
      <c r="F3513" s="6">
        <v>5505.0</v>
      </c>
      <c r="G3513" s="6">
        <v>4082.0</v>
      </c>
      <c r="H3513" s="6">
        <v>0.8278</v>
      </c>
      <c r="I3513" s="6">
        <v>1.3486</v>
      </c>
      <c r="J3513" s="6">
        <v>-0.5208</v>
      </c>
    </row>
    <row r="3514">
      <c r="A3514" s="5" t="s">
        <v>60</v>
      </c>
      <c r="B3514" s="5" t="s">
        <v>163</v>
      </c>
      <c r="C3514" s="5" t="s">
        <v>73</v>
      </c>
      <c r="D3514" s="6">
        <v>15.0</v>
      </c>
      <c r="E3514" s="6">
        <v>3163.0</v>
      </c>
      <c r="F3514" s="6">
        <v>4931.0</v>
      </c>
      <c r="G3514" s="6">
        <v>4082.0</v>
      </c>
      <c r="H3514" s="6">
        <v>0.7749</v>
      </c>
      <c r="I3514" s="6">
        <v>1.208</v>
      </c>
      <c r="J3514" s="6">
        <v>-0.4331</v>
      </c>
    </row>
    <row r="3515">
      <c r="A3515" s="5" t="s">
        <v>60</v>
      </c>
      <c r="B3515" s="5" t="s">
        <v>163</v>
      </c>
      <c r="C3515" s="5" t="s">
        <v>73</v>
      </c>
      <c r="D3515" s="6">
        <v>16.0</v>
      </c>
      <c r="E3515" s="6">
        <v>4046.0</v>
      </c>
      <c r="F3515" s="6">
        <v>4787.0</v>
      </c>
      <c r="G3515" s="6">
        <v>4082.0</v>
      </c>
      <c r="H3515" s="6">
        <v>0.9912</v>
      </c>
      <c r="I3515" s="6">
        <v>1.1727</v>
      </c>
      <c r="J3515" s="6">
        <v>-0.1815</v>
      </c>
    </row>
    <row r="3516">
      <c r="A3516" s="5" t="s">
        <v>60</v>
      </c>
      <c r="B3516" s="5" t="s">
        <v>163</v>
      </c>
      <c r="C3516" s="5" t="s">
        <v>73</v>
      </c>
      <c r="D3516" s="6">
        <v>17.0</v>
      </c>
      <c r="E3516" s="6">
        <v>3907.0</v>
      </c>
      <c r="F3516" s="6">
        <v>7295.0</v>
      </c>
      <c r="G3516" s="6">
        <v>4082.0</v>
      </c>
      <c r="H3516" s="6">
        <v>0.9571</v>
      </c>
      <c r="I3516" s="6">
        <v>1.7871</v>
      </c>
      <c r="J3516" s="6">
        <v>-0.83</v>
      </c>
    </row>
    <row r="3517">
      <c r="A3517" s="5" t="s">
        <v>60</v>
      </c>
      <c r="B3517" s="5" t="s">
        <v>163</v>
      </c>
      <c r="C3517" s="5" t="s">
        <v>73</v>
      </c>
      <c r="D3517" s="6">
        <v>18.0</v>
      </c>
      <c r="E3517" s="6">
        <v>3748.0</v>
      </c>
      <c r="F3517" s="6">
        <v>6091.0</v>
      </c>
      <c r="G3517" s="6">
        <v>4082.0</v>
      </c>
      <c r="H3517" s="6">
        <v>0.9182</v>
      </c>
      <c r="I3517" s="6">
        <v>1.4922</v>
      </c>
      <c r="J3517" s="6">
        <v>-0.574</v>
      </c>
    </row>
    <row r="3518">
      <c r="A3518" s="5" t="s">
        <v>60</v>
      </c>
      <c r="B3518" s="5" t="s">
        <v>163</v>
      </c>
      <c r="C3518" s="5" t="s">
        <v>73</v>
      </c>
      <c r="D3518" s="6">
        <v>19.0</v>
      </c>
      <c r="E3518" s="6">
        <v>3206.0</v>
      </c>
      <c r="F3518" s="6">
        <v>5002.0</v>
      </c>
      <c r="G3518" s="6">
        <v>4082.0</v>
      </c>
      <c r="H3518" s="6">
        <v>0.7854</v>
      </c>
      <c r="I3518" s="6">
        <v>1.2254</v>
      </c>
      <c r="J3518" s="6">
        <v>-0.44</v>
      </c>
    </row>
    <row r="3519">
      <c r="A3519" s="5" t="s">
        <v>60</v>
      </c>
      <c r="B3519" s="5" t="s">
        <v>163</v>
      </c>
      <c r="C3519" s="5" t="s">
        <v>73</v>
      </c>
      <c r="D3519" s="6">
        <v>20.0</v>
      </c>
      <c r="E3519" s="6">
        <v>4029.0</v>
      </c>
      <c r="F3519" s="6">
        <v>4803.0</v>
      </c>
      <c r="G3519" s="6">
        <v>4082.0</v>
      </c>
      <c r="H3519" s="6">
        <v>0.987</v>
      </c>
      <c r="I3519" s="6">
        <v>1.1766</v>
      </c>
      <c r="J3519" s="6">
        <v>-0.1896</v>
      </c>
    </row>
    <row r="3520">
      <c r="A3520" s="5" t="s">
        <v>60</v>
      </c>
      <c r="B3520" s="5" t="s">
        <v>163</v>
      </c>
      <c r="C3520" s="5" t="s">
        <v>73</v>
      </c>
      <c r="D3520" s="6">
        <v>21.0</v>
      </c>
      <c r="E3520" s="6">
        <v>5039.0</v>
      </c>
      <c r="F3520" s="6">
        <v>4692.0</v>
      </c>
      <c r="G3520" s="6">
        <v>4082.0</v>
      </c>
      <c r="H3520" s="6">
        <v>1.2344</v>
      </c>
      <c r="I3520" s="6">
        <v>1.1494</v>
      </c>
      <c r="J3520" s="6">
        <v>0.085</v>
      </c>
    </row>
    <row r="3521">
      <c r="A3521" s="5" t="s">
        <v>60</v>
      </c>
      <c r="B3521" s="5" t="s">
        <v>163</v>
      </c>
      <c r="C3521" s="5" t="s">
        <v>73</v>
      </c>
      <c r="D3521" s="6">
        <v>22.0</v>
      </c>
      <c r="E3521" s="6">
        <v>3769.0</v>
      </c>
      <c r="F3521" s="6">
        <v>4603.0</v>
      </c>
      <c r="G3521" s="6">
        <v>4082.0</v>
      </c>
      <c r="H3521" s="6">
        <v>0.9233</v>
      </c>
      <c r="I3521" s="6">
        <v>1.1276</v>
      </c>
      <c r="J3521" s="6">
        <v>-0.2043</v>
      </c>
    </row>
    <row r="3522">
      <c r="A3522" s="5" t="s">
        <v>60</v>
      </c>
      <c r="B3522" s="5" t="s">
        <v>163</v>
      </c>
      <c r="C3522" s="5" t="s">
        <v>73</v>
      </c>
      <c r="D3522" s="6">
        <v>23.0</v>
      </c>
      <c r="E3522" s="6">
        <v>3841.0</v>
      </c>
      <c r="F3522" s="6">
        <v>5959.0</v>
      </c>
      <c r="G3522" s="6">
        <v>4082.0</v>
      </c>
      <c r="H3522" s="6">
        <v>0.941</v>
      </c>
      <c r="I3522" s="6">
        <v>1.4598</v>
      </c>
      <c r="J3522" s="6">
        <v>-0.5189</v>
      </c>
    </row>
    <row r="3523">
      <c r="A3523" s="5" t="s">
        <v>60</v>
      </c>
      <c r="B3523" s="5" t="s">
        <v>163</v>
      </c>
      <c r="C3523" s="5" t="s">
        <v>73</v>
      </c>
      <c r="D3523" s="6">
        <v>24.0</v>
      </c>
      <c r="E3523" s="6">
        <v>3986.0</v>
      </c>
      <c r="F3523" s="6">
        <v>6667.0</v>
      </c>
      <c r="G3523" s="6">
        <v>4082.0</v>
      </c>
      <c r="H3523" s="6">
        <v>0.9765</v>
      </c>
      <c r="I3523" s="6">
        <v>1.6333</v>
      </c>
      <c r="J3523" s="6">
        <v>-0.6568</v>
      </c>
    </row>
    <row r="3524">
      <c r="A3524" s="5" t="s">
        <v>60</v>
      </c>
      <c r="B3524" s="5" t="s">
        <v>163</v>
      </c>
      <c r="C3524" s="5" t="s">
        <v>73</v>
      </c>
      <c r="D3524" s="6">
        <v>25.0</v>
      </c>
      <c r="E3524" s="6">
        <v>4181.0</v>
      </c>
      <c r="F3524" s="6">
        <v>5748.0</v>
      </c>
      <c r="G3524" s="6">
        <v>4082.0</v>
      </c>
      <c r="H3524" s="6">
        <v>1.0243</v>
      </c>
      <c r="I3524" s="6">
        <v>1.4081</v>
      </c>
      <c r="J3524" s="6">
        <v>-0.3839</v>
      </c>
    </row>
    <row r="3525">
      <c r="A3525" s="5" t="s">
        <v>60</v>
      </c>
      <c r="B3525" s="5" t="s">
        <v>163</v>
      </c>
      <c r="C3525" s="5" t="s">
        <v>73</v>
      </c>
      <c r="D3525" s="6">
        <v>26.0</v>
      </c>
      <c r="E3525" s="6">
        <v>3683.0</v>
      </c>
      <c r="F3525" s="6">
        <v>6079.0</v>
      </c>
      <c r="G3525" s="6">
        <v>4082.0</v>
      </c>
      <c r="H3525" s="6">
        <v>0.9023</v>
      </c>
      <c r="I3525" s="6">
        <v>1.4892</v>
      </c>
      <c r="J3525" s="6">
        <v>-0.587</v>
      </c>
    </row>
    <row r="3526">
      <c r="A3526" s="5" t="s">
        <v>60</v>
      </c>
      <c r="B3526" s="5" t="s">
        <v>163</v>
      </c>
      <c r="C3526" s="5" t="s">
        <v>73</v>
      </c>
      <c r="D3526" s="6">
        <v>27.0</v>
      </c>
      <c r="E3526" s="6">
        <v>4707.0</v>
      </c>
      <c r="F3526" s="6">
        <v>5023.0</v>
      </c>
      <c r="G3526" s="6">
        <v>4082.0</v>
      </c>
      <c r="H3526" s="6">
        <v>1.1531</v>
      </c>
      <c r="I3526" s="6">
        <v>1.2305</v>
      </c>
      <c r="J3526" s="6">
        <v>-0.0774</v>
      </c>
    </row>
    <row r="3527">
      <c r="A3527" s="5" t="s">
        <v>60</v>
      </c>
      <c r="B3527" s="5" t="s">
        <v>163</v>
      </c>
      <c r="C3527" s="5" t="s">
        <v>73</v>
      </c>
      <c r="D3527" s="6">
        <v>28.0</v>
      </c>
      <c r="E3527" s="6">
        <v>4393.0</v>
      </c>
      <c r="F3527" s="6">
        <v>5370.0</v>
      </c>
      <c r="G3527" s="6">
        <v>4082.0</v>
      </c>
      <c r="H3527" s="6">
        <v>1.0762</v>
      </c>
      <c r="I3527" s="6">
        <v>1.3155</v>
      </c>
      <c r="J3527" s="6">
        <v>-0.2393</v>
      </c>
    </row>
    <row r="3528">
      <c r="A3528" s="5" t="s">
        <v>60</v>
      </c>
      <c r="B3528" s="5" t="s">
        <v>163</v>
      </c>
      <c r="C3528" s="5" t="s">
        <v>73</v>
      </c>
      <c r="D3528" s="6">
        <v>29.0</v>
      </c>
      <c r="E3528" s="6">
        <v>3943.0</v>
      </c>
      <c r="F3528" s="6">
        <v>5619.0</v>
      </c>
      <c r="G3528" s="6">
        <v>4082.0</v>
      </c>
      <c r="H3528" s="6">
        <v>0.9659</v>
      </c>
      <c r="I3528" s="6">
        <v>1.3765</v>
      </c>
      <c r="J3528" s="6">
        <v>-0.4106</v>
      </c>
    </row>
    <row r="3529">
      <c r="A3529" s="5" t="s">
        <v>60</v>
      </c>
      <c r="B3529" s="5" t="s">
        <v>163</v>
      </c>
      <c r="C3529" s="5" t="s">
        <v>73</v>
      </c>
      <c r="D3529" s="6">
        <v>30.0</v>
      </c>
      <c r="E3529" s="6">
        <v>5358.0</v>
      </c>
      <c r="F3529" s="6">
        <v>6097.0</v>
      </c>
      <c r="G3529" s="6">
        <v>4082.0</v>
      </c>
      <c r="H3529" s="6">
        <v>1.3126</v>
      </c>
      <c r="I3529" s="6">
        <v>1.4936</v>
      </c>
      <c r="J3529" s="6">
        <v>-0.181</v>
      </c>
    </row>
    <row r="3530">
      <c r="A3530" s="5" t="s">
        <v>60</v>
      </c>
      <c r="B3530" s="5" t="s">
        <v>163</v>
      </c>
      <c r="C3530" s="5" t="s">
        <v>73</v>
      </c>
      <c r="D3530" s="6">
        <v>31.0</v>
      </c>
      <c r="E3530" s="6">
        <v>5370.0</v>
      </c>
      <c r="F3530" s="6">
        <v>6576.0</v>
      </c>
      <c r="G3530" s="6">
        <v>4082.0</v>
      </c>
      <c r="H3530" s="6">
        <v>1.3155</v>
      </c>
      <c r="I3530" s="6">
        <v>1.611</v>
      </c>
      <c r="J3530" s="6">
        <v>-0.2954</v>
      </c>
    </row>
    <row r="3531">
      <c r="A3531" s="5" t="s">
        <v>60</v>
      </c>
      <c r="B3531" s="5" t="s">
        <v>163</v>
      </c>
      <c r="C3531" s="5" t="s">
        <v>73</v>
      </c>
      <c r="D3531" s="6">
        <v>32.0</v>
      </c>
      <c r="E3531" s="6">
        <v>5719.0</v>
      </c>
      <c r="F3531" s="6">
        <v>6982.0</v>
      </c>
      <c r="G3531" s="6">
        <v>4082.0</v>
      </c>
      <c r="H3531" s="6">
        <v>1.401</v>
      </c>
      <c r="I3531" s="6">
        <v>1.7104</v>
      </c>
      <c r="J3531" s="6">
        <v>-0.3094</v>
      </c>
    </row>
    <row r="3532">
      <c r="A3532" s="5" t="s">
        <v>60</v>
      </c>
      <c r="B3532" s="5" t="s">
        <v>163</v>
      </c>
      <c r="C3532" s="5" t="s">
        <v>73</v>
      </c>
      <c r="D3532" s="6">
        <v>33.0</v>
      </c>
      <c r="E3532" s="6">
        <v>5426.0</v>
      </c>
      <c r="F3532" s="6">
        <v>6312.0</v>
      </c>
      <c r="G3532" s="6">
        <v>4082.0</v>
      </c>
      <c r="H3532" s="6">
        <v>1.3293</v>
      </c>
      <c r="I3532" s="6">
        <v>1.5463</v>
      </c>
      <c r="J3532" s="6">
        <v>-0.2171</v>
      </c>
    </row>
    <row r="3533">
      <c r="A3533" s="5" t="s">
        <v>60</v>
      </c>
      <c r="B3533" s="5" t="s">
        <v>163</v>
      </c>
      <c r="C3533" s="5" t="s">
        <v>74</v>
      </c>
      <c r="D3533" s="6">
        <v>1.0</v>
      </c>
      <c r="E3533" s="6">
        <v>1439.0</v>
      </c>
      <c r="F3533" s="6">
        <v>2017.0</v>
      </c>
      <c r="G3533" s="6">
        <v>4075.0</v>
      </c>
      <c r="H3533" s="6">
        <v>0.3531</v>
      </c>
      <c r="I3533" s="6">
        <v>0.495</v>
      </c>
      <c r="J3533" s="6">
        <v>-0.1418</v>
      </c>
    </row>
    <row r="3534">
      <c r="A3534" s="5" t="s">
        <v>60</v>
      </c>
      <c r="B3534" s="5" t="s">
        <v>163</v>
      </c>
      <c r="C3534" s="5" t="s">
        <v>74</v>
      </c>
      <c r="D3534" s="6">
        <v>2.0</v>
      </c>
      <c r="E3534" s="6">
        <v>2440.0</v>
      </c>
      <c r="F3534" s="6">
        <v>3321.0</v>
      </c>
      <c r="G3534" s="6">
        <v>4075.0</v>
      </c>
      <c r="H3534" s="6">
        <v>0.5988</v>
      </c>
      <c r="I3534" s="6">
        <v>0.815</v>
      </c>
      <c r="J3534" s="6">
        <v>-0.2162</v>
      </c>
    </row>
    <row r="3535">
      <c r="A3535" s="5" t="s">
        <v>60</v>
      </c>
      <c r="B3535" s="5" t="s">
        <v>163</v>
      </c>
      <c r="C3535" s="5" t="s">
        <v>74</v>
      </c>
      <c r="D3535" s="6">
        <v>3.0</v>
      </c>
      <c r="E3535" s="6">
        <v>1957.0</v>
      </c>
      <c r="F3535" s="6">
        <v>2162.0</v>
      </c>
      <c r="G3535" s="6">
        <v>4075.0</v>
      </c>
      <c r="H3535" s="6">
        <v>0.4802</v>
      </c>
      <c r="I3535" s="6">
        <v>0.5306</v>
      </c>
      <c r="J3535" s="6">
        <v>-0.0503</v>
      </c>
    </row>
    <row r="3536">
      <c r="A3536" s="5" t="s">
        <v>60</v>
      </c>
      <c r="B3536" s="5" t="s">
        <v>163</v>
      </c>
      <c r="C3536" s="5" t="s">
        <v>74</v>
      </c>
      <c r="D3536" s="6">
        <v>4.0</v>
      </c>
      <c r="E3536" s="6">
        <v>2228.0</v>
      </c>
      <c r="F3536" s="6">
        <v>2261.0</v>
      </c>
      <c r="G3536" s="6">
        <v>4075.0</v>
      </c>
      <c r="H3536" s="6">
        <v>0.5467</v>
      </c>
      <c r="I3536" s="6">
        <v>0.5548</v>
      </c>
      <c r="J3536" s="6">
        <v>-0.0081</v>
      </c>
    </row>
    <row r="3537">
      <c r="A3537" s="5" t="s">
        <v>60</v>
      </c>
      <c r="B3537" s="5" t="s">
        <v>163</v>
      </c>
      <c r="C3537" s="5" t="s">
        <v>74</v>
      </c>
      <c r="D3537" s="6">
        <v>5.0</v>
      </c>
      <c r="E3537" s="6">
        <v>1904.0</v>
      </c>
      <c r="F3537" s="6">
        <v>2946.0</v>
      </c>
      <c r="G3537" s="6">
        <v>4075.0</v>
      </c>
      <c r="H3537" s="6">
        <v>0.4672</v>
      </c>
      <c r="I3537" s="6">
        <v>0.7229</v>
      </c>
      <c r="J3537" s="6">
        <v>-0.2557</v>
      </c>
    </row>
    <row r="3538">
      <c r="A3538" s="5" t="s">
        <v>60</v>
      </c>
      <c r="B3538" s="5" t="s">
        <v>163</v>
      </c>
      <c r="C3538" s="5" t="s">
        <v>74</v>
      </c>
      <c r="D3538" s="6">
        <v>6.0</v>
      </c>
      <c r="E3538" s="6">
        <v>2808.0</v>
      </c>
      <c r="F3538" s="6">
        <v>2955.0</v>
      </c>
      <c r="G3538" s="6">
        <v>4075.0</v>
      </c>
      <c r="H3538" s="6">
        <v>0.6891</v>
      </c>
      <c r="I3538" s="6">
        <v>0.7252</v>
      </c>
      <c r="J3538" s="6">
        <v>-0.0361</v>
      </c>
    </row>
    <row r="3539">
      <c r="A3539" s="5" t="s">
        <v>60</v>
      </c>
      <c r="B3539" s="5" t="s">
        <v>163</v>
      </c>
      <c r="C3539" s="5" t="s">
        <v>74</v>
      </c>
      <c r="D3539" s="6">
        <v>7.0</v>
      </c>
      <c r="E3539" s="6">
        <v>2738.0</v>
      </c>
      <c r="F3539" s="6">
        <v>2966.0</v>
      </c>
      <c r="G3539" s="6">
        <v>4075.0</v>
      </c>
      <c r="H3539" s="6">
        <v>0.6719</v>
      </c>
      <c r="I3539" s="6">
        <v>0.7279</v>
      </c>
      <c r="J3539" s="6">
        <v>-0.056</v>
      </c>
    </row>
    <row r="3540">
      <c r="A3540" s="5" t="s">
        <v>60</v>
      </c>
      <c r="B3540" s="5" t="s">
        <v>163</v>
      </c>
      <c r="C3540" s="5" t="s">
        <v>74</v>
      </c>
      <c r="D3540" s="6">
        <v>8.0</v>
      </c>
      <c r="E3540" s="6">
        <v>1958.0</v>
      </c>
      <c r="F3540" s="6">
        <v>2440.0</v>
      </c>
      <c r="G3540" s="6">
        <v>4075.0</v>
      </c>
      <c r="H3540" s="6">
        <v>0.4805</v>
      </c>
      <c r="I3540" s="6">
        <v>0.5988</v>
      </c>
      <c r="J3540" s="6">
        <v>-0.1183</v>
      </c>
    </row>
    <row r="3541">
      <c r="A3541" s="5" t="s">
        <v>60</v>
      </c>
      <c r="B3541" s="5" t="s">
        <v>163</v>
      </c>
      <c r="C3541" s="5" t="s">
        <v>74</v>
      </c>
      <c r="D3541" s="6">
        <v>9.0</v>
      </c>
      <c r="E3541" s="6">
        <v>2202.0</v>
      </c>
      <c r="F3541" s="6">
        <v>2787.0</v>
      </c>
      <c r="G3541" s="6">
        <v>4075.0</v>
      </c>
      <c r="H3541" s="6">
        <v>0.5404</v>
      </c>
      <c r="I3541" s="6">
        <v>0.6839</v>
      </c>
      <c r="J3541" s="6">
        <v>-0.1436</v>
      </c>
    </row>
    <row r="3542">
      <c r="A3542" s="5" t="s">
        <v>60</v>
      </c>
      <c r="B3542" s="5" t="s">
        <v>163</v>
      </c>
      <c r="C3542" s="5" t="s">
        <v>74</v>
      </c>
      <c r="D3542" s="6">
        <v>10.0</v>
      </c>
      <c r="E3542" s="6">
        <v>2087.0</v>
      </c>
      <c r="F3542" s="6">
        <v>3262.0</v>
      </c>
      <c r="G3542" s="6">
        <v>4075.0</v>
      </c>
      <c r="H3542" s="6">
        <v>0.5121</v>
      </c>
      <c r="I3542" s="6">
        <v>0.8005</v>
      </c>
      <c r="J3542" s="6">
        <v>-0.2883</v>
      </c>
    </row>
    <row r="3543">
      <c r="A3543" s="5" t="s">
        <v>60</v>
      </c>
      <c r="B3543" s="5" t="s">
        <v>163</v>
      </c>
      <c r="C3543" s="5" t="s">
        <v>74</v>
      </c>
      <c r="D3543" s="6">
        <v>11.0</v>
      </c>
      <c r="E3543" s="6">
        <v>2323.0</v>
      </c>
      <c r="F3543" s="6">
        <v>2429.0</v>
      </c>
      <c r="G3543" s="6">
        <v>4075.0</v>
      </c>
      <c r="H3543" s="6">
        <v>0.5701</v>
      </c>
      <c r="I3543" s="6">
        <v>0.5961</v>
      </c>
      <c r="J3543" s="6">
        <v>-0.026</v>
      </c>
    </row>
    <row r="3544">
      <c r="A3544" s="5" t="s">
        <v>60</v>
      </c>
      <c r="B3544" s="5" t="s">
        <v>163</v>
      </c>
      <c r="C3544" s="5" t="s">
        <v>74</v>
      </c>
      <c r="D3544" s="6">
        <v>12.0</v>
      </c>
      <c r="E3544" s="6">
        <v>1907.0</v>
      </c>
      <c r="F3544" s="6">
        <v>2784.0</v>
      </c>
      <c r="G3544" s="6">
        <v>4075.0</v>
      </c>
      <c r="H3544" s="6">
        <v>0.468</v>
      </c>
      <c r="I3544" s="6">
        <v>0.6832</v>
      </c>
      <c r="J3544" s="6">
        <v>-0.2152</v>
      </c>
    </row>
    <row r="3545">
      <c r="A3545" s="5" t="s">
        <v>60</v>
      </c>
      <c r="B3545" s="5" t="s">
        <v>163</v>
      </c>
      <c r="C3545" s="5" t="s">
        <v>74</v>
      </c>
      <c r="D3545" s="6">
        <v>13.0</v>
      </c>
      <c r="E3545" s="6">
        <v>2903.0</v>
      </c>
      <c r="F3545" s="6">
        <v>3189.0</v>
      </c>
      <c r="G3545" s="6">
        <v>4075.0</v>
      </c>
      <c r="H3545" s="6">
        <v>0.7124</v>
      </c>
      <c r="I3545" s="6">
        <v>0.7826</v>
      </c>
      <c r="J3545" s="6">
        <v>-0.0702</v>
      </c>
    </row>
    <row r="3546">
      <c r="A3546" s="5" t="s">
        <v>60</v>
      </c>
      <c r="B3546" s="5" t="s">
        <v>163</v>
      </c>
      <c r="C3546" s="5" t="s">
        <v>74</v>
      </c>
      <c r="D3546" s="6">
        <v>14.0</v>
      </c>
      <c r="E3546" s="6">
        <v>2530.0</v>
      </c>
      <c r="F3546" s="6">
        <v>2712.0</v>
      </c>
      <c r="G3546" s="6">
        <v>4075.0</v>
      </c>
      <c r="H3546" s="6">
        <v>0.6209</v>
      </c>
      <c r="I3546" s="6">
        <v>0.6655</v>
      </c>
      <c r="J3546" s="6">
        <v>-0.0447</v>
      </c>
    </row>
    <row r="3547">
      <c r="A3547" s="5" t="s">
        <v>60</v>
      </c>
      <c r="B3547" s="5" t="s">
        <v>163</v>
      </c>
      <c r="C3547" s="5" t="s">
        <v>74</v>
      </c>
      <c r="D3547" s="6">
        <v>15.0</v>
      </c>
      <c r="E3547" s="6">
        <v>2038.0</v>
      </c>
      <c r="F3547" s="6">
        <v>2563.0</v>
      </c>
      <c r="G3547" s="6">
        <v>4075.0</v>
      </c>
      <c r="H3547" s="6">
        <v>0.5001</v>
      </c>
      <c r="I3547" s="6">
        <v>0.629</v>
      </c>
      <c r="J3547" s="6">
        <v>-0.1288</v>
      </c>
    </row>
    <row r="3548">
      <c r="A3548" s="5" t="s">
        <v>60</v>
      </c>
      <c r="B3548" s="5" t="s">
        <v>163</v>
      </c>
      <c r="C3548" s="5" t="s">
        <v>74</v>
      </c>
      <c r="D3548" s="6">
        <v>16.0</v>
      </c>
      <c r="E3548" s="6">
        <v>3108.0</v>
      </c>
      <c r="F3548" s="6">
        <v>3070.0</v>
      </c>
      <c r="G3548" s="6">
        <v>4075.0</v>
      </c>
      <c r="H3548" s="6">
        <v>0.7627</v>
      </c>
      <c r="I3548" s="6">
        <v>0.7534</v>
      </c>
      <c r="J3548" s="6">
        <v>0.0093</v>
      </c>
    </row>
    <row r="3549">
      <c r="A3549" s="5" t="s">
        <v>60</v>
      </c>
      <c r="B3549" s="5" t="s">
        <v>163</v>
      </c>
      <c r="C3549" s="5" t="s">
        <v>74</v>
      </c>
      <c r="D3549" s="6">
        <v>17.0</v>
      </c>
      <c r="E3549" s="6">
        <v>2552.0</v>
      </c>
      <c r="F3549" s="6">
        <v>2874.0</v>
      </c>
      <c r="G3549" s="6">
        <v>4075.0</v>
      </c>
      <c r="H3549" s="6">
        <v>0.6263</v>
      </c>
      <c r="I3549" s="6">
        <v>0.7053</v>
      </c>
      <c r="J3549" s="6">
        <v>-0.079</v>
      </c>
    </row>
    <row r="3550">
      <c r="A3550" s="5" t="s">
        <v>60</v>
      </c>
      <c r="B3550" s="5" t="s">
        <v>163</v>
      </c>
      <c r="C3550" s="5" t="s">
        <v>74</v>
      </c>
      <c r="D3550" s="6">
        <v>18.0</v>
      </c>
      <c r="E3550" s="6">
        <v>2759.0</v>
      </c>
      <c r="F3550" s="6">
        <v>2991.0</v>
      </c>
      <c r="G3550" s="6">
        <v>4075.0</v>
      </c>
      <c r="H3550" s="6">
        <v>0.6771</v>
      </c>
      <c r="I3550" s="6">
        <v>0.734</v>
      </c>
      <c r="J3550" s="6">
        <v>-0.0569</v>
      </c>
    </row>
    <row r="3551">
      <c r="A3551" s="5" t="s">
        <v>60</v>
      </c>
      <c r="B3551" s="5" t="s">
        <v>163</v>
      </c>
      <c r="C3551" s="5" t="s">
        <v>74</v>
      </c>
      <c r="D3551" s="6">
        <v>19.0</v>
      </c>
      <c r="E3551" s="6">
        <v>2122.0</v>
      </c>
      <c r="F3551" s="6">
        <v>3286.0</v>
      </c>
      <c r="G3551" s="6">
        <v>4075.0</v>
      </c>
      <c r="H3551" s="6">
        <v>0.5207</v>
      </c>
      <c r="I3551" s="6">
        <v>0.8064</v>
      </c>
      <c r="J3551" s="6">
        <v>-0.2856</v>
      </c>
    </row>
    <row r="3552">
      <c r="A3552" s="5" t="s">
        <v>60</v>
      </c>
      <c r="B3552" s="5" t="s">
        <v>163</v>
      </c>
      <c r="C3552" s="5" t="s">
        <v>74</v>
      </c>
      <c r="D3552" s="6">
        <v>20.0</v>
      </c>
      <c r="E3552" s="6">
        <v>3393.0</v>
      </c>
      <c r="F3552" s="6">
        <v>3382.0</v>
      </c>
      <c r="G3552" s="6">
        <v>4075.0</v>
      </c>
      <c r="H3552" s="6">
        <v>0.8326</v>
      </c>
      <c r="I3552" s="6">
        <v>0.8299</v>
      </c>
      <c r="J3552" s="6">
        <v>0.0027</v>
      </c>
    </row>
    <row r="3553">
      <c r="A3553" s="5" t="s">
        <v>60</v>
      </c>
      <c r="B3553" s="5" t="s">
        <v>163</v>
      </c>
      <c r="C3553" s="5" t="s">
        <v>74</v>
      </c>
      <c r="D3553" s="6">
        <v>21.0</v>
      </c>
      <c r="E3553" s="6">
        <v>3306.0</v>
      </c>
      <c r="F3553" s="6">
        <v>3197.0</v>
      </c>
      <c r="G3553" s="6">
        <v>4075.0</v>
      </c>
      <c r="H3553" s="6">
        <v>0.8113</v>
      </c>
      <c r="I3553" s="6">
        <v>0.7845</v>
      </c>
      <c r="J3553" s="6">
        <v>0.0267</v>
      </c>
    </row>
    <row r="3554">
      <c r="A3554" s="5" t="s">
        <v>60</v>
      </c>
      <c r="B3554" s="5" t="s">
        <v>163</v>
      </c>
      <c r="C3554" s="5" t="s">
        <v>74</v>
      </c>
      <c r="D3554" s="6">
        <v>22.0</v>
      </c>
      <c r="E3554" s="6">
        <v>2401.0</v>
      </c>
      <c r="F3554" s="6">
        <v>2773.0</v>
      </c>
      <c r="G3554" s="6">
        <v>4075.0</v>
      </c>
      <c r="H3554" s="6">
        <v>0.5892</v>
      </c>
      <c r="I3554" s="6">
        <v>0.6805</v>
      </c>
      <c r="J3554" s="6">
        <v>-0.0913</v>
      </c>
    </row>
    <row r="3555">
      <c r="A3555" s="5" t="s">
        <v>60</v>
      </c>
      <c r="B3555" s="5" t="s">
        <v>163</v>
      </c>
      <c r="C3555" s="5" t="s">
        <v>74</v>
      </c>
      <c r="D3555" s="6">
        <v>23.0</v>
      </c>
      <c r="E3555" s="6">
        <v>2673.0</v>
      </c>
      <c r="F3555" s="6">
        <v>3119.0</v>
      </c>
      <c r="G3555" s="6">
        <v>4075.0</v>
      </c>
      <c r="H3555" s="6">
        <v>0.656</v>
      </c>
      <c r="I3555" s="6">
        <v>0.7654</v>
      </c>
      <c r="J3555" s="6">
        <v>-0.1094</v>
      </c>
    </row>
    <row r="3556">
      <c r="A3556" s="5" t="s">
        <v>60</v>
      </c>
      <c r="B3556" s="5" t="s">
        <v>163</v>
      </c>
      <c r="C3556" s="5" t="s">
        <v>74</v>
      </c>
      <c r="D3556" s="6">
        <v>24.0</v>
      </c>
      <c r="E3556" s="6">
        <v>2372.0</v>
      </c>
      <c r="F3556" s="6">
        <v>3202.0</v>
      </c>
      <c r="G3556" s="6">
        <v>4075.0</v>
      </c>
      <c r="H3556" s="6">
        <v>0.5821</v>
      </c>
      <c r="I3556" s="6">
        <v>0.7858</v>
      </c>
      <c r="J3556" s="6">
        <v>-0.2037</v>
      </c>
    </row>
    <row r="3557">
      <c r="A3557" s="5" t="s">
        <v>60</v>
      </c>
      <c r="B3557" s="5" t="s">
        <v>163</v>
      </c>
      <c r="C3557" s="5" t="s">
        <v>74</v>
      </c>
      <c r="D3557" s="6">
        <v>25.0</v>
      </c>
      <c r="E3557" s="6">
        <v>2816.0</v>
      </c>
      <c r="F3557" s="6">
        <v>3334.0</v>
      </c>
      <c r="G3557" s="6">
        <v>4075.0</v>
      </c>
      <c r="H3557" s="6">
        <v>0.691</v>
      </c>
      <c r="I3557" s="6">
        <v>0.8182</v>
      </c>
      <c r="J3557" s="6">
        <v>-0.1271</v>
      </c>
    </row>
    <row r="3558">
      <c r="A3558" s="5" t="s">
        <v>60</v>
      </c>
      <c r="B3558" s="5" t="s">
        <v>163</v>
      </c>
      <c r="C3558" s="5" t="s">
        <v>74</v>
      </c>
      <c r="D3558" s="6">
        <v>26.0</v>
      </c>
      <c r="E3558" s="6">
        <v>2228.0</v>
      </c>
      <c r="F3558" s="6">
        <v>3787.0</v>
      </c>
      <c r="G3558" s="6">
        <v>4075.0</v>
      </c>
      <c r="H3558" s="6">
        <v>0.5467</v>
      </c>
      <c r="I3558" s="6">
        <v>0.9293</v>
      </c>
      <c r="J3558" s="6">
        <v>-0.3826</v>
      </c>
    </row>
    <row r="3559">
      <c r="A3559" s="5" t="s">
        <v>60</v>
      </c>
      <c r="B3559" s="5" t="s">
        <v>163</v>
      </c>
      <c r="C3559" s="5" t="s">
        <v>74</v>
      </c>
      <c r="D3559" s="6">
        <v>27.0</v>
      </c>
      <c r="E3559" s="6">
        <v>3415.0</v>
      </c>
      <c r="F3559" s="6">
        <v>3674.0</v>
      </c>
      <c r="G3559" s="6">
        <v>4075.0</v>
      </c>
      <c r="H3559" s="6">
        <v>0.838</v>
      </c>
      <c r="I3559" s="6">
        <v>0.9016</v>
      </c>
      <c r="J3559" s="6">
        <v>-0.0636</v>
      </c>
    </row>
    <row r="3560">
      <c r="A3560" s="5" t="s">
        <v>60</v>
      </c>
      <c r="B3560" s="5" t="s">
        <v>163</v>
      </c>
      <c r="C3560" s="5" t="s">
        <v>74</v>
      </c>
      <c r="D3560" s="6">
        <v>28.0</v>
      </c>
      <c r="E3560" s="6">
        <v>2917.0</v>
      </c>
      <c r="F3560" s="6">
        <v>3595.0</v>
      </c>
      <c r="G3560" s="6">
        <v>4075.0</v>
      </c>
      <c r="H3560" s="6">
        <v>0.7158</v>
      </c>
      <c r="I3560" s="6">
        <v>0.8822</v>
      </c>
      <c r="J3560" s="6">
        <v>-0.1664</v>
      </c>
    </row>
    <row r="3561">
      <c r="A3561" s="5" t="s">
        <v>60</v>
      </c>
      <c r="B3561" s="5" t="s">
        <v>163</v>
      </c>
      <c r="C3561" s="5" t="s">
        <v>74</v>
      </c>
      <c r="D3561" s="6">
        <v>29.0</v>
      </c>
      <c r="E3561" s="6">
        <v>2204.0</v>
      </c>
      <c r="F3561" s="6">
        <v>3225.0</v>
      </c>
      <c r="G3561" s="6">
        <v>4075.0</v>
      </c>
      <c r="H3561" s="6">
        <v>0.5409</v>
      </c>
      <c r="I3561" s="6">
        <v>0.7914</v>
      </c>
      <c r="J3561" s="6">
        <v>-0.2506</v>
      </c>
    </row>
    <row r="3562">
      <c r="A3562" s="5" t="s">
        <v>60</v>
      </c>
      <c r="B3562" s="5" t="s">
        <v>163</v>
      </c>
      <c r="C3562" s="5" t="s">
        <v>74</v>
      </c>
      <c r="D3562" s="6">
        <v>30.0</v>
      </c>
      <c r="E3562" s="6">
        <v>3769.0</v>
      </c>
      <c r="F3562" s="6">
        <v>3928.0</v>
      </c>
      <c r="G3562" s="6">
        <v>4075.0</v>
      </c>
      <c r="H3562" s="6">
        <v>0.9249</v>
      </c>
      <c r="I3562" s="6">
        <v>0.9639</v>
      </c>
      <c r="J3562" s="6">
        <v>-0.039</v>
      </c>
    </row>
    <row r="3563">
      <c r="A3563" s="5" t="s">
        <v>60</v>
      </c>
      <c r="B3563" s="5" t="s">
        <v>163</v>
      </c>
      <c r="C3563" s="5" t="s">
        <v>74</v>
      </c>
      <c r="D3563" s="6">
        <v>31.0</v>
      </c>
      <c r="E3563" s="6">
        <v>3307.0</v>
      </c>
      <c r="F3563" s="6">
        <v>3900.0</v>
      </c>
      <c r="G3563" s="6">
        <v>4075.0</v>
      </c>
      <c r="H3563" s="6">
        <v>0.8115</v>
      </c>
      <c r="I3563" s="6">
        <v>0.9571</v>
      </c>
      <c r="J3563" s="6">
        <v>-0.1455</v>
      </c>
    </row>
    <row r="3564">
      <c r="A3564" s="5" t="s">
        <v>60</v>
      </c>
      <c r="B3564" s="5" t="s">
        <v>163</v>
      </c>
      <c r="C3564" s="5" t="s">
        <v>74</v>
      </c>
      <c r="D3564" s="6">
        <v>32.0</v>
      </c>
      <c r="E3564" s="6">
        <v>3975.0</v>
      </c>
      <c r="F3564" s="6">
        <v>4300.0</v>
      </c>
      <c r="G3564" s="6">
        <v>4075.0</v>
      </c>
      <c r="H3564" s="6">
        <v>0.9755</v>
      </c>
      <c r="I3564" s="6">
        <v>1.0552</v>
      </c>
      <c r="J3564" s="6">
        <v>-0.0798</v>
      </c>
    </row>
    <row r="3565">
      <c r="A3565" s="5" t="s">
        <v>60</v>
      </c>
      <c r="B3565" s="5" t="s">
        <v>163</v>
      </c>
      <c r="C3565" s="5" t="s">
        <v>74</v>
      </c>
      <c r="D3565" s="6">
        <v>33.0</v>
      </c>
      <c r="E3565" s="6">
        <v>3357.0</v>
      </c>
      <c r="F3565" s="6">
        <v>4015.0</v>
      </c>
      <c r="G3565" s="6">
        <v>4075.0</v>
      </c>
      <c r="H3565" s="6">
        <v>0.8238</v>
      </c>
      <c r="I3565" s="6">
        <v>0.9853</v>
      </c>
      <c r="J3565" s="6">
        <v>-0.1615</v>
      </c>
    </row>
    <row r="3566">
      <c r="A3566" s="5" t="s">
        <v>60</v>
      </c>
      <c r="B3566" s="5" t="s">
        <v>163</v>
      </c>
      <c r="C3566" s="5" t="s">
        <v>69</v>
      </c>
      <c r="D3566" s="6">
        <v>1.0</v>
      </c>
      <c r="E3566" s="6">
        <v>3541.0</v>
      </c>
      <c r="F3566" s="6">
        <v>3945.0</v>
      </c>
      <c r="G3566" s="6">
        <v>4078.0</v>
      </c>
      <c r="H3566" s="6">
        <v>0.8683</v>
      </c>
      <c r="I3566" s="6">
        <v>0.9674</v>
      </c>
      <c r="J3566" s="6">
        <v>-0.0991</v>
      </c>
    </row>
    <row r="3567">
      <c r="A3567" s="5" t="s">
        <v>60</v>
      </c>
      <c r="B3567" s="5" t="s">
        <v>163</v>
      </c>
      <c r="C3567" s="5" t="s">
        <v>69</v>
      </c>
      <c r="D3567" s="6">
        <v>2.0</v>
      </c>
      <c r="E3567" s="6">
        <v>3857.0</v>
      </c>
      <c r="F3567" s="6">
        <v>4219.0</v>
      </c>
      <c r="G3567" s="6">
        <v>4078.0</v>
      </c>
      <c r="H3567" s="6">
        <v>0.9458</v>
      </c>
      <c r="I3567" s="6">
        <v>1.0346</v>
      </c>
      <c r="J3567" s="6">
        <v>-0.0888</v>
      </c>
    </row>
    <row r="3568">
      <c r="A3568" s="5" t="s">
        <v>60</v>
      </c>
      <c r="B3568" s="5" t="s">
        <v>163</v>
      </c>
      <c r="C3568" s="5" t="s">
        <v>69</v>
      </c>
      <c r="D3568" s="6">
        <v>3.0</v>
      </c>
      <c r="E3568" s="6">
        <v>4153.0</v>
      </c>
      <c r="F3568" s="6">
        <v>3930.0</v>
      </c>
      <c r="G3568" s="6">
        <v>4078.0</v>
      </c>
      <c r="H3568" s="6">
        <v>1.0184</v>
      </c>
      <c r="I3568" s="6">
        <v>0.9637</v>
      </c>
      <c r="J3568" s="6">
        <v>0.0547</v>
      </c>
    </row>
    <row r="3569">
      <c r="A3569" s="5" t="s">
        <v>60</v>
      </c>
      <c r="B3569" s="5" t="s">
        <v>163</v>
      </c>
      <c r="C3569" s="5" t="s">
        <v>69</v>
      </c>
      <c r="D3569" s="6">
        <v>4.0</v>
      </c>
      <c r="E3569" s="6">
        <v>3433.0</v>
      </c>
      <c r="F3569" s="6">
        <v>3522.0</v>
      </c>
      <c r="G3569" s="6">
        <v>4078.0</v>
      </c>
      <c r="H3569" s="6">
        <v>0.8418</v>
      </c>
      <c r="I3569" s="6">
        <v>0.8637</v>
      </c>
      <c r="J3569" s="6">
        <v>-0.0218</v>
      </c>
    </row>
    <row r="3570">
      <c r="A3570" s="5" t="s">
        <v>60</v>
      </c>
      <c r="B3570" s="5" t="s">
        <v>163</v>
      </c>
      <c r="C3570" s="5" t="s">
        <v>69</v>
      </c>
      <c r="D3570" s="6">
        <v>5.0</v>
      </c>
      <c r="E3570" s="6">
        <v>3844.0</v>
      </c>
      <c r="F3570" s="6">
        <v>4301.0</v>
      </c>
      <c r="G3570" s="6">
        <v>4078.0</v>
      </c>
      <c r="H3570" s="6">
        <v>0.9426</v>
      </c>
      <c r="I3570" s="6">
        <v>1.0547</v>
      </c>
      <c r="J3570" s="6">
        <v>-0.1121</v>
      </c>
    </row>
    <row r="3571">
      <c r="A3571" s="5" t="s">
        <v>60</v>
      </c>
      <c r="B3571" s="5" t="s">
        <v>163</v>
      </c>
      <c r="C3571" s="5" t="s">
        <v>69</v>
      </c>
      <c r="D3571" s="6">
        <v>6.0</v>
      </c>
      <c r="E3571" s="6">
        <v>4317.0</v>
      </c>
      <c r="F3571" s="6">
        <v>4308.0</v>
      </c>
      <c r="G3571" s="6">
        <v>4078.0</v>
      </c>
      <c r="H3571" s="6">
        <v>1.0586</v>
      </c>
      <c r="I3571" s="6">
        <v>1.0564</v>
      </c>
      <c r="J3571" s="6">
        <v>0.0022</v>
      </c>
    </row>
    <row r="3572">
      <c r="A3572" s="5" t="s">
        <v>60</v>
      </c>
      <c r="B3572" s="5" t="s">
        <v>163</v>
      </c>
      <c r="C3572" s="5" t="s">
        <v>69</v>
      </c>
      <c r="D3572" s="6">
        <v>7.0</v>
      </c>
      <c r="E3572" s="6">
        <v>3971.0</v>
      </c>
      <c r="F3572" s="6">
        <v>4434.0</v>
      </c>
      <c r="G3572" s="6">
        <v>4078.0</v>
      </c>
      <c r="H3572" s="6">
        <v>0.9738</v>
      </c>
      <c r="I3572" s="6">
        <v>1.0873</v>
      </c>
      <c r="J3572" s="6">
        <v>-0.1135</v>
      </c>
    </row>
    <row r="3573">
      <c r="A3573" s="5" t="s">
        <v>60</v>
      </c>
      <c r="B3573" s="5" t="s">
        <v>163</v>
      </c>
      <c r="C3573" s="5" t="s">
        <v>69</v>
      </c>
      <c r="D3573" s="6">
        <v>8.0</v>
      </c>
      <c r="E3573" s="6">
        <v>3692.0</v>
      </c>
      <c r="F3573" s="6">
        <v>4336.0</v>
      </c>
      <c r="G3573" s="6">
        <v>4078.0</v>
      </c>
      <c r="H3573" s="6">
        <v>0.9053</v>
      </c>
      <c r="I3573" s="6">
        <v>1.0633</v>
      </c>
      <c r="J3573" s="6">
        <v>-0.1579</v>
      </c>
    </row>
    <row r="3574">
      <c r="A3574" s="5" t="s">
        <v>60</v>
      </c>
      <c r="B3574" s="5" t="s">
        <v>163</v>
      </c>
      <c r="C3574" s="5" t="s">
        <v>69</v>
      </c>
      <c r="D3574" s="6">
        <v>9.0</v>
      </c>
      <c r="E3574" s="6">
        <v>3581.0</v>
      </c>
      <c r="F3574" s="6">
        <v>4329.0</v>
      </c>
      <c r="G3574" s="6">
        <v>4078.0</v>
      </c>
      <c r="H3574" s="6">
        <v>0.8781</v>
      </c>
      <c r="I3574" s="6">
        <v>1.0615</v>
      </c>
      <c r="J3574" s="6">
        <v>-0.1834</v>
      </c>
    </row>
    <row r="3575">
      <c r="A3575" s="5" t="s">
        <v>60</v>
      </c>
      <c r="B3575" s="5" t="s">
        <v>163</v>
      </c>
      <c r="C3575" s="5" t="s">
        <v>69</v>
      </c>
      <c r="D3575" s="6">
        <v>10.0</v>
      </c>
      <c r="E3575" s="6">
        <v>4701.0</v>
      </c>
      <c r="F3575" s="6">
        <v>4967.0</v>
      </c>
      <c r="G3575" s="6">
        <v>4078.0</v>
      </c>
      <c r="H3575" s="6">
        <v>1.1528</v>
      </c>
      <c r="I3575" s="6">
        <v>1.218</v>
      </c>
      <c r="J3575" s="6">
        <v>-0.0652</v>
      </c>
    </row>
    <row r="3576">
      <c r="A3576" s="5" t="s">
        <v>60</v>
      </c>
      <c r="B3576" s="5" t="s">
        <v>163</v>
      </c>
      <c r="C3576" s="5" t="s">
        <v>69</v>
      </c>
      <c r="D3576" s="6">
        <v>11.0</v>
      </c>
      <c r="E3576" s="6">
        <v>3752.0</v>
      </c>
      <c r="F3576" s="6">
        <v>3854.0</v>
      </c>
      <c r="G3576" s="6">
        <v>4078.0</v>
      </c>
      <c r="H3576" s="6">
        <v>0.9201</v>
      </c>
      <c r="I3576" s="6">
        <v>0.9451</v>
      </c>
      <c r="J3576" s="6">
        <v>-0.025</v>
      </c>
    </row>
    <row r="3577">
      <c r="A3577" s="5" t="s">
        <v>60</v>
      </c>
      <c r="B3577" s="5" t="s">
        <v>163</v>
      </c>
      <c r="C3577" s="5" t="s">
        <v>69</v>
      </c>
      <c r="D3577" s="6">
        <v>12.0</v>
      </c>
      <c r="E3577" s="6">
        <v>4251.0</v>
      </c>
      <c r="F3577" s="6">
        <v>4701.0</v>
      </c>
      <c r="G3577" s="6">
        <v>4078.0</v>
      </c>
      <c r="H3577" s="6">
        <v>1.0424</v>
      </c>
      <c r="I3577" s="6">
        <v>1.1528</v>
      </c>
      <c r="J3577" s="6">
        <v>-0.1103</v>
      </c>
    </row>
    <row r="3578">
      <c r="A3578" s="5" t="s">
        <v>60</v>
      </c>
      <c r="B3578" s="5" t="s">
        <v>163</v>
      </c>
      <c r="C3578" s="5" t="s">
        <v>69</v>
      </c>
      <c r="D3578" s="6">
        <v>13.0</v>
      </c>
      <c r="E3578" s="6">
        <v>4512.0</v>
      </c>
      <c r="F3578" s="6">
        <v>4772.0</v>
      </c>
      <c r="G3578" s="6">
        <v>4078.0</v>
      </c>
      <c r="H3578" s="6">
        <v>1.1064</v>
      </c>
      <c r="I3578" s="6">
        <v>1.1702</v>
      </c>
      <c r="J3578" s="6">
        <v>-0.0638</v>
      </c>
    </row>
    <row r="3579">
      <c r="A3579" s="5" t="s">
        <v>60</v>
      </c>
      <c r="B3579" s="5" t="s">
        <v>163</v>
      </c>
      <c r="C3579" s="5" t="s">
        <v>69</v>
      </c>
      <c r="D3579" s="6">
        <v>14.0</v>
      </c>
      <c r="E3579" s="6">
        <v>3829.0</v>
      </c>
      <c r="F3579" s="6">
        <v>4205.0</v>
      </c>
      <c r="G3579" s="6">
        <v>4078.0</v>
      </c>
      <c r="H3579" s="6">
        <v>0.9389</v>
      </c>
      <c r="I3579" s="6">
        <v>1.0311</v>
      </c>
      <c r="J3579" s="6">
        <v>-0.0922</v>
      </c>
    </row>
    <row r="3580">
      <c r="A3580" s="5" t="s">
        <v>60</v>
      </c>
      <c r="B3580" s="5" t="s">
        <v>163</v>
      </c>
      <c r="C3580" s="5" t="s">
        <v>69</v>
      </c>
      <c r="D3580" s="6">
        <v>15.0</v>
      </c>
      <c r="E3580" s="6">
        <v>4320.0</v>
      </c>
      <c r="F3580" s="6">
        <v>4845.0</v>
      </c>
      <c r="G3580" s="6">
        <v>4078.0</v>
      </c>
      <c r="H3580" s="6">
        <v>1.0593</v>
      </c>
      <c r="I3580" s="6">
        <v>1.1881</v>
      </c>
      <c r="J3580" s="6">
        <v>-0.1287</v>
      </c>
    </row>
    <row r="3581">
      <c r="A3581" s="5" t="s">
        <v>60</v>
      </c>
      <c r="B3581" s="5" t="s">
        <v>163</v>
      </c>
      <c r="C3581" s="5" t="s">
        <v>69</v>
      </c>
      <c r="D3581" s="6">
        <v>16.0</v>
      </c>
      <c r="E3581" s="6">
        <v>4334.0</v>
      </c>
      <c r="F3581" s="6">
        <v>4700.0</v>
      </c>
      <c r="G3581" s="6">
        <v>4078.0</v>
      </c>
      <c r="H3581" s="6">
        <v>1.0628</v>
      </c>
      <c r="I3581" s="6">
        <v>1.1525</v>
      </c>
      <c r="J3581" s="6">
        <v>-0.0897</v>
      </c>
    </row>
    <row r="3582">
      <c r="A3582" s="5" t="s">
        <v>60</v>
      </c>
      <c r="B3582" s="5" t="s">
        <v>163</v>
      </c>
      <c r="C3582" s="5" t="s">
        <v>69</v>
      </c>
      <c r="D3582" s="6">
        <v>17.0</v>
      </c>
      <c r="E3582" s="6">
        <v>5263.0</v>
      </c>
      <c r="F3582" s="6">
        <v>5044.0</v>
      </c>
      <c r="G3582" s="6">
        <v>4078.0</v>
      </c>
      <c r="H3582" s="6">
        <v>1.2906</v>
      </c>
      <c r="I3582" s="6">
        <v>1.2369</v>
      </c>
      <c r="J3582" s="6">
        <v>0.0537</v>
      </c>
    </row>
    <row r="3583">
      <c r="A3583" s="5" t="s">
        <v>60</v>
      </c>
      <c r="B3583" s="5" t="s">
        <v>163</v>
      </c>
      <c r="C3583" s="5" t="s">
        <v>69</v>
      </c>
      <c r="D3583" s="6">
        <v>18.0</v>
      </c>
      <c r="E3583" s="6">
        <v>4224.0</v>
      </c>
      <c r="F3583" s="6">
        <v>4849.0</v>
      </c>
      <c r="G3583" s="6">
        <v>4078.0</v>
      </c>
      <c r="H3583" s="6">
        <v>1.0358</v>
      </c>
      <c r="I3583" s="6">
        <v>1.1891</v>
      </c>
      <c r="J3583" s="6">
        <v>-0.1533</v>
      </c>
    </row>
    <row r="3584">
      <c r="A3584" s="5" t="s">
        <v>60</v>
      </c>
      <c r="B3584" s="5" t="s">
        <v>163</v>
      </c>
      <c r="C3584" s="5" t="s">
        <v>69</v>
      </c>
      <c r="D3584" s="6">
        <v>19.0</v>
      </c>
      <c r="E3584" s="6">
        <v>4226.0</v>
      </c>
      <c r="F3584" s="6">
        <v>4744.0</v>
      </c>
      <c r="G3584" s="6">
        <v>4078.0</v>
      </c>
      <c r="H3584" s="6">
        <v>1.0363</v>
      </c>
      <c r="I3584" s="6">
        <v>1.1633</v>
      </c>
      <c r="J3584" s="6">
        <v>-0.127</v>
      </c>
    </row>
    <row r="3585">
      <c r="A3585" s="5" t="s">
        <v>60</v>
      </c>
      <c r="B3585" s="5" t="s">
        <v>163</v>
      </c>
      <c r="C3585" s="5" t="s">
        <v>69</v>
      </c>
      <c r="D3585" s="6">
        <v>20.0</v>
      </c>
      <c r="E3585" s="6">
        <v>4979.0</v>
      </c>
      <c r="F3585" s="6">
        <v>5177.0</v>
      </c>
      <c r="G3585" s="6">
        <v>4078.0</v>
      </c>
      <c r="H3585" s="6">
        <v>1.2209</v>
      </c>
      <c r="I3585" s="6">
        <v>1.2695</v>
      </c>
      <c r="J3585" s="6">
        <v>-0.0486</v>
      </c>
    </row>
    <row r="3586">
      <c r="A3586" s="5" t="s">
        <v>60</v>
      </c>
      <c r="B3586" s="5" t="s">
        <v>163</v>
      </c>
      <c r="C3586" s="5" t="s">
        <v>69</v>
      </c>
      <c r="D3586" s="6">
        <v>21.0</v>
      </c>
      <c r="E3586" s="6">
        <v>6670.0</v>
      </c>
      <c r="F3586" s="6">
        <v>5114.0</v>
      </c>
      <c r="G3586" s="6">
        <v>4078.0</v>
      </c>
      <c r="H3586" s="6">
        <v>1.6356</v>
      </c>
      <c r="I3586" s="6">
        <v>1.254</v>
      </c>
      <c r="J3586" s="6">
        <v>0.3816</v>
      </c>
    </row>
    <row r="3587">
      <c r="A3587" s="5" t="s">
        <v>60</v>
      </c>
      <c r="B3587" s="5" t="s">
        <v>163</v>
      </c>
      <c r="C3587" s="5" t="s">
        <v>69</v>
      </c>
      <c r="D3587" s="6">
        <v>22.0</v>
      </c>
      <c r="E3587" s="6">
        <v>5499.0</v>
      </c>
      <c r="F3587" s="6">
        <v>5443.0</v>
      </c>
      <c r="G3587" s="6">
        <v>4078.0</v>
      </c>
      <c r="H3587" s="6">
        <v>1.3485</v>
      </c>
      <c r="I3587" s="6">
        <v>1.3347</v>
      </c>
      <c r="J3587" s="6">
        <v>0.0137</v>
      </c>
    </row>
    <row r="3588">
      <c r="A3588" s="5" t="s">
        <v>60</v>
      </c>
      <c r="B3588" s="5" t="s">
        <v>163</v>
      </c>
      <c r="C3588" s="5" t="s">
        <v>69</v>
      </c>
      <c r="D3588" s="6">
        <v>23.0</v>
      </c>
      <c r="E3588" s="6">
        <v>4625.0</v>
      </c>
      <c r="F3588" s="6">
        <v>5354.0</v>
      </c>
      <c r="G3588" s="6">
        <v>4078.0</v>
      </c>
      <c r="H3588" s="6">
        <v>1.1341</v>
      </c>
      <c r="I3588" s="6">
        <v>1.3129</v>
      </c>
      <c r="J3588" s="6">
        <v>-0.1788</v>
      </c>
    </row>
    <row r="3589">
      <c r="A3589" s="5" t="s">
        <v>60</v>
      </c>
      <c r="B3589" s="5" t="s">
        <v>163</v>
      </c>
      <c r="C3589" s="5" t="s">
        <v>69</v>
      </c>
      <c r="D3589" s="6">
        <v>24.0</v>
      </c>
      <c r="E3589" s="6">
        <v>5841.0</v>
      </c>
      <c r="F3589" s="6">
        <v>6274.0</v>
      </c>
      <c r="G3589" s="6">
        <v>4078.0</v>
      </c>
      <c r="H3589" s="6">
        <v>1.4323</v>
      </c>
      <c r="I3589" s="6">
        <v>1.5385</v>
      </c>
      <c r="J3589" s="6">
        <v>-0.1062</v>
      </c>
    </row>
    <row r="3590">
      <c r="A3590" s="5" t="s">
        <v>60</v>
      </c>
      <c r="B3590" s="5" t="s">
        <v>163</v>
      </c>
      <c r="C3590" s="5" t="s">
        <v>69</v>
      </c>
      <c r="D3590" s="6">
        <v>25.0</v>
      </c>
      <c r="E3590" s="6">
        <v>4895.0</v>
      </c>
      <c r="F3590" s="6">
        <v>5391.0</v>
      </c>
      <c r="G3590" s="6">
        <v>4078.0</v>
      </c>
      <c r="H3590" s="6">
        <v>1.2003</v>
      </c>
      <c r="I3590" s="6">
        <v>1.322</v>
      </c>
      <c r="J3590" s="6">
        <v>-0.1216</v>
      </c>
    </row>
    <row r="3591">
      <c r="A3591" s="5" t="s">
        <v>60</v>
      </c>
      <c r="B3591" s="5" t="s">
        <v>163</v>
      </c>
      <c r="C3591" s="5" t="s">
        <v>69</v>
      </c>
      <c r="D3591" s="6">
        <v>26.0</v>
      </c>
      <c r="E3591" s="6">
        <v>5207.0</v>
      </c>
      <c r="F3591" s="6">
        <v>5795.0</v>
      </c>
      <c r="G3591" s="6">
        <v>4078.0</v>
      </c>
      <c r="H3591" s="6">
        <v>1.2769</v>
      </c>
      <c r="I3591" s="6">
        <v>1.421</v>
      </c>
      <c r="J3591" s="6">
        <v>-0.1442</v>
      </c>
    </row>
    <row r="3592">
      <c r="A3592" s="5" t="s">
        <v>60</v>
      </c>
      <c r="B3592" s="5" t="s">
        <v>163</v>
      </c>
      <c r="C3592" s="5" t="s">
        <v>69</v>
      </c>
      <c r="D3592" s="6">
        <v>27.0</v>
      </c>
      <c r="E3592" s="6">
        <v>5845.0</v>
      </c>
      <c r="F3592" s="6">
        <v>5758.0</v>
      </c>
      <c r="G3592" s="6">
        <v>4078.0</v>
      </c>
      <c r="H3592" s="6">
        <v>1.4333</v>
      </c>
      <c r="I3592" s="6">
        <v>1.412</v>
      </c>
      <c r="J3592" s="6">
        <v>0.0213</v>
      </c>
    </row>
    <row r="3593">
      <c r="A3593" s="5" t="s">
        <v>60</v>
      </c>
      <c r="B3593" s="5" t="s">
        <v>163</v>
      </c>
      <c r="C3593" s="5" t="s">
        <v>69</v>
      </c>
      <c r="D3593" s="6">
        <v>28.0</v>
      </c>
      <c r="E3593" s="6">
        <v>5072.0</v>
      </c>
      <c r="F3593" s="6">
        <v>5482.0</v>
      </c>
      <c r="G3593" s="6">
        <v>4078.0</v>
      </c>
      <c r="H3593" s="6">
        <v>1.2437</v>
      </c>
      <c r="I3593" s="6">
        <v>1.3443</v>
      </c>
      <c r="J3593" s="6">
        <v>-0.1005</v>
      </c>
    </row>
    <row r="3594">
      <c r="A3594" s="5" t="s">
        <v>60</v>
      </c>
      <c r="B3594" s="5" t="s">
        <v>163</v>
      </c>
      <c r="C3594" s="5" t="s">
        <v>69</v>
      </c>
      <c r="D3594" s="6">
        <v>29.0</v>
      </c>
      <c r="E3594" s="6">
        <v>5482.0</v>
      </c>
      <c r="F3594" s="6">
        <v>5670.0</v>
      </c>
      <c r="G3594" s="6">
        <v>4078.0</v>
      </c>
      <c r="H3594" s="6">
        <v>1.3443</v>
      </c>
      <c r="I3594" s="6">
        <v>1.3904</v>
      </c>
      <c r="J3594" s="6">
        <v>-0.0461</v>
      </c>
    </row>
    <row r="3595">
      <c r="A3595" s="5" t="s">
        <v>60</v>
      </c>
      <c r="B3595" s="5" t="s">
        <v>163</v>
      </c>
      <c r="C3595" s="5" t="s">
        <v>69</v>
      </c>
      <c r="D3595" s="6">
        <v>30.0</v>
      </c>
      <c r="E3595" s="6">
        <v>5836.0</v>
      </c>
      <c r="F3595" s="6">
        <v>5462.0</v>
      </c>
      <c r="G3595" s="6">
        <v>4078.0</v>
      </c>
      <c r="H3595" s="6">
        <v>1.4311</v>
      </c>
      <c r="I3595" s="6">
        <v>1.3394</v>
      </c>
      <c r="J3595" s="6">
        <v>0.0917</v>
      </c>
    </row>
    <row r="3596">
      <c r="A3596" s="5" t="s">
        <v>60</v>
      </c>
      <c r="B3596" s="5" t="s">
        <v>163</v>
      </c>
      <c r="C3596" s="5" t="s">
        <v>69</v>
      </c>
      <c r="D3596" s="6">
        <v>31.0</v>
      </c>
      <c r="E3596" s="6">
        <v>7560.0</v>
      </c>
      <c r="F3596" s="6">
        <v>6337.0</v>
      </c>
      <c r="G3596" s="6">
        <v>4078.0</v>
      </c>
      <c r="H3596" s="6">
        <v>1.8538</v>
      </c>
      <c r="I3596" s="6">
        <v>1.5539</v>
      </c>
      <c r="J3596" s="6">
        <v>0.2999</v>
      </c>
    </row>
    <row r="3597">
      <c r="A3597" s="5" t="s">
        <v>60</v>
      </c>
      <c r="B3597" s="5" t="s">
        <v>163</v>
      </c>
      <c r="C3597" s="5" t="s">
        <v>69</v>
      </c>
      <c r="D3597" s="6">
        <v>32.0</v>
      </c>
      <c r="E3597" s="6">
        <v>6478.0</v>
      </c>
      <c r="F3597" s="6">
        <v>6282.0</v>
      </c>
      <c r="G3597" s="6">
        <v>4078.0</v>
      </c>
      <c r="H3597" s="6">
        <v>1.5885</v>
      </c>
      <c r="I3597" s="6">
        <v>1.5405</v>
      </c>
      <c r="J3597" s="6">
        <v>0.0481</v>
      </c>
    </row>
    <row r="3598">
      <c r="A3598" s="5" t="s">
        <v>60</v>
      </c>
      <c r="B3598" s="5" t="s">
        <v>163</v>
      </c>
      <c r="C3598" s="5" t="s">
        <v>69</v>
      </c>
      <c r="D3598" s="6">
        <v>33.0</v>
      </c>
      <c r="E3598" s="6">
        <v>7296.0</v>
      </c>
      <c r="F3598" s="6">
        <v>7319.0</v>
      </c>
      <c r="G3598" s="6">
        <v>4078.0</v>
      </c>
      <c r="H3598" s="6">
        <v>1.7891</v>
      </c>
      <c r="I3598" s="6">
        <v>1.7948</v>
      </c>
      <c r="J3598" s="6">
        <v>-0.0056</v>
      </c>
    </row>
    <row r="3599">
      <c r="A3599" s="5" t="s">
        <v>60</v>
      </c>
      <c r="B3599" s="5" t="s">
        <v>163</v>
      </c>
      <c r="C3599" s="5" t="s">
        <v>70</v>
      </c>
      <c r="D3599" s="6">
        <v>1.0</v>
      </c>
      <c r="E3599" s="6">
        <v>3605.0</v>
      </c>
      <c r="F3599" s="6">
        <v>4031.0</v>
      </c>
      <c r="G3599" s="6">
        <v>4077.0</v>
      </c>
      <c r="H3599" s="6">
        <v>0.8842</v>
      </c>
      <c r="I3599" s="6">
        <v>0.9887</v>
      </c>
      <c r="J3599" s="6">
        <v>-0.1045</v>
      </c>
    </row>
    <row r="3600">
      <c r="A3600" s="5" t="s">
        <v>60</v>
      </c>
      <c r="B3600" s="5" t="s">
        <v>163</v>
      </c>
      <c r="C3600" s="5" t="s">
        <v>70</v>
      </c>
      <c r="D3600" s="6">
        <v>2.0</v>
      </c>
      <c r="E3600" s="6">
        <v>3887.0</v>
      </c>
      <c r="F3600" s="6">
        <v>4385.0</v>
      </c>
      <c r="G3600" s="6">
        <v>4077.0</v>
      </c>
      <c r="H3600" s="6">
        <v>0.9534</v>
      </c>
      <c r="I3600" s="6">
        <v>1.0755</v>
      </c>
      <c r="J3600" s="6">
        <v>-0.1221</v>
      </c>
    </row>
    <row r="3601">
      <c r="A3601" s="5" t="s">
        <v>60</v>
      </c>
      <c r="B3601" s="5" t="s">
        <v>163</v>
      </c>
      <c r="C3601" s="5" t="s">
        <v>70</v>
      </c>
      <c r="D3601" s="6">
        <v>3.0</v>
      </c>
      <c r="E3601" s="6">
        <v>4223.0</v>
      </c>
      <c r="F3601" s="6">
        <v>3995.0</v>
      </c>
      <c r="G3601" s="6">
        <v>4077.0</v>
      </c>
      <c r="H3601" s="6">
        <v>1.0358</v>
      </c>
      <c r="I3601" s="6">
        <v>0.9799</v>
      </c>
      <c r="J3601" s="6">
        <v>0.0559</v>
      </c>
    </row>
    <row r="3602">
      <c r="A3602" s="5" t="s">
        <v>60</v>
      </c>
      <c r="B3602" s="5" t="s">
        <v>163</v>
      </c>
      <c r="C3602" s="5" t="s">
        <v>70</v>
      </c>
      <c r="D3602" s="6">
        <v>4.0</v>
      </c>
      <c r="E3602" s="6">
        <v>3498.0</v>
      </c>
      <c r="F3602" s="6">
        <v>3631.0</v>
      </c>
      <c r="G3602" s="6">
        <v>4077.0</v>
      </c>
      <c r="H3602" s="6">
        <v>0.858</v>
      </c>
      <c r="I3602" s="6">
        <v>0.8906</v>
      </c>
      <c r="J3602" s="6">
        <v>-0.0326</v>
      </c>
    </row>
    <row r="3603">
      <c r="A3603" s="5" t="s">
        <v>60</v>
      </c>
      <c r="B3603" s="5" t="s">
        <v>163</v>
      </c>
      <c r="C3603" s="5" t="s">
        <v>70</v>
      </c>
      <c r="D3603" s="6">
        <v>5.0</v>
      </c>
      <c r="E3603" s="6">
        <v>3957.0</v>
      </c>
      <c r="F3603" s="6">
        <v>4505.0</v>
      </c>
      <c r="G3603" s="6">
        <v>4077.0</v>
      </c>
      <c r="H3603" s="6">
        <v>0.9706</v>
      </c>
      <c r="I3603" s="6">
        <v>1.105</v>
      </c>
      <c r="J3603" s="6">
        <v>-0.1344</v>
      </c>
    </row>
    <row r="3604">
      <c r="A3604" s="5" t="s">
        <v>60</v>
      </c>
      <c r="B3604" s="5" t="s">
        <v>163</v>
      </c>
      <c r="C3604" s="5" t="s">
        <v>70</v>
      </c>
      <c r="D3604" s="6">
        <v>6.0</v>
      </c>
      <c r="E3604" s="6">
        <v>4565.0</v>
      </c>
      <c r="F3604" s="6">
        <v>4516.0</v>
      </c>
      <c r="G3604" s="6">
        <v>4077.0</v>
      </c>
      <c r="H3604" s="6">
        <v>1.1197</v>
      </c>
      <c r="I3604" s="6">
        <v>1.1077</v>
      </c>
      <c r="J3604" s="6">
        <v>0.012</v>
      </c>
    </row>
    <row r="3605">
      <c r="A3605" s="5" t="s">
        <v>60</v>
      </c>
      <c r="B3605" s="5" t="s">
        <v>163</v>
      </c>
      <c r="C3605" s="5" t="s">
        <v>70</v>
      </c>
      <c r="D3605" s="6">
        <v>7.0</v>
      </c>
      <c r="E3605" s="6">
        <v>3949.0</v>
      </c>
      <c r="F3605" s="6">
        <v>4515.0</v>
      </c>
      <c r="G3605" s="6">
        <v>4077.0</v>
      </c>
      <c r="H3605" s="6">
        <v>0.9686</v>
      </c>
      <c r="I3605" s="6">
        <v>1.1074</v>
      </c>
      <c r="J3605" s="6">
        <v>-0.1388</v>
      </c>
    </row>
    <row r="3606">
      <c r="A3606" s="5" t="s">
        <v>60</v>
      </c>
      <c r="B3606" s="5" t="s">
        <v>163</v>
      </c>
      <c r="C3606" s="5" t="s">
        <v>70</v>
      </c>
      <c r="D3606" s="6">
        <v>8.0</v>
      </c>
      <c r="E3606" s="6">
        <v>3800.0</v>
      </c>
      <c r="F3606" s="6">
        <v>4486.0</v>
      </c>
      <c r="G3606" s="6">
        <v>4077.0</v>
      </c>
      <c r="H3606" s="6">
        <v>0.9321</v>
      </c>
      <c r="I3606" s="6">
        <v>1.1003</v>
      </c>
      <c r="J3606" s="6">
        <v>-0.1683</v>
      </c>
    </row>
    <row r="3607">
      <c r="A3607" s="5" t="s">
        <v>60</v>
      </c>
      <c r="B3607" s="5" t="s">
        <v>163</v>
      </c>
      <c r="C3607" s="5" t="s">
        <v>70</v>
      </c>
      <c r="D3607" s="6">
        <v>9.0</v>
      </c>
      <c r="E3607" s="6">
        <v>3667.0</v>
      </c>
      <c r="F3607" s="6">
        <v>4394.0</v>
      </c>
      <c r="G3607" s="6">
        <v>4077.0</v>
      </c>
      <c r="H3607" s="6">
        <v>0.8994</v>
      </c>
      <c r="I3607" s="6">
        <v>1.0778</v>
      </c>
      <c r="J3607" s="6">
        <v>-0.1783</v>
      </c>
    </row>
    <row r="3608">
      <c r="A3608" s="5" t="s">
        <v>60</v>
      </c>
      <c r="B3608" s="5" t="s">
        <v>163</v>
      </c>
      <c r="C3608" s="5" t="s">
        <v>70</v>
      </c>
      <c r="D3608" s="6">
        <v>10.0</v>
      </c>
      <c r="E3608" s="6">
        <v>4872.0</v>
      </c>
      <c r="F3608" s="6">
        <v>5154.0</v>
      </c>
      <c r="G3608" s="6">
        <v>4077.0</v>
      </c>
      <c r="H3608" s="6">
        <v>1.195</v>
      </c>
      <c r="I3608" s="6">
        <v>1.2642</v>
      </c>
      <c r="J3608" s="6">
        <v>-0.0692</v>
      </c>
    </row>
    <row r="3609">
      <c r="A3609" s="5" t="s">
        <v>60</v>
      </c>
      <c r="B3609" s="5" t="s">
        <v>163</v>
      </c>
      <c r="C3609" s="5" t="s">
        <v>70</v>
      </c>
      <c r="D3609" s="6">
        <v>11.0</v>
      </c>
      <c r="E3609" s="6">
        <v>3804.0</v>
      </c>
      <c r="F3609" s="6">
        <v>3953.0</v>
      </c>
      <c r="G3609" s="6">
        <v>4077.0</v>
      </c>
      <c r="H3609" s="6">
        <v>0.933</v>
      </c>
      <c r="I3609" s="6">
        <v>0.9696</v>
      </c>
      <c r="J3609" s="6">
        <v>-0.0365</v>
      </c>
    </row>
    <row r="3610">
      <c r="A3610" s="5" t="s">
        <v>60</v>
      </c>
      <c r="B3610" s="5" t="s">
        <v>163</v>
      </c>
      <c r="C3610" s="5" t="s">
        <v>70</v>
      </c>
      <c r="D3610" s="6">
        <v>12.0</v>
      </c>
      <c r="E3610" s="6">
        <v>4338.0</v>
      </c>
      <c r="F3610" s="6">
        <v>4696.0</v>
      </c>
      <c r="G3610" s="6">
        <v>4077.0</v>
      </c>
      <c r="H3610" s="6">
        <v>1.064</v>
      </c>
      <c r="I3610" s="6">
        <v>1.1518</v>
      </c>
      <c r="J3610" s="6">
        <v>-0.0878</v>
      </c>
    </row>
    <row r="3611">
      <c r="A3611" s="5" t="s">
        <v>60</v>
      </c>
      <c r="B3611" s="5" t="s">
        <v>163</v>
      </c>
      <c r="C3611" s="5" t="s">
        <v>70</v>
      </c>
      <c r="D3611" s="6">
        <v>13.0</v>
      </c>
      <c r="E3611" s="6">
        <v>4728.0</v>
      </c>
      <c r="F3611" s="6">
        <v>4868.0</v>
      </c>
      <c r="G3611" s="6">
        <v>4077.0</v>
      </c>
      <c r="H3611" s="6">
        <v>1.1597</v>
      </c>
      <c r="I3611" s="6">
        <v>1.194</v>
      </c>
      <c r="J3611" s="6">
        <v>-0.0343</v>
      </c>
    </row>
    <row r="3612">
      <c r="A3612" s="5" t="s">
        <v>60</v>
      </c>
      <c r="B3612" s="5" t="s">
        <v>163</v>
      </c>
      <c r="C3612" s="5" t="s">
        <v>70</v>
      </c>
      <c r="D3612" s="6">
        <v>14.0</v>
      </c>
      <c r="E3612" s="6">
        <v>3981.0</v>
      </c>
      <c r="F3612" s="6">
        <v>4240.0</v>
      </c>
      <c r="G3612" s="6">
        <v>4077.0</v>
      </c>
      <c r="H3612" s="6">
        <v>0.9765</v>
      </c>
      <c r="I3612" s="6">
        <v>1.04</v>
      </c>
      <c r="J3612" s="6">
        <v>-0.0635</v>
      </c>
    </row>
    <row r="3613">
      <c r="A3613" s="5" t="s">
        <v>60</v>
      </c>
      <c r="B3613" s="5" t="s">
        <v>163</v>
      </c>
      <c r="C3613" s="5" t="s">
        <v>70</v>
      </c>
      <c r="D3613" s="6">
        <v>15.0</v>
      </c>
      <c r="E3613" s="6">
        <v>4429.0</v>
      </c>
      <c r="F3613" s="6">
        <v>5019.0</v>
      </c>
      <c r="G3613" s="6">
        <v>4077.0</v>
      </c>
      <c r="H3613" s="6">
        <v>1.0863</v>
      </c>
      <c r="I3613" s="6">
        <v>1.2311</v>
      </c>
      <c r="J3613" s="6">
        <v>-0.1447</v>
      </c>
    </row>
    <row r="3614">
      <c r="A3614" s="5" t="s">
        <v>60</v>
      </c>
      <c r="B3614" s="5" t="s">
        <v>163</v>
      </c>
      <c r="C3614" s="5" t="s">
        <v>70</v>
      </c>
      <c r="D3614" s="6">
        <v>16.0</v>
      </c>
      <c r="E3614" s="6">
        <v>4408.0</v>
      </c>
      <c r="F3614" s="6">
        <v>4946.0</v>
      </c>
      <c r="G3614" s="6">
        <v>4077.0</v>
      </c>
      <c r="H3614" s="6">
        <v>1.0812</v>
      </c>
      <c r="I3614" s="6">
        <v>1.2131</v>
      </c>
      <c r="J3614" s="6">
        <v>-0.132</v>
      </c>
    </row>
    <row r="3615">
      <c r="A3615" s="5" t="s">
        <v>60</v>
      </c>
      <c r="B3615" s="5" t="s">
        <v>163</v>
      </c>
      <c r="C3615" s="5" t="s">
        <v>70</v>
      </c>
      <c r="D3615" s="6">
        <v>17.0</v>
      </c>
      <c r="E3615" s="6">
        <v>5265.0</v>
      </c>
      <c r="F3615" s="6">
        <v>5285.0</v>
      </c>
      <c r="G3615" s="6">
        <v>4077.0</v>
      </c>
      <c r="H3615" s="6">
        <v>1.2914</v>
      </c>
      <c r="I3615" s="6">
        <v>1.2963</v>
      </c>
      <c r="J3615" s="6">
        <v>-0.0049</v>
      </c>
    </row>
    <row r="3616">
      <c r="A3616" s="5" t="s">
        <v>60</v>
      </c>
      <c r="B3616" s="5" t="s">
        <v>163</v>
      </c>
      <c r="C3616" s="5" t="s">
        <v>70</v>
      </c>
      <c r="D3616" s="6">
        <v>18.0</v>
      </c>
      <c r="E3616" s="6">
        <v>4292.0</v>
      </c>
      <c r="F3616" s="6">
        <v>5094.0</v>
      </c>
      <c r="G3616" s="6">
        <v>4077.0</v>
      </c>
      <c r="H3616" s="6">
        <v>1.0527</v>
      </c>
      <c r="I3616" s="6">
        <v>1.2494</v>
      </c>
      <c r="J3616" s="6">
        <v>-0.1967</v>
      </c>
    </row>
    <row r="3617">
      <c r="A3617" s="5" t="s">
        <v>60</v>
      </c>
      <c r="B3617" s="5" t="s">
        <v>163</v>
      </c>
      <c r="C3617" s="5" t="s">
        <v>70</v>
      </c>
      <c r="D3617" s="6">
        <v>19.0</v>
      </c>
      <c r="E3617" s="6">
        <v>4334.0</v>
      </c>
      <c r="F3617" s="6">
        <v>4939.0</v>
      </c>
      <c r="G3617" s="6">
        <v>4077.0</v>
      </c>
      <c r="H3617" s="6">
        <v>1.063</v>
      </c>
      <c r="I3617" s="6">
        <v>1.2114</v>
      </c>
      <c r="J3617" s="6">
        <v>-0.1484</v>
      </c>
    </row>
    <row r="3618">
      <c r="A3618" s="5" t="s">
        <v>60</v>
      </c>
      <c r="B3618" s="5" t="s">
        <v>163</v>
      </c>
      <c r="C3618" s="5" t="s">
        <v>70</v>
      </c>
      <c r="D3618" s="6">
        <v>20.0</v>
      </c>
      <c r="E3618" s="6">
        <v>5232.0</v>
      </c>
      <c r="F3618" s="6">
        <v>5425.0</v>
      </c>
      <c r="G3618" s="6">
        <v>4077.0</v>
      </c>
      <c r="H3618" s="6">
        <v>1.2833</v>
      </c>
      <c r="I3618" s="6">
        <v>1.3306</v>
      </c>
      <c r="J3618" s="6">
        <v>-0.0473</v>
      </c>
    </row>
    <row r="3619">
      <c r="A3619" s="5" t="s">
        <v>60</v>
      </c>
      <c r="B3619" s="5" t="s">
        <v>163</v>
      </c>
      <c r="C3619" s="5" t="s">
        <v>70</v>
      </c>
      <c r="D3619" s="6">
        <v>21.0</v>
      </c>
      <c r="E3619" s="6">
        <v>6880.0</v>
      </c>
      <c r="F3619" s="6">
        <v>5198.0</v>
      </c>
      <c r="G3619" s="6">
        <v>4077.0</v>
      </c>
      <c r="H3619" s="6">
        <v>1.6875</v>
      </c>
      <c r="I3619" s="6">
        <v>1.275</v>
      </c>
      <c r="J3619" s="6">
        <v>0.4126</v>
      </c>
    </row>
    <row r="3620">
      <c r="A3620" s="5" t="s">
        <v>60</v>
      </c>
      <c r="B3620" s="5" t="s">
        <v>163</v>
      </c>
      <c r="C3620" s="5" t="s">
        <v>70</v>
      </c>
      <c r="D3620" s="6">
        <v>22.0</v>
      </c>
      <c r="E3620" s="6">
        <v>5712.0</v>
      </c>
      <c r="F3620" s="6">
        <v>5621.0</v>
      </c>
      <c r="G3620" s="6">
        <v>4077.0</v>
      </c>
      <c r="H3620" s="6">
        <v>1.401</v>
      </c>
      <c r="I3620" s="6">
        <v>1.3787</v>
      </c>
      <c r="J3620" s="6">
        <v>0.0223</v>
      </c>
    </row>
    <row r="3621">
      <c r="A3621" s="5" t="s">
        <v>60</v>
      </c>
      <c r="B3621" s="5" t="s">
        <v>163</v>
      </c>
      <c r="C3621" s="5" t="s">
        <v>70</v>
      </c>
      <c r="D3621" s="6">
        <v>23.0</v>
      </c>
      <c r="E3621" s="6">
        <v>4941.0</v>
      </c>
      <c r="F3621" s="6">
        <v>5542.0</v>
      </c>
      <c r="G3621" s="6">
        <v>4077.0</v>
      </c>
      <c r="H3621" s="6">
        <v>1.2119</v>
      </c>
      <c r="I3621" s="6">
        <v>1.3593</v>
      </c>
      <c r="J3621" s="6">
        <v>-0.1474</v>
      </c>
    </row>
    <row r="3622">
      <c r="A3622" s="5" t="s">
        <v>60</v>
      </c>
      <c r="B3622" s="5" t="s">
        <v>163</v>
      </c>
      <c r="C3622" s="5" t="s">
        <v>70</v>
      </c>
      <c r="D3622" s="6">
        <v>24.0</v>
      </c>
      <c r="E3622" s="6">
        <v>5958.0</v>
      </c>
      <c r="F3622" s="6">
        <v>6218.0</v>
      </c>
      <c r="G3622" s="6">
        <v>4077.0</v>
      </c>
      <c r="H3622" s="6">
        <v>1.4614</v>
      </c>
      <c r="I3622" s="6">
        <v>1.5251</v>
      </c>
      <c r="J3622" s="6">
        <v>-0.0638</v>
      </c>
    </row>
    <row r="3623">
      <c r="A3623" s="5" t="s">
        <v>60</v>
      </c>
      <c r="B3623" s="5" t="s">
        <v>163</v>
      </c>
      <c r="C3623" s="5" t="s">
        <v>70</v>
      </c>
      <c r="D3623" s="6">
        <v>25.0</v>
      </c>
      <c r="E3623" s="6">
        <v>5145.0</v>
      </c>
      <c r="F3623" s="6">
        <v>5527.0</v>
      </c>
      <c r="G3623" s="6">
        <v>4077.0</v>
      </c>
      <c r="H3623" s="6">
        <v>1.262</v>
      </c>
      <c r="I3623" s="6">
        <v>1.3557</v>
      </c>
      <c r="J3623" s="6">
        <v>-0.0937</v>
      </c>
    </row>
    <row r="3624">
      <c r="A3624" s="5" t="s">
        <v>60</v>
      </c>
      <c r="B3624" s="5" t="s">
        <v>163</v>
      </c>
      <c r="C3624" s="5" t="s">
        <v>70</v>
      </c>
      <c r="D3624" s="6">
        <v>26.0</v>
      </c>
      <c r="E3624" s="6">
        <v>5407.0</v>
      </c>
      <c r="F3624" s="6">
        <v>5942.0</v>
      </c>
      <c r="G3624" s="6">
        <v>4077.0</v>
      </c>
      <c r="H3624" s="6">
        <v>1.3262</v>
      </c>
      <c r="I3624" s="6">
        <v>1.4574</v>
      </c>
      <c r="J3624" s="6">
        <v>-0.1312</v>
      </c>
    </row>
    <row r="3625">
      <c r="A3625" s="5" t="s">
        <v>60</v>
      </c>
      <c r="B3625" s="5" t="s">
        <v>163</v>
      </c>
      <c r="C3625" s="5" t="s">
        <v>70</v>
      </c>
      <c r="D3625" s="6">
        <v>27.0</v>
      </c>
      <c r="E3625" s="6">
        <v>6240.0</v>
      </c>
      <c r="F3625" s="6">
        <v>5894.0</v>
      </c>
      <c r="G3625" s="6">
        <v>4077.0</v>
      </c>
      <c r="H3625" s="6">
        <v>1.5305</v>
      </c>
      <c r="I3625" s="6">
        <v>1.4457</v>
      </c>
      <c r="J3625" s="6">
        <v>0.0849</v>
      </c>
    </row>
    <row r="3626">
      <c r="A3626" s="5" t="s">
        <v>60</v>
      </c>
      <c r="B3626" s="5" t="s">
        <v>163</v>
      </c>
      <c r="C3626" s="5" t="s">
        <v>70</v>
      </c>
      <c r="D3626" s="6">
        <v>28.0</v>
      </c>
      <c r="E3626" s="6">
        <v>5269.0</v>
      </c>
      <c r="F3626" s="6">
        <v>5662.0</v>
      </c>
      <c r="G3626" s="6">
        <v>4077.0</v>
      </c>
      <c r="H3626" s="6">
        <v>1.2924</v>
      </c>
      <c r="I3626" s="6">
        <v>1.3888</v>
      </c>
      <c r="J3626" s="6">
        <v>-0.0964</v>
      </c>
    </row>
    <row r="3627">
      <c r="A3627" s="5" t="s">
        <v>60</v>
      </c>
      <c r="B3627" s="5" t="s">
        <v>163</v>
      </c>
      <c r="C3627" s="5" t="s">
        <v>70</v>
      </c>
      <c r="D3627" s="6">
        <v>29.0</v>
      </c>
      <c r="E3627" s="6">
        <v>5641.0</v>
      </c>
      <c r="F3627" s="6">
        <v>5882.0</v>
      </c>
      <c r="G3627" s="6">
        <v>4077.0</v>
      </c>
      <c r="H3627" s="6">
        <v>1.3836</v>
      </c>
      <c r="I3627" s="6">
        <v>1.4427</v>
      </c>
      <c r="J3627" s="6">
        <v>-0.0591</v>
      </c>
    </row>
    <row r="3628">
      <c r="A3628" s="5" t="s">
        <v>60</v>
      </c>
      <c r="B3628" s="5" t="s">
        <v>163</v>
      </c>
      <c r="C3628" s="5" t="s">
        <v>70</v>
      </c>
      <c r="D3628" s="6">
        <v>30.0</v>
      </c>
      <c r="E3628" s="6">
        <v>5998.0</v>
      </c>
      <c r="F3628" s="6">
        <v>5831.0</v>
      </c>
      <c r="G3628" s="6">
        <v>4077.0</v>
      </c>
      <c r="H3628" s="6">
        <v>1.4712</v>
      </c>
      <c r="I3628" s="6">
        <v>1.4302</v>
      </c>
      <c r="J3628" s="6">
        <v>0.041</v>
      </c>
    </row>
    <row r="3629">
      <c r="A3629" s="5" t="s">
        <v>60</v>
      </c>
      <c r="B3629" s="5" t="s">
        <v>163</v>
      </c>
      <c r="C3629" s="5" t="s">
        <v>70</v>
      </c>
      <c r="D3629" s="6">
        <v>31.0</v>
      </c>
      <c r="E3629" s="6">
        <v>7755.0</v>
      </c>
      <c r="F3629" s="6">
        <v>6642.0</v>
      </c>
      <c r="G3629" s="6">
        <v>4077.0</v>
      </c>
      <c r="H3629" s="6">
        <v>1.9021</v>
      </c>
      <c r="I3629" s="6">
        <v>1.6291</v>
      </c>
      <c r="J3629" s="6">
        <v>0.273</v>
      </c>
    </row>
    <row r="3630">
      <c r="A3630" s="5" t="s">
        <v>60</v>
      </c>
      <c r="B3630" s="5" t="s">
        <v>163</v>
      </c>
      <c r="C3630" s="5" t="s">
        <v>70</v>
      </c>
      <c r="D3630" s="6">
        <v>32.0</v>
      </c>
      <c r="E3630" s="6">
        <v>6749.0</v>
      </c>
      <c r="F3630" s="6">
        <v>6644.0</v>
      </c>
      <c r="G3630" s="6">
        <v>4077.0</v>
      </c>
      <c r="H3630" s="6">
        <v>1.6554</v>
      </c>
      <c r="I3630" s="6">
        <v>1.6296</v>
      </c>
      <c r="J3630" s="6">
        <v>0.0258</v>
      </c>
    </row>
    <row r="3631">
      <c r="A3631" s="5" t="s">
        <v>60</v>
      </c>
      <c r="B3631" s="5" t="s">
        <v>163</v>
      </c>
      <c r="C3631" s="5" t="s">
        <v>70</v>
      </c>
      <c r="D3631" s="6">
        <v>33.0</v>
      </c>
      <c r="E3631" s="6">
        <v>7546.0</v>
      </c>
      <c r="F3631" s="6">
        <v>7685.0</v>
      </c>
      <c r="G3631" s="6">
        <v>4077.0</v>
      </c>
      <c r="H3631" s="6">
        <v>1.8509</v>
      </c>
      <c r="I3631" s="6">
        <v>1.885</v>
      </c>
      <c r="J3631" s="6">
        <v>-0.0341</v>
      </c>
    </row>
    <row r="3632">
      <c r="A3632" s="5" t="s">
        <v>60</v>
      </c>
      <c r="B3632" s="5" t="s">
        <v>163</v>
      </c>
      <c r="C3632" s="5" t="s">
        <v>71</v>
      </c>
      <c r="D3632" s="6">
        <v>1.0</v>
      </c>
      <c r="E3632" s="6">
        <v>2043.0</v>
      </c>
      <c r="F3632" s="6">
        <v>2284.0</v>
      </c>
      <c r="G3632" s="6">
        <v>4071.0</v>
      </c>
      <c r="H3632" s="6">
        <v>0.5018</v>
      </c>
      <c r="I3632" s="6">
        <v>0.561</v>
      </c>
      <c r="J3632" s="6">
        <v>-0.0592</v>
      </c>
    </row>
    <row r="3633">
      <c r="A3633" s="5" t="s">
        <v>60</v>
      </c>
      <c r="B3633" s="5" t="s">
        <v>163</v>
      </c>
      <c r="C3633" s="5" t="s">
        <v>71</v>
      </c>
      <c r="D3633" s="6">
        <v>2.0</v>
      </c>
      <c r="E3633" s="6">
        <v>2145.0</v>
      </c>
      <c r="F3633" s="6">
        <v>2568.0</v>
      </c>
      <c r="G3633" s="6">
        <v>4071.0</v>
      </c>
      <c r="H3633" s="6">
        <v>0.5269</v>
      </c>
      <c r="I3633" s="6">
        <v>0.6308</v>
      </c>
      <c r="J3633" s="6">
        <v>-0.1039</v>
      </c>
    </row>
    <row r="3634">
      <c r="A3634" s="5" t="s">
        <v>60</v>
      </c>
      <c r="B3634" s="5" t="s">
        <v>163</v>
      </c>
      <c r="C3634" s="5" t="s">
        <v>71</v>
      </c>
      <c r="D3634" s="6">
        <v>3.0</v>
      </c>
      <c r="E3634" s="6">
        <v>2694.0</v>
      </c>
      <c r="F3634" s="6">
        <v>2172.0</v>
      </c>
      <c r="G3634" s="6">
        <v>4071.0</v>
      </c>
      <c r="H3634" s="6">
        <v>0.6618</v>
      </c>
      <c r="I3634" s="6">
        <v>0.5335</v>
      </c>
      <c r="J3634" s="6">
        <v>0.1282</v>
      </c>
    </row>
    <row r="3635">
      <c r="A3635" s="5" t="s">
        <v>60</v>
      </c>
      <c r="B3635" s="5" t="s">
        <v>163</v>
      </c>
      <c r="C3635" s="5" t="s">
        <v>71</v>
      </c>
      <c r="D3635" s="6">
        <v>4.0</v>
      </c>
      <c r="E3635" s="6">
        <v>2087.0</v>
      </c>
      <c r="F3635" s="6">
        <v>1931.0</v>
      </c>
      <c r="G3635" s="6">
        <v>4071.0</v>
      </c>
      <c r="H3635" s="6">
        <v>0.5127</v>
      </c>
      <c r="I3635" s="6">
        <v>0.4743</v>
      </c>
      <c r="J3635" s="6">
        <v>0.0383</v>
      </c>
    </row>
    <row r="3636">
      <c r="A3636" s="5" t="s">
        <v>60</v>
      </c>
      <c r="B3636" s="5" t="s">
        <v>163</v>
      </c>
      <c r="C3636" s="5" t="s">
        <v>71</v>
      </c>
      <c r="D3636" s="6">
        <v>5.0</v>
      </c>
      <c r="E3636" s="6">
        <v>2369.0</v>
      </c>
      <c r="F3636" s="6">
        <v>2568.0</v>
      </c>
      <c r="G3636" s="6">
        <v>4071.0</v>
      </c>
      <c r="H3636" s="6">
        <v>0.5819</v>
      </c>
      <c r="I3636" s="6">
        <v>0.6308</v>
      </c>
      <c r="J3636" s="6">
        <v>-0.0489</v>
      </c>
    </row>
    <row r="3637">
      <c r="A3637" s="5" t="s">
        <v>60</v>
      </c>
      <c r="B3637" s="5" t="s">
        <v>163</v>
      </c>
      <c r="C3637" s="5" t="s">
        <v>71</v>
      </c>
      <c r="D3637" s="6">
        <v>6.0</v>
      </c>
      <c r="E3637" s="6">
        <v>2673.0</v>
      </c>
      <c r="F3637" s="6">
        <v>2612.0</v>
      </c>
      <c r="G3637" s="6">
        <v>4071.0</v>
      </c>
      <c r="H3637" s="6">
        <v>0.6566</v>
      </c>
      <c r="I3637" s="6">
        <v>0.6416</v>
      </c>
      <c r="J3637" s="6">
        <v>0.015</v>
      </c>
    </row>
    <row r="3638">
      <c r="A3638" s="5" t="s">
        <v>60</v>
      </c>
      <c r="B3638" s="5" t="s">
        <v>163</v>
      </c>
      <c r="C3638" s="5" t="s">
        <v>71</v>
      </c>
      <c r="D3638" s="6">
        <v>7.0</v>
      </c>
      <c r="E3638" s="6">
        <v>2444.0</v>
      </c>
      <c r="F3638" s="6">
        <v>2838.0</v>
      </c>
      <c r="G3638" s="6">
        <v>4071.0</v>
      </c>
      <c r="H3638" s="6">
        <v>0.6003</v>
      </c>
      <c r="I3638" s="6">
        <v>0.6971</v>
      </c>
      <c r="J3638" s="6">
        <v>-0.0968</v>
      </c>
    </row>
    <row r="3639">
      <c r="A3639" s="5" t="s">
        <v>60</v>
      </c>
      <c r="B3639" s="5" t="s">
        <v>163</v>
      </c>
      <c r="C3639" s="5" t="s">
        <v>71</v>
      </c>
      <c r="D3639" s="6">
        <v>8.0</v>
      </c>
      <c r="E3639" s="6">
        <v>2365.0</v>
      </c>
      <c r="F3639" s="6">
        <v>2671.0</v>
      </c>
      <c r="G3639" s="6">
        <v>4071.0</v>
      </c>
      <c r="H3639" s="6">
        <v>0.5809</v>
      </c>
      <c r="I3639" s="6">
        <v>0.6561</v>
      </c>
      <c r="J3639" s="6">
        <v>-0.0752</v>
      </c>
    </row>
    <row r="3640">
      <c r="A3640" s="5" t="s">
        <v>60</v>
      </c>
      <c r="B3640" s="5" t="s">
        <v>163</v>
      </c>
      <c r="C3640" s="5" t="s">
        <v>71</v>
      </c>
      <c r="D3640" s="6">
        <v>9.0</v>
      </c>
      <c r="E3640" s="6">
        <v>2103.0</v>
      </c>
      <c r="F3640" s="6">
        <v>2808.0</v>
      </c>
      <c r="G3640" s="6">
        <v>4071.0</v>
      </c>
      <c r="H3640" s="6">
        <v>0.5166</v>
      </c>
      <c r="I3640" s="6">
        <v>0.6898</v>
      </c>
      <c r="J3640" s="6">
        <v>-0.1732</v>
      </c>
    </row>
    <row r="3641">
      <c r="A3641" s="5" t="s">
        <v>60</v>
      </c>
      <c r="B3641" s="5" t="s">
        <v>163</v>
      </c>
      <c r="C3641" s="5" t="s">
        <v>71</v>
      </c>
      <c r="D3641" s="6">
        <v>10.0</v>
      </c>
      <c r="E3641" s="6">
        <v>3200.0</v>
      </c>
      <c r="F3641" s="6">
        <v>3189.0</v>
      </c>
      <c r="G3641" s="6">
        <v>4071.0</v>
      </c>
      <c r="H3641" s="6">
        <v>0.786</v>
      </c>
      <c r="I3641" s="6">
        <v>0.7833</v>
      </c>
      <c r="J3641" s="6">
        <v>0.0027</v>
      </c>
    </row>
    <row r="3642">
      <c r="A3642" s="5" t="s">
        <v>60</v>
      </c>
      <c r="B3642" s="5" t="s">
        <v>163</v>
      </c>
      <c r="C3642" s="5" t="s">
        <v>71</v>
      </c>
      <c r="D3642" s="6">
        <v>11.0</v>
      </c>
      <c r="E3642" s="6">
        <v>2408.0</v>
      </c>
      <c r="F3642" s="6">
        <v>2305.0</v>
      </c>
      <c r="G3642" s="6">
        <v>4071.0</v>
      </c>
      <c r="H3642" s="6">
        <v>0.5915</v>
      </c>
      <c r="I3642" s="6">
        <v>0.5662</v>
      </c>
      <c r="J3642" s="6">
        <v>0.0253</v>
      </c>
    </row>
    <row r="3643">
      <c r="A3643" s="5" t="s">
        <v>60</v>
      </c>
      <c r="B3643" s="5" t="s">
        <v>163</v>
      </c>
      <c r="C3643" s="5" t="s">
        <v>71</v>
      </c>
      <c r="D3643" s="6">
        <v>12.0</v>
      </c>
      <c r="E3643" s="6">
        <v>2710.0</v>
      </c>
      <c r="F3643" s="6">
        <v>2837.0</v>
      </c>
      <c r="G3643" s="6">
        <v>4071.0</v>
      </c>
      <c r="H3643" s="6">
        <v>0.6657</v>
      </c>
      <c r="I3643" s="6">
        <v>0.6969</v>
      </c>
      <c r="J3643" s="6">
        <v>-0.0312</v>
      </c>
    </row>
    <row r="3644">
      <c r="A3644" s="5" t="s">
        <v>60</v>
      </c>
      <c r="B3644" s="5" t="s">
        <v>163</v>
      </c>
      <c r="C3644" s="5" t="s">
        <v>71</v>
      </c>
      <c r="D3644" s="6">
        <v>13.0</v>
      </c>
      <c r="E3644" s="6">
        <v>2985.0</v>
      </c>
      <c r="F3644" s="6">
        <v>3066.0</v>
      </c>
      <c r="G3644" s="6">
        <v>4071.0</v>
      </c>
      <c r="H3644" s="6">
        <v>0.7332</v>
      </c>
      <c r="I3644" s="6">
        <v>0.7531</v>
      </c>
      <c r="J3644" s="6">
        <v>-0.0199</v>
      </c>
    </row>
    <row r="3645">
      <c r="A3645" s="5" t="s">
        <v>60</v>
      </c>
      <c r="B3645" s="5" t="s">
        <v>163</v>
      </c>
      <c r="C3645" s="5" t="s">
        <v>71</v>
      </c>
      <c r="D3645" s="6">
        <v>14.0</v>
      </c>
      <c r="E3645" s="6">
        <v>2419.0</v>
      </c>
      <c r="F3645" s="6">
        <v>2883.0</v>
      </c>
      <c r="G3645" s="6">
        <v>4071.0</v>
      </c>
      <c r="H3645" s="6">
        <v>0.5942</v>
      </c>
      <c r="I3645" s="6">
        <v>0.7082</v>
      </c>
      <c r="J3645" s="6">
        <v>-0.114</v>
      </c>
    </row>
    <row r="3646">
      <c r="A3646" s="5" t="s">
        <v>60</v>
      </c>
      <c r="B3646" s="5" t="s">
        <v>163</v>
      </c>
      <c r="C3646" s="5" t="s">
        <v>71</v>
      </c>
      <c r="D3646" s="6">
        <v>15.0</v>
      </c>
      <c r="E3646" s="6">
        <v>2734.0</v>
      </c>
      <c r="F3646" s="6">
        <v>3269.0</v>
      </c>
      <c r="G3646" s="6">
        <v>4071.0</v>
      </c>
      <c r="H3646" s="6">
        <v>0.6716</v>
      </c>
      <c r="I3646" s="6">
        <v>0.803</v>
      </c>
      <c r="J3646" s="6">
        <v>-0.1314</v>
      </c>
    </row>
    <row r="3647">
      <c r="A3647" s="5" t="s">
        <v>60</v>
      </c>
      <c r="B3647" s="5" t="s">
        <v>163</v>
      </c>
      <c r="C3647" s="5" t="s">
        <v>71</v>
      </c>
      <c r="D3647" s="6">
        <v>16.0</v>
      </c>
      <c r="E3647" s="6">
        <v>2686.0</v>
      </c>
      <c r="F3647" s="6">
        <v>3221.0</v>
      </c>
      <c r="G3647" s="6">
        <v>4071.0</v>
      </c>
      <c r="H3647" s="6">
        <v>0.6598</v>
      </c>
      <c r="I3647" s="6">
        <v>0.7912</v>
      </c>
      <c r="J3647" s="6">
        <v>-0.1314</v>
      </c>
    </row>
    <row r="3648">
      <c r="A3648" s="5" t="s">
        <v>60</v>
      </c>
      <c r="B3648" s="5" t="s">
        <v>163</v>
      </c>
      <c r="C3648" s="5" t="s">
        <v>71</v>
      </c>
      <c r="D3648" s="6">
        <v>17.0</v>
      </c>
      <c r="E3648" s="6">
        <v>3565.0</v>
      </c>
      <c r="F3648" s="6">
        <v>3455.0</v>
      </c>
      <c r="G3648" s="6">
        <v>4071.0</v>
      </c>
      <c r="H3648" s="6">
        <v>0.8757</v>
      </c>
      <c r="I3648" s="6">
        <v>0.8487</v>
      </c>
      <c r="J3648" s="6">
        <v>0.027</v>
      </c>
    </row>
    <row r="3649">
      <c r="A3649" s="5" t="s">
        <v>60</v>
      </c>
      <c r="B3649" s="5" t="s">
        <v>163</v>
      </c>
      <c r="C3649" s="5" t="s">
        <v>71</v>
      </c>
      <c r="D3649" s="6">
        <v>18.0</v>
      </c>
      <c r="E3649" s="6">
        <v>2722.0</v>
      </c>
      <c r="F3649" s="6">
        <v>3264.0</v>
      </c>
      <c r="G3649" s="6">
        <v>4071.0</v>
      </c>
      <c r="H3649" s="6">
        <v>0.6686</v>
      </c>
      <c r="I3649" s="6">
        <v>0.8018</v>
      </c>
      <c r="J3649" s="6">
        <v>-0.1331</v>
      </c>
    </row>
    <row r="3650">
      <c r="A3650" s="5" t="s">
        <v>60</v>
      </c>
      <c r="B3650" s="5" t="s">
        <v>163</v>
      </c>
      <c r="C3650" s="5" t="s">
        <v>71</v>
      </c>
      <c r="D3650" s="6">
        <v>19.0</v>
      </c>
      <c r="E3650" s="6">
        <v>2675.0</v>
      </c>
      <c r="F3650" s="6">
        <v>3025.0</v>
      </c>
      <c r="G3650" s="6">
        <v>4071.0</v>
      </c>
      <c r="H3650" s="6">
        <v>0.6571</v>
      </c>
      <c r="I3650" s="6">
        <v>0.7431</v>
      </c>
      <c r="J3650" s="6">
        <v>-0.086</v>
      </c>
    </row>
    <row r="3651">
      <c r="A3651" s="5" t="s">
        <v>60</v>
      </c>
      <c r="B3651" s="5" t="s">
        <v>163</v>
      </c>
      <c r="C3651" s="5" t="s">
        <v>71</v>
      </c>
      <c r="D3651" s="6">
        <v>20.0</v>
      </c>
      <c r="E3651" s="6">
        <v>3316.0</v>
      </c>
      <c r="F3651" s="6">
        <v>3228.0</v>
      </c>
      <c r="G3651" s="6">
        <v>4071.0</v>
      </c>
      <c r="H3651" s="6">
        <v>0.8145</v>
      </c>
      <c r="I3651" s="6">
        <v>0.7929</v>
      </c>
      <c r="J3651" s="6">
        <v>0.0216</v>
      </c>
    </row>
    <row r="3652">
      <c r="A3652" s="5" t="s">
        <v>60</v>
      </c>
      <c r="B3652" s="5" t="s">
        <v>163</v>
      </c>
      <c r="C3652" s="5" t="s">
        <v>71</v>
      </c>
      <c r="D3652" s="6">
        <v>21.0</v>
      </c>
      <c r="E3652" s="6">
        <v>3737.0</v>
      </c>
      <c r="F3652" s="6">
        <v>2946.0</v>
      </c>
      <c r="G3652" s="6">
        <v>4071.0</v>
      </c>
      <c r="H3652" s="6">
        <v>0.918</v>
      </c>
      <c r="I3652" s="6">
        <v>0.7237</v>
      </c>
      <c r="J3652" s="6">
        <v>0.1943</v>
      </c>
    </row>
    <row r="3653">
      <c r="A3653" s="5" t="s">
        <v>60</v>
      </c>
      <c r="B3653" s="5" t="s">
        <v>163</v>
      </c>
      <c r="C3653" s="5" t="s">
        <v>71</v>
      </c>
      <c r="D3653" s="6">
        <v>22.0</v>
      </c>
      <c r="E3653" s="6">
        <v>3377.0</v>
      </c>
      <c r="F3653" s="6">
        <v>3265.0</v>
      </c>
      <c r="G3653" s="6">
        <v>4071.0</v>
      </c>
      <c r="H3653" s="6">
        <v>0.8295</v>
      </c>
      <c r="I3653" s="6">
        <v>0.802</v>
      </c>
      <c r="J3653" s="6">
        <v>0.0275</v>
      </c>
    </row>
    <row r="3654">
      <c r="A3654" s="5" t="s">
        <v>60</v>
      </c>
      <c r="B3654" s="5" t="s">
        <v>163</v>
      </c>
      <c r="C3654" s="5" t="s">
        <v>71</v>
      </c>
      <c r="D3654" s="6">
        <v>23.0</v>
      </c>
      <c r="E3654" s="6">
        <v>2847.0</v>
      </c>
      <c r="F3654" s="6">
        <v>3485.0</v>
      </c>
      <c r="G3654" s="6">
        <v>4071.0</v>
      </c>
      <c r="H3654" s="6">
        <v>0.6993</v>
      </c>
      <c r="I3654" s="6">
        <v>0.8561</v>
      </c>
      <c r="J3654" s="6">
        <v>-0.1567</v>
      </c>
    </row>
    <row r="3655">
      <c r="A3655" s="5" t="s">
        <v>60</v>
      </c>
      <c r="B3655" s="5" t="s">
        <v>163</v>
      </c>
      <c r="C3655" s="5" t="s">
        <v>71</v>
      </c>
      <c r="D3655" s="6">
        <v>24.0</v>
      </c>
      <c r="E3655" s="6">
        <v>3800.0</v>
      </c>
      <c r="F3655" s="6">
        <v>4073.0</v>
      </c>
      <c r="G3655" s="6">
        <v>4071.0</v>
      </c>
      <c r="H3655" s="6">
        <v>0.9334</v>
      </c>
      <c r="I3655" s="6">
        <v>1.0005</v>
      </c>
      <c r="J3655" s="6">
        <v>-0.0671</v>
      </c>
    </row>
    <row r="3656">
      <c r="A3656" s="5" t="s">
        <v>60</v>
      </c>
      <c r="B3656" s="5" t="s">
        <v>163</v>
      </c>
      <c r="C3656" s="5" t="s">
        <v>71</v>
      </c>
      <c r="D3656" s="6">
        <v>25.0</v>
      </c>
      <c r="E3656" s="6">
        <v>3024.0</v>
      </c>
      <c r="F3656" s="6">
        <v>3422.0</v>
      </c>
      <c r="G3656" s="6">
        <v>4071.0</v>
      </c>
      <c r="H3656" s="6">
        <v>0.7428</v>
      </c>
      <c r="I3656" s="6">
        <v>0.8406</v>
      </c>
      <c r="J3656" s="6">
        <v>-0.0978</v>
      </c>
    </row>
    <row r="3657">
      <c r="A3657" s="5" t="s">
        <v>60</v>
      </c>
      <c r="B3657" s="5" t="s">
        <v>163</v>
      </c>
      <c r="C3657" s="5" t="s">
        <v>71</v>
      </c>
      <c r="D3657" s="6">
        <v>26.0</v>
      </c>
      <c r="E3657" s="6">
        <v>3146.0</v>
      </c>
      <c r="F3657" s="6">
        <v>3507.0</v>
      </c>
      <c r="G3657" s="6">
        <v>4071.0</v>
      </c>
      <c r="H3657" s="6">
        <v>0.7728</v>
      </c>
      <c r="I3657" s="6">
        <v>0.8615</v>
      </c>
      <c r="J3657" s="6">
        <v>-0.0887</v>
      </c>
    </row>
    <row r="3658">
      <c r="A3658" s="5" t="s">
        <v>60</v>
      </c>
      <c r="B3658" s="5" t="s">
        <v>163</v>
      </c>
      <c r="C3658" s="5" t="s">
        <v>71</v>
      </c>
      <c r="D3658" s="6">
        <v>27.0</v>
      </c>
      <c r="E3658" s="6">
        <v>3651.0</v>
      </c>
      <c r="F3658" s="6">
        <v>3329.0</v>
      </c>
      <c r="G3658" s="6">
        <v>4071.0</v>
      </c>
      <c r="H3658" s="6">
        <v>0.8968</v>
      </c>
      <c r="I3658" s="6">
        <v>0.8177</v>
      </c>
      <c r="J3658" s="6">
        <v>0.0791</v>
      </c>
    </row>
    <row r="3659">
      <c r="A3659" s="5" t="s">
        <v>60</v>
      </c>
      <c r="B3659" s="5" t="s">
        <v>163</v>
      </c>
      <c r="C3659" s="5" t="s">
        <v>71</v>
      </c>
      <c r="D3659" s="6">
        <v>28.0</v>
      </c>
      <c r="E3659" s="6">
        <v>3083.0</v>
      </c>
      <c r="F3659" s="6">
        <v>3686.0</v>
      </c>
      <c r="G3659" s="6">
        <v>4071.0</v>
      </c>
      <c r="H3659" s="6">
        <v>0.7573</v>
      </c>
      <c r="I3659" s="6">
        <v>0.9054</v>
      </c>
      <c r="J3659" s="6">
        <v>-0.1481</v>
      </c>
    </row>
    <row r="3660">
      <c r="A3660" s="5" t="s">
        <v>60</v>
      </c>
      <c r="B3660" s="5" t="s">
        <v>163</v>
      </c>
      <c r="C3660" s="5" t="s">
        <v>71</v>
      </c>
      <c r="D3660" s="6">
        <v>29.0</v>
      </c>
      <c r="E3660" s="6">
        <v>3330.0</v>
      </c>
      <c r="F3660" s="6">
        <v>3719.0</v>
      </c>
      <c r="G3660" s="6">
        <v>4071.0</v>
      </c>
      <c r="H3660" s="6">
        <v>0.818</v>
      </c>
      <c r="I3660" s="6">
        <v>0.9135</v>
      </c>
      <c r="J3660" s="6">
        <v>-0.0956</v>
      </c>
    </row>
    <row r="3661">
      <c r="A3661" s="5" t="s">
        <v>60</v>
      </c>
      <c r="B3661" s="5" t="s">
        <v>163</v>
      </c>
      <c r="C3661" s="5" t="s">
        <v>71</v>
      </c>
      <c r="D3661" s="6">
        <v>30.0</v>
      </c>
      <c r="E3661" s="6">
        <v>3453.0</v>
      </c>
      <c r="F3661" s="6">
        <v>3453.0</v>
      </c>
      <c r="G3661" s="6">
        <v>4071.0</v>
      </c>
      <c r="H3661" s="6">
        <v>0.8482</v>
      </c>
      <c r="I3661" s="6">
        <v>0.8482</v>
      </c>
      <c r="J3661" s="6">
        <v>0.0</v>
      </c>
    </row>
    <row r="3662">
      <c r="A3662" s="5" t="s">
        <v>60</v>
      </c>
      <c r="B3662" s="5" t="s">
        <v>163</v>
      </c>
      <c r="C3662" s="5" t="s">
        <v>71</v>
      </c>
      <c r="D3662" s="6">
        <v>31.0</v>
      </c>
      <c r="E3662" s="6">
        <v>4964.0</v>
      </c>
      <c r="F3662" s="6">
        <v>4143.0</v>
      </c>
      <c r="G3662" s="6">
        <v>4071.0</v>
      </c>
      <c r="H3662" s="6">
        <v>1.2194</v>
      </c>
      <c r="I3662" s="6">
        <v>1.0177</v>
      </c>
      <c r="J3662" s="6">
        <v>0.2017</v>
      </c>
    </row>
    <row r="3663">
      <c r="A3663" s="5" t="s">
        <v>60</v>
      </c>
      <c r="B3663" s="5" t="s">
        <v>163</v>
      </c>
      <c r="C3663" s="5" t="s">
        <v>71</v>
      </c>
      <c r="D3663" s="6">
        <v>32.0</v>
      </c>
      <c r="E3663" s="6">
        <v>3975.0</v>
      </c>
      <c r="F3663" s="6">
        <v>3975.0</v>
      </c>
      <c r="G3663" s="6">
        <v>4071.0</v>
      </c>
      <c r="H3663" s="6">
        <v>0.9764</v>
      </c>
      <c r="I3663" s="6">
        <v>0.9764</v>
      </c>
      <c r="J3663" s="6">
        <v>0.0</v>
      </c>
    </row>
    <row r="3664">
      <c r="A3664" s="5" t="s">
        <v>60</v>
      </c>
      <c r="B3664" s="5" t="s">
        <v>163</v>
      </c>
      <c r="C3664" s="5" t="s">
        <v>71</v>
      </c>
      <c r="D3664" s="6">
        <v>33.0</v>
      </c>
      <c r="E3664" s="6">
        <v>4438.0</v>
      </c>
      <c r="F3664" s="6">
        <v>4295.0</v>
      </c>
      <c r="G3664" s="6">
        <v>4071.0</v>
      </c>
      <c r="H3664" s="6">
        <v>1.0901</v>
      </c>
      <c r="I3664" s="6">
        <v>1.055</v>
      </c>
      <c r="J3664" s="6">
        <v>0.0351</v>
      </c>
    </row>
    <row r="3665">
      <c r="A3665" s="5" t="s">
        <v>60</v>
      </c>
      <c r="B3665" s="5" t="s">
        <v>163</v>
      </c>
      <c r="C3665" s="5" t="s">
        <v>1883</v>
      </c>
      <c r="D3665" s="6">
        <v>1.0</v>
      </c>
      <c r="E3665" s="6">
        <v>2050.0</v>
      </c>
      <c r="F3665" s="6">
        <v>2368.0</v>
      </c>
      <c r="G3665" s="6">
        <v>2444.0</v>
      </c>
      <c r="H3665" s="6">
        <v>0.8388</v>
      </c>
      <c r="I3665" s="6">
        <v>0.9689</v>
      </c>
      <c r="J3665" s="6">
        <v>-0.1301</v>
      </c>
    </row>
    <row r="3666">
      <c r="A3666" s="5" t="s">
        <v>60</v>
      </c>
      <c r="B3666" s="5" t="s">
        <v>163</v>
      </c>
      <c r="C3666" s="5" t="s">
        <v>1883</v>
      </c>
      <c r="D3666" s="6">
        <v>2.0</v>
      </c>
      <c r="E3666" s="6">
        <v>5075.0</v>
      </c>
      <c r="F3666" s="6">
        <v>4286.0</v>
      </c>
      <c r="G3666" s="6">
        <v>2444.0</v>
      </c>
      <c r="H3666" s="6">
        <v>2.0765</v>
      </c>
      <c r="I3666" s="6">
        <v>1.7537</v>
      </c>
      <c r="J3666" s="6">
        <v>0.3228</v>
      </c>
    </row>
    <row r="3667">
      <c r="A3667" s="5" t="s">
        <v>60</v>
      </c>
      <c r="B3667" s="5" t="s">
        <v>163</v>
      </c>
      <c r="C3667" s="5" t="s">
        <v>1883</v>
      </c>
      <c r="D3667" s="6">
        <v>3.0</v>
      </c>
      <c r="E3667" s="6">
        <v>2005.0</v>
      </c>
      <c r="F3667" s="6">
        <v>1520.0</v>
      </c>
      <c r="G3667" s="6">
        <v>2444.0</v>
      </c>
      <c r="H3667" s="6">
        <v>0.8204</v>
      </c>
      <c r="I3667" s="6">
        <v>0.6219</v>
      </c>
      <c r="J3667" s="6">
        <v>0.1984</v>
      </c>
    </row>
    <row r="3668">
      <c r="A3668" s="5" t="s">
        <v>60</v>
      </c>
      <c r="B3668" s="5" t="s">
        <v>163</v>
      </c>
      <c r="C3668" s="5" t="s">
        <v>1883</v>
      </c>
      <c r="D3668" s="6">
        <v>4.0</v>
      </c>
      <c r="E3668" s="6">
        <v>940.0</v>
      </c>
      <c r="F3668" s="6">
        <v>767.0</v>
      </c>
      <c r="G3668" s="6">
        <v>2444.0</v>
      </c>
      <c r="H3668" s="6">
        <v>0.3846</v>
      </c>
      <c r="I3668" s="6">
        <v>0.3138</v>
      </c>
      <c r="J3668" s="6">
        <v>0.0708</v>
      </c>
    </row>
    <row r="3669">
      <c r="A3669" s="5" t="s">
        <v>60</v>
      </c>
      <c r="B3669" s="5" t="s">
        <v>163</v>
      </c>
      <c r="C3669" s="5" t="s">
        <v>1883</v>
      </c>
      <c r="D3669" s="6">
        <v>5.0</v>
      </c>
      <c r="E3669" s="6">
        <v>735.0</v>
      </c>
      <c r="F3669" s="6">
        <v>561.0</v>
      </c>
      <c r="G3669" s="6">
        <v>2444.0</v>
      </c>
      <c r="H3669" s="6">
        <v>0.3007</v>
      </c>
      <c r="I3669" s="6">
        <v>0.2295</v>
      </c>
      <c r="J3669" s="6">
        <v>0.0712</v>
      </c>
    </row>
    <row r="3670">
      <c r="A3670" s="5" t="s">
        <v>60</v>
      </c>
      <c r="B3670" s="5" t="s">
        <v>163</v>
      </c>
      <c r="C3670" s="5" t="s">
        <v>1883</v>
      </c>
      <c r="D3670" s="6">
        <v>6.0</v>
      </c>
      <c r="E3670" s="6">
        <v>5225.0</v>
      </c>
      <c r="F3670" s="6">
        <v>4175.0</v>
      </c>
      <c r="G3670" s="6">
        <v>2444.0</v>
      </c>
      <c r="H3670" s="6">
        <v>2.1379</v>
      </c>
      <c r="I3670" s="6">
        <v>1.7083</v>
      </c>
      <c r="J3670" s="6">
        <v>0.4296</v>
      </c>
    </row>
    <row r="3671">
      <c r="A3671" s="5" t="s">
        <v>60</v>
      </c>
      <c r="B3671" s="5" t="s">
        <v>163</v>
      </c>
      <c r="C3671" s="5" t="s">
        <v>1883</v>
      </c>
      <c r="D3671" s="6">
        <v>7.0</v>
      </c>
      <c r="E3671" s="6">
        <v>7265.0</v>
      </c>
      <c r="F3671" s="6">
        <v>5205.0</v>
      </c>
      <c r="G3671" s="6">
        <v>2444.0</v>
      </c>
      <c r="H3671" s="6">
        <v>2.9726</v>
      </c>
      <c r="I3671" s="6">
        <v>2.1297</v>
      </c>
      <c r="J3671" s="6">
        <v>0.8429</v>
      </c>
    </row>
    <row r="3672">
      <c r="A3672" s="5" t="s">
        <v>60</v>
      </c>
      <c r="B3672" s="5" t="s">
        <v>163</v>
      </c>
      <c r="C3672" s="5" t="s">
        <v>1883</v>
      </c>
      <c r="D3672" s="6">
        <v>8.0</v>
      </c>
      <c r="E3672" s="6">
        <v>4575.0</v>
      </c>
      <c r="F3672" s="6">
        <v>3090.0</v>
      </c>
      <c r="G3672" s="6">
        <v>2444.0</v>
      </c>
      <c r="H3672" s="6">
        <v>1.8719</v>
      </c>
      <c r="I3672" s="6">
        <v>1.2643</v>
      </c>
      <c r="J3672" s="6">
        <v>0.6076</v>
      </c>
    </row>
    <row r="3673">
      <c r="A3673" s="5" t="s">
        <v>60</v>
      </c>
      <c r="B3673" s="5" t="s">
        <v>163</v>
      </c>
      <c r="C3673" s="5" t="s">
        <v>1883</v>
      </c>
      <c r="D3673" s="6">
        <v>9.0</v>
      </c>
      <c r="E3673" s="6">
        <v>2925.0</v>
      </c>
      <c r="F3673" s="6">
        <v>2301.0</v>
      </c>
      <c r="G3673" s="6">
        <v>2444.0</v>
      </c>
      <c r="H3673" s="6">
        <v>1.1968</v>
      </c>
      <c r="I3673" s="6">
        <v>0.9415</v>
      </c>
      <c r="J3673" s="6">
        <v>0.2553</v>
      </c>
    </row>
    <row r="3674">
      <c r="A3674" s="5" t="s">
        <v>60</v>
      </c>
      <c r="B3674" s="5" t="s">
        <v>163</v>
      </c>
      <c r="C3674" s="5" t="s">
        <v>1883</v>
      </c>
      <c r="D3674" s="6">
        <v>10.0</v>
      </c>
      <c r="E3674" s="6">
        <v>880.0</v>
      </c>
      <c r="F3674" s="6">
        <v>723.0</v>
      </c>
      <c r="G3674" s="6">
        <v>2444.0</v>
      </c>
      <c r="H3674" s="6">
        <v>0.3601</v>
      </c>
      <c r="I3674" s="6">
        <v>0.2958</v>
      </c>
      <c r="J3674" s="6">
        <v>0.0642</v>
      </c>
    </row>
    <row r="3675">
      <c r="A3675" s="5" t="s">
        <v>60</v>
      </c>
      <c r="B3675" s="5" t="s">
        <v>163</v>
      </c>
      <c r="C3675" s="5" t="s">
        <v>1883</v>
      </c>
      <c r="D3675" s="6">
        <v>11.0</v>
      </c>
      <c r="E3675" s="6">
        <v>430.0</v>
      </c>
      <c r="F3675" s="6">
        <v>408.0</v>
      </c>
      <c r="G3675" s="6">
        <v>2444.0</v>
      </c>
      <c r="H3675" s="6">
        <v>0.1759</v>
      </c>
      <c r="I3675" s="6">
        <v>0.1669</v>
      </c>
      <c r="J3675" s="6">
        <v>0.009</v>
      </c>
    </row>
    <row r="3676">
      <c r="A3676" s="5" t="s">
        <v>60</v>
      </c>
      <c r="B3676" s="5" t="s">
        <v>163</v>
      </c>
      <c r="C3676" s="5" t="s">
        <v>1883</v>
      </c>
      <c r="D3676" s="6">
        <v>12.0</v>
      </c>
      <c r="E3676" s="6">
        <v>480.0</v>
      </c>
      <c r="F3676" s="6">
        <v>502.0</v>
      </c>
      <c r="G3676" s="6">
        <v>2444.0</v>
      </c>
      <c r="H3676" s="6">
        <v>0.1964</v>
      </c>
      <c r="I3676" s="6">
        <v>0.2054</v>
      </c>
      <c r="J3676" s="6">
        <v>-0.009</v>
      </c>
    </row>
    <row r="3677">
      <c r="A3677" s="5" t="s">
        <v>60</v>
      </c>
      <c r="B3677" s="5" t="s">
        <v>163</v>
      </c>
      <c r="C3677" s="5" t="s">
        <v>1883</v>
      </c>
      <c r="D3677" s="6">
        <v>13.0</v>
      </c>
      <c r="E3677" s="6">
        <v>5840.0</v>
      </c>
      <c r="F3677" s="6">
        <v>4643.0</v>
      </c>
      <c r="G3677" s="6">
        <v>2444.0</v>
      </c>
      <c r="H3677" s="6">
        <v>2.3895</v>
      </c>
      <c r="I3677" s="6">
        <v>1.8998</v>
      </c>
      <c r="J3677" s="6">
        <v>0.4898</v>
      </c>
    </row>
    <row r="3678">
      <c r="A3678" s="5" t="s">
        <v>60</v>
      </c>
      <c r="B3678" s="5" t="s">
        <v>163</v>
      </c>
      <c r="C3678" s="5" t="s">
        <v>1883</v>
      </c>
      <c r="D3678" s="6">
        <v>14.0</v>
      </c>
      <c r="E3678" s="6">
        <v>5995.0</v>
      </c>
      <c r="F3678" s="6">
        <v>4572.0</v>
      </c>
      <c r="G3678" s="6">
        <v>2444.0</v>
      </c>
      <c r="H3678" s="6">
        <v>2.4529</v>
      </c>
      <c r="I3678" s="6">
        <v>1.8707</v>
      </c>
      <c r="J3678" s="6">
        <v>0.5822</v>
      </c>
    </row>
    <row r="3679">
      <c r="A3679" s="5" t="s">
        <v>60</v>
      </c>
      <c r="B3679" s="5" t="s">
        <v>163</v>
      </c>
      <c r="C3679" s="5" t="s">
        <v>1883</v>
      </c>
      <c r="D3679" s="6">
        <v>15.0</v>
      </c>
      <c r="E3679" s="6">
        <v>4320.0</v>
      </c>
      <c r="F3679" s="6">
        <v>3323.0</v>
      </c>
      <c r="G3679" s="6">
        <v>2444.0</v>
      </c>
      <c r="H3679" s="6">
        <v>1.7676</v>
      </c>
      <c r="I3679" s="6">
        <v>1.3597</v>
      </c>
      <c r="J3679" s="6">
        <v>0.4079</v>
      </c>
    </row>
    <row r="3680">
      <c r="A3680" s="5" t="s">
        <v>60</v>
      </c>
      <c r="B3680" s="5" t="s">
        <v>163</v>
      </c>
      <c r="C3680" s="5" t="s">
        <v>1883</v>
      </c>
      <c r="D3680" s="6">
        <v>16.0</v>
      </c>
      <c r="E3680" s="6">
        <v>7220.0</v>
      </c>
      <c r="F3680" s="6">
        <v>5327.0</v>
      </c>
      <c r="G3680" s="6">
        <v>2444.0</v>
      </c>
      <c r="H3680" s="6">
        <v>2.9542</v>
      </c>
      <c r="I3680" s="6">
        <v>2.1796</v>
      </c>
      <c r="J3680" s="6">
        <v>0.7745</v>
      </c>
    </row>
    <row r="3681">
      <c r="A3681" s="5" t="s">
        <v>60</v>
      </c>
      <c r="B3681" s="5" t="s">
        <v>163</v>
      </c>
      <c r="C3681" s="5" t="s">
        <v>1883</v>
      </c>
      <c r="D3681" s="6">
        <v>17.0</v>
      </c>
      <c r="E3681" s="6">
        <v>2920.0</v>
      </c>
      <c r="F3681" s="6">
        <v>2261.0</v>
      </c>
      <c r="G3681" s="6">
        <v>2444.0</v>
      </c>
      <c r="H3681" s="6">
        <v>1.1948</v>
      </c>
      <c r="I3681" s="6">
        <v>0.9251</v>
      </c>
      <c r="J3681" s="6">
        <v>0.2696</v>
      </c>
    </row>
    <row r="3682">
      <c r="A3682" s="5" t="s">
        <v>60</v>
      </c>
      <c r="B3682" s="5" t="s">
        <v>163</v>
      </c>
      <c r="C3682" s="5" t="s">
        <v>1883</v>
      </c>
      <c r="D3682" s="6">
        <v>18.0</v>
      </c>
      <c r="E3682" s="6">
        <v>1705.0</v>
      </c>
      <c r="F3682" s="6">
        <v>1330.0</v>
      </c>
      <c r="G3682" s="6">
        <v>2444.0</v>
      </c>
      <c r="H3682" s="6">
        <v>0.6976</v>
      </c>
      <c r="I3682" s="6">
        <v>0.5442</v>
      </c>
      <c r="J3682" s="6">
        <v>0.1534</v>
      </c>
    </row>
    <row r="3683">
      <c r="A3683" s="5" t="s">
        <v>60</v>
      </c>
      <c r="B3683" s="5" t="s">
        <v>163</v>
      </c>
      <c r="C3683" s="5" t="s">
        <v>1883</v>
      </c>
      <c r="D3683" s="6">
        <v>19.0</v>
      </c>
      <c r="E3683" s="6">
        <v>1270.0</v>
      </c>
      <c r="F3683" s="6">
        <v>943.0</v>
      </c>
      <c r="G3683" s="6">
        <v>2444.0</v>
      </c>
      <c r="H3683" s="6">
        <v>0.5196</v>
      </c>
      <c r="I3683" s="6">
        <v>0.3858</v>
      </c>
      <c r="J3683" s="6">
        <v>0.1338</v>
      </c>
    </row>
    <row r="3684">
      <c r="A3684" s="5" t="s">
        <v>60</v>
      </c>
      <c r="B3684" s="5" t="s">
        <v>163</v>
      </c>
      <c r="C3684" s="5" t="s">
        <v>1883</v>
      </c>
      <c r="D3684" s="6">
        <v>20.0</v>
      </c>
      <c r="E3684" s="6">
        <v>6570.0</v>
      </c>
      <c r="F3684" s="6">
        <v>4894.0</v>
      </c>
      <c r="G3684" s="6">
        <v>2444.0</v>
      </c>
      <c r="H3684" s="6">
        <v>2.6882</v>
      </c>
      <c r="I3684" s="6">
        <v>2.0025</v>
      </c>
      <c r="J3684" s="6">
        <v>0.6858</v>
      </c>
    </row>
    <row r="3685">
      <c r="A3685" s="5" t="s">
        <v>60</v>
      </c>
      <c r="B3685" s="5" t="s">
        <v>163</v>
      </c>
      <c r="C3685" s="5" t="s">
        <v>1883</v>
      </c>
      <c r="D3685" s="6">
        <v>21.0</v>
      </c>
      <c r="E3685" s="6">
        <v>8345.0</v>
      </c>
      <c r="F3685" s="6">
        <v>5933.0</v>
      </c>
      <c r="G3685" s="6">
        <v>2444.0</v>
      </c>
      <c r="H3685" s="6">
        <v>3.4145</v>
      </c>
      <c r="I3685" s="6">
        <v>2.4276</v>
      </c>
      <c r="J3685" s="6">
        <v>0.9869</v>
      </c>
    </row>
    <row r="3686">
      <c r="A3686" s="5" t="s">
        <v>60</v>
      </c>
      <c r="B3686" s="5" t="s">
        <v>163</v>
      </c>
      <c r="C3686" s="5" t="s">
        <v>1883</v>
      </c>
      <c r="D3686" s="6">
        <v>22.0</v>
      </c>
      <c r="E3686" s="6">
        <v>4830.0</v>
      </c>
      <c r="F3686" s="6">
        <v>3503.0</v>
      </c>
      <c r="G3686" s="6">
        <v>2444.0</v>
      </c>
      <c r="H3686" s="6">
        <v>1.9763</v>
      </c>
      <c r="I3686" s="6">
        <v>1.4333</v>
      </c>
      <c r="J3686" s="6">
        <v>0.543</v>
      </c>
    </row>
    <row r="3687">
      <c r="A3687" s="5" t="s">
        <v>60</v>
      </c>
      <c r="B3687" s="5" t="s">
        <v>163</v>
      </c>
      <c r="C3687" s="5" t="s">
        <v>1883</v>
      </c>
      <c r="D3687" s="6">
        <v>23.0</v>
      </c>
      <c r="E3687" s="6">
        <v>3745.0</v>
      </c>
      <c r="F3687" s="6">
        <v>2690.0</v>
      </c>
      <c r="G3687" s="6">
        <v>2444.0</v>
      </c>
      <c r="H3687" s="6">
        <v>1.5323</v>
      </c>
      <c r="I3687" s="6">
        <v>1.1007</v>
      </c>
      <c r="J3687" s="6">
        <v>0.4317</v>
      </c>
    </row>
    <row r="3688">
      <c r="A3688" s="5" t="s">
        <v>60</v>
      </c>
      <c r="B3688" s="5" t="s">
        <v>163</v>
      </c>
      <c r="C3688" s="5" t="s">
        <v>1883</v>
      </c>
      <c r="D3688" s="6">
        <v>24.0</v>
      </c>
      <c r="E3688" s="6">
        <v>1210.0</v>
      </c>
      <c r="F3688" s="6">
        <v>725.0</v>
      </c>
      <c r="G3688" s="6">
        <v>2444.0</v>
      </c>
      <c r="H3688" s="6">
        <v>0.4951</v>
      </c>
      <c r="I3688" s="6">
        <v>0.2966</v>
      </c>
      <c r="J3688" s="6">
        <v>0.1984</v>
      </c>
    </row>
    <row r="3689">
      <c r="A3689" s="5" t="s">
        <v>60</v>
      </c>
      <c r="B3689" s="5" t="s">
        <v>163</v>
      </c>
      <c r="C3689" s="5" t="s">
        <v>1883</v>
      </c>
      <c r="D3689" s="6">
        <v>25.0</v>
      </c>
      <c r="E3689" s="6">
        <v>540.0</v>
      </c>
      <c r="F3689" s="6">
        <v>407.0</v>
      </c>
      <c r="G3689" s="6">
        <v>2444.0</v>
      </c>
      <c r="H3689" s="6">
        <v>0.2209</v>
      </c>
      <c r="I3689" s="6">
        <v>0.1665</v>
      </c>
      <c r="J3689" s="6">
        <v>0.0544</v>
      </c>
    </row>
    <row r="3690">
      <c r="A3690" s="5" t="s">
        <v>60</v>
      </c>
      <c r="B3690" s="5" t="s">
        <v>163</v>
      </c>
      <c r="C3690" s="5" t="s">
        <v>1883</v>
      </c>
      <c r="D3690" s="6">
        <v>26.0</v>
      </c>
      <c r="E3690" s="6">
        <v>620.0</v>
      </c>
      <c r="F3690" s="6">
        <v>407.0</v>
      </c>
      <c r="G3690" s="6">
        <v>2444.0</v>
      </c>
      <c r="H3690" s="6">
        <v>0.2537</v>
      </c>
      <c r="I3690" s="6">
        <v>0.1665</v>
      </c>
      <c r="J3690" s="6">
        <v>0.0872</v>
      </c>
    </row>
    <row r="3691">
      <c r="A3691" s="5" t="s">
        <v>60</v>
      </c>
      <c r="B3691" s="5" t="s">
        <v>163</v>
      </c>
      <c r="C3691" s="5" t="s">
        <v>1883</v>
      </c>
      <c r="D3691" s="6">
        <v>27.0</v>
      </c>
      <c r="E3691" s="6">
        <v>3050.0</v>
      </c>
      <c r="F3691" s="6">
        <v>2283.0</v>
      </c>
      <c r="G3691" s="6">
        <v>2444.0</v>
      </c>
      <c r="H3691" s="6">
        <v>1.248</v>
      </c>
      <c r="I3691" s="6">
        <v>0.9341</v>
      </c>
      <c r="J3691" s="6">
        <v>0.3138</v>
      </c>
    </row>
    <row r="3692">
      <c r="A3692" s="5" t="s">
        <v>60</v>
      </c>
      <c r="B3692" s="5" t="s">
        <v>163</v>
      </c>
      <c r="C3692" s="5" t="s">
        <v>1883</v>
      </c>
      <c r="D3692" s="6">
        <v>28.0</v>
      </c>
      <c r="E3692" s="6">
        <v>4875.0</v>
      </c>
      <c r="F3692" s="6">
        <v>4236.0</v>
      </c>
      <c r="G3692" s="6">
        <v>2444.0</v>
      </c>
      <c r="H3692" s="6">
        <v>1.9947</v>
      </c>
      <c r="I3692" s="6">
        <v>1.7332</v>
      </c>
      <c r="J3692" s="6">
        <v>0.2615</v>
      </c>
    </row>
    <row r="3693">
      <c r="A3693" s="5" t="s">
        <v>60</v>
      </c>
      <c r="B3693" s="5" t="s">
        <v>163</v>
      </c>
      <c r="C3693" s="5" t="s">
        <v>1883</v>
      </c>
      <c r="D3693" s="6">
        <v>29.0</v>
      </c>
      <c r="E3693" s="6">
        <v>3435.0</v>
      </c>
      <c r="F3693" s="6">
        <v>3427.0</v>
      </c>
      <c r="G3693" s="6">
        <v>2444.0</v>
      </c>
      <c r="H3693" s="6">
        <v>1.4055</v>
      </c>
      <c r="I3693" s="6">
        <v>1.4022</v>
      </c>
      <c r="J3693" s="6">
        <v>0.0033</v>
      </c>
    </row>
    <row r="3694">
      <c r="A3694" s="5" t="s">
        <v>60</v>
      </c>
      <c r="B3694" s="5" t="s">
        <v>163</v>
      </c>
      <c r="C3694" s="5" t="s">
        <v>1883</v>
      </c>
      <c r="D3694" s="6">
        <v>30.0</v>
      </c>
      <c r="E3694" s="6">
        <v>7485.0</v>
      </c>
      <c r="F3694" s="6">
        <v>6335.0</v>
      </c>
      <c r="G3694" s="6">
        <v>2444.0</v>
      </c>
      <c r="H3694" s="6">
        <v>3.0626</v>
      </c>
      <c r="I3694" s="6">
        <v>2.5921</v>
      </c>
      <c r="J3694" s="6">
        <v>0.4705</v>
      </c>
    </row>
    <row r="3695">
      <c r="A3695" s="5" t="s">
        <v>60</v>
      </c>
      <c r="B3695" s="5" t="s">
        <v>163</v>
      </c>
      <c r="C3695" s="5" t="s">
        <v>1883</v>
      </c>
      <c r="D3695" s="6">
        <v>31.0</v>
      </c>
      <c r="E3695" s="6">
        <v>3010.0</v>
      </c>
      <c r="F3695" s="6">
        <v>2179.0</v>
      </c>
      <c r="G3695" s="6">
        <v>2444.0</v>
      </c>
      <c r="H3695" s="6">
        <v>1.2316</v>
      </c>
      <c r="I3695" s="6">
        <v>0.8916</v>
      </c>
      <c r="J3695" s="6">
        <v>0.34</v>
      </c>
    </row>
    <row r="3696">
      <c r="A3696" s="5" t="s">
        <v>60</v>
      </c>
      <c r="B3696" s="5" t="s">
        <v>163</v>
      </c>
      <c r="C3696" s="5" t="s">
        <v>1883</v>
      </c>
      <c r="D3696" s="6">
        <v>32.0</v>
      </c>
      <c r="E3696" s="6">
        <v>2240.0</v>
      </c>
      <c r="F3696" s="6">
        <v>1573.0</v>
      </c>
      <c r="G3696" s="6">
        <v>2444.0</v>
      </c>
      <c r="H3696" s="6">
        <v>0.9165</v>
      </c>
      <c r="I3696" s="6">
        <v>0.6436</v>
      </c>
      <c r="J3696" s="6">
        <v>0.2729</v>
      </c>
    </row>
    <row r="3697">
      <c r="A3697" s="5" t="s">
        <v>60</v>
      </c>
      <c r="B3697" s="5" t="s">
        <v>163</v>
      </c>
      <c r="C3697" s="5" t="s">
        <v>1883</v>
      </c>
      <c r="D3697" s="6">
        <v>33.0</v>
      </c>
      <c r="E3697" s="6">
        <v>1730.0</v>
      </c>
      <c r="F3697" s="6">
        <v>1140.0</v>
      </c>
      <c r="G3697" s="6">
        <v>2444.0</v>
      </c>
      <c r="H3697" s="6">
        <v>0.7079</v>
      </c>
      <c r="I3697" s="6">
        <v>0.4664</v>
      </c>
      <c r="J3697" s="6">
        <v>0.2414</v>
      </c>
    </row>
    <row r="3698">
      <c r="A3698" s="5" t="s">
        <v>60</v>
      </c>
      <c r="B3698" s="5" t="s">
        <v>163</v>
      </c>
      <c r="C3698" s="5" t="s">
        <v>1884</v>
      </c>
      <c r="D3698" s="6">
        <v>1.0</v>
      </c>
      <c r="E3698" s="6">
        <v>3380.0</v>
      </c>
      <c r="F3698" s="6">
        <v>3153.0</v>
      </c>
      <c r="G3698" s="6">
        <v>3614.0</v>
      </c>
      <c r="H3698" s="6">
        <v>0.9353</v>
      </c>
      <c r="I3698" s="6">
        <v>0.8724</v>
      </c>
      <c r="J3698" s="6">
        <v>0.0628</v>
      </c>
    </row>
    <row r="3699">
      <c r="A3699" s="5" t="s">
        <v>60</v>
      </c>
      <c r="B3699" s="5" t="s">
        <v>163</v>
      </c>
      <c r="C3699" s="5" t="s">
        <v>1884</v>
      </c>
      <c r="D3699" s="6">
        <v>2.0</v>
      </c>
      <c r="E3699" s="6">
        <v>7135.0</v>
      </c>
      <c r="F3699" s="6">
        <v>5467.0</v>
      </c>
      <c r="G3699" s="6">
        <v>3614.0</v>
      </c>
      <c r="H3699" s="6">
        <v>1.9743</v>
      </c>
      <c r="I3699" s="6">
        <v>1.5127</v>
      </c>
      <c r="J3699" s="6">
        <v>0.4615</v>
      </c>
    </row>
    <row r="3700">
      <c r="A3700" s="5" t="s">
        <v>60</v>
      </c>
      <c r="B3700" s="5" t="s">
        <v>163</v>
      </c>
      <c r="C3700" s="5" t="s">
        <v>1884</v>
      </c>
      <c r="D3700" s="6">
        <v>3.0</v>
      </c>
      <c r="E3700" s="6">
        <v>8425.0</v>
      </c>
      <c r="F3700" s="6">
        <v>5507.0</v>
      </c>
      <c r="G3700" s="6">
        <v>3614.0</v>
      </c>
      <c r="H3700" s="6">
        <v>2.3312</v>
      </c>
      <c r="I3700" s="6">
        <v>1.5238</v>
      </c>
      <c r="J3700" s="6">
        <v>0.8074</v>
      </c>
    </row>
    <row r="3701">
      <c r="A3701" s="5" t="s">
        <v>60</v>
      </c>
      <c r="B3701" s="5" t="s">
        <v>163</v>
      </c>
      <c r="C3701" s="5" t="s">
        <v>1884</v>
      </c>
      <c r="D3701" s="6">
        <v>4.0</v>
      </c>
      <c r="E3701" s="6">
        <v>7805.0</v>
      </c>
      <c r="F3701" s="6">
        <v>5128.0</v>
      </c>
      <c r="G3701" s="6">
        <v>3614.0</v>
      </c>
      <c r="H3701" s="6">
        <v>2.1597</v>
      </c>
      <c r="I3701" s="6">
        <v>1.4189</v>
      </c>
      <c r="J3701" s="6">
        <v>0.7407</v>
      </c>
    </row>
    <row r="3702">
      <c r="A3702" s="5" t="s">
        <v>60</v>
      </c>
      <c r="B3702" s="5" t="s">
        <v>163</v>
      </c>
      <c r="C3702" s="5" t="s">
        <v>1884</v>
      </c>
      <c r="D3702" s="6">
        <v>5.0</v>
      </c>
      <c r="E3702" s="6">
        <v>7950.0</v>
      </c>
      <c r="F3702" s="6">
        <v>4973.0</v>
      </c>
      <c r="G3702" s="6">
        <v>3614.0</v>
      </c>
      <c r="H3702" s="6">
        <v>2.1998</v>
      </c>
      <c r="I3702" s="6">
        <v>1.376</v>
      </c>
      <c r="J3702" s="6">
        <v>0.8237</v>
      </c>
    </row>
    <row r="3703">
      <c r="A3703" s="5" t="s">
        <v>60</v>
      </c>
      <c r="B3703" s="5" t="s">
        <v>163</v>
      </c>
      <c r="C3703" s="5" t="s">
        <v>1884</v>
      </c>
      <c r="D3703" s="6">
        <v>6.0</v>
      </c>
      <c r="E3703" s="6">
        <v>11500.0</v>
      </c>
      <c r="F3703" s="6">
        <v>8136.0</v>
      </c>
      <c r="G3703" s="6">
        <v>3614.0</v>
      </c>
      <c r="H3703" s="6">
        <v>3.1821</v>
      </c>
      <c r="I3703" s="6">
        <v>2.2512</v>
      </c>
      <c r="J3703" s="6">
        <v>0.9308</v>
      </c>
    </row>
    <row r="3704">
      <c r="A3704" s="5" t="s">
        <v>60</v>
      </c>
      <c r="B3704" s="5" t="s">
        <v>163</v>
      </c>
      <c r="C3704" s="5" t="s">
        <v>1884</v>
      </c>
      <c r="D3704" s="6">
        <v>7.0</v>
      </c>
      <c r="E3704" s="6">
        <v>11535.0</v>
      </c>
      <c r="F3704" s="6">
        <v>7774.0</v>
      </c>
      <c r="G3704" s="6">
        <v>3614.0</v>
      </c>
      <c r="H3704" s="6">
        <v>3.1918</v>
      </c>
      <c r="I3704" s="6">
        <v>2.1511</v>
      </c>
      <c r="J3704" s="6">
        <v>1.0407</v>
      </c>
    </row>
    <row r="3705">
      <c r="A3705" s="5" t="s">
        <v>60</v>
      </c>
      <c r="B3705" s="5" t="s">
        <v>163</v>
      </c>
      <c r="C3705" s="5" t="s">
        <v>1884</v>
      </c>
      <c r="D3705" s="6">
        <v>8.0</v>
      </c>
      <c r="E3705" s="6">
        <v>8120.0</v>
      </c>
      <c r="F3705" s="6">
        <v>5396.0</v>
      </c>
      <c r="G3705" s="6">
        <v>3614.0</v>
      </c>
      <c r="H3705" s="6">
        <v>2.2468</v>
      </c>
      <c r="I3705" s="6">
        <v>1.4931</v>
      </c>
      <c r="J3705" s="6">
        <v>0.7537</v>
      </c>
    </row>
    <row r="3706">
      <c r="A3706" s="5" t="s">
        <v>60</v>
      </c>
      <c r="B3706" s="5" t="s">
        <v>163</v>
      </c>
      <c r="C3706" s="5" t="s">
        <v>1884</v>
      </c>
      <c r="D3706" s="6">
        <v>9.0</v>
      </c>
      <c r="E3706" s="6">
        <v>4425.0</v>
      </c>
      <c r="F3706" s="6">
        <v>3220.0</v>
      </c>
      <c r="G3706" s="6">
        <v>3614.0</v>
      </c>
      <c r="H3706" s="6">
        <v>1.2244</v>
      </c>
      <c r="I3706" s="6">
        <v>0.891</v>
      </c>
      <c r="J3706" s="6">
        <v>0.3334</v>
      </c>
    </row>
    <row r="3707">
      <c r="A3707" s="5" t="s">
        <v>60</v>
      </c>
      <c r="B3707" s="5" t="s">
        <v>163</v>
      </c>
      <c r="C3707" s="5" t="s">
        <v>1884</v>
      </c>
      <c r="D3707" s="6">
        <v>10.0</v>
      </c>
      <c r="E3707" s="6">
        <v>4755.0</v>
      </c>
      <c r="F3707" s="6">
        <v>3248.0</v>
      </c>
      <c r="G3707" s="6">
        <v>3614.0</v>
      </c>
      <c r="H3707" s="6">
        <v>1.3157</v>
      </c>
      <c r="I3707" s="6">
        <v>0.8987</v>
      </c>
      <c r="J3707" s="6">
        <v>0.417</v>
      </c>
    </row>
    <row r="3708">
      <c r="A3708" s="5" t="s">
        <v>60</v>
      </c>
      <c r="B3708" s="5" t="s">
        <v>163</v>
      </c>
      <c r="C3708" s="5" t="s">
        <v>1884</v>
      </c>
      <c r="D3708" s="6">
        <v>11.0</v>
      </c>
      <c r="E3708" s="6">
        <v>4145.0</v>
      </c>
      <c r="F3708" s="6">
        <v>2937.0</v>
      </c>
      <c r="G3708" s="6">
        <v>3614.0</v>
      </c>
      <c r="H3708" s="6">
        <v>1.1469</v>
      </c>
      <c r="I3708" s="6">
        <v>0.8127</v>
      </c>
      <c r="J3708" s="6">
        <v>0.3343</v>
      </c>
    </row>
    <row r="3709">
      <c r="A3709" s="5" t="s">
        <v>60</v>
      </c>
      <c r="B3709" s="5" t="s">
        <v>163</v>
      </c>
      <c r="C3709" s="5" t="s">
        <v>1884</v>
      </c>
      <c r="D3709" s="6">
        <v>12.0</v>
      </c>
      <c r="E3709" s="6">
        <v>4065.0</v>
      </c>
      <c r="F3709" s="6">
        <v>2712.0</v>
      </c>
      <c r="G3709" s="6">
        <v>3614.0</v>
      </c>
      <c r="H3709" s="6">
        <v>1.1248</v>
      </c>
      <c r="I3709" s="6">
        <v>0.7504</v>
      </c>
      <c r="J3709" s="6">
        <v>0.3744</v>
      </c>
    </row>
    <row r="3710">
      <c r="A3710" s="5" t="s">
        <v>60</v>
      </c>
      <c r="B3710" s="5" t="s">
        <v>163</v>
      </c>
      <c r="C3710" s="5" t="s">
        <v>1884</v>
      </c>
      <c r="D3710" s="6">
        <v>13.0</v>
      </c>
      <c r="E3710" s="6">
        <v>8995.0</v>
      </c>
      <c r="F3710" s="6">
        <v>6373.0</v>
      </c>
      <c r="G3710" s="6">
        <v>3614.0</v>
      </c>
      <c r="H3710" s="6">
        <v>2.4889</v>
      </c>
      <c r="I3710" s="6">
        <v>1.7634</v>
      </c>
      <c r="J3710" s="6">
        <v>0.7255</v>
      </c>
    </row>
    <row r="3711">
      <c r="A3711" s="5" t="s">
        <v>60</v>
      </c>
      <c r="B3711" s="5" t="s">
        <v>163</v>
      </c>
      <c r="C3711" s="5" t="s">
        <v>1884</v>
      </c>
      <c r="D3711" s="6">
        <v>14.0</v>
      </c>
      <c r="E3711" s="6">
        <v>7225.0</v>
      </c>
      <c r="F3711" s="6">
        <v>4981.0</v>
      </c>
      <c r="G3711" s="6">
        <v>3614.0</v>
      </c>
      <c r="H3711" s="6">
        <v>1.9992</v>
      </c>
      <c r="I3711" s="6">
        <v>1.3783</v>
      </c>
      <c r="J3711" s="6">
        <v>0.6209</v>
      </c>
    </row>
    <row r="3712">
      <c r="A3712" s="5" t="s">
        <v>60</v>
      </c>
      <c r="B3712" s="5" t="s">
        <v>163</v>
      </c>
      <c r="C3712" s="5" t="s">
        <v>1884</v>
      </c>
      <c r="D3712" s="6">
        <v>15.0</v>
      </c>
      <c r="E3712" s="6">
        <v>5230.0</v>
      </c>
      <c r="F3712" s="6">
        <v>3726.0</v>
      </c>
      <c r="G3712" s="6">
        <v>3614.0</v>
      </c>
      <c r="H3712" s="6">
        <v>1.4471</v>
      </c>
      <c r="I3712" s="6">
        <v>1.031</v>
      </c>
      <c r="J3712" s="6">
        <v>0.4162</v>
      </c>
    </row>
    <row r="3713">
      <c r="A3713" s="5" t="s">
        <v>60</v>
      </c>
      <c r="B3713" s="5" t="s">
        <v>163</v>
      </c>
      <c r="C3713" s="5" t="s">
        <v>1884</v>
      </c>
      <c r="D3713" s="6">
        <v>16.0</v>
      </c>
      <c r="E3713" s="6">
        <v>9420.0</v>
      </c>
      <c r="F3713" s="6">
        <v>6458.0</v>
      </c>
      <c r="G3713" s="6">
        <v>3614.0</v>
      </c>
      <c r="H3713" s="6">
        <v>2.6065</v>
      </c>
      <c r="I3713" s="6">
        <v>1.7869</v>
      </c>
      <c r="J3713" s="6">
        <v>0.8196</v>
      </c>
    </row>
    <row r="3714">
      <c r="A3714" s="5" t="s">
        <v>60</v>
      </c>
      <c r="B3714" s="5" t="s">
        <v>163</v>
      </c>
      <c r="C3714" s="5" t="s">
        <v>1884</v>
      </c>
      <c r="D3714" s="6">
        <v>17.0</v>
      </c>
      <c r="E3714" s="6">
        <v>10155.0</v>
      </c>
      <c r="F3714" s="6">
        <v>6834.0</v>
      </c>
      <c r="G3714" s="6">
        <v>3614.0</v>
      </c>
      <c r="H3714" s="6">
        <v>2.8099</v>
      </c>
      <c r="I3714" s="6">
        <v>1.891</v>
      </c>
      <c r="J3714" s="6">
        <v>0.9189</v>
      </c>
    </row>
    <row r="3715">
      <c r="A3715" s="5" t="s">
        <v>60</v>
      </c>
      <c r="B3715" s="5" t="s">
        <v>163</v>
      </c>
      <c r="C3715" s="5" t="s">
        <v>1884</v>
      </c>
      <c r="D3715" s="6">
        <v>18.0</v>
      </c>
      <c r="E3715" s="6">
        <v>9705.0</v>
      </c>
      <c r="F3715" s="6">
        <v>6315.0</v>
      </c>
      <c r="G3715" s="6">
        <v>3614.0</v>
      </c>
      <c r="H3715" s="6">
        <v>2.6854</v>
      </c>
      <c r="I3715" s="6">
        <v>1.7474</v>
      </c>
      <c r="J3715" s="6">
        <v>0.938</v>
      </c>
    </row>
    <row r="3716">
      <c r="A3716" s="5" t="s">
        <v>60</v>
      </c>
      <c r="B3716" s="5" t="s">
        <v>163</v>
      </c>
      <c r="C3716" s="5" t="s">
        <v>1884</v>
      </c>
      <c r="D3716" s="6">
        <v>19.0</v>
      </c>
      <c r="E3716" s="6">
        <v>8260.0</v>
      </c>
      <c r="F3716" s="6">
        <v>5427.0</v>
      </c>
      <c r="G3716" s="6">
        <v>3614.0</v>
      </c>
      <c r="H3716" s="6">
        <v>2.2856</v>
      </c>
      <c r="I3716" s="6">
        <v>1.5017</v>
      </c>
      <c r="J3716" s="6">
        <v>0.7839</v>
      </c>
    </row>
    <row r="3717">
      <c r="A3717" s="5" t="s">
        <v>60</v>
      </c>
      <c r="B3717" s="5" t="s">
        <v>163</v>
      </c>
      <c r="C3717" s="5" t="s">
        <v>1884</v>
      </c>
      <c r="D3717" s="6">
        <v>20.0</v>
      </c>
      <c r="E3717" s="6">
        <v>15040.0</v>
      </c>
      <c r="F3717" s="6">
        <v>10188.0</v>
      </c>
      <c r="G3717" s="6">
        <v>3614.0</v>
      </c>
      <c r="H3717" s="6">
        <v>4.1616</v>
      </c>
      <c r="I3717" s="6">
        <v>2.819</v>
      </c>
      <c r="J3717" s="6">
        <v>1.3426</v>
      </c>
    </row>
    <row r="3718">
      <c r="A3718" s="5" t="s">
        <v>60</v>
      </c>
      <c r="B3718" s="5" t="s">
        <v>163</v>
      </c>
      <c r="C3718" s="5" t="s">
        <v>1884</v>
      </c>
      <c r="D3718" s="6">
        <v>21.0</v>
      </c>
      <c r="E3718" s="6">
        <v>23835.0</v>
      </c>
      <c r="F3718" s="6">
        <v>14802.0</v>
      </c>
      <c r="G3718" s="6">
        <v>3614.0</v>
      </c>
      <c r="H3718" s="6">
        <v>6.5952</v>
      </c>
      <c r="I3718" s="6">
        <v>4.0957</v>
      </c>
      <c r="J3718" s="6">
        <v>2.4994</v>
      </c>
    </row>
    <row r="3719">
      <c r="A3719" s="5" t="s">
        <v>60</v>
      </c>
      <c r="B3719" s="5" t="s">
        <v>163</v>
      </c>
      <c r="C3719" s="5" t="s">
        <v>1884</v>
      </c>
      <c r="D3719" s="6">
        <v>22.0</v>
      </c>
      <c r="E3719" s="6">
        <v>12075.0</v>
      </c>
      <c r="F3719" s="6">
        <v>7819.0</v>
      </c>
      <c r="G3719" s="6">
        <v>3614.0</v>
      </c>
      <c r="H3719" s="6">
        <v>3.3412</v>
      </c>
      <c r="I3719" s="6">
        <v>2.1635</v>
      </c>
      <c r="J3719" s="6">
        <v>1.1776</v>
      </c>
    </row>
    <row r="3720">
      <c r="A3720" s="5" t="s">
        <v>60</v>
      </c>
      <c r="B3720" s="5" t="s">
        <v>163</v>
      </c>
      <c r="C3720" s="5" t="s">
        <v>1884</v>
      </c>
      <c r="D3720" s="6">
        <v>23.0</v>
      </c>
      <c r="E3720" s="6">
        <v>5415.0</v>
      </c>
      <c r="F3720" s="6">
        <v>3565.0</v>
      </c>
      <c r="G3720" s="6">
        <v>3614.0</v>
      </c>
      <c r="H3720" s="6">
        <v>1.4983</v>
      </c>
      <c r="I3720" s="6">
        <v>0.9864</v>
      </c>
      <c r="J3720" s="6">
        <v>0.5119</v>
      </c>
    </row>
    <row r="3721">
      <c r="A3721" s="5" t="s">
        <v>60</v>
      </c>
      <c r="B3721" s="5" t="s">
        <v>163</v>
      </c>
      <c r="C3721" s="5" t="s">
        <v>1884</v>
      </c>
      <c r="D3721" s="6">
        <v>24.0</v>
      </c>
      <c r="E3721" s="6">
        <v>6615.0</v>
      </c>
      <c r="F3721" s="6">
        <v>3824.0</v>
      </c>
      <c r="G3721" s="6">
        <v>3614.0</v>
      </c>
      <c r="H3721" s="6">
        <v>1.8304</v>
      </c>
      <c r="I3721" s="6">
        <v>1.0581</v>
      </c>
      <c r="J3721" s="6">
        <v>0.7723</v>
      </c>
    </row>
    <row r="3722">
      <c r="A3722" s="5" t="s">
        <v>60</v>
      </c>
      <c r="B3722" s="5" t="s">
        <v>163</v>
      </c>
      <c r="C3722" s="5" t="s">
        <v>1884</v>
      </c>
      <c r="D3722" s="6">
        <v>25.0</v>
      </c>
      <c r="E3722" s="6">
        <v>6480.0</v>
      </c>
      <c r="F3722" s="6">
        <v>4220.0</v>
      </c>
      <c r="G3722" s="6">
        <v>3614.0</v>
      </c>
      <c r="H3722" s="6">
        <v>1.793</v>
      </c>
      <c r="I3722" s="6">
        <v>1.1677</v>
      </c>
      <c r="J3722" s="6">
        <v>0.6253</v>
      </c>
    </row>
    <row r="3723">
      <c r="A3723" s="5" t="s">
        <v>60</v>
      </c>
      <c r="B3723" s="5" t="s">
        <v>163</v>
      </c>
      <c r="C3723" s="5" t="s">
        <v>1884</v>
      </c>
      <c r="D3723" s="6">
        <v>26.0</v>
      </c>
      <c r="E3723" s="6">
        <v>4750.0</v>
      </c>
      <c r="F3723" s="6">
        <v>3130.0</v>
      </c>
      <c r="G3723" s="6">
        <v>3614.0</v>
      </c>
      <c r="H3723" s="6">
        <v>1.3143</v>
      </c>
      <c r="I3723" s="6">
        <v>0.8661</v>
      </c>
      <c r="J3723" s="6">
        <v>0.4483</v>
      </c>
    </row>
    <row r="3724">
      <c r="A3724" s="5" t="s">
        <v>60</v>
      </c>
      <c r="B3724" s="5" t="s">
        <v>163</v>
      </c>
      <c r="C3724" s="5" t="s">
        <v>1884</v>
      </c>
      <c r="D3724" s="6">
        <v>27.0</v>
      </c>
      <c r="E3724" s="6">
        <v>8285.0</v>
      </c>
      <c r="F3724" s="6">
        <v>5435.0</v>
      </c>
      <c r="G3724" s="6">
        <v>3614.0</v>
      </c>
      <c r="H3724" s="6">
        <v>2.2925</v>
      </c>
      <c r="I3724" s="6">
        <v>1.5039</v>
      </c>
      <c r="J3724" s="6">
        <v>0.7886</v>
      </c>
    </row>
    <row r="3725">
      <c r="A3725" s="5" t="s">
        <v>60</v>
      </c>
      <c r="B3725" s="5" t="s">
        <v>163</v>
      </c>
      <c r="C3725" s="5" t="s">
        <v>1884</v>
      </c>
      <c r="D3725" s="6">
        <v>28.0</v>
      </c>
      <c r="E3725" s="6">
        <v>6885.0</v>
      </c>
      <c r="F3725" s="6">
        <v>5356.0</v>
      </c>
      <c r="G3725" s="6">
        <v>3614.0</v>
      </c>
      <c r="H3725" s="6">
        <v>1.9051</v>
      </c>
      <c r="I3725" s="6">
        <v>1.482</v>
      </c>
      <c r="J3725" s="6">
        <v>0.4231</v>
      </c>
    </row>
    <row r="3726">
      <c r="A3726" s="5" t="s">
        <v>60</v>
      </c>
      <c r="B3726" s="5" t="s">
        <v>163</v>
      </c>
      <c r="C3726" s="5" t="s">
        <v>1884</v>
      </c>
      <c r="D3726" s="6">
        <v>29.0</v>
      </c>
      <c r="E3726" s="6">
        <v>5245.0</v>
      </c>
      <c r="F3726" s="6">
        <v>4542.0</v>
      </c>
      <c r="G3726" s="6">
        <v>3614.0</v>
      </c>
      <c r="H3726" s="6">
        <v>1.4513</v>
      </c>
      <c r="I3726" s="6">
        <v>1.2568</v>
      </c>
      <c r="J3726" s="6">
        <v>0.1945</v>
      </c>
    </row>
    <row r="3727">
      <c r="A3727" s="5" t="s">
        <v>60</v>
      </c>
      <c r="B3727" s="5" t="s">
        <v>163</v>
      </c>
      <c r="C3727" s="5" t="s">
        <v>1884</v>
      </c>
      <c r="D3727" s="6">
        <v>30.0</v>
      </c>
      <c r="E3727" s="6">
        <v>10265.0</v>
      </c>
      <c r="F3727" s="6">
        <v>8120.0</v>
      </c>
      <c r="G3727" s="6">
        <v>3614.0</v>
      </c>
      <c r="H3727" s="6">
        <v>2.8403</v>
      </c>
      <c r="I3727" s="6">
        <v>2.2468</v>
      </c>
      <c r="J3727" s="6">
        <v>0.5935</v>
      </c>
    </row>
    <row r="3728">
      <c r="A3728" s="5" t="s">
        <v>60</v>
      </c>
      <c r="B3728" s="5" t="s">
        <v>163</v>
      </c>
      <c r="C3728" s="5" t="s">
        <v>1884</v>
      </c>
      <c r="D3728" s="6">
        <v>31.0</v>
      </c>
      <c r="E3728" s="6">
        <v>12180.0</v>
      </c>
      <c r="F3728" s="6">
        <v>8280.0</v>
      </c>
      <c r="G3728" s="6">
        <v>3614.0</v>
      </c>
      <c r="H3728" s="6">
        <v>3.3702</v>
      </c>
      <c r="I3728" s="6">
        <v>2.2911</v>
      </c>
      <c r="J3728" s="6">
        <v>1.0791</v>
      </c>
    </row>
    <row r="3729">
      <c r="A3729" s="5" t="s">
        <v>60</v>
      </c>
      <c r="B3729" s="5" t="s">
        <v>163</v>
      </c>
      <c r="C3729" s="5" t="s">
        <v>1884</v>
      </c>
      <c r="D3729" s="6">
        <v>32.0</v>
      </c>
      <c r="E3729" s="6">
        <v>13010.0</v>
      </c>
      <c r="F3729" s="6">
        <v>8449.0</v>
      </c>
      <c r="G3729" s="6">
        <v>3614.0</v>
      </c>
      <c r="H3729" s="6">
        <v>3.5999</v>
      </c>
      <c r="I3729" s="6">
        <v>2.3379</v>
      </c>
      <c r="J3729" s="6">
        <v>1.262</v>
      </c>
    </row>
    <row r="3730">
      <c r="A3730" s="5" t="s">
        <v>60</v>
      </c>
      <c r="B3730" s="5" t="s">
        <v>163</v>
      </c>
      <c r="C3730" s="5" t="s">
        <v>1884</v>
      </c>
      <c r="D3730" s="6">
        <v>33.0</v>
      </c>
      <c r="E3730" s="6">
        <v>11775.0</v>
      </c>
      <c r="F3730" s="6">
        <v>7755.0</v>
      </c>
      <c r="G3730" s="6">
        <v>3614.0</v>
      </c>
      <c r="H3730" s="6">
        <v>3.2582</v>
      </c>
      <c r="I3730" s="6">
        <v>2.1458</v>
      </c>
      <c r="J3730" s="6">
        <v>1.1123</v>
      </c>
    </row>
    <row r="3731">
      <c r="A3731" s="5" t="s">
        <v>60</v>
      </c>
      <c r="B3731" s="5" t="s">
        <v>163</v>
      </c>
      <c r="C3731" s="5" t="s">
        <v>1885</v>
      </c>
      <c r="D3731" s="6">
        <v>1.0</v>
      </c>
      <c r="E3731" s="6">
        <v>4000.0</v>
      </c>
      <c r="F3731" s="6">
        <v>2619.0</v>
      </c>
      <c r="G3731" s="6">
        <v>3793.0</v>
      </c>
      <c r="H3731" s="6">
        <v>1.0546</v>
      </c>
      <c r="I3731" s="6">
        <v>0.6905</v>
      </c>
      <c r="J3731" s="6">
        <v>0.3641</v>
      </c>
    </row>
    <row r="3732">
      <c r="A3732" s="5" t="s">
        <v>60</v>
      </c>
      <c r="B3732" s="5" t="s">
        <v>163</v>
      </c>
      <c r="C3732" s="5" t="s">
        <v>1885</v>
      </c>
      <c r="D3732" s="6">
        <v>2.0</v>
      </c>
      <c r="E3732" s="6">
        <v>8770.0</v>
      </c>
      <c r="F3732" s="6">
        <v>5814.0</v>
      </c>
      <c r="G3732" s="6">
        <v>3793.0</v>
      </c>
      <c r="H3732" s="6">
        <v>2.3122</v>
      </c>
      <c r="I3732" s="6">
        <v>1.5328</v>
      </c>
      <c r="J3732" s="6">
        <v>0.7793</v>
      </c>
    </row>
    <row r="3733">
      <c r="A3733" s="5" t="s">
        <v>60</v>
      </c>
      <c r="B3733" s="5" t="s">
        <v>163</v>
      </c>
      <c r="C3733" s="5" t="s">
        <v>1885</v>
      </c>
      <c r="D3733" s="6">
        <v>3.0</v>
      </c>
      <c r="E3733" s="6">
        <v>10105.0</v>
      </c>
      <c r="F3733" s="6">
        <v>5974.0</v>
      </c>
      <c r="G3733" s="6">
        <v>3793.0</v>
      </c>
      <c r="H3733" s="6">
        <v>2.6641</v>
      </c>
      <c r="I3733" s="6">
        <v>1.575</v>
      </c>
      <c r="J3733" s="6">
        <v>1.0891</v>
      </c>
    </row>
    <row r="3734">
      <c r="A3734" s="5" t="s">
        <v>60</v>
      </c>
      <c r="B3734" s="5" t="s">
        <v>163</v>
      </c>
      <c r="C3734" s="5" t="s">
        <v>1885</v>
      </c>
      <c r="D3734" s="6">
        <v>4.0</v>
      </c>
      <c r="E3734" s="6">
        <v>10760.0</v>
      </c>
      <c r="F3734" s="6">
        <v>6327.0</v>
      </c>
      <c r="G3734" s="6">
        <v>3793.0</v>
      </c>
      <c r="H3734" s="6">
        <v>2.8368</v>
      </c>
      <c r="I3734" s="6">
        <v>1.6681</v>
      </c>
      <c r="J3734" s="6">
        <v>1.1687</v>
      </c>
    </row>
    <row r="3735">
      <c r="A3735" s="5" t="s">
        <v>60</v>
      </c>
      <c r="B3735" s="5" t="s">
        <v>163</v>
      </c>
      <c r="C3735" s="5" t="s">
        <v>1885</v>
      </c>
      <c r="D3735" s="6">
        <v>5.0</v>
      </c>
      <c r="E3735" s="6">
        <v>11265.0</v>
      </c>
      <c r="F3735" s="6">
        <v>6126.0</v>
      </c>
      <c r="G3735" s="6">
        <v>3793.0</v>
      </c>
      <c r="H3735" s="6">
        <v>2.9699</v>
      </c>
      <c r="I3735" s="6">
        <v>1.6151</v>
      </c>
      <c r="J3735" s="6">
        <v>1.3549</v>
      </c>
    </row>
    <row r="3736">
      <c r="A3736" s="5" t="s">
        <v>60</v>
      </c>
      <c r="B3736" s="5" t="s">
        <v>163</v>
      </c>
      <c r="C3736" s="5" t="s">
        <v>1885</v>
      </c>
      <c r="D3736" s="6">
        <v>6.0</v>
      </c>
      <c r="E3736" s="6">
        <v>19375.0</v>
      </c>
      <c r="F3736" s="6">
        <v>11557.0</v>
      </c>
      <c r="G3736" s="6">
        <v>3793.0</v>
      </c>
      <c r="H3736" s="6">
        <v>5.1081</v>
      </c>
      <c r="I3736" s="6">
        <v>3.0469</v>
      </c>
      <c r="J3736" s="6">
        <v>2.0612</v>
      </c>
    </row>
    <row r="3737">
      <c r="A3737" s="5" t="s">
        <v>60</v>
      </c>
      <c r="B3737" s="5" t="s">
        <v>163</v>
      </c>
      <c r="C3737" s="5" t="s">
        <v>1885</v>
      </c>
      <c r="D3737" s="6">
        <v>7.0</v>
      </c>
      <c r="E3737" s="6">
        <v>16000.0</v>
      </c>
      <c r="F3737" s="6">
        <v>9047.0</v>
      </c>
      <c r="G3737" s="6">
        <v>3793.0</v>
      </c>
      <c r="H3737" s="6">
        <v>4.2183</v>
      </c>
      <c r="I3737" s="6">
        <v>2.3852</v>
      </c>
      <c r="J3737" s="6">
        <v>1.8331</v>
      </c>
    </row>
    <row r="3738">
      <c r="A3738" s="5" t="s">
        <v>60</v>
      </c>
      <c r="B3738" s="5" t="s">
        <v>163</v>
      </c>
      <c r="C3738" s="5" t="s">
        <v>1885</v>
      </c>
      <c r="D3738" s="6">
        <v>8.0</v>
      </c>
      <c r="E3738" s="6">
        <v>13165.0</v>
      </c>
      <c r="F3738" s="6">
        <v>7368.0</v>
      </c>
      <c r="G3738" s="6">
        <v>3793.0</v>
      </c>
      <c r="H3738" s="6">
        <v>3.4709</v>
      </c>
      <c r="I3738" s="6">
        <v>1.9425</v>
      </c>
      <c r="J3738" s="6">
        <v>1.5283</v>
      </c>
    </row>
    <row r="3739">
      <c r="A3739" s="5" t="s">
        <v>60</v>
      </c>
      <c r="B3739" s="5" t="s">
        <v>163</v>
      </c>
      <c r="C3739" s="5" t="s">
        <v>1885</v>
      </c>
      <c r="D3739" s="6">
        <v>9.0</v>
      </c>
      <c r="E3739" s="6">
        <v>6945.0</v>
      </c>
      <c r="F3739" s="6">
        <v>4509.0</v>
      </c>
      <c r="G3739" s="6">
        <v>3793.0</v>
      </c>
      <c r="H3739" s="6">
        <v>1.831</v>
      </c>
      <c r="I3739" s="6">
        <v>1.1888</v>
      </c>
      <c r="J3739" s="6">
        <v>0.6422</v>
      </c>
    </row>
    <row r="3740">
      <c r="A3740" s="5" t="s">
        <v>60</v>
      </c>
      <c r="B3740" s="5" t="s">
        <v>163</v>
      </c>
      <c r="C3740" s="5" t="s">
        <v>1885</v>
      </c>
      <c r="D3740" s="6">
        <v>10.0</v>
      </c>
      <c r="E3740" s="6">
        <v>8150.0</v>
      </c>
      <c r="F3740" s="6">
        <v>4771.0</v>
      </c>
      <c r="G3740" s="6">
        <v>3793.0</v>
      </c>
      <c r="H3740" s="6">
        <v>2.1487</v>
      </c>
      <c r="I3740" s="6">
        <v>1.2578</v>
      </c>
      <c r="J3740" s="6">
        <v>0.8909</v>
      </c>
    </row>
    <row r="3741">
      <c r="A3741" s="5" t="s">
        <v>60</v>
      </c>
      <c r="B3741" s="5" t="s">
        <v>163</v>
      </c>
      <c r="C3741" s="5" t="s">
        <v>1885</v>
      </c>
      <c r="D3741" s="6">
        <v>11.0</v>
      </c>
      <c r="E3741" s="6">
        <v>5455.0</v>
      </c>
      <c r="F3741" s="6">
        <v>3691.0</v>
      </c>
      <c r="G3741" s="6">
        <v>3793.0</v>
      </c>
      <c r="H3741" s="6">
        <v>1.4382</v>
      </c>
      <c r="I3741" s="6">
        <v>0.9731</v>
      </c>
      <c r="J3741" s="6">
        <v>0.4651</v>
      </c>
    </row>
    <row r="3742">
      <c r="A3742" s="5" t="s">
        <v>60</v>
      </c>
      <c r="B3742" s="5" t="s">
        <v>163</v>
      </c>
      <c r="C3742" s="5" t="s">
        <v>1885</v>
      </c>
      <c r="D3742" s="6">
        <v>12.0</v>
      </c>
      <c r="E3742" s="6">
        <v>5300.0</v>
      </c>
      <c r="F3742" s="6">
        <v>3719.0</v>
      </c>
      <c r="G3742" s="6">
        <v>3793.0</v>
      </c>
      <c r="H3742" s="6">
        <v>1.3973</v>
      </c>
      <c r="I3742" s="6">
        <v>0.9805</v>
      </c>
      <c r="J3742" s="6">
        <v>0.4168</v>
      </c>
    </row>
    <row r="3743">
      <c r="A3743" s="5" t="s">
        <v>60</v>
      </c>
      <c r="B3743" s="5" t="s">
        <v>163</v>
      </c>
      <c r="C3743" s="5" t="s">
        <v>1885</v>
      </c>
      <c r="D3743" s="6">
        <v>13.0</v>
      </c>
      <c r="E3743" s="6">
        <v>12680.0</v>
      </c>
      <c r="F3743" s="6">
        <v>8418.0</v>
      </c>
      <c r="G3743" s="6">
        <v>3793.0</v>
      </c>
      <c r="H3743" s="6">
        <v>3.343</v>
      </c>
      <c r="I3743" s="6">
        <v>2.2194</v>
      </c>
      <c r="J3743" s="6">
        <v>1.1236</v>
      </c>
    </row>
    <row r="3744">
      <c r="A3744" s="5" t="s">
        <v>60</v>
      </c>
      <c r="B3744" s="5" t="s">
        <v>163</v>
      </c>
      <c r="C3744" s="5" t="s">
        <v>1885</v>
      </c>
      <c r="D3744" s="6">
        <v>14.0</v>
      </c>
      <c r="E3744" s="6">
        <v>8080.0</v>
      </c>
      <c r="F3744" s="6">
        <v>5218.0</v>
      </c>
      <c r="G3744" s="6">
        <v>3793.0</v>
      </c>
      <c r="H3744" s="6">
        <v>2.1302</v>
      </c>
      <c r="I3744" s="6">
        <v>1.3757</v>
      </c>
      <c r="J3744" s="6">
        <v>0.7545</v>
      </c>
    </row>
    <row r="3745">
      <c r="A3745" s="5" t="s">
        <v>60</v>
      </c>
      <c r="B3745" s="5" t="s">
        <v>163</v>
      </c>
      <c r="C3745" s="5" t="s">
        <v>1885</v>
      </c>
      <c r="D3745" s="6">
        <v>15.0</v>
      </c>
      <c r="E3745" s="6">
        <v>6490.0</v>
      </c>
      <c r="F3745" s="6">
        <v>4379.0</v>
      </c>
      <c r="G3745" s="6">
        <v>3793.0</v>
      </c>
      <c r="H3745" s="6">
        <v>1.711</v>
      </c>
      <c r="I3745" s="6">
        <v>1.1545</v>
      </c>
      <c r="J3745" s="6">
        <v>0.5566</v>
      </c>
    </row>
    <row r="3746">
      <c r="A3746" s="5" t="s">
        <v>60</v>
      </c>
      <c r="B3746" s="5" t="s">
        <v>163</v>
      </c>
      <c r="C3746" s="5" t="s">
        <v>1885</v>
      </c>
      <c r="D3746" s="6">
        <v>16.0</v>
      </c>
      <c r="E3746" s="6">
        <v>10640.0</v>
      </c>
      <c r="F3746" s="6">
        <v>6999.0</v>
      </c>
      <c r="G3746" s="6">
        <v>3793.0</v>
      </c>
      <c r="H3746" s="6">
        <v>2.8052</v>
      </c>
      <c r="I3746" s="6">
        <v>1.8452</v>
      </c>
      <c r="J3746" s="6">
        <v>0.9599</v>
      </c>
    </row>
    <row r="3747">
      <c r="A3747" s="5" t="s">
        <v>60</v>
      </c>
      <c r="B3747" s="5" t="s">
        <v>163</v>
      </c>
      <c r="C3747" s="5" t="s">
        <v>1885</v>
      </c>
      <c r="D3747" s="6">
        <v>17.0</v>
      </c>
      <c r="E3747" s="6">
        <v>14275.0</v>
      </c>
      <c r="F3747" s="6">
        <v>8492.0</v>
      </c>
      <c r="G3747" s="6">
        <v>3793.0</v>
      </c>
      <c r="H3747" s="6">
        <v>3.7635</v>
      </c>
      <c r="I3747" s="6">
        <v>2.2389</v>
      </c>
      <c r="J3747" s="6">
        <v>1.5247</v>
      </c>
    </row>
    <row r="3748">
      <c r="A3748" s="5" t="s">
        <v>60</v>
      </c>
      <c r="B3748" s="5" t="s">
        <v>163</v>
      </c>
      <c r="C3748" s="5" t="s">
        <v>1885</v>
      </c>
      <c r="D3748" s="6">
        <v>18.0</v>
      </c>
      <c r="E3748" s="6">
        <v>13350.0</v>
      </c>
      <c r="F3748" s="6">
        <v>7787.0</v>
      </c>
      <c r="G3748" s="6">
        <v>3793.0</v>
      </c>
      <c r="H3748" s="6">
        <v>3.5196</v>
      </c>
      <c r="I3748" s="6">
        <v>2.053</v>
      </c>
      <c r="J3748" s="6">
        <v>1.4666</v>
      </c>
    </row>
    <row r="3749">
      <c r="A3749" s="5" t="s">
        <v>60</v>
      </c>
      <c r="B3749" s="5" t="s">
        <v>163</v>
      </c>
      <c r="C3749" s="5" t="s">
        <v>1885</v>
      </c>
      <c r="D3749" s="6">
        <v>19.0</v>
      </c>
      <c r="E3749" s="6">
        <v>11005.0</v>
      </c>
      <c r="F3749" s="6">
        <v>6334.0</v>
      </c>
      <c r="G3749" s="6">
        <v>3793.0</v>
      </c>
      <c r="H3749" s="6">
        <v>2.9014</v>
      </c>
      <c r="I3749" s="6">
        <v>1.6699</v>
      </c>
      <c r="J3749" s="6">
        <v>1.2315</v>
      </c>
    </row>
    <row r="3750">
      <c r="A3750" s="5" t="s">
        <v>60</v>
      </c>
      <c r="B3750" s="5" t="s">
        <v>163</v>
      </c>
      <c r="C3750" s="5" t="s">
        <v>1885</v>
      </c>
      <c r="D3750" s="6">
        <v>20.0</v>
      </c>
      <c r="E3750" s="6">
        <v>22655.0</v>
      </c>
      <c r="F3750" s="6">
        <v>13488.0</v>
      </c>
      <c r="G3750" s="6">
        <v>3793.0</v>
      </c>
      <c r="H3750" s="6">
        <v>5.9728</v>
      </c>
      <c r="I3750" s="6">
        <v>3.556</v>
      </c>
      <c r="J3750" s="6">
        <v>2.4168</v>
      </c>
    </row>
    <row r="3751">
      <c r="A3751" s="5" t="s">
        <v>60</v>
      </c>
      <c r="B3751" s="5" t="s">
        <v>163</v>
      </c>
      <c r="C3751" s="5" t="s">
        <v>1885</v>
      </c>
      <c r="D3751" s="6">
        <v>21.0</v>
      </c>
      <c r="E3751" s="6">
        <v>34760.0</v>
      </c>
      <c r="F3751" s="6">
        <v>18485.0</v>
      </c>
      <c r="G3751" s="6">
        <v>3793.0</v>
      </c>
      <c r="H3751" s="6">
        <v>9.1642</v>
      </c>
      <c r="I3751" s="6">
        <v>4.8735</v>
      </c>
      <c r="J3751" s="6">
        <v>4.2908</v>
      </c>
    </row>
    <row r="3752">
      <c r="A3752" s="5" t="s">
        <v>60</v>
      </c>
      <c r="B3752" s="5" t="s">
        <v>163</v>
      </c>
      <c r="C3752" s="5" t="s">
        <v>1885</v>
      </c>
      <c r="D3752" s="6">
        <v>22.0</v>
      </c>
      <c r="E3752" s="6">
        <v>20510.0</v>
      </c>
      <c r="F3752" s="6">
        <v>10904.0</v>
      </c>
      <c r="G3752" s="6">
        <v>3793.0</v>
      </c>
      <c r="H3752" s="6">
        <v>5.4073</v>
      </c>
      <c r="I3752" s="6">
        <v>2.8748</v>
      </c>
      <c r="J3752" s="6">
        <v>2.5326</v>
      </c>
    </row>
    <row r="3753">
      <c r="A3753" s="5" t="s">
        <v>60</v>
      </c>
      <c r="B3753" s="5" t="s">
        <v>163</v>
      </c>
      <c r="C3753" s="5" t="s">
        <v>1885</v>
      </c>
      <c r="D3753" s="6">
        <v>23.0</v>
      </c>
      <c r="E3753" s="6">
        <v>9005.0</v>
      </c>
      <c r="F3753" s="6">
        <v>5609.0</v>
      </c>
      <c r="G3753" s="6">
        <v>3793.0</v>
      </c>
      <c r="H3753" s="6">
        <v>2.3741</v>
      </c>
      <c r="I3753" s="6">
        <v>1.4788</v>
      </c>
      <c r="J3753" s="6">
        <v>0.8953</v>
      </c>
    </row>
    <row r="3754">
      <c r="A3754" s="5" t="s">
        <v>60</v>
      </c>
      <c r="B3754" s="5" t="s">
        <v>163</v>
      </c>
      <c r="C3754" s="5" t="s">
        <v>1885</v>
      </c>
      <c r="D3754" s="6">
        <v>24.0</v>
      </c>
      <c r="E3754" s="6">
        <v>10600.0</v>
      </c>
      <c r="F3754" s="6">
        <v>5880.0</v>
      </c>
      <c r="G3754" s="6">
        <v>3793.0</v>
      </c>
      <c r="H3754" s="6">
        <v>2.7946</v>
      </c>
      <c r="I3754" s="6">
        <v>1.5502</v>
      </c>
      <c r="J3754" s="6">
        <v>1.2444</v>
      </c>
    </row>
    <row r="3755">
      <c r="A3755" s="5" t="s">
        <v>60</v>
      </c>
      <c r="B3755" s="5" t="s">
        <v>163</v>
      </c>
      <c r="C3755" s="5" t="s">
        <v>1885</v>
      </c>
      <c r="D3755" s="6">
        <v>25.0</v>
      </c>
      <c r="E3755" s="6">
        <v>9270.0</v>
      </c>
      <c r="F3755" s="6">
        <v>5711.0</v>
      </c>
      <c r="G3755" s="6">
        <v>3793.0</v>
      </c>
      <c r="H3755" s="6">
        <v>2.444</v>
      </c>
      <c r="I3755" s="6">
        <v>1.5057</v>
      </c>
      <c r="J3755" s="6">
        <v>0.9383</v>
      </c>
    </row>
    <row r="3756">
      <c r="A3756" s="5" t="s">
        <v>60</v>
      </c>
      <c r="B3756" s="5" t="s">
        <v>163</v>
      </c>
      <c r="C3756" s="5" t="s">
        <v>1885</v>
      </c>
      <c r="D3756" s="6">
        <v>26.0</v>
      </c>
      <c r="E3756" s="6">
        <v>7570.0</v>
      </c>
      <c r="F3756" s="6">
        <v>4769.0</v>
      </c>
      <c r="G3756" s="6">
        <v>3793.0</v>
      </c>
      <c r="H3756" s="6">
        <v>1.9958</v>
      </c>
      <c r="I3756" s="6">
        <v>1.2573</v>
      </c>
      <c r="J3756" s="6">
        <v>0.7385</v>
      </c>
    </row>
    <row r="3757">
      <c r="A3757" s="5" t="s">
        <v>60</v>
      </c>
      <c r="B3757" s="5" t="s">
        <v>163</v>
      </c>
      <c r="C3757" s="5" t="s">
        <v>1885</v>
      </c>
      <c r="D3757" s="6">
        <v>27.0</v>
      </c>
      <c r="E3757" s="6">
        <v>13710.0</v>
      </c>
      <c r="F3757" s="6">
        <v>8295.0</v>
      </c>
      <c r="G3757" s="6">
        <v>3793.0</v>
      </c>
      <c r="H3757" s="6">
        <v>3.6146</v>
      </c>
      <c r="I3757" s="6">
        <v>2.1869</v>
      </c>
      <c r="J3757" s="6">
        <v>1.4276</v>
      </c>
    </row>
    <row r="3758">
      <c r="A3758" s="5" t="s">
        <v>60</v>
      </c>
      <c r="B3758" s="5" t="s">
        <v>163</v>
      </c>
      <c r="C3758" s="5" t="s">
        <v>1885</v>
      </c>
      <c r="D3758" s="6">
        <v>28.0</v>
      </c>
      <c r="E3758" s="6">
        <v>8370.0</v>
      </c>
      <c r="F3758" s="6">
        <v>5343.0</v>
      </c>
      <c r="G3758" s="6">
        <v>3793.0</v>
      </c>
      <c r="H3758" s="6">
        <v>2.2067</v>
      </c>
      <c r="I3758" s="6">
        <v>1.4086</v>
      </c>
      <c r="J3758" s="6">
        <v>0.798</v>
      </c>
    </row>
    <row r="3759">
      <c r="A3759" s="5" t="s">
        <v>60</v>
      </c>
      <c r="B3759" s="5" t="s">
        <v>163</v>
      </c>
      <c r="C3759" s="5" t="s">
        <v>1885</v>
      </c>
      <c r="D3759" s="6">
        <v>29.0</v>
      </c>
      <c r="E3759" s="6">
        <v>7715.0</v>
      </c>
      <c r="F3759" s="6">
        <v>4955.0</v>
      </c>
      <c r="G3759" s="6">
        <v>3793.0</v>
      </c>
      <c r="H3759" s="6">
        <v>2.034</v>
      </c>
      <c r="I3759" s="6">
        <v>1.3064</v>
      </c>
      <c r="J3759" s="6">
        <v>0.7277</v>
      </c>
    </row>
    <row r="3760">
      <c r="A3760" s="5" t="s">
        <v>60</v>
      </c>
      <c r="B3760" s="5" t="s">
        <v>163</v>
      </c>
      <c r="C3760" s="5" t="s">
        <v>1885</v>
      </c>
      <c r="D3760" s="6">
        <v>30.0</v>
      </c>
      <c r="E3760" s="6">
        <v>13610.0</v>
      </c>
      <c r="F3760" s="6">
        <v>8748.0</v>
      </c>
      <c r="G3760" s="6">
        <v>3793.0</v>
      </c>
      <c r="H3760" s="6">
        <v>3.5882</v>
      </c>
      <c r="I3760" s="6">
        <v>2.3064</v>
      </c>
      <c r="J3760" s="6">
        <v>1.2818</v>
      </c>
    </row>
    <row r="3761">
      <c r="A3761" s="5" t="s">
        <v>60</v>
      </c>
      <c r="B3761" s="5" t="s">
        <v>163</v>
      </c>
      <c r="C3761" s="5" t="s">
        <v>1885</v>
      </c>
      <c r="D3761" s="6">
        <v>31.0</v>
      </c>
      <c r="E3761" s="6">
        <v>16385.0</v>
      </c>
      <c r="F3761" s="6">
        <v>9781.0</v>
      </c>
      <c r="G3761" s="6">
        <v>3793.0</v>
      </c>
      <c r="H3761" s="6">
        <v>4.3198</v>
      </c>
      <c r="I3761" s="6">
        <v>2.5787</v>
      </c>
      <c r="J3761" s="6">
        <v>1.7411</v>
      </c>
    </row>
    <row r="3762">
      <c r="A3762" s="5" t="s">
        <v>60</v>
      </c>
      <c r="B3762" s="5" t="s">
        <v>163</v>
      </c>
      <c r="C3762" s="5" t="s">
        <v>1885</v>
      </c>
      <c r="D3762" s="6">
        <v>32.0</v>
      </c>
      <c r="E3762" s="6">
        <v>18435.0</v>
      </c>
      <c r="F3762" s="6">
        <v>10700.0</v>
      </c>
      <c r="G3762" s="6">
        <v>3793.0</v>
      </c>
      <c r="H3762" s="6">
        <v>4.8603</v>
      </c>
      <c r="I3762" s="6">
        <v>2.821</v>
      </c>
      <c r="J3762" s="6">
        <v>2.0393</v>
      </c>
    </row>
    <row r="3763">
      <c r="A3763" s="5" t="s">
        <v>60</v>
      </c>
      <c r="B3763" s="5" t="s">
        <v>163</v>
      </c>
      <c r="C3763" s="5" t="s">
        <v>1885</v>
      </c>
      <c r="D3763" s="6">
        <v>33.0</v>
      </c>
      <c r="E3763" s="6">
        <v>18545.0</v>
      </c>
      <c r="F3763" s="6">
        <v>10888.0</v>
      </c>
      <c r="G3763" s="6">
        <v>3793.0</v>
      </c>
      <c r="H3763" s="6">
        <v>4.8893</v>
      </c>
      <c r="I3763" s="6">
        <v>2.8706</v>
      </c>
      <c r="J3763" s="6">
        <v>2.0187</v>
      </c>
    </row>
    <row r="3764">
      <c r="A3764" s="5" t="s">
        <v>60</v>
      </c>
      <c r="B3764" s="5" t="s">
        <v>163</v>
      </c>
      <c r="C3764" s="5" t="s">
        <v>75</v>
      </c>
      <c r="D3764" s="6">
        <v>1.0</v>
      </c>
      <c r="E3764" s="6">
        <v>267060.0</v>
      </c>
      <c r="F3764" s="6">
        <v>0.0</v>
      </c>
      <c r="G3764" s="6">
        <v>4085.0</v>
      </c>
      <c r="H3764" s="6">
        <v>65.3758</v>
      </c>
      <c r="I3764" s="6">
        <v>0.0</v>
      </c>
      <c r="J3764" s="6">
        <v>65.3758</v>
      </c>
    </row>
    <row r="3765">
      <c r="A3765" s="5" t="s">
        <v>60</v>
      </c>
      <c r="B3765" s="5" t="s">
        <v>163</v>
      </c>
      <c r="C3765" s="5" t="s">
        <v>75</v>
      </c>
      <c r="D3765" s="6">
        <v>2.0</v>
      </c>
      <c r="E3765" s="6">
        <v>238315.0</v>
      </c>
      <c r="F3765" s="6">
        <v>0.0</v>
      </c>
      <c r="G3765" s="6">
        <v>4085.0</v>
      </c>
      <c r="H3765" s="6">
        <v>58.339</v>
      </c>
      <c r="I3765" s="6">
        <v>0.0</v>
      </c>
      <c r="J3765" s="6">
        <v>58.339</v>
      </c>
    </row>
    <row r="3766">
      <c r="A3766" s="5" t="s">
        <v>60</v>
      </c>
      <c r="B3766" s="5" t="s">
        <v>163</v>
      </c>
      <c r="C3766" s="5" t="s">
        <v>75</v>
      </c>
      <c r="D3766" s="6">
        <v>3.0</v>
      </c>
      <c r="E3766" s="6">
        <v>256340.0</v>
      </c>
      <c r="F3766" s="6">
        <v>0.0</v>
      </c>
      <c r="G3766" s="6">
        <v>4085.0</v>
      </c>
      <c r="H3766" s="6">
        <v>62.7515</v>
      </c>
      <c r="I3766" s="6">
        <v>0.0</v>
      </c>
      <c r="J3766" s="6">
        <v>62.7515</v>
      </c>
    </row>
    <row r="3767">
      <c r="A3767" s="5" t="s">
        <v>60</v>
      </c>
      <c r="B3767" s="5" t="s">
        <v>163</v>
      </c>
      <c r="C3767" s="5" t="s">
        <v>75</v>
      </c>
      <c r="D3767" s="6">
        <v>4.0</v>
      </c>
      <c r="E3767" s="6">
        <v>213066.0</v>
      </c>
      <c r="F3767" s="6">
        <v>0.0</v>
      </c>
      <c r="G3767" s="6">
        <v>4085.0</v>
      </c>
      <c r="H3767" s="6">
        <v>52.1581</v>
      </c>
      <c r="I3767" s="6">
        <v>0.0</v>
      </c>
      <c r="J3767" s="6">
        <v>52.1581</v>
      </c>
    </row>
    <row r="3768">
      <c r="A3768" s="5" t="s">
        <v>60</v>
      </c>
      <c r="B3768" s="5" t="s">
        <v>163</v>
      </c>
      <c r="C3768" s="5" t="s">
        <v>75</v>
      </c>
      <c r="D3768" s="6">
        <v>5.0</v>
      </c>
      <c r="E3768" s="6">
        <v>254999.0</v>
      </c>
      <c r="F3768" s="6">
        <v>0.0</v>
      </c>
      <c r="G3768" s="6">
        <v>4085.0</v>
      </c>
      <c r="H3768" s="6">
        <v>62.4233</v>
      </c>
      <c r="I3768" s="6">
        <v>0.0</v>
      </c>
      <c r="J3768" s="6">
        <v>62.4233</v>
      </c>
    </row>
    <row r="3769">
      <c r="A3769" s="5" t="s">
        <v>60</v>
      </c>
      <c r="B3769" s="5" t="s">
        <v>163</v>
      </c>
      <c r="C3769" s="5" t="s">
        <v>75</v>
      </c>
      <c r="D3769" s="6">
        <v>6.0</v>
      </c>
      <c r="E3769" s="6">
        <v>288640.0</v>
      </c>
      <c r="F3769" s="6">
        <v>0.0</v>
      </c>
      <c r="G3769" s="6">
        <v>4085.0</v>
      </c>
      <c r="H3769" s="6">
        <v>70.6585</v>
      </c>
      <c r="I3769" s="6">
        <v>0.0</v>
      </c>
      <c r="J3769" s="6">
        <v>70.6585</v>
      </c>
    </row>
    <row r="3770">
      <c r="A3770" s="5" t="s">
        <v>60</v>
      </c>
      <c r="B3770" s="5" t="s">
        <v>163</v>
      </c>
      <c r="C3770" s="5" t="s">
        <v>75</v>
      </c>
      <c r="D3770" s="6">
        <v>7.0</v>
      </c>
      <c r="E3770" s="6">
        <v>258350.0</v>
      </c>
      <c r="F3770" s="6">
        <v>0.0</v>
      </c>
      <c r="G3770" s="6">
        <v>4085.0</v>
      </c>
      <c r="H3770" s="6">
        <v>63.2436</v>
      </c>
      <c r="I3770" s="6">
        <v>0.0</v>
      </c>
      <c r="J3770" s="6">
        <v>63.2436</v>
      </c>
    </row>
    <row r="3771">
      <c r="A3771" s="5" t="s">
        <v>60</v>
      </c>
      <c r="B3771" s="5" t="s">
        <v>163</v>
      </c>
      <c r="C3771" s="5" t="s">
        <v>75</v>
      </c>
      <c r="D3771" s="6">
        <v>8.0</v>
      </c>
      <c r="E3771" s="6">
        <v>271783.0</v>
      </c>
      <c r="F3771" s="6">
        <v>0.0</v>
      </c>
      <c r="G3771" s="6">
        <v>4085.0</v>
      </c>
      <c r="H3771" s="6">
        <v>66.5319</v>
      </c>
      <c r="I3771" s="6">
        <v>0.0</v>
      </c>
      <c r="J3771" s="6">
        <v>66.5319</v>
      </c>
    </row>
    <row r="3772">
      <c r="A3772" s="5" t="s">
        <v>60</v>
      </c>
      <c r="B3772" s="5" t="s">
        <v>163</v>
      </c>
      <c r="C3772" s="5" t="s">
        <v>75</v>
      </c>
      <c r="D3772" s="6">
        <v>9.0</v>
      </c>
      <c r="E3772" s="6">
        <v>246210.0</v>
      </c>
      <c r="F3772" s="6">
        <v>0.0</v>
      </c>
      <c r="G3772" s="6">
        <v>4085.0</v>
      </c>
      <c r="H3772" s="6">
        <v>60.2717</v>
      </c>
      <c r="I3772" s="6">
        <v>0.0</v>
      </c>
      <c r="J3772" s="6">
        <v>60.2717</v>
      </c>
    </row>
    <row r="3773">
      <c r="A3773" s="5" t="s">
        <v>60</v>
      </c>
      <c r="B3773" s="5" t="s">
        <v>163</v>
      </c>
      <c r="C3773" s="5" t="s">
        <v>75</v>
      </c>
      <c r="D3773" s="6">
        <v>10.0</v>
      </c>
      <c r="E3773" s="6">
        <v>308406.0</v>
      </c>
      <c r="F3773" s="6">
        <v>0.0</v>
      </c>
      <c r="G3773" s="6">
        <v>4085.0</v>
      </c>
      <c r="H3773" s="6">
        <v>75.4972</v>
      </c>
      <c r="I3773" s="6">
        <v>0.0</v>
      </c>
      <c r="J3773" s="6">
        <v>75.4972</v>
      </c>
    </row>
    <row r="3774">
      <c r="A3774" s="5" t="s">
        <v>60</v>
      </c>
      <c r="B3774" s="5" t="s">
        <v>163</v>
      </c>
      <c r="C3774" s="5" t="s">
        <v>75</v>
      </c>
      <c r="D3774" s="6">
        <v>11.0</v>
      </c>
      <c r="E3774" s="6">
        <v>252475.0</v>
      </c>
      <c r="F3774" s="6">
        <v>0.0</v>
      </c>
      <c r="G3774" s="6">
        <v>4085.0</v>
      </c>
      <c r="H3774" s="6">
        <v>61.8054</v>
      </c>
      <c r="I3774" s="6">
        <v>0.0</v>
      </c>
      <c r="J3774" s="6">
        <v>61.8054</v>
      </c>
    </row>
    <row r="3775">
      <c r="A3775" s="5" t="s">
        <v>60</v>
      </c>
      <c r="B3775" s="5" t="s">
        <v>163</v>
      </c>
      <c r="C3775" s="5" t="s">
        <v>75</v>
      </c>
      <c r="D3775" s="6">
        <v>12.0</v>
      </c>
      <c r="E3775" s="6">
        <v>301100.0</v>
      </c>
      <c r="F3775" s="6">
        <v>0.0</v>
      </c>
      <c r="G3775" s="6">
        <v>4085.0</v>
      </c>
      <c r="H3775" s="6">
        <v>73.7087</v>
      </c>
      <c r="I3775" s="6">
        <v>0.0</v>
      </c>
      <c r="J3775" s="6">
        <v>73.7087</v>
      </c>
    </row>
    <row r="3776">
      <c r="A3776" s="5" t="s">
        <v>60</v>
      </c>
      <c r="B3776" s="5" t="s">
        <v>163</v>
      </c>
      <c r="C3776" s="5" t="s">
        <v>75</v>
      </c>
      <c r="D3776" s="6">
        <v>13.0</v>
      </c>
      <c r="E3776" s="6">
        <v>324568.0</v>
      </c>
      <c r="F3776" s="6">
        <v>0.0</v>
      </c>
      <c r="G3776" s="6">
        <v>4085.0</v>
      </c>
      <c r="H3776" s="6">
        <v>79.4536</v>
      </c>
      <c r="I3776" s="6">
        <v>0.0</v>
      </c>
      <c r="J3776" s="6">
        <v>79.4536</v>
      </c>
    </row>
    <row r="3777">
      <c r="A3777" s="5" t="s">
        <v>60</v>
      </c>
      <c r="B3777" s="5" t="s">
        <v>163</v>
      </c>
      <c r="C3777" s="5" t="s">
        <v>75</v>
      </c>
      <c r="D3777" s="6">
        <v>14.0</v>
      </c>
      <c r="E3777" s="6">
        <v>277990.0</v>
      </c>
      <c r="F3777" s="6">
        <v>0.0</v>
      </c>
      <c r="G3777" s="6">
        <v>4085.0</v>
      </c>
      <c r="H3777" s="6">
        <v>68.0514</v>
      </c>
      <c r="I3777" s="6">
        <v>0.0</v>
      </c>
      <c r="J3777" s="6">
        <v>68.0514</v>
      </c>
    </row>
    <row r="3778">
      <c r="A3778" s="5" t="s">
        <v>60</v>
      </c>
      <c r="B3778" s="5" t="s">
        <v>163</v>
      </c>
      <c r="C3778" s="5" t="s">
        <v>75</v>
      </c>
      <c r="D3778" s="6">
        <v>15.0</v>
      </c>
      <c r="E3778" s="6">
        <v>326549.0</v>
      </c>
      <c r="F3778" s="6">
        <v>0.0</v>
      </c>
      <c r="G3778" s="6">
        <v>4085.0</v>
      </c>
      <c r="H3778" s="6">
        <v>79.9386</v>
      </c>
      <c r="I3778" s="6">
        <v>0.0</v>
      </c>
      <c r="J3778" s="6">
        <v>79.9386</v>
      </c>
    </row>
    <row r="3779">
      <c r="A3779" s="5" t="s">
        <v>60</v>
      </c>
      <c r="B3779" s="5" t="s">
        <v>163</v>
      </c>
      <c r="C3779" s="5" t="s">
        <v>75</v>
      </c>
      <c r="D3779" s="6">
        <v>16.0</v>
      </c>
      <c r="E3779" s="6">
        <v>284085.0</v>
      </c>
      <c r="F3779" s="6">
        <v>0.0</v>
      </c>
      <c r="G3779" s="6">
        <v>4085.0</v>
      </c>
      <c r="H3779" s="6">
        <v>69.5435</v>
      </c>
      <c r="I3779" s="6">
        <v>0.0</v>
      </c>
      <c r="J3779" s="6">
        <v>69.5435</v>
      </c>
    </row>
    <row r="3780">
      <c r="A3780" s="5" t="s">
        <v>60</v>
      </c>
      <c r="B3780" s="5" t="s">
        <v>163</v>
      </c>
      <c r="C3780" s="5" t="s">
        <v>75</v>
      </c>
      <c r="D3780" s="6">
        <v>17.0</v>
      </c>
      <c r="E3780" s="6">
        <v>330600.0</v>
      </c>
      <c r="F3780" s="6">
        <v>0.0</v>
      </c>
      <c r="G3780" s="6">
        <v>4085.0</v>
      </c>
      <c r="H3780" s="6">
        <v>80.9302</v>
      </c>
      <c r="I3780" s="6">
        <v>0.0</v>
      </c>
      <c r="J3780" s="6">
        <v>80.9302</v>
      </c>
    </row>
    <row r="3781">
      <c r="A3781" s="5" t="s">
        <v>60</v>
      </c>
      <c r="B3781" s="5" t="s">
        <v>163</v>
      </c>
      <c r="C3781" s="5" t="s">
        <v>75</v>
      </c>
      <c r="D3781" s="6">
        <v>18.0</v>
      </c>
      <c r="E3781" s="6">
        <v>271655.0</v>
      </c>
      <c r="F3781" s="6">
        <v>0.0</v>
      </c>
      <c r="G3781" s="6">
        <v>4085.0</v>
      </c>
      <c r="H3781" s="6">
        <v>66.5006</v>
      </c>
      <c r="I3781" s="6">
        <v>0.0</v>
      </c>
      <c r="J3781" s="6">
        <v>66.5006</v>
      </c>
    </row>
    <row r="3782">
      <c r="A3782" s="5" t="s">
        <v>60</v>
      </c>
      <c r="B3782" s="5" t="s">
        <v>163</v>
      </c>
      <c r="C3782" s="5" t="s">
        <v>75</v>
      </c>
      <c r="D3782" s="6">
        <v>19.0</v>
      </c>
      <c r="E3782" s="6">
        <v>291825.0</v>
      </c>
      <c r="F3782" s="6">
        <v>0.0</v>
      </c>
      <c r="G3782" s="6">
        <v>4085.0</v>
      </c>
      <c r="H3782" s="6">
        <v>71.4382</v>
      </c>
      <c r="I3782" s="6">
        <v>0.0</v>
      </c>
      <c r="J3782" s="6">
        <v>71.4382</v>
      </c>
    </row>
    <row r="3783">
      <c r="A3783" s="5" t="s">
        <v>60</v>
      </c>
      <c r="B3783" s="5" t="s">
        <v>163</v>
      </c>
      <c r="C3783" s="5" t="s">
        <v>75</v>
      </c>
      <c r="D3783" s="6">
        <v>20.0</v>
      </c>
      <c r="E3783" s="6">
        <v>354220.0</v>
      </c>
      <c r="F3783" s="6">
        <v>0.0</v>
      </c>
      <c r="G3783" s="6">
        <v>4085.0</v>
      </c>
      <c r="H3783" s="6">
        <v>86.7124</v>
      </c>
      <c r="I3783" s="6">
        <v>0.0</v>
      </c>
      <c r="J3783" s="6">
        <v>86.7124</v>
      </c>
    </row>
    <row r="3784">
      <c r="A3784" s="5" t="s">
        <v>60</v>
      </c>
      <c r="B3784" s="5" t="s">
        <v>163</v>
      </c>
      <c r="C3784" s="5" t="s">
        <v>75</v>
      </c>
      <c r="D3784" s="6">
        <v>21.0</v>
      </c>
      <c r="E3784" s="6">
        <v>433028.0</v>
      </c>
      <c r="F3784" s="6">
        <v>81.0</v>
      </c>
      <c r="G3784" s="6">
        <v>4085.0</v>
      </c>
      <c r="H3784" s="6">
        <v>106.0044</v>
      </c>
      <c r="I3784" s="6">
        <v>0.0198</v>
      </c>
      <c r="J3784" s="6">
        <v>105.9846</v>
      </c>
    </row>
    <row r="3785">
      <c r="A3785" s="5" t="s">
        <v>60</v>
      </c>
      <c r="B3785" s="5" t="s">
        <v>163</v>
      </c>
      <c r="C3785" s="5" t="s">
        <v>75</v>
      </c>
      <c r="D3785" s="6">
        <v>22.0</v>
      </c>
      <c r="E3785" s="6">
        <v>351070.0</v>
      </c>
      <c r="F3785" s="6">
        <v>0.0</v>
      </c>
      <c r="G3785" s="6">
        <v>4085.0</v>
      </c>
      <c r="H3785" s="6">
        <v>85.9412</v>
      </c>
      <c r="I3785" s="6">
        <v>0.0</v>
      </c>
      <c r="J3785" s="6">
        <v>85.9412</v>
      </c>
    </row>
    <row r="3786">
      <c r="A3786" s="5" t="s">
        <v>60</v>
      </c>
      <c r="B3786" s="5" t="s">
        <v>163</v>
      </c>
      <c r="C3786" s="5" t="s">
        <v>75</v>
      </c>
      <c r="D3786" s="6">
        <v>23.0</v>
      </c>
      <c r="E3786" s="6">
        <v>313745.0</v>
      </c>
      <c r="F3786" s="6">
        <v>0.0</v>
      </c>
      <c r="G3786" s="6">
        <v>4085.0</v>
      </c>
      <c r="H3786" s="6">
        <v>76.8042</v>
      </c>
      <c r="I3786" s="6">
        <v>0.0</v>
      </c>
      <c r="J3786" s="6">
        <v>76.8042</v>
      </c>
    </row>
    <row r="3787">
      <c r="A3787" s="5" t="s">
        <v>60</v>
      </c>
      <c r="B3787" s="5" t="s">
        <v>163</v>
      </c>
      <c r="C3787" s="5" t="s">
        <v>75</v>
      </c>
      <c r="D3787" s="6">
        <v>24.0</v>
      </c>
      <c r="E3787" s="6">
        <v>364800.0</v>
      </c>
      <c r="F3787" s="6">
        <v>0.0</v>
      </c>
      <c r="G3787" s="6">
        <v>4085.0</v>
      </c>
      <c r="H3787" s="6">
        <v>89.3023</v>
      </c>
      <c r="I3787" s="6">
        <v>0.0</v>
      </c>
      <c r="J3787" s="6">
        <v>89.3023</v>
      </c>
    </row>
    <row r="3788">
      <c r="A3788" s="5" t="s">
        <v>60</v>
      </c>
      <c r="B3788" s="5" t="s">
        <v>163</v>
      </c>
      <c r="C3788" s="5" t="s">
        <v>75</v>
      </c>
      <c r="D3788" s="6">
        <v>25.0</v>
      </c>
      <c r="E3788" s="6">
        <v>324980.0</v>
      </c>
      <c r="F3788" s="6">
        <v>0.0</v>
      </c>
      <c r="G3788" s="6">
        <v>4085.0</v>
      </c>
      <c r="H3788" s="6">
        <v>79.5545</v>
      </c>
      <c r="I3788" s="6">
        <v>0.0</v>
      </c>
      <c r="J3788" s="6">
        <v>79.5545</v>
      </c>
    </row>
    <row r="3789">
      <c r="A3789" s="5" t="s">
        <v>60</v>
      </c>
      <c r="B3789" s="5" t="s">
        <v>163</v>
      </c>
      <c r="C3789" s="5" t="s">
        <v>75</v>
      </c>
      <c r="D3789" s="6">
        <v>26.0</v>
      </c>
      <c r="E3789" s="6">
        <v>356055.0</v>
      </c>
      <c r="F3789" s="6">
        <v>0.0</v>
      </c>
      <c r="G3789" s="6">
        <v>4085.0</v>
      </c>
      <c r="H3789" s="6">
        <v>87.1616</v>
      </c>
      <c r="I3789" s="6">
        <v>0.0</v>
      </c>
      <c r="J3789" s="6">
        <v>87.1616</v>
      </c>
    </row>
    <row r="3790">
      <c r="A3790" s="5" t="s">
        <v>60</v>
      </c>
      <c r="B3790" s="5" t="s">
        <v>163</v>
      </c>
      <c r="C3790" s="5" t="s">
        <v>75</v>
      </c>
      <c r="D3790" s="6">
        <v>27.0</v>
      </c>
      <c r="E3790" s="6">
        <v>432438.0</v>
      </c>
      <c r="F3790" s="6">
        <v>0.0</v>
      </c>
      <c r="G3790" s="6">
        <v>4085.0</v>
      </c>
      <c r="H3790" s="6">
        <v>105.86</v>
      </c>
      <c r="I3790" s="6">
        <v>0.0</v>
      </c>
      <c r="J3790" s="6">
        <v>105.86</v>
      </c>
    </row>
    <row r="3791">
      <c r="A3791" s="5" t="s">
        <v>60</v>
      </c>
      <c r="B3791" s="5" t="s">
        <v>163</v>
      </c>
      <c r="C3791" s="5" t="s">
        <v>75</v>
      </c>
      <c r="D3791" s="6">
        <v>28.0</v>
      </c>
      <c r="E3791" s="6">
        <v>382260.0</v>
      </c>
      <c r="F3791" s="6">
        <v>0.0</v>
      </c>
      <c r="G3791" s="6">
        <v>4085.0</v>
      </c>
      <c r="H3791" s="6">
        <v>93.5765</v>
      </c>
      <c r="I3791" s="6">
        <v>0.0</v>
      </c>
      <c r="J3791" s="6">
        <v>93.5765</v>
      </c>
    </row>
    <row r="3792">
      <c r="A3792" s="5" t="s">
        <v>60</v>
      </c>
      <c r="B3792" s="5" t="s">
        <v>163</v>
      </c>
      <c r="C3792" s="5" t="s">
        <v>75</v>
      </c>
      <c r="D3792" s="6">
        <v>29.0</v>
      </c>
      <c r="E3792" s="6">
        <v>433010.0</v>
      </c>
      <c r="F3792" s="6">
        <v>0.0</v>
      </c>
      <c r="G3792" s="6">
        <v>4085.0</v>
      </c>
      <c r="H3792" s="6">
        <v>106.0</v>
      </c>
      <c r="I3792" s="6">
        <v>0.0</v>
      </c>
      <c r="J3792" s="6">
        <v>106.0</v>
      </c>
    </row>
    <row r="3793">
      <c r="A3793" s="5" t="s">
        <v>60</v>
      </c>
      <c r="B3793" s="5" t="s">
        <v>163</v>
      </c>
      <c r="C3793" s="5" t="s">
        <v>75</v>
      </c>
      <c r="D3793" s="6">
        <v>30.0</v>
      </c>
      <c r="E3793" s="6">
        <v>390110.0</v>
      </c>
      <c r="F3793" s="6">
        <v>0.0</v>
      </c>
      <c r="G3793" s="6">
        <v>4085.0</v>
      </c>
      <c r="H3793" s="6">
        <v>95.4982</v>
      </c>
      <c r="I3793" s="6">
        <v>0.0</v>
      </c>
      <c r="J3793" s="6">
        <v>95.4982</v>
      </c>
    </row>
    <row r="3794">
      <c r="A3794" s="5" t="s">
        <v>60</v>
      </c>
      <c r="B3794" s="5" t="s">
        <v>163</v>
      </c>
      <c r="C3794" s="5" t="s">
        <v>75</v>
      </c>
      <c r="D3794" s="6">
        <v>31.0</v>
      </c>
      <c r="E3794" s="6">
        <v>463565.0</v>
      </c>
      <c r="F3794" s="6">
        <v>0.0</v>
      </c>
      <c r="G3794" s="6">
        <v>4085.0</v>
      </c>
      <c r="H3794" s="6">
        <v>113.4798</v>
      </c>
      <c r="I3794" s="6">
        <v>0.0</v>
      </c>
      <c r="J3794" s="6">
        <v>113.4798</v>
      </c>
    </row>
    <row r="3795">
      <c r="A3795" s="5" t="s">
        <v>60</v>
      </c>
      <c r="B3795" s="5" t="s">
        <v>163</v>
      </c>
      <c r="C3795" s="5" t="s">
        <v>75</v>
      </c>
      <c r="D3795" s="6">
        <v>32.0</v>
      </c>
      <c r="E3795" s="6">
        <v>406855.0</v>
      </c>
      <c r="F3795" s="6">
        <v>0.0</v>
      </c>
      <c r="G3795" s="6">
        <v>4085.0</v>
      </c>
      <c r="H3795" s="6">
        <v>99.5973</v>
      </c>
      <c r="I3795" s="6">
        <v>0.0</v>
      </c>
      <c r="J3795" s="6">
        <v>99.5973</v>
      </c>
    </row>
    <row r="3796">
      <c r="A3796" s="5" t="s">
        <v>60</v>
      </c>
      <c r="B3796" s="5" t="s">
        <v>163</v>
      </c>
      <c r="C3796" s="5" t="s">
        <v>75</v>
      </c>
      <c r="D3796" s="6">
        <v>33.0</v>
      </c>
      <c r="E3796" s="6">
        <v>493208.0</v>
      </c>
      <c r="F3796" s="6">
        <v>0.0</v>
      </c>
      <c r="G3796" s="6">
        <v>4085.0</v>
      </c>
      <c r="H3796" s="6">
        <v>120.7364</v>
      </c>
      <c r="I3796" s="6">
        <v>0.0</v>
      </c>
      <c r="J3796" s="6">
        <v>120.7364</v>
      </c>
    </row>
    <row r="3797">
      <c r="A3797" s="5" t="s">
        <v>60</v>
      </c>
      <c r="B3797" s="5" t="s">
        <v>163</v>
      </c>
      <c r="C3797" s="5" t="s">
        <v>68</v>
      </c>
      <c r="D3797" s="6">
        <v>1.0</v>
      </c>
      <c r="E3797" s="6">
        <v>10832.0</v>
      </c>
      <c r="F3797" s="6">
        <v>0.0</v>
      </c>
      <c r="G3797" s="6">
        <v>3652.0</v>
      </c>
      <c r="H3797" s="6">
        <v>2.966</v>
      </c>
      <c r="I3797" s="6">
        <v>0.0</v>
      </c>
      <c r="J3797" s="6">
        <v>2.966</v>
      </c>
    </row>
    <row r="3798">
      <c r="A3798" s="5" t="s">
        <v>60</v>
      </c>
      <c r="B3798" s="5" t="s">
        <v>163</v>
      </c>
      <c r="C3798" s="5" t="s">
        <v>68</v>
      </c>
      <c r="D3798" s="6">
        <v>2.0</v>
      </c>
      <c r="E3798" s="6">
        <v>124972.0</v>
      </c>
      <c r="F3798" s="6">
        <v>0.0</v>
      </c>
      <c r="G3798" s="6">
        <v>3652.0</v>
      </c>
      <c r="H3798" s="6">
        <v>34.2202</v>
      </c>
      <c r="I3798" s="6">
        <v>0.0</v>
      </c>
      <c r="J3798" s="6">
        <v>34.2202</v>
      </c>
    </row>
    <row r="3799">
      <c r="A3799" s="5" t="s">
        <v>60</v>
      </c>
      <c r="B3799" s="5" t="s">
        <v>163</v>
      </c>
      <c r="C3799" s="5" t="s">
        <v>68</v>
      </c>
      <c r="D3799" s="6">
        <v>3.0</v>
      </c>
      <c r="E3799" s="6">
        <v>39965.0</v>
      </c>
      <c r="F3799" s="6">
        <v>0.0</v>
      </c>
      <c r="G3799" s="6">
        <v>3652.0</v>
      </c>
      <c r="H3799" s="6">
        <v>10.9433</v>
      </c>
      <c r="I3799" s="6">
        <v>0.0</v>
      </c>
      <c r="J3799" s="6">
        <v>10.9433</v>
      </c>
    </row>
    <row r="3800">
      <c r="A3800" s="5" t="s">
        <v>60</v>
      </c>
      <c r="B3800" s="5" t="s">
        <v>163</v>
      </c>
      <c r="C3800" s="5" t="s">
        <v>68</v>
      </c>
      <c r="D3800" s="6">
        <v>4.0</v>
      </c>
      <c r="E3800" s="6">
        <v>35837.0</v>
      </c>
      <c r="F3800" s="6">
        <v>0.0</v>
      </c>
      <c r="G3800" s="6">
        <v>3652.0</v>
      </c>
      <c r="H3800" s="6">
        <v>9.813</v>
      </c>
      <c r="I3800" s="6">
        <v>0.0</v>
      </c>
      <c r="J3800" s="6">
        <v>9.813</v>
      </c>
    </row>
    <row r="3801">
      <c r="A3801" s="5" t="s">
        <v>60</v>
      </c>
      <c r="B3801" s="5" t="s">
        <v>163</v>
      </c>
      <c r="C3801" s="5" t="s">
        <v>68</v>
      </c>
      <c r="D3801" s="6">
        <v>5.0</v>
      </c>
      <c r="E3801" s="6">
        <v>23645.0</v>
      </c>
      <c r="F3801" s="6">
        <v>0.0</v>
      </c>
      <c r="G3801" s="6">
        <v>3652.0</v>
      </c>
      <c r="H3801" s="6">
        <v>6.4745</v>
      </c>
      <c r="I3801" s="6">
        <v>0.0</v>
      </c>
      <c r="J3801" s="6">
        <v>6.4745</v>
      </c>
    </row>
    <row r="3802">
      <c r="A3802" s="5" t="s">
        <v>60</v>
      </c>
      <c r="B3802" s="5" t="s">
        <v>163</v>
      </c>
      <c r="C3802" s="5" t="s">
        <v>68</v>
      </c>
      <c r="D3802" s="6">
        <v>6.0</v>
      </c>
      <c r="E3802" s="6">
        <v>19234.0</v>
      </c>
      <c r="F3802" s="6">
        <v>0.0</v>
      </c>
      <c r="G3802" s="6">
        <v>3652.0</v>
      </c>
      <c r="H3802" s="6">
        <v>5.2667</v>
      </c>
      <c r="I3802" s="6">
        <v>0.0</v>
      </c>
      <c r="J3802" s="6">
        <v>5.2667</v>
      </c>
    </row>
    <row r="3803">
      <c r="A3803" s="5" t="s">
        <v>60</v>
      </c>
      <c r="B3803" s="5" t="s">
        <v>163</v>
      </c>
      <c r="C3803" s="5" t="s">
        <v>68</v>
      </c>
      <c r="D3803" s="6">
        <v>7.0</v>
      </c>
      <c r="E3803" s="6">
        <v>38920.0</v>
      </c>
      <c r="F3803" s="6">
        <v>0.0</v>
      </c>
      <c r="G3803" s="6">
        <v>3652.0</v>
      </c>
      <c r="H3803" s="6">
        <v>10.6572</v>
      </c>
      <c r="I3803" s="6">
        <v>0.0</v>
      </c>
      <c r="J3803" s="6">
        <v>10.6572</v>
      </c>
    </row>
    <row r="3804">
      <c r="A3804" s="5" t="s">
        <v>60</v>
      </c>
      <c r="B3804" s="5" t="s">
        <v>163</v>
      </c>
      <c r="C3804" s="5" t="s">
        <v>68</v>
      </c>
      <c r="D3804" s="6">
        <v>8.0</v>
      </c>
      <c r="E3804" s="6">
        <v>18203.0</v>
      </c>
      <c r="F3804" s="6">
        <v>0.0</v>
      </c>
      <c r="G3804" s="6">
        <v>3652.0</v>
      </c>
      <c r="H3804" s="6">
        <v>4.9844</v>
      </c>
      <c r="I3804" s="6">
        <v>0.0</v>
      </c>
      <c r="J3804" s="6">
        <v>4.9844</v>
      </c>
    </row>
    <row r="3805">
      <c r="A3805" s="5" t="s">
        <v>60</v>
      </c>
      <c r="B3805" s="5" t="s">
        <v>163</v>
      </c>
      <c r="C3805" s="5" t="s">
        <v>68</v>
      </c>
      <c r="D3805" s="6">
        <v>9.0</v>
      </c>
      <c r="E3805" s="6">
        <v>34110.0</v>
      </c>
      <c r="F3805" s="6">
        <v>0.0</v>
      </c>
      <c r="G3805" s="6">
        <v>3652.0</v>
      </c>
      <c r="H3805" s="6">
        <v>9.3401</v>
      </c>
      <c r="I3805" s="6">
        <v>0.0</v>
      </c>
      <c r="J3805" s="6">
        <v>9.3401</v>
      </c>
    </row>
    <row r="3806">
      <c r="A3806" s="5" t="s">
        <v>60</v>
      </c>
      <c r="B3806" s="5" t="s">
        <v>163</v>
      </c>
      <c r="C3806" s="5" t="s">
        <v>68</v>
      </c>
      <c r="D3806" s="6">
        <v>10.0</v>
      </c>
      <c r="E3806" s="6">
        <v>38097.0</v>
      </c>
      <c r="F3806" s="6">
        <v>0.0</v>
      </c>
      <c r="G3806" s="6">
        <v>3652.0</v>
      </c>
      <c r="H3806" s="6">
        <v>10.4318</v>
      </c>
      <c r="I3806" s="6">
        <v>0.0</v>
      </c>
      <c r="J3806" s="6">
        <v>10.4318</v>
      </c>
    </row>
    <row r="3807">
      <c r="A3807" s="5" t="s">
        <v>60</v>
      </c>
      <c r="B3807" s="5" t="s">
        <v>163</v>
      </c>
      <c r="C3807" s="5" t="s">
        <v>68</v>
      </c>
      <c r="D3807" s="6">
        <v>11.0</v>
      </c>
      <c r="E3807" s="6">
        <v>35605.0</v>
      </c>
      <c r="F3807" s="6">
        <v>0.0</v>
      </c>
      <c r="G3807" s="6">
        <v>3652.0</v>
      </c>
      <c r="H3807" s="6">
        <v>9.7495</v>
      </c>
      <c r="I3807" s="6">
        <v>0.0</v>
      </c>
      <c r="J3807" s="6">
        <v>9.7495</v>
      </c>
    </row>
    <row r="3808">
      <c r="A3808" s="5" t="s">
        <v>60</v>
      </c>
      <c r="B3808" s="5" t="s">
        <v>163</v>
      </c>
      <c r="C3808" s="5" t="s">
        <v>68</v>
      </c>
      <c r="D3808" s="6">
        <v>12.0</v>
      </c>
      <c r="E3808" s="6">
        <v>30322.0</v>
      </c>
      <c r="F3808" s="6">
        <v>0.0</v>
      </c>
      <c r="G3808" s="6">
        <v>3652.0</v>
      </c>
      <c r="H3808" s="6">
        <v>8.3028</v>
      </c>
      <c r="I3808" s="6">
        <v>0.0</v>
      </c>
      <c r="J3808" s="6">
        <v>8.3028</v>
      </c>
    </row>
    <row r="3809">
      <c r="A3809" s="5" t="s">
        <v>60</v>
      </c>
      <c r="B3809" s="5" t="s">
        <v>163</v>
      </c>
      <c r="C3809" s="5" t="s">
        <v>68</v>
      </c>
      <c r="D3809" s="6">
        <v>13.0</v>
      </c>
      <c r="E3809" s="6">
        <v>14510.0</v>
      </c>
      <c r="F3809" s="6">
        <v>0.0</v>
      </c>
      <c r="G3809" s="6">
        <v>3652.0</v>
      </c>
      <c r="H3809" s="6">
        <v>3.9732</v>
      </c>
      <c r="I3809" s="6">
        <v>0.0</v>
      </c>
      <c r="J3809" s="6">
        <v>3.9732</v>
      </c>
    </row>
    <row r="3810">
      <c r="A3810" s="5" t="s">
        <v>60</v>
      </c>
      <c r="B3810" s="5" t="s">
        <v>163</v>
      </c>
      <c r="C3810" s="5" t="s">
        <v>68</v>
      </c>
      <c r="D3810" s="6">
        <v>14.0</v>
      </c>
      <c r="E3810" s="6">
        <v>32904.0</v>
      </c>
      <c r="F3810" s="6">
        <v>0.0</v>
      </c>
      <c r="G3810" s="6">
        <v>3652.0</v>
      </c>
      <c r="H3810" s="6">
        <v>9.0099</v>
      </c>
      <c r="I3810" s="6">
        <v>0.0</v>
      </c>
      <c r="J3810" s="6">
        <v>9.0099</v>
      </c>
    </row>
    <row r="3811">
      <c r="A3811" s="5" t="s">
        <v>60</v>
      </c>
      <c r="B3811" s="5" t="s">
        <v>163</v>
      </c>
      <c r="C3811" s="5" t="s">
        <v>68</v>
      </c>
      <c r="D3811" s="6">
        <v>15.0</v>
      </c>
      <c r="E3811" s="6">
        <v>19062.0</v>
      </c>
      <c r="F3811" s="6">
        <v>0.0</v>
      </c>
      <c r="G3811" s="6">
        <v>3652.0</v>
      </c>
      <c r="H3811" s="6">
        <v>5.2196</v>
      </c>
      <c r="I3811" s="6">
        <v>0.0</v>
      </c>
      <c r="J3811" s="6">
        <v>5.2196</v>
      </c>
    </row>
    <row r="3812">
      <c r="A3812" s="5" t="s">
        <v>60</v>
      </c>
      <c r="B3812" s="5" t="s">
        <v>163</v>
      </c>
      <c r="C3812" s="5" t="s">
        <v>68</v>
      </c>
      <c r="D3812" s="6">
        <v>16.0</v>
      </c>
      <c r="E3812" s="6">
        <v>145362.0</v>
      </c>
      <c r="F3812" s="6">
        <v>0.0</v>
      </c>
      <c r="G3812" s="6">
        <v>3652.0</v>
      </c>
      <c r="H3812" s="6">
        <v>39.8034</v>
      </c>
      <c r="I3812" s="6">
        <v>0.0</v>
      </c>
      <c r="J3812" s="6">
        <v>39.8034</v>
      </c>
    </row>
    <row r="3813">
      <c r="A3813" s="5" t="s">
        <v>60</v>
      </c>
      <c r="B3813" s="5" t="s">
        <v>163</v>
      </c>
      <c r="C3813" s="5" t="s">
        <v>68</v>
      </c>
      <c r="D3813" s="6">
        <v>17.0</v>
      </c>
      <c r="E3813" s="6">
        <v>50551.0</v>
      </c>
      <c r="F3813" s="6">
        <v>0.0</v>
      </c>
      <c r="G3813" s="6">
        <v>3652.0</v>
      </c>
      <c r="H3813" s="6">
        <v>13.842</v>
      </c>
      <c r="I3813" s="6">
        <v>0.0</v>
      </c>
      <c r="J3813" s="6">
        <v>13.842</v>
      </c>
    </row>
    <row r="3814">
      <c r="A3814" s="5" t="s">
        <v>60</v>
      </c>
      <c r="B3814" s="5" t="s">
        <v>163</v>
      </c>
      <c r="C3814" s="5" t="s">
        <v>68</v>
      </c>
      <c r="D3814" s="6">
        <v>18.0</v>
      </c>
      <c r="E3814" s="6">
        <v>50042.0</v>
      </c>
      <c r="F3814" s="6">
        <v>0.0</v>
      </c>
      <c r="G3814" s="6">
        <v>3652.0</v>
      </c>
      <c r="H3814" s="6">
        <v>13.7026</v>
      </c>
      <c r="I3814" s="6">
        <v>0.0</v>
      </c>
      <c r="J3814" s="6">
        <v>13.7026</v>
      </c>
    </row>
    <row r="3815">
      <c r="A3815" s="5" t="s">
        <v>60</v>
      </c>
      <c r="B3815" s="5" t="s">
        <v>163</v>
      </c>
      <c r="C3815" s="5" t="s">
        <v>68</v>
      </c>
      <c r="D3815" s="6">
        <v>19.0</v>
      </c>
      <c r="E3815" s="6">
        <v>26447.0</v>
      </c>
      <c r="F3815" s="6">
        <v>0.0</v>
      </c>
      <c r="G3815" s="6">
        <v>3652.0</v>
      </c>
      <c r="H3815" s="6">
        <v>7.2418</v>
      </c>
      <c r="I3815" s="6">
        <v>0.0</v>
      </c>
      <c r="J3815" s="6">
        <v>7.2418</v>
      </c>
    </row>
    <row r="3816">
      <c r="A3816" s="5" t="s">
        <v>60</v>
      </c>
      <c r="B3816" s="5" t="s">
        <v>163</v>
      </c>
      <c r="C3816" s="5" t="s">
        <v>68</v>
      </c>
      <c r="D3816" s="6">
        <v>20.0</v>
      </c>
      <c r="E3816" s="6">
        <v>21291.0</v>
      </c>
      <c r="F3816" s="6">
        <v>0.0</v>
      </c>
      <c r="G3816" s="6">
        <v>3652.0</v>
      </c>
      <c r="H3816" s="6">
        <v>5.83</v>
      </c>
      <c r="I3816" s="6">
        <v>0.0</v>
      </c>
      <c r="J3816" s="6">
        <v>5.83</v>
      </c>
    </row>
    <row r="3817">
      <c r="A3817" s="5" t="s">
        <v>60</v>
      </c>
      <c r="B3817" s="5" t="s">
        <v>163</v>
      </c>
      <c r="C3817" s="5" t="s">
        <v>68</v>
      </c>
      <c r="D3817" s="6">
        <v>21.0</v>
      </c>
      <c r="E3817" s="6">
        <v>42607.0</v>
      </c>
      <c r="F3817" s="6">
        <v>0.0</v>
      </c>
      <c r="G3817" s="6">
        <v>3652.0</v>
      </c>
      <c r="H3817" s="6">
        <v>11.6668</v>
      </c>
      <c r="I3817" s="6">
        <v>0.0</v>
      </c>
      <c r="J3817" s="6">
        <v>11.6668</v>
      </c>
    </row>
    <row r="3818">
      <c r="A3818" s="5" t="s">
        <v>60</v>
      </c>
      <c r="B3818" s="5" t="s">
        <v>163</v>
      </c>
      <c r="C3818" s="5" t="s">
        <v>68</v>
      </c>
      <c r="D3818" s="6">
        <v>22.0</v>
      </c>
      <c r="E3818" s="6">
        <v>23447.0</v>
      </c>
      <c r="F3818" s="6">
        <v>0.0</v>
      </c>
      <c r="G3818" s="6">
        <v>3652.0</v>
      </c>
      <c r="H3818" s="6">
        <v>6.4203</v>
      </c>
      <c r="I3818" s="6">
        <v>0.0</v>
      </c>
      <c r="J3818" s="6">
        <v>6.4203</v>
      </c>
    </row>
    <row r="3819">
      <c r="A3819" s="5" t="s">
        <v>60</v>
      </c>
      <c r="B3819" s="5" t="s">
        <v>163</v>
      </c>
      <c r="C3819" s="5" t="s">
        <v>68</v>
      </c>
      <c r="D3819" s="6">
        <v>23.0</v>
      </c>
      <c r="E3819" s="6">
        <v>37824.0</v>
      </c>
      <c r="F3819" s="6">
        <v>0.0</v>
      </c>
      <c r="G3819" s="6">
        <v>3652.0</v>
      </c>
      <c r="H3819" s="6">
        <v>10.3571</v>
      </c>
      <c r="I3819" s="6">
        <v>0.0</v>
      </c>
      <c r="J3819" s="6">
        <v>10.3571</v>
      </c>
    </row>
    <row r="3820">
      <c r="A3820" s="5" t="s">
        <v>60</v>
      </c>
      <c r="B3820" s="5" t="s">
        <v>163</v>
      </c>
      <c r="C3820" s="5" t="s">
        <v>68</v>
      </c>
      <c r="D3820" s="6">
        <v>24.0</v>
      </c>
      <c r="E3820" s="6">
        <v>44412.0</v>
      </c>
      <c r="F3820" s="6">
        <v>0.0</v>
      </c>
      <c r="G3820" s="6">
        <v>3652.0</v>
      </c>
      <c r="H3820" s="6">
        <v>12.161</v>
      </c>
      <c r="I3820" s="6">
        <v>0.0</v>
      </c>
      <c r="J3820" s="6">
        <v>12.161</v>
      </c>
    </row>
    <row r="3821">
      <c r="A3821" s="5" t="s">
        <v>60</v>
      </c>
      <c r="B3821" s="5" t="s">
        <v>163</v>
      </c>
      <c r="C3821" s="5" t="s">
        <v>68</v>
      </c>
      <c r="D3821" s="6">
        <v>25.0</v>
      </c>
      <c r="E3821" s="6">
        <v>40655.0</v>
      </c>
      <c r="F3821" s="6">
        <v>0.0</v>
      </c>
      <c r="G3821" s="6">
        <v>3652.0</v>
      </c>
      <c r="H3821" s="6">
        <v>11.1323</v>
      </c>
      <c r="I3821" s="6">
        <v>0.0</v>
      </c>
      <c r="J3821" s="6">
        <v>11.1323</v>
      </c>
    </row>
    <row r="3822">
      <c r="A3822" s="5" t="s">
        <v>60</v>
      </c>
      <c r="B3822" s="5" t="s">
        <v>163</v>
      </c>
      <c r="C3822" s="5" t="s">
        <v>68</v>
      </c>
      <c r="D3822" s="6">
        <v>26.0</v>
      </c>
      <c r="E3822" s="6">
        <v>23238.0</v>
      </c>
      <c r="F3822" s="6">
        <v>0.0</v>
      </c>
      <c r="G3822" s="6">
        <v>3652.0</v>
      </c>
      <c r="H3822" s="6">
        <v>6.3631</v>
      </c>
      <c r="I3822" s="6">
        <v>0.0</v>
      </c>
      <c r="J3822" s="6">
        <v>6.3631</v>
      </c>
    </row>
    <row r="3823">
      <c r="A3823" s="5" t="s">
        <v>60</v>
      </c>
      <c r="B3823" s="5" t="s">
        <v>163</v>
      </c>
      <c r="C3823" s="5" t="s">
        <v>68</v>
      </c>
      <c r="D3823" s="6">
        <v>27.0</v>
      </c>
      <c r="E3823" s="6">
        <v>21509.0</v>
      </c>
      <c r="F3823" s="6">
        <v>0.0</v>
      </c>
      <c r="G3823" s="6">
        <v>3652.0</v>
      </c>
      <c r="H3823" s="6">
        <v>5.8896</v>
      </c>
      <c r="I3823" s="6">
        <v>0.0</v>
      </c>
      <c r="J3823" s="6">
        <v>5.8896</v>
      </c>
    </row>
    <row r="3824">
      <c r="A3824" s="5" t="s">
        <v>60</v>
      </c>
      <c r="B3824" s="5" t="s">
        <v>163</v>
      </c>
      <c r="C3824" s="5" t="s">
        <v>68</v>
      </c>
      <c r="D3824" s="6">
        <v>28.0</v>
      </c>
      <c r="E3824" s="6">
        <v>41376.0</v>
      </c>
      <c r="F3824" s="6">
        <v>0.0</v>
      </c>
      <c r="G3824" s="6">
        <v>3652.0</v>
      </c>
      <c r="H3824" s="6">
        <v>11.3297</v>
      </c>
      <c r="I3824" s="6">
        <v>0.0</v>
      </c>
      <c r="J3824" s="6">
        <v>11.3297</v>
      </c>
    </row>
    <row r="3825">
      <c r="A3825" s="5" t="s">
        <v>60</v>
      </c>
      <c r="B3825" s="5" t="s">
        <v>163</v>
      </c>
      <c r="C3825" s="5" t="s">
        <v>68</v>
      </c>
      <c r="D3825" s="6">
        <v>29.0</v>
      </c>
      <c r="E3825" s="6">
        <v>23405.0</v>
      </c>
      <c r="F3825" s="6">
        <v>0.0</v>
      </c>
      <c r="G3825" s="6">
        <v>3652.0</v>
      </c>
      <c r="H3825" s="6">
        <v>6.4088</v>
      </c>
      <c r="I3825" s="6">
        <v>0.0</v>
      </c>
      <c r="J3825" s="6">
        <v>6.4088</v>
      </c>
    </row>
    <row r="3826">
      <c r="A3826" s="5" t="s">
        <v>60</v>
      </c>
      <c r="B3826" s="5" t="s">
        <v>163</v>
      </c>
      <c r="C3826" s="5" t="s">
        <v>68</v>
      </c>
      <c r="D3826" s="6">
        <v>30.0</v>
      </c>
      <c r="E3826" s="6">
        <v>182869.0</v>
      </c>
      <c r="F3826" s="6">
        <v>0.0</v>
      </c>
      <c r="G3826" s="6">
        <v>3652.0</v>
      </c>
      <c r="H3826" s="6">
        <v>50.0737</v>
      </c>
      <c r="I3826" s="6">
        <v>0.0</v>
      </c>
      <c r="J3826" s="6">
        <v>50.0737</v>
      </c>
    </row>
    <row r="3827">
      <c r="A3827" s="5" t="s">
        <v>60</v>
      </c>
      <c r="B3827" s="5" t="s">
        <v>163</v>
      </c>
      <c r="C3827" s="5" t="s">
        <v>68</v>
      </c>
      <c r="D3827" s="6">
        <v>31.0</v>
      </c>
      <c r="E3827" s="6">
        <v>73164.0</v>
      </c>
      <c r="F3827" s="6">
        <v>0.0</v>
      </c>
      <c r="G3827" s="6">
        <v>3652.0</v>
      </c>
      <c r="H3827" s="6">
        <v>20.034</v>
      </c>
      <c r="I3827" s="6">
        <v>0.0</v>
      </c>
      <c r="J3827" s="6">
        <v>20.034</v>
      </c>
    </row>
    <row r="3828">
      <c r="A3828" s="5" t="s">
        <v>60</v>
      </c>
      <c r="B3828" s="5" t="s">
        <v>163</v>
      </c>
      <c r="C3828" s="5" t="s">
        <v>68</v>
      </c>
      <c r="D3828" s="6">
        <v>32.0</v>
      </c>
      <c r="E3828" s="6">
        <v>63592.0</v>
      </c>
      <c r="F3828" s="6">
        <v>0.0</v>
      </c>
      <c r="G3828" s="6">
        <v>3652.0</v>
      </c>
      <c r="H3828" s="6">
        <v>17.4129</v>
      </c>
      <c r="I3828" s="6">
        <v>0.0</v>
      </c>
      <c r="J3828" s="6">
        <v>17.4129</v>
      </c>
    </row>
    <row r="3829">
      <c r="A3829" s="5" t="s">
        <v>60</v>
      </c>
      <c r="B3829" s="5" t="s">
        <v>163</v>
      </c>
      <c r="C3829" s="5" t="s">
        <v>68</v>
      </c>
      <c r="D3829" s="6">
        <v>33.0</v>
      </c>
      <c r="E3829" s="6">
        <v>42894.0</v>
      </c>
      <c r="F3829" s="6">
        <v>0.0</v>
      </c>
      <c r="G3829" s="6">
        <v>3652.0</v>
      </c>
      <c r="H3829" s="6">
        <v>11.7453</v>
      </c>
      <c r="I3829" s="6">
        <v>0.0</v>
      </c>
      <c r="J3829" s="6">
        <v>11.7453</v>
      </c>
    </row>
    <row r="3830">
      <c r="A3830" s="5" t="s">
        <v>60</v>
      </c>
      <c r="B3830" s="5" t="s">
        <v>163</v>
      </c>
      <c r="C3830" s="5" t="s">
        <v>2035</v>
      </c>
      <c r="D3830" s="6">
        <v>1.0</v>
      </c>
      <c r="E3830" s="6">
        <v>15.0</v>
      </c>
      <c r="F3830" s="6">
        <v>0.0</v>
      </c>
      <c r="G3830" s="6">
        <v>662.0</v>
      </c>
      <c r="H3830" s="6">
        <v>0.0227</v>
      </c>
      <c r="I3830" s="6">
        <v>0.0</v>
      </c>
      <c r="J3830" s="6">
        <v>0.0227</v>
      </c>
    </row>
    <row r="3831">
      <c r="A3831" s="5" t="s">
        <v>60</v>
      </c>
      <c r="B3831" s="5" t="s">
        <v>163</v>
      </c>
      <c r="C3831" s="5" t="s">
        <v>2035</v>
      </c>
      <c r="D3831" s="6">
        <v>2.0</v>
      </c>
      <c r="E3831" s="6">
        <v>2845.0</v>
      </c>
      <c r="F3831" s="6">
        <v>0.0</v>
      </c>
      <c r="G3831" s="6">
        <v>662.0</v>
      </c>
      <c r="H3831" s="6">
        <v>4.2976</v>
      </c>
      <c r="I3831" s="6">
        <v>0.0</v>
      </c>
      <c r="J3831" s="6">
        <v>4.2976</v>
      </c>
    </row>
    <row r="3832">
      <c r="A3832" s="5" t="s">
        <v>60</v>
      </c>
      <c r="B3832" s="5" t="s">
        <v>163</v>
      </c>
      <c r="C3832" s="5" t="s">
        <v>2035</v>
      </c>
      <c r="D3832" s="6">
        <v>3.0</v>
      </c>
      <c r="E3832" s="6">
        <v>2520.0</v>
      </c>
      <c r="F3832" s="6">
        <v>0.0</v>
      </c>
      <c r="G3832" s="6">
        <v>662.0</v>
      </c>
      <c r="H3832" s="6">
        <v>3.8066</v>
      </c>
      <c r="I3832" s="6">
        <v>0.0</v>
      </c>
      <c r="J3832" s="6">
        <v>3.8066</v>
      </c>
    </row>
    <row r="3833">
      <c r="A3833" s="5" t="s">
        <v>60</v>
      </c>
      <c r="B3833" s="5" t="s">
        <v>163</v>
      </c>
      <c r="C3833" s="5" t="s">
        <v>2035</v>
      </c>
      <c r="D3833" s="6">
        <v>4.0</v>
      </c>
      <c r="E3833" s="6">
        <v>2090.0</v>
      </c>
      <c r="F3833" s="6">
        <v>0.0</v>
      </c>
      <c r="G3833" s="6">
        <v>662.0</v>
      </c>
      <c r="H3833" s="6">
        <v>3.1571</v>
      </c>
      <c r="I3833" s="6">
        <v>0.0</v>
      </c>
      <c r="J3833" s="6">
        <v>3.1571</v>
      </c>
    </row>
    <row r="3834">
      <c r="A3834" s="5" t="s">
        <v>60</v>
      </c>
      <c r="B3834" s="5" t="s">
        <v>163</v>
      </c>
      <c r="C3834" s="5" t="s">
        <v>2035</v>
      </c>
      <c r="D3834" s="6">
        <v>5.0</v>
      </c>
      <c r="E3834" s="6">
        <v>1865.0</v>
      </c>
      <c r="F3834" s="6">
        <v>0.0</v>
      </c>
      <c r="G3834" s="6">
        <v>662.0</v>
      </c>
      <c r="H3834" s="6">
        <v>2.8172</v>
      </c>
      <c r="I3834" s="6">
        <v>0.0</v>
      </c>
      <c r="J3834" s="6">
        <v>2.8172</v>
      </c>
    </row>
    <row r="3835">
      <c r="A3835" s="5" t="s">
        <v>60</v>
      </c>
      <c r="B3835" s="5" t="s">
        <v>163</v>
      </c>
      <c r="C3835" s="5" t="s">
        <v>2035</v>
      </c>
      <c r="D3835" s="6">
        <v>6.0</v>
      </c>
      <c r="E3835" s="6">
        <v>1780.0</v>
      </c>
      <c r="F3835" s="6">
        <v>0.0</v>
      </c>
      <c r="G3835" s="6">
        <v>662.0</v>
      </c>
      <c r="H3835" s="6">
        <v>2.6888</v>
      </c>
      <c r="I3835" s="6">
        <v>0.0</v>
      </c>
      <c r="J3835" s="6">
        <v>2.6888</v>
      </c>
    </row>
    <row r="3836">
      <c r="A3836" s="5" t="s">
        <v>60</v>
      </c>
      <c r="B3836" s="5" t="s">
        <v>163</v>
      </c>
      <c r="C3836" s="5" t="s">
        <v>2035</v>
      </c>
      <c r="D3836" s="6">
        <v>7.0</v>
      </c>
      <c r="E3836" s="6">
        <v>1750.0</v>
      </c>
      <c r="F3836" s="6">
        <v>0.0</v>
      </c>
      <c r="G3836" s="6">
        <v>662.0</v>
      </c>
      <c r="H3836" s="6">
        <v>2.6435</v>
      </c>
      <c r="I3836" s="6">
        <v>0.0</v>
      </c>
      <c r="J3836" s="6">
        <v>2.6435</v>
      </c>
    </row>
    <row r="3837">
      <c r="A3837" s="5" t="s">
        <v>60</v>
      </c>
      <c r="B3837" s="5" t="s">
        <v>163</v>
      </c>
      <c r="C3837" s="5" t="s">
        <v>2035</v>
      </c>
      <c r="D3837" s="6">
        <v>8.0</v>
      </c>
      <c r="E3837" s="6">
        <v>1575.0</v>
      </c>
      <c r="F3837" s="6">
        <v>0.0</v>
      </c>
      <c r="G3837" s="6">
        <v>662.0</v>
      </c>
      <c r="H3837" s="6">
        <v>2.3792</v>
      </c>
      <c r="I3837" s="6">
        <v>0.0</v>
      </c>
      <c r="J3837" s="6">
        <v>2.3792</v>
      </c>
    </row>
    <row r="3838">
      <c r="A3838" s="5" t="s">
        <v>60</v>
      </c>
      <c r="B3838" s="5" t="s">
        <v>163</v>
      </c>
      <c r="C3838" s="5" t="s">
        <v>2035</v>
      </c>
      <c r="D3838" s="6">
        <v>9.0</v>
      </c>
      <c r="E3838" s="6">
        <v>70.0</v>
      </c>
      <c r="F3838" s="6">
        <v>0.0</v>
      </c>
      <c r="G3838" s="6">
        <v>662.0</v>
      </c>
      <c r="H3838" s="6">
        <v>0.1057</v>
      </c>
      <c r="I3838" s="6">
        <v>0.0</v>
      </c>
      <c r="J3838" s="6">
        <v>0.1057</v>
      </c>
    </row>
    <row r="3839">
      <c r="A3839" s="5" t="s">
        <v>60</v>
      </c>
      <c r="B3839" s="5" t="s">
        <v>163</v>
      </c>
      <c r="C3839" s="5" t="s">
        <v>2035</v>
      </c>
      <c r="D3839" s="6">
        <v>10.0</v>
      </c>
      <c r="E3839" s="6">
        <v>0.0</v>
      </c>
      <c r="F3839" s="6">
        <v>0.0</v>
      </c>
      <c r="G3839" s="6">
        <v>662.0</v>
      </c>
      <c r="H3839" s="6">
        <v>0.0</v>
      </c>
      <c r="I3839" s="6">
        <v>0.0</v>
      </c>
      <c r="J3839" s="6">
        <v>0.0</v>
      </c>
    </row>
    <row r="3840">
      <c r="A3840" s="5" t="s">
        <v>60</v>
      </c>
      <c r="B3840" s="5" t="s">
        <v>163</v>
      </c>
      <c r="C3840" s="5" t="s">
        <v>2035</v>
      </c>
      <c r="D3840" s="6">
        <v>11.0</v>
      </c>
      <c r="E3840" s="6">
        <v>0.0</v>
      </c>
      <c r="F3840" s="6">
        <v>0.0</v>
      </c>
      <c r="G3840" s="6">
        <v>662.0</v>
      </c>
      <c r="H3840" s="6">
        <v>0.0</v>
      </c>
      <c r="I3840" s="6">
        <v>0.0</v>
      </c>
      <c r="J3840" s="6">
        <v>0.0</v>
      </c>
    </row>
    <row r="3841">
      <c r="A3841" s="5" t="s">
        <v>60</v>
      </c>
      <c r="B3841" s="5" t="s">
        <v>163</v>
      </c>
      <c r="C3841" s="5" t="s">
        <v>2035</v>
      </c>
      <c r="D3841" s="6">
        <v>12.0</v>
      </c>
      <c r="E3841" s="6">
        <v>0.0</v>
      </c>
      <c r="F3841" s="6">
        <v>0.0</v>
      </c>
      <c r="G3841" s="6">
        <v>662.0</v>
      </c>
      <c r="H3841" s="6">
        <v>0.0</v>
      </c>
      <c r="I3841" s="6">
        <v>0.0</v>
      </c>
      <c r="J3841" s="6">
        <v>0.0</v>
      </c>
    </row>
    <row r="3842">
      <c r="A3842" s="5" t="s">
        <v>60</v>
      </c>
      <c r="B3842" s="5" t="s">
        <v>163</v>
      </c>
      <c r="C3842" s="5" t="s">
        <v>2035</v>
      </c>
      <c r="D3842" s="6">
        <v>13.0</v>
      </c>
      <c r="E3842" s="6">
        <v>0.0</v>
      </c>
      <c r="F3842" s="6">
        <v>0.0</v>
      </c>
      <c r="G3842" s="6">
        <v>662.0</v>
      </c>
      <c r="H3842" s="6">
        <v>0.0</v>
      </c>
      <c r="I3842" s="6">
        <v>0.0</v>
      </c>
      <c r="J3842" s="6">
        <v>0.0</v>
      </c>
    </row>
    <row r="3843">
      <c r="A3843" s="5" t="s">
        <v>60</v>
      </c>
      <c r="B3843" s="5" t="s">
        <v>163</v>
      </c>
      <c r="C3843" s="5" t="s">
        <v>2035</v>
      </c>
      <c r="D3843" s="6">
        <v>14.0</v>
      </c>
      <c r="E3843" s="6">
        <v>0.0</v>
      </c>
      <c r="F3843" s="6">
        <v>0.0</v>
      </c>
      <c r="G3843" s="6">
        <v>662.0</v>
      </c>
      <c r="H3843" s="6">
        <v>0.0</v>
      </c>
      <c r="I3843" s="6">
        <v>0.0</v>
      </c>
      <c r="J3843" s="6">
        <v>0.0</v>
      </c>
    </row>
    <row r="3844">
      <c r="A3844" s="5" t="s">
        <v>60</v>
      </c>
      <c r="B3844" s="5" t="s">
        <v>163</v>
      </c>
      <c r="C3844" s="5" t="s">
        <v>2035</v>
      </c>
      <c r="D3844" s="6">
        <v>15.0</v>
      </c>
      <c r="E3844" s="6">
        <v>0.0</v>
      </c>
      <c r="F3844" s="6">
        <v>0.0</v>
      </c>
      <c r="G3844" s="6">
        <v>662.0</v>
      </c>
      <c r="H3844" s="6">
        <v>0.0</v>
      </c>
      <c r="I3844" s="6">
        <v>0.0</v>
      </c>
      <c r="J3844" s="6">
        <v>0.0</v>
      </c>
    </row>
    <row r="3845">
      <c r="A3845" s="5" t="s">
        <v>60</v>
      </c>
      <c r="B3845" s="5" t="s">
        <v>163</v>
      </c>
      <c r="C3845" s="5" t="s">
        <v>2035</v>
      </c>
      <c r="D3845" s="6">
        <v>16.0</v>
      </c>
      <c r="E3845" s="6">
        <v>3380.0</v>
      </c>
      <c r="F3845" s="6">
        <v>0.0</v>
      </c>
      <c r="G3845" s="6">
        <v>662.0</v>
      </c>
      <c r="H3845" s="6">
        <v>5.1057</v>
      </c>
      <c r="I3845" s="6">
        <v>0.0</v>
      </c>
      <c r="J3845" s="6">
        <v>5.1057</v>
      </c>
    </row>
    <row r="3846">
      <c r="A3846" s="5" t="s">
        <v>60</v>
      </c>
      <c r="B3846" s="5" t="s">
        <v>163</v>
      </c>
      <c r="C3846" s="5" t="s">
        <v>2035</v>
      </c>
      <c r="D3846" s="6">
        <v>17.0</v>
      </c>
      <c r="E3846" s="6">
        <v>2420.0</v>
      </c>
      <c r="F3846" s="6">
        <v>0.0</v>
      </c>
      <c r="G3846" s="6">
        <v>662.0</v>
      </c>
      <c r="H3846" s="6">
        <v>3.6556</v>
      </c>
      <c r="I3846" s="6">
        <v>0.0</v>
      </c>
      <c r="J3846" s="6">
        <v>3.6556</v>
      </c>
    </row>
    <row r="3847">
      <c r="A3847" s="5" t="s">
        <v>60</v>
      </c>
      <c r="B3847" s="5" t="s">
        <v>163</v>
      </c>
      <c r="C3847" s="5" t="s">
        <v>2035</v>
      </c>
      <c r="D3847" s="6">
        <v>18.0</v>
      </c>
      <c r="E3847" s="6">
        <v>2400.0</v>
      </c>
      <c r="F3847" s="6">
        <v>0.0</v>
      </c>
      <c r="G3847" s="6">
        <v>662.0</v>
      </c>
      <c r="H3847" s="6">
        <v>3.6254</v>
      </c>
      <c r="I3847" s="6">
        <v>0.0</v>
      </c>
      <c r="J3847" s="6">
        <v>3.6254</v>
      </c>
    </row>
    <row r="3848">
      <c r="A3848" s="5" t="s">
        <v>60</v>
      </c>
      <c r="B3848" s="5" t="s">
        <v>163</v>
      </c>
      <c r="C3848" s="5" t="s">
        <v>2035</v>
      </c>
      <c r="D3848" s="6">
        <v>19.0</v>
      </c>
      <c r="E3848" s="6">
        <v>2155.0</v>
      </c>
      <c r="F3848" s="6">
        <v>0.0</v>
      </c>
      <c r="G3848" s="6">
        <v>662.0</v>
      </c>
      <c r="H3848" s="6">
        <v>3.2553</v>
      </c>
      <c r="I3848" s="6">
        <v>0.0</v>
      </c>
      <c r="J3848" s="6">
        <v>3.2553</v>
      </c>
    </row>
    <row r="3849">
      <c r="A3849" s="5" t="s">
        <v>60</v>
      </c>
      <c r="B3849" s="5" t="s">
        <v>163</v>
      </c>
      <c r="C3849" s="5" t="s">
        <v>2035</v>
      </c>
      <c r="D3849" s="6">
        <v>20.0</v>
      </c>
      <c r="E3849" s="6">
        <v>1660.0</v>
      </c>
      <c r="F3849" s="6">
        <v>0.0</v>
      </c>
      <c r="G3849" s="6">
        <v>662.0</v>
      </c>
      <c r="H3849" s="6">
        <v>2.5076</v>
      </c>
      <c r="I3849" s="6">
        <v>0.0</v>
      </c>
      <c r="J3849" s="6">
        <v>2.5076</v>
      </c>
    </row>
    <row r="3850">
      <c r="A3850" s="5" t="s">
        <v>60</v>
      </c>
      <c r="B3850" s="5" t="s">
        <v>163</v>
      </c>
      <c r="C3850" s="5" t="s">
        <v>2035</v>
      </c>
      <c r="D3850" s="6">
        <v>21.0</v>
      </c>
      <c r="E3850" s="6">
        <v>1180.0</v>
      </c>
      <c r="F3850" s="6">
        <v>0.0</v>
      </c>
      <c r="G3850" s="6">
        <v>662.0</v>
      </c>
      <c r="H3850" s="6">
        <v>1.7825</v>
      </c>
      <c r="I3850" s="6">
        <v>0.0</v>
      </c>
      <c r="J3850" s="6">
        <v>1.7825</v>
      </c>
    </row>
    <row r="3851">
      <c r="A3851" s="5" t="s">
        <v>60</v>
      </c>
      <c r="B3851" s="5" t="s">
        <v>163</v>
      </c>
      <c r="C3851" s="5" t="s">
        <v>2035</v>
      </c>
      <c r="D3851" s="6">
        <v>22.0</v>
      </c>
      <c r="E3851" s="6">
        <v>1160.0</v>
      </c>
      <c r="F3851" s="6">
        <v>0.0</v>
      </c>
      <c r="G3851" s="6">
        <v>662.0</v>
      </c>
      <c r="H3851" s="6">
        <v>1.7523</v>
      </c>
      <c r="I3851" s="6">
        <v>0.0</v>
      </c>
      <c r="J3851" s="6">
        <v>1.7523</v>
      </c>
    </row>
    <row r="3852">
      <c r="A3852" s="5" t="s">
        <v>60</v>
      </c>
      <c r="B3852" s="5" t="s">
        <v>163</v>
      </c>
      <c r="C3852" s="5" t="s">
        <v>2035</v>
      </c>
      <c r="D3852" s="6">
        <v>23.0</v>
      </c>
      <c r="E3852" s="6">
        <v>55.0</v>
      </c>
      <c r="F3852" s="6">
        <v>0.0</v>
      </c>
      <c r="G3852" s="6">
        <v>662.0</v>
      </c>
      <c r="H3852" s="6">
        <v>0.0831</v>
      </c>
      <c r="I3852" s="6">
        <v>0.0</v>
      </c>
      <c r="J3852" s="6">
        <v>0.0831</v>
      </c>
    </row>
    <row r="3853">
      <c r="A3853" s="5" t="s">
        <v>60</v>
      </c>
      <c r="B3853" s="5" t="s">
        <v>163</v>
      </c>
      <c r="C3853" s="5" t="s">
        <v>2035</v>
      </c>
      <c r="D3853" s="6">
        <v>24.0</v>
      </c>
      <c r="E3853" s="6">
        <v>0.0</v>
      </c>
      <c r="F3853" s="6">
        <v>0.0</v>
      </c>
      <c r="G3853" s="6">
        <v>662.0</v>
      </c>
      <c r="H3853" s="6">
        <v>0.0</v>
      </c>
      <c r="I3853" s="6">
        <v>0.0</v>
      </c>
      <c r="J3853" s="6">
        <v>0.0</v>
      </c>
    </row>
    <row r="3854">
      <c r="A3854" s="5" t="s">
        <v>60</v>
      </c>
      <c r="B3854" s="5" t="s">
        <v>163</v>
      </c>
      <c r="C3854" s="5" t="s">
        <v>2035</v>
      </c>
      <c r="D3854" s="6">
        <v>25.0</v>
      </c>
      <c r="E3854" s="6">
        <v>0.0</v>
      </c>
      <c r="F3854" s="6">
        <v>0.0</v>
      </c>
      <c r="G3854" s="6">
        <v>662.0</v>
      </c>
      <c r="H3854" s="6">
        <v>0.0</v>
      </c>
      <c r="I3854" s="6">
        <v>0.0</v>
      </c>
      <c r="J3854" s="6">
        <v>0.0</v>
      </c>
    </row>
    <row r="3855">
      <c r="A3855" s="5" t="s">
        <v>60</v>
      </c>
      <c r="B3855" s="5" t="s">
        <v>163</v>
      </c>
      <c r="C3855" s="5" t="s">
        <v>2035</v>
      </c>
      <c r="D3855" s="6">
        <v>26.0</v>
      </c>
      <c r="E3855" s="6">
        <v>0.0</v>
      </c>
      <c r="F3855" s="6">
        <v>0.0</v>
      </c>
      <c r="G3855" s="6">
        <v>662.0</v>
      </c>
      <c r="H3855" s="6">
        <v>0.0</v>
      </c>
      <c r="I3855" s="6">
        <v>0.0</v>
      </c>
      <c r="J3855" s="6">
        <v>0.0</v>
      </c>
    </row>
    <row r="3856">
      <c r="A3856" s="5" t="s">
        <v>60</v>
      </c>
      <c r="B3856" s="5" t="s">
        <v>163</v>
      </c>
      <c r="C3856" s="5" t="s">
        <v>2035</v>
      </c>
      <c r="D3856" s="6">
        <v>27.0</v>
      </c>
      <c r="E3856" s="6">
        <v>0.0</v>
      </c>
      <c r="F3856" s="6">
        <v>0.0</v>
      </c>
      <c r="G3856" s="6">
        <v>662.0</v>
      </c>
      <c r="H3856" s="6">
        <v>0.0</v>
      </c>
      <c r="I3856" s="6">
        <v>0.0</v>
      </c>
      <c r="J3856" s="6">
        <v>0.0</v>
      </c>
    </row>
    <row r="3857">
      <c r="A3857" s="5" t="s">
        <v>60</v>
      </c>
      <c r="B3857" s="5" t="s">
        <v>163</v>
      </c>
      <c r="C3857" s="5" t="s">
        <v>2035</v>
      </c>
      <c r="D3857" s="6">
        <v>28.0</v>
      </c>
      <c r="E3857" s="6">
        <v>30.0</v>
      </c>
      <c r="F3857" s="6">
        <v>0.0</v>
      </c>
      <c r="G3857" s="6">
        <v>662.0</v>
      </c>
      <c r="H3857" s="6">
        <v>0.0453</v>
      </c>
      <c r="I3857" s="6">
        <v>0.0</v>
      </c>
      <c r="J3857" s="6">
        <v>0.0453</v>
      </c>
    </row>
    <row r="3858">
      <c r="A3858" s="5" t="s">
        <v>60</v>
      </c>
      <c r="B3858" s="5" t="s">
        <v>163</v>
      </c>
      <c r="C3858" s="5" t="s">
        <v>2035</v>
      </c>
      <c r="D3858" s="6">
        <v>29.0</v>
      </c>
      <c r="E3858" s="6">
        <v>15.0</v>
      </c>
      <c r="F3858" s="6">
        <v>0.0</v>
      </c>
      <c r="G3858" s="6">
        <v>662.0</v>
      </c>
      <c r="H3858" s="6">
        <v>0.0227</v>
      </c>
      <c r="I3858" s="6">
        <v>0.0</v>
      </c>
      <c r="J3858" s="6">
        <v>0.0227</v>
      </c>
    </row>
    <row r="3859">
      <c r="A3859" s="5" t="s">
        <v>60</v>
      </c>
      <c r="B3859" s="5" t="s">
        <v>163</v>
      </c>
      <c r="C3859" s="5" t="s">
        <v>2035</v>
      </c>
      <c r="D3859" s="6">
        <v>30.0</v>
      </c>
      <c r="E3859" s="6">
        <v>3885.0</v>
      </c>
      <c r="F3859" s="6">
        <v>0.0</v>
      </c>
      <c r="G3859" s="6">
        <v>662.0</v>
      </c>
      <c r="H3859" s="6">
        <v>5.8686</v>
      </c>
      <c r="I3859" s="6">
        <v>0.0</v>
      </c>
      <c r="J3859" s="6">
        <v>5.8686</v>
      </c>
    </row>
    <row r="3860">
      <c r="A3860" s="5" t="s">
        <v>60</v>
      </c>
      <c r="B3860" s="5" t="s">
        <v>163</v>
      </c>
      <c r="C3860" s="5" t="s">
        <v>2035</v>
      </c>
      <c r="D3860" s="6">
        <v>31.0</v>
      </c>
      <c r="E3860" s="6">
        <v>2715.0</v>
      </c>
      <c r="F3860" s="6">
        <v>0.0</v>
      </c>
      <c r="G3860" s="6">
        <v>662.0</v>
      </c>
      <c r="H3860" s="6">
        <v>4.1012</v>
      </c>
      <c r="I3860" s="6">
        <v>0.0</v>
      </c>
      <c r="J3860" s="6">
        <v>4.1012</v>
      </c>
    </row>
    <row r="3861">
      <c r="A3861" s="5" t="s">
        <v>60</v>
      </c>
      <c r="B3861" s="5" t="s">
        <v>163</v>
      </c>
      <c r="C3861" s="5" t="s">
        <v>2035</v>
      </c>
      <c r="D3861" s="6">
        <v>32.0</v>
      </c>
      <c r="E3861" s="6">
        <v>2960.0</v>
      </c>
      <c r="F3861" s="6">
        <v>0.0</v>
      </c>
      <c r="G3861" s="6">
        <v>662.0</v>
      </c>
      <c r="H3861" s="6">
        <v>4.4713</v>
      </c>
      <c r="I3861" s="6">
        <v>0.0</v>
      </c>
      <c r="J3861" s="6">
        <v>4.4713</v>
      </c>
    </row>
    <row r="3862">
      <c r="A3862" s="5" t="s">
        <v>60</v>
      </c>
      <c r="B3862" s="5" t="s">
        <v>163</v>
      </c>
      <c r="C3862" s="5" t="s">
        <v>2035</v>
      </c>
      <c r="D3862" s="6">
        <v>33.0</v>
      </c>
      <c r="E3862" s="6">
        <v>2195.0</v>
      </c>
      <c r="F3862" s="6">
        <v>0.0</v>
      </c>
      <c r="G3862" s="6">
        <v>662.0</v>
      </c>
      <c r="H3862" s="6">
        <v>3.3157</v>
      </c>
      <c r="I3862" s="6">
        <v>0.0</v>
      </c>
      <c r="J3862" s="6">
        <v>3.3157</v>
      </c>
    </row>
    <row r="3863">
      <c r="A3863" s="5" t="s">
        <v>60</v>
      </c>
      <c r="B3863" s="5" t="s">
        <v>1867</v>
      </c>
      <c r="C3863" s="5" t="s">
        <v>1882</v>
      </c>
      <c r="D3863" s="6">
        <v>1.0</v>
      </c>
      <c r="E3863" s="6">
        <v>266347.0</v>
      </c>
      <c r="F3863" s="6">
        <v>277600.0</v>
      </c>
      <c r="G3863" s="6">
        <v>1834.0</v>
      </c>
      <c r="H3863" s="6">
        <v>145.2274</v>
      </c>
      <c r="I3863" s="6">
        <v>151.3631</v>
      </c>
      <c r="J3863" s="6">
        <v>-6.1358</v>
      </c>
    </row>
    <row r="3864">
      <c r="A3864" s="5" t="s">
        <v>60</v>
      </c>
      <c r="B3864" s="5" t="s">
        <v>1867</v>
      </c>
      <c r="C3864" s="5" t="s">
        <v>1882</v>
      </c>
      <c r="D3864" s="6">
        <v>2.0</v>
      </c>
      <c r="E3864" s="6">
        <v>303954.0</v>
      </c>
      <c r="F3864" s="6">
        <v>305700.0</v>
      </c>
      <c r="G3864" s="6">
        <v>1834.0</v>
      </c>
      <c r="H3864" s="6">
        <v>165.7328</v>
      </c>
      <c r="I3864" s="6">
        <v>166.6848</v>
      </c>
      <c r="J3864" s="6">
        <v>-0.952</v>
      </c>
    </row>
    <row r="3865">
      <c r="A3865" s="5" t="s">
        <v>60</v>
      </c>
      <c r="B3865" s="5" t="s">
        <v>1867</v>
      </c>
      <c r="C3865" s="5" t="s">
        <v>1882</v>
      </c>
      <c r="D3865" s="6">
        <v>3.0</v>
      </c>
      <c r="E3865" s="6">
        <v>323312.0</v>
      </c>
      <c r="F3865" s="6">
        <v>326650.0</v>
      </c>
      <c r="G3865" s="6">
        <v>1834.0</v>
      </c>
      <c r="H3865" s="6">
        <v>176.2879</v>
      </c>
      <c r="I3865" s="6">
        <v>178.108</v>
      </c>
      <c r="J3865" s="6">
        <v>-1.8201</v>
      </c>
    </row>
    <row r="3866">
      <c r="A3866" s="5" t="s">
        <v>60</v>
      </c>
      <c r="B3866" s="5" t="s">
        <v>1867</v>
      </c>
      <c r="C3866" s="5" t="s">
        <v>1882</v>
      </c>
      <c r="D3866" s="6">
        <v>4.0</v>
      </c>
      <c r="E3866" s="6">
        <v>331308.0</v>
      </c>
      <c r="F3866" s="6">
        <v>336450.0</v>
      </c>
      <c r="G3866" s="6">
        <v>1834.0</v>
      </c>
      <c r="H3866" s="6">
        <v>180.6478</v>
      </c>
      <c r="I3866" s="6">
        <v>183.4515</v>
      </c>
      <c r="J3866" s="6">
        <v>-2.8037</v>
      </c>
    </row>
    <row r="3867">
      <c r="A3867" s="5" t="s">
        <v>60</v>
      </c>
      <c r="B3867" s="5" t="s">
        <v>1867</v>
      </c>
      <c r="C3867" s="5" t="s">
        <v>1882</v>
      </c>
      <c r="D3867" s="6">
        <v>5.0</v>
      </c>
      <c r="E3867" s="6">
        <v>368370.0</v>
      </c>
      <c r="F3867" s="6">
        <v>378200.0</v>
      </c>
      <c r="G3867" s="6">
        <v>1834.0</v>
      </c>
      <c r="H3867" s="6">
        <v>200.8561</v>
      </c>
      <c r="I3867" s="6">
        <v>206.2159</v>
      </c>
      <c r="J3867" s="6">
        <v>-5.3599</v>
      </c>
    </row>
    <row r="3868">
      <c r="A3868" s="5" t="s">
        <v>60</v>
      </c>
      <c r="B3868" s="5" t="s">
        <v>1867</v>
      </c>
      <c r="C3868" s="5" t="s">
        <v>1882</v>
      </c>
      <c r="D3868" s="6">
        <v>6.0</v>
      </c>
      <c r="E3868" s="6">
        <v>358013.0</v>
      </c>
      <c r="F3868" s="6">
        <v>384700.0</v>
      </c>
      <c r="G3868" s="6">
        <v>1834.0</v>
      </c>
      <c r="H3868" s="6">
        <v>195.2088</v>
      </c>
      <c r="I3868" s="6">
        <v>209.7601</v>
      </c>
      <c r="J3868" s="6">
        <v>-14.5513</v>
      </c>
    </row>
    <row r="3869">
      <c r="A3869" s="5" t="s">
        <v>60</v>
      </c>
      <c r="B3869" s="5" t="s">
        <v>1867</v>
      </c>
      <c r="C3869" s="5" t="s">
        <v>1882</v>
      </c>
      <c r="D3869" s="6">
        <v>7.0</v>
      </c>
      <c r="E3869" s="6">
        <v>374794.0</v>
      </c>
      <c r="F3869" s="6">
        <v>381250.0</v>
      </c>
      <c r="G3869" s="6">
        <v>1834.0</v>
      </c>
      <c r="H3869" s="6">
        <v>204.3588</v>
      </c>
      <c r="I3869" s="6">
        <v>207.879</v>
      </c>
      <c r="J3869" s="6">
        <v>-3.5202</v>
      </c>
    </row>
    <row r="3870">
      <c r="A3870" s="5" t="s">
        <v>60</v>
      </c>
      <c r="B3870" s="5" t="s">
        <v>1867</v>
      </c>
      <c r="C3870" s="5" t="s">
        <v>1882</v>
      </c>
      <c r="D3870" s="6">
        <v>8.0</v>
      </c>
      <c r="E3870" s="6">
        <v>335211.0</v>
      </c>
      <c r="F3870" s="6">
        <v>366100.0</v>
      </c>
      <c r="G3870" s="6">
        <v>1834.0</v>
      </c>
      <c r="H3870" s="6">
        <v>182.7759</v>
      </c>
      <c r="I3870" s="6">
        <v>199.6183</v>
      </c>
      <c r="J3870" s="6">
        <v>-16.8424</v>
      </c>
    </row>
    <row r="3871">
      <c r="A3871" s="5" t="s">
        <v>60</v>
      </c>
      <c r="B3871" s="5" t="s">
        <v>1867</v>
      </c>
      <c r="C3871" s="5" t="s">
        <v>1882</v>
      </c>
      <c r="D3871" s="6">
        <v>9.0</v>
      </c>
      <c r="E3871" s="6">
        <v>339928.0</v>
      </c>
      <c r="F3871" s="6">
        <v>352150.0</v>
      </c>
      <c r="G3871" s="6">
        <v>1834.0</v>
      </c>
      <c r="H3871" s="6">
        <v>185.3479</v>
      </c>
      <c r="I3871" s="6">
        <v>192.012</v>
      </c>
      <c r="J3871" s="6">
        <v>-6.6641</v>
      </c>
    </row>
    <row r="3872">
      <c r="A3872" s="5" t="s">
        <v>60</v>
      </c>
      <c r="B3872" s="5" t="s">
        <v>1867</v>
      </c>
      <c r="C3872" s="5" t="s">
        <v>1882</v>
      </c>
      <c r="D3872" s="6">
        <v>10.0</v>
      </c>
      <c r="E3872" s="6">
        <v>354955.0</v>
      </c>
      <c r="F3872" s="6">
        <v>374050.0</v>
      </c>
      <c r="G3872" s="6">
        <v>1834.0</v>
      </c>
      <c r="H3872" s="6">
        <v>193.5414</v>
      </c>
      <c r="I3872" s="6">
        <v>203.9531</v>
      </c>
      <c r="J3872" s="6">
        <v>-10.4117</v>
      </c>
    </row>
    <row r="3873">
      <c r="A3873" s="5" t="s">
        <v>60</v>
      </c>
      <c r="B3873" s="5" t="s">
        <v>1867</v>
      </c>
      <c r="C3873" s="5" t="s">
        <v>1882</v>
      </c>
      <c r="D3873" s="6">
        <v>11.0</v>
      </c>
      <c r="E3873" s="6">
        <v>402634.0</v>
      </c>
      <c r="F3873" s="6">
        <v>407050.0</v>
      </c>
      <c r="G3873" s="6">
        <v>1834.0</v>
      </c>
      <c r="H3873" s="6">
        <v>219.5387</v>
      </c>
      <c r="I3873" s="6">
        <v>221.9466</v>
      </c>
      <c r="J3873" s="6">
        <v>-2.4079</v>
      </c>
    </row>
    <row r="3874">
      <c r="A3874" s="5" t="s">
        <v>60</v>
      </c>
      <c r="B3874" s="5" t="s">
        <v>1867</v>
      </c>
      <c r="C3874" s="5" t="s">
        <v>1882</v>
      </c>
      <c r="D3874" s="6">
        <v>12.0</v>
      </c>
      <c r="E3874" s="6">
        <v>348775.0</v>
      </c>
      <c r="F3874" s="6">
        <v>392450.0</v>
      </c>
      <c r="G3874" s="6">
        <v>1834.0</v>
      </c>
      <c r="H3874" s="6">
        <v>190.1718</v>
      </c>
      <c r="I3874" s="6">
        <v>213.9858</v>
      </c>
      <c r="J3874" s="6">
        <v>-23.8141</v>
      </c>
    </row>
    <row r="3875">
      <c r="A3875" s="5" t="s">
        <v>60</v>
      </c>
      <c r="B3875" s="5" t="s">
        <v>1867</v>
      </c>
      <c r="C3875" s="5" t="s">
        <v>1882</v>
      </c>
      <c r="D3875" s="6">
        <v>13.0</v>
      </c>
      <c r="E3875" s="6">
        <v>409659.0</v>
      </c>
      <c r="F3875" s="6">
        <v>415700.0</v>
      </c>
      <c r="G3875" s="6">
        <v>1834.0</v>
      </c>
      <c r="H3875" s="6">
        <v>223.3691</v>
      </c>
      <c r="I3875" s="6">
        <v>226.663</v>
      </c>
      <c r="J3875" s="6">
        <v>-3.2939</v>
      </c>
    </row>
    <row r="3876">
      <c r="A3876" s="5" t="s">
        <v>60</v>
      </c>
      <c r="B3876" s="5" t="s">
        <v>1867</v>
      </c>
      <c r="C3876" s="5" t="s">
        <v>1882</v>
      </c>
      <c r="D3876" s="6">
        <v>14.0</v>
      </c>
      <c r="E3876" s="6">
        <v>387895.0</v>
      </c>
      <c r="F3876" s="6">
        <v>403550.0</v>
      </c>
      <c r="G3876" s="6">
        <v>1834.0</v>
      </c>
      <c r="H3876" s="6">
        <v>211.5022</v>
      </c>
      <c r="I3876" s="6">
        <v>220.0382</v>
      </c>
      <c r="J3876" s="6">
        <v>-8.536</v>
      </c>
    </row>
    <row r="3877">
      <c r="A3877" s="5" t="s">
        <v>60</v>
      </c>
      <c r="B3877" s="5" t="s">
        <v>1867</v>
      </c>
      <c r="C3877" s="5" t="s">
        <v>1882</v>
      </c>
      <c r="D3877" s="6">
        <v>15.0</v>
      </c>
      <c r="E3877" s="6">
        <v>348065.0</v>
      </c>
      <c r="F3877" s="6">
        <v>390350.0</v>
      </c>
      <c r="G3877" s="6">
        <v>1834.0</v>
      </c>
      <c r="H3877" s="6">
        <v>189.7846</v>
      </c>
      <c r="I3877" s="6">
        <v>212.8408</v>
      </c>
      <c r="J3877" s="6">
        <v>-23.0562</v>
      </c>
    </row>
    <row r="3878">
      <c r="A3878" s="5" t="s">
        <v>60</v>
      </c>
      <c r="B3878" s="5" t="s">
        <v>1867</v>
      </c>
      <c r="C3878" s="5" t="s">
        <v>1882</v>
      </c>
      <c r="D3878" s="6">
        <v>16.0</v>
      </c>
      <c r="E3878" s="6">
        <v>371865.0</v>
      </c>
      <c r="F3878" s="6">
        <v>365550.0</v>
      </c>
      <c r="G3878" s="6">
        <v>1834.0</v>
      </c>
      <c r="H3878" s="6">
        <v>202.7617</v>
      </c>
      <c r="I3878" s="6">
        <v>199.3184</v>
      </c>
      <c r="J3878" s="6">
        <v>3.4433</v>
      </c>
    </row>
    <row r="3879">
      <c r="A3879" s="5" t="s">
        <v>60</v>
      </c>
      <c r="B3879" s="5" t="s">
        <v>1867</v>
      </c>
      <c r="C3879" s="5" t="s">
        <v>1882</v>
      </c>
      <c r="D3879" s="6">
        <v>17.0</v>
      </c>
      <c r="E3879" s="6">
        <v>341470.0</v>
      </c>
      <c r="F3879" s="6">
        <v>380650.0</v>
      </c>
      <c r="G3879" s="6">
        <v>1834.0</v>
      </c>
      <c r="H3879" s="6">
        <v>186.1887</v>
      </c>
      <c r="I3879" s="6">
        <v>207.5518</v>
      </c>
      <c r="J3879" s="6">
        <v>-21.3631</v>
      </c>
    </row>
    <row r="3880">
      <c r="A3880" s="5" t="s">
        <v>60</v>
      </c>
      <c r="B3880" s="5" t="s">
        <v>1867</v>
      </c>
      <c r="C3880" s="5" t="s">
        <v>1882</v>
      </c>
      <c r="D3880" s="6">
        <v>18.0</v>
      </c>
      <c r="E3880" s="6">
        <v>373430.0</v>
      </c>
      <c r="F3880" s="6">
        <v>361500.0</v>
      </c>
      <c r="G3880" s="6">
        <v>1834.0</v>
      </c>
      <c r="H3880" s="6">
        <v>203.615</v>
      </c>
      <c r="I3880" s="6">
        <v>197.1101</v>
      </c>
      <c r="J3880" s="6">
        <v>6.5049</v>
      </c>
    </row>
    <row r="3881">
      <c r="A3881" s="5" t="s">
        <v>60</v>
      </c>
      <c r="B3881" s="5" t="s">
        <v>1867</v>
      </c>
      <c r="C3881" s="5" t="s">
        <v>1882</v>
      </c>
      <c r="D3881" s="6">
        <v>19.0</v>
      </c>
      <c r="E3881" s="6">
        <v>398046.0</v>
      </c>
      <c r="F3881" s="6">
        <v>446050.0</v>
      </c>
      <c r="G3881" s="6">
        <v>1834.0</v>
      </c>
      <c r="H3881" s="6">
        <v>217.0371</v>
      </c>
      <c r="I3881" s="6">
        <v>243.2116</v>
      </c>
      <c r="J3881" s="6">
        <v>-26.1745</v>
      </c>
    </row>
    <row r="3882">
      <c r="A3882" s="5" t="s">
        <v>60</v>
      </c>
      <c r="B3882" s="5" t="s">
        <v>1867</v>
      </c>
      <c r="C3882" s="5" t="s">
        <v>1882</v>
      </c>
      <c r="D3882" s="6">
        <v>20.0</v>
      </c>
      <c r="E3882" s="6">
        <v>473485.0</v>
      </c>
      <c r="F3882" s="6">
        <v>461000.0</v>
      </c>
      <c r="G3882" s="6">
        <v>1834.0</v>
      </c>
      <c r="H3882" s="6">
        <v>258.1707</v>
      </c>
      <c r="I3882" s="6">
        <v>251.3631</v>
      </c>
      <c r="J3882" s="6">
        <v>6.8075</v>
      </c>
    </row>
    <row r="3883">
      <c r="A3883" s="5" t="s">
        <v>60</v>
      </c>
      <c r="B3883" s="5" t="s">
        <v>1867</v>
      </c>
      <c r="C3883" s="5" t="s">
        <v>1882</v>
      </c>
      <c r="D3883" s="6">
        <v>21.0</v>
      </c>
      <c r="E3883" s="6">
        <v>516915.0</v>
      </c>
      <c r="F3883" s="6">
        <v>479500.0</v>
      </c>
      <c r="G3883" s="6">
        <v>1834.0</v>
      </c>
      <c r="H3883" s="6">
        <v>281.8511</v>
      </c>
      <c r="I3883" s="6">
        <v>261.4504</v>
      </c>
      <c r="J3883" s="6">
        <v>20.4008</v>
      </c>
    </row>
    <row r="3884">
      <c r="A3884" s="5" t="s">
        <v>60</v>
      </c>
      <c r="B3884" s="5" t="s">
        <v>1867</v>
      </c>
      <c r="C3884" s="5" t="s">
        <v>1882</v>
      </c>
      <c r="D3884" s="6">
        <v>22.0</v>
      </c>
      <c r="E3884" s="6">
        <v>383553.0</v>
      </c>
      <c r="F3884" s="6">
        <v>413150.0</v>
      </c>
      <c r="G3884" s="6">
        <v>1834.0</v>
      </c>
      <c r="H3884" s="6">
        <v>209.1347</v>
      </c>
      <c r="I3884" s="6">
        <v>225.2726</v>
      </c>
      <c r="J3884" s="6">
        <v>-16.1379</v>
      </c>
    </row>
    <row r="3885">
      <c r="A3885" s="5" t="s">
        <v>60</v>
      </c>
      <c r="B3885" s="5" t="s">
        <v>1867</v>
      </c>
      <c r="C3885" s="5" t="s">
        <v>1882</v>
      </c>
      <c r="D3885" s="6">
        <v>23.0</v>
      </c>
      <c r="E3885" s="6">
        <v>416237.0</v>
      </c>
      <c r="F3885" s="6">
        <v>439250.0</v>
      </c>
      <c r="G3885" s="6">
        <v>1834.0</v>
      </c>
      <c r="H3885" s="6">
        <v>226.9558</v>
      </c>
      <c r="I3885" s="6">
        <v>239.5038</v>
      </c>
      <c r="J3885" s="6">
        <v>-12.548</v>
      </c>
    </row>
    <row r="3886">
      <c r="A3886" s="5" t="s">
        <v>60</v>
      </c>
      <c r="B3886" s="5" t="s">
        <v>1867</v>
      </c>
      <c r="C3886" s="5" t="s">
        <v>1882</v>
      </c>
      <c r="D3886" s="6">
        <v>24.0</v>
      </c>
      <c r="E3886" s="6">
        <v>404164.0</v>
      </c>
      <c r="F3886" s="6">
        <v>424800.0</v>
      </c>
      <c r="G3886" s="6">
        <v>1834.0</v>
      </c>
      <c r="H3886" s="6">
        <v>220.373</v>
      </c>
      <c r="I3886" s="6">
        <v>231.6249</v>
      </c>
      <c r="J3886" s="6">
        <v>-11.2519</v>
      </c>
    </row>
    <row r="3887">
      <c r="A3887" s="5" t="s">
        <v>60</v>
      </c>
      <c r="B3887" s="5" t="s">
        <v>1867</v>
      </c>
      <c r="C3887" s="5" t="s">
        <v>1882</v>
      </c>
      <c r="D3887" s="6">
        <v>25.0</v>
      </c>
      <c r="E3887" s="6">
        <v>440410.0</v>
      </c>
      <c r="F3887" s="6">
        <v>433950.0</v>
      </c>
      <c r="G3887" s="6">
        <v>1834.0</v>
      </c>
      <c r="H3887" s="6">
        <v>240.1363</v>
      </c>
      <c r="I3887" s="6">
        <v>236.614</v>
      </c>
      <c r="J3887" s="6">
        <v>3.5224</v>
      </c>
    </row>
    <row r="3888">
      <c r="A3888" s="5" t="s">
        <v>60</v>
      </c>
      <c r="B3888" s="5" t="s">
        <v>1867</v>
      </c>
      <c r="C3888" s="5" t="s">
        <v>1882</v>
      </c>
      <c r="D3888" s="6">
        <v>26.0</v>
      </c>
      <c r="E3888" s="6">
        <v>451482.0</v>
      </c>
      <c r="F3888" s="6">
        <v>509450.0</v>
      </c>
      <c r="G3888" s="6">
        <v>1834.0</v>
      </c>
      <c r="H3888" s="6">
        <v>246.1734</v>
      </c>
      <c r="I3888" s="6">
        <v>277.7808</v>
      </c>
      <c r="J3888" s="6">
        <v>-31.6074</v>
      </c>
    </row>
    <row r="3889">
      <c r="A3889" s="5" t="s">
        <v>60</v>
      </c>
      <c r="B3889" s="5" t="s">
        <v>1867</v>
      </c>
      <c r="C3889" s="5" t="s">
        <v>1882</v>
      </c>
      <c r="D3889" s="6">
        <v>27.0</v>
      </c>
      <c r="E3889" s="6">
        <v>493740.0</v>
      </c>
      <c r="F3889" s="6">
        <v>504950.0</v>
      </c>
      <c r="G3889" s="6">
        <v>1834.0</v>
      </c>
      <c r="H3889" s="6">
        <v>269.2148</v>
      </c>
      <c r="I3889" s="6">
        <v>275.3272</v>
      </c>
      <c r="J3889" s="6">
        <v>-6.1123</v>
      </c>
    </row>
    <row r="3890">
      <c r="A3890" s="5" t="s">
        <v>60</v>
      </c>
      <c r="B3890" s="5" t="s">
        <v>1867</v>
      </c>
      <c r="C3890" s="5" t="s">
        <v>1882</v>
      </c>
      <c r="D3890" s="6">
        <v>28.0</v>
      </c>
      <c r="E3890" s="6">
        <v>450695.0</v>
      </c>
      <c r="F3890" s="6">
        <v>447400.0</v>
      </c>
      <c r="G3890" s="6">
        <v>1834.0</v>
      </c>
      <c r="H3890" s="6">
        <v>245.7443</v>
      </c>
      <c r="I3890" s="6">
        <v>243.9477</v>
      </c>
      <c r="J3890" s="6">
        <v>1.7966</v>
      </c>
    </row>
    <row r="3891">
      <c r="A3891" s="5" t="s">
        <v>60</v>
      </c>
      <c r="B3891" s="5" t="s">
        <v>1867</v>
      </c>
      <c r="C3891" s="5" t="s">
        <v>1882</v>
      </c>
      <c r="D3891" s="6">
        <v>29.0</v>
      </c>
      <c r="E3891" s="6">
        <v>411263.0</v>
      </c>
      <c r="F3891" s="6">
        <v>447050.0</v>
      </c>
      <c r="G3891" s="6">
        <v>1834.0</v>
      </c>
      <c r="H3891" s="6">
        <v>224.2437</v>
      </c>
      <c r="I3891" s="6">
        <v>243.7568</v>
      </c>
      <c r="J3891" s="6">
        <v>-19.5131</v>
      </c>
    </row>
    <row r="3892">
      <c r="A3892" s="5" t="s">
        <v>60</v>
      </c>
      <c r="B3892" s="5" t="s">
        <v>1867</v>
      </c>
      <c r="C3892" s="5" t="s">
        <v>1882</v>
      </c>
      <c r="D3892" s="6">
        <v>30.0</v>
      </c>
      <c r="E3892" s="6">
        <v>486376.0</v>
      </c>
      <c r="F3892" s="6">
        <v>467700.0</v>
      </c>
      <c r="G3892" s="6">
        <v>1834.0</v>
      </c>
      <c r="H3892" s="6">
        <v>265.1996</v>
      </c>
      <c r="I3892" s="6">
        <v>255.0164</v>
      </c>
      <c r="J3892" s="6">
        <v>10.1832</v>
      </c>
    </row>
    <row r="3893">
      <c r="A3893" s="5" t="s">
        <v>60</v>
      </c>
      <c r="B3893" s="5" t="s">
        <v>1867</v>
      </c>
      <c r="C3893" s="5" t="s">
        <v>1882</v>
      </c>
      <c r="D3893" s="6">
        <v>31.0</v>
      </c>
      <c r="E3893" s="6">
        <v>468912.0</v>
      </c>
      <c r="F3893" s="6">
        <v>482200.0</v>
      </c>
      <c r="G3893" s="6">
        <v>1834.0</v>
      </c>
      <c r="H3893" s="6">
        <v>255.6772</v>
      </c>
      <c r="I3893" s="6">
        <v>262.9226</v>
      </c>
      <c r="J3893" s="6">
        <v>-7.2454</v>
      </c>
    </row>
    <row r="3894">
      <c r="A3894" s="5" t="s">
        <v>60</v>
      </c>
      <c r="B3894" s="5" t="s">
        <v>1867</v>
      </c>
      <c r="C3894" s="5" t="s">
        <v>1882</v>
      </c>
      <c r="D3894" s="6">
        <v>32.0</v>
      </c>
      <c r="E3894" s="6">
        <v>520407.0</v>
      </c>
      <c r="F3894" s="6">
        <v>534250.0</v>
      </c>
      <c r="G3894" s="6">
        <v>1834.0</v>
      </c>
      <c r="H3894" s="6">
        <v>283.7552</v>
      </c>
      <c r="I3894" s="6">
        <v>291.3032</v>
      </c>
      <c r="J3894" s="6">
        <v>-7.548</v>
      </c>
    </row>
    <row r="3895">
      <c r="A3895" s="5" t="s">
        <v>60</v>
      </c>
      <c r="B3895" s="5" t="s">
        <v>1867</v>
      </c>
      <c r="C3895" s="5" t="s">
        <v>1882</v>
      </c>
      <c r="D3895" s="6">
        <v>33.0</v>
      </c>
      <c r="E3895" s="6">
        <v>548323.0</v>
      </c>
      <c r="F3895" s="6">
        <v>561700.0</v>
      </c>
      <c r="G3895" s="6">
        <v>1834.0</v>
      </c>
      <c r="H3895" s="6">
        <v>298.9766</v>
      </c>
      <c r="I3895" s="6">
        <v>306.2704</v>
      </c>
      <c r="J3895" s="6">
        <v>-7.2939</v>
      </c>
    </row>
    <row r="3896">
      <c r="A3896" s="5" t="s">
        <v>60</v>
      </c>
      <c r="B3896" s="5" t="s">
        <v>1867</v>
      </c>
      <c r="C3896" s="5" t="s">
        <v>72</v>
      </c>
      <c r="D3896" s="6">
        <v>1.0</v>
      </c>
      <c r="E3896" s="6">
        <v>1013.0</v>
      </c>
      <c r="F3896" s="6">
        <v>1608.0</v>
      </c>
      <c r="G3896" s="6">
        <v>1790.0</v>
      </c>
      <c r="H3896" s="6">
        <v>0.5659</v>
      </c>
      <c r="I3896" s="6">
        <v>0.8983</v>
      </c>
      <c r="J3896" s="6">
        <v>-0.3324</v>
      </c>
    </row>
    <row r="3897">
      <c r="A3897" s="5" t="s">
        <v>60</v>
      </c>
      <c r="B3897" s="5" t="s">
        <v>1867</v>
      </c>
      <c r="C3897" s="5" t="s">
        <v>72</v>
      </c>
      <c r="D3897" s="6">
        <v>2.0</v>
      </c>
      <c r="E3897" s="6">
        <v>989.0</v>
      </c>
      <c r="F3897" s="6">
        <v>1640.0</v>
      </c>
      <c r="G3897" s="6">
        <v>1790.0</v>
      </c>
      <c r="H3897" s="6">
        <v>0.5525</v>
      </c>
      <c r="I3897" s="6">
        <v>0.9162</v>
      </c>
      <c r="J3897" s="6">
        <v>-0.3637</v>
      </c>
    </row>
    <row r="3898">
      <c r="A3898" s="5" t="s">
        <v>60</v>
      </c>
      <c r="B3898" s="5" t="s">
        <v>1867</v>
      </c>
      <c r="C3898" s="5" t="s">
        <v>72</v>
      </c>
      <c r="D3898" s="6">
        <v>3.0</v>
      </c>
      <c r="E3898" s="6">
        <v>1496.0</v>
      </c>
      <c r="F3898" s="6">
        <v>1849.0</v>
      </c>
      <c r="G3898" s="6">
        <v>1790.0</v>
      </c>
      <c r="H3898" s="6">
        <v>0.8358</v>
      </c>
      <c r="I3898" s="6">
        <v>1.033</v>
      </c>
      <c r="J3898" s="6">
        <v>-0.1972</v>
      </c>
    </row>
    <row r="3899">
      <c r="A3899" s="5" t="s">
        <v>60</v>
      </c>
      <c r="B3899" s="5" t="s">
        <v>1867</v>
      </c>
      <c r="C3899" s="5" t="s">
        <v>72</v>
      </c>
      <c r="D3899" s="6">
        <v>4.0</v>
      </c>
      <c r="E3899" s="6">
        <v>1327.0</v>
      </c>
      <c r="F3899" s="6">
        <v>1742.0</v>
      </c>
      <c r="G3899" s="6">
        <v>1790.0</v>
      </c>
      <c r="H3899" s="6">
        <v>0.7413</v>
      </c>
      <c r="I3899" s="6">
        <v>0.9732</v>
      </c>
      <c r="J3899" s="6">
        <v>-0.2318</v>
      </c>
    </row>
    <row r="3900">
      <c r="A3900" s="5" t="s">
        <v>60</v>
      </c>
      <c r="B3900" s="5" t="s">
        <v>1867</v>
      </c>
      <c r="C3900" s="5" t="s">
        <v>72</v>
      </c>
      <c r="D3900" s="6">
        <v>5.0</v>
      </c>
      <c r="E3900" s="6">
        <v>1508.0</v>
      </c>
      <c r="F3900" s="6">
        <v>2027.0</v>
      </c>
      <c r="G3900" s="6">
        <v>1790.0</v>
      </c>
      <c r="H3900" s="6">
        <v>0.8425</v>
      </c>
      <c r="I3900" s="6">
        <v>1.1324</v>
      </c>
      <c r="J3900" s="6">
        <v>-0.2899</v>
      </c>
    </row>
    <row r="3901">
      <c r="A3901" s="5" t="s">
        <v>60</v>
      </c>
      <c r="B3901" s="5" t="s">
        <v>1867</v>
      </c>
      <c r="C3901" s="5" t="s">
        <v>72</v>
      </c>
      <c r="D3901" s="6">
        <v>6.0</v>
      </c>
      <c r="E3901" s="6">
        <v>1520.0</v>
      </c>
      <c r="F3901" s="6">
        <v>1990.0</v>
      </c>
      <c r="G3901" s="6">
        <v>1790.0</v>
      </c>
      <c r="H3901" s="6">
        <v>0.8492</v>
      </c>
      <c r="I3901" s="6">
        <v>1.1117</v>
      </c>
      <c r="J3901" s="6">
        <v>-0.2626</v>
      </c>
    </row>
    <row r="3902">
      <c r="A3902" s="5" t="s">
        <v>60</v>
      </c>
      <c r="B3902" s="5" t="s">
        <v>1867</v>
      </c>
      <c r="C3902" s="5" t="s">
        <v>72</v>
      </c>
      <c r="D3902" s="6">
        <v>7.0</v>
      </c>
      <c r="E3902" s="6">
        <v>1411.0</v>
      </c>
      <c r="F3902" s="6">
        <v>1903.0</v>
      </c>
      <c r="G3902" s="6">
        <v>1790.0</v>
      </c>
      <c r="H3902" s="6">
        <v>0.7883</v>
      </c>
      <c r="I3902" s="6">
        <v>1.0631</v>
      </c>
      <c r="J3902" s="6">
        <v>-0.2749</v>
      </c>
    </row>
    <row r="3903">
      <c r="A3903" s="5" t="s">
        <v>60</v>
      </c>
      <c r="B3903" s="5" t="s">
        <v>1867</v>
      </c>
      <c r="C3903" s="5" t="s">
        <v>72</v>
      </c>
      <c r="D3903" s="6">
        <v>8.0</v>
      </c>
      <c r="E3903" s="6">
        <v>1422.0</v>
      </c>
      <c r="F3903" s="6">
        <v>1939.0</v>
      </c>
      <c r="G3903" s="6">
        <v>1790.0</v>
      </c>
      <c r="H3903" s="6">
        <v>0.7944</v>
      </c>
      <c r="I3903" s="6">
        <v>1.0832</v>
      </c>
      <c r="J3903" s="6">
        <v>-0.2888</v>
      </c>
    </row>
    <row r="3904">
      <c r="A3904" s="5" t="s">
        <v>60</v>
      </c>
      <c r="B3904" s="5" t="s">
        <v>1867</v>
      </c>
      <c r="C3904" s="5" t="s">
        <v>72</v>
      </c>
      <c r="D3904" s="6">
        <v>9.0</v>
      </c>
      <c r="E3904" s="6">
        <v>1011.0</v>
      </c>
      <c r="F3904" s="6">
        <v>1690.0</v>
      </c>
      <c r="G3904" s="6">
        <v>1790.0</v>
      </c>
      <c r="H3904" s="6">
        <v>0.5648</v>
      </c>
      <c r="I3904" s="6">
        <v>0.9441</v>
      </c>
      <c r="J3904" s="6">
        <v>-0.3793</v>
      </c>
    </row>
    <row r="3905">
      <c r="A3905" s="5" t="s">
        <v>60</v>
      </c>
      <c r="B3905" s="5" t="s">
        <v>1867</v>
      </c>
      <c r="C3905" s="5" t="s">
        <v>72</v>
      </c>
      <c r="D3905" s="6">
        <v>10.0</v>
      </c>
      <c r="E3905" s="6">
        <v>1557.0</v>
      </c>
      <c r="F3905" s="6">
        <v>2031.0</v>
      </c>
      <c r="G3905" s="6">
        <v>1790.0</v>
      </c>
      <c r="H3905" s="6">
        <v>0.8698</v>
      </c>
      <c r="I3905" s="6">
        <v>1.1346</v>
      </c>
      <c r="J3905" s="6">
        <v>-0.2648</v>
      </c>
    </row>
    <row r="3906">
      <c r="A3906" s="5" t="s">
        <v>60</v>
      </c>
      <c r="B3906" s="5" t="s">
        <v>1867</v>
      </c>
      <c r="C3906" s="5" t="s">
        <v>72</v>
      </c>
      <c r="D3906" s="6">
        <v>11.0</v>
      </c>
      <c r="E3906" s="6">
        <v>1375.0</v>
      </c>
      <c r="F3906" s="6">
        <v>2092.0</v>
      </c>
      <c r="G3906" s="6">
        <v>1790.0</v>
      </c>
      <c r="H3906" s="6">
        <v>0.7682</v>
      </c>
      <c r="I3906" s="6">
        <v>1.1687</v>
      </c>
      <c r="J3906" s="6">
        <v>-0.4006</v>
      </c>
    </row>
    <row r="3907">
      <c r="A3907" s="5" t="s">
        <v>60</v>
      </c>
      <c r="B3907" s="5" t="s">
        <v>1867</v>
      </c>
      <c r="C3907" s="5" t="s">
        <v>72</v>
      </c>
      <c r="D3907" s="6">
        <v>12.0</v>
      </c>
      <c r="E3907" s="6">
        <v>1489.0</v>
      </c>
      <c r="F3907" s="6">
        <v>2177.0</v>
      </c>
      <c r="G3907" s="6">
        <v>1790.0</v>
      </c>
      <c r="H3907" s="6">
        <v>0.8318</v>
      </c>
      <c r="I3907" s="6">
        <v>1.2162</v>
      </c>
      <c r="J3907" s="6">
        <v>-0.3844</v>
      </c>
    </row>
    <row r="3908">
      <c r="A3908" s="5" t="s">
        <v>60</v>
      </c>
      <c r="B3908" s="5" t="s">
        <v>1867</v>
      </c>
      <c r="C3908" s="5" t="s">
        <v>72</v>
      </c>
      <c r="D3908" s="6">
        <v>13.0</v>
      </c>
      <c r="E3908" s="6">
        <v>1418.0</v>
      </c>
      <c r="F3908" s="6">
        <v>1938.0</v>
      </c>
      <c r="G3908" s="6">
        <v>1790.0</v>
      </c>
      <c r="H3908" s="6">
        <v>0.7922</v>
      </c>
      <c r="I3908" s="6">
        <v>1.0827</v>
      </c>
      <c r="J3908" s="6">
        <v>-0.2905</v>
      </c>
    </row>
    <row r="3909">
      <c r="A3909" s="5" t="s">
        <v>60</v>
      </c>
      <c r="B3909" s="5" t="s">
        <v>1867</v>
      </c>
      <c r="C3909" s="5" t="s">
        <v>72</v>
      </c>
      <c r="D3909" s="6">
        <v>14.0</v>
      </c>
      <c r="E3909" s="6">
        <v>1359.0</v>
      </c>
      <c r="F3909" s="6">
        <v>1972.0</v>
      </c>
      <c r="G3909" s="6">
        <v>1790.0</v>
      </c>
      <c r="H3909" s="6">
        <v>0.7592</v>
      </c>
      <c r="I3909" s="6">
        <v>1.1017</v>
      </c>
      <c r="J3909" s="6">
        <v>-0.3425</v>
      </c>
    </row>
    <row r="3910">
      <c r="A3910" s="5" t="s">
        <v>60</v>
      </c>
      <c r="B3910" s="5" t="s">
        <v>1867</v>
      </c>
      <c r="C3910" s="5" t="s">
        <v>72</v>
      </c>
      <c r="D3910" s="6">
        <v>15.0</v>
      </c>
      <c r="E3910" s="6">
        <v>1432.0</v>
      </c>
      <c r="F3910" s="6">
        <v>2161.0</v>
      </c>
      <c r="G3910" s="6">
        <v>1790.0</v>
      </c>
      <c r="H3910" s="6">
        <v>0.8</v>
      </c>
      <c r="I3910" s="6">
        <v>1.2073</v>
      </c>
      <c r="J3910" s="6">
        <v>-0.4073</v>
      </c>
    </row>
    <row r="3911">
      <c r="A3911" s="5" t="s">
        <v>60</v>
      </c>
      <c r="B3911" s="5" t="s">
        <v>1867</v>
      </c>
      <c r="C3911" s="5" t="s">
        <v>72</v>
      </c>
      <c r="D3911" s="6">
        <v>16.0</v>
      </c>
      <c r="E3911" s="6">
        <v>1343.0</v>
      </c>
      <c r="F3911" s="6">
        <v>1751.0</v>
      </c>
      <c r="G3911" s="6">
        <v>1790.0</v>
      </c>
      <c r="H3911" s="6">
        <v>0.7503</v>
      </c>
      <c r="I3911" s="6">
        <v>0.9782</v>
      </c>
      <c r="J3911" s="6">
        <v>-0.2279</v>
      </c>
    </row>
    <row r="3912">
      <c r="A3912" s="5" t="s">
        <v>60</v>
      </c>
      <c r="B3912" s="5" t="s">
        <v>1867</v>
      </c>
      <c r="C3912" s="5" t="s">
        <v>72</v>
      </c>
      <c r="D3912" s="6">
        <v>17.0</v>
      </c>
      <c r="E3912" s="6">
        <v>1860.0</v>
      </c>
      <c r="F3912" s="6">
        <v>2306.0</v>
      </c>
      <c r="G3912" s="6">
        <v>1790.0</v>
      </c>
      <c r="H3912" s="6">
        <v>1.0391</v>
      </c>
      <c r="I3912" s="6">
        <v>1.2883</v>
      </c>
      <c r="J3912" s="6">
        <v>-0.2492</v>
      </c>
    </row>
    <row r="3913">
      <c r="A3913" s="5" t="s">
        <v>60</v>
      </c>
      <c r="B3913" s="5" t="s">
        <v>1867</v>
      </c>
      <c r="C3913" s="5" t="s">
        <v>72</v>
      </c>
      <c r="D3913" s="6">
        <v>18.0</v>
      </c>
      <c r="E3913" s="6">
        <v>1675.0</v>
      </c>
      <c r="F3913" s="6">
        <v>2231.0</v>
      </c>
      <c r="G3913" s="6">
        <v>1790.0</v>
      </c>
      <c r="H3913" s="6">
        <v>0.9358</v>
      </c>
      <c r="I3913" s="6">
        <v>1.2464</v>
      </c>
      <c r="J3913" s="6">
        <v>-0.3106</v>
      </c>
    </row>
    <row r="3914">
      <c r="A3914" s="5" t="s">
        <v>60</v>
      </c>
      <c r="B3914" s="5" t="s">
        <v>1867</v>
      </c>
      <c r="C3914" s="5" t="s">
        <v>72</v>
      </c>
      <c r="D3914" s="6">
        <v>19.0</v>
      </c>
      <c r="E3914" s="6">
        <v>1881.0</v>
      </c>
      <c r="F3914" s="6">
        <v>2490.0</v>
      </c>
      <c r="G3914" s="6">
        <v>1790.0</v>
      </c>
      <c r="H3914" s="6">
        <v>1.0508</v>
      </c>
      <c r="I3914" s="6">
        <v>1.3911</v>
      </c>
      <c r="J3914" s="6">
        <v>-0.3402</v>
      </c>
    </row>
    <row r="3915">
      <c r="A3915" s="5" t="s">
        <v>60</v>
      </c>
      <c r="B3915" s="5" t="s">
        <v>1867</v>
      </c>
      <c r="C3915" s="5" t="s">
        <v>72</v>
      </c>
      <c r="D3915" s="6">
        <v>20.0</v>
      </c>
      <c r="E3915" s="6">
        <v>2082.0</v>
      </c>
      <c r="F3915" s="6">
        <v>2671.0</v>
      </c>
      <c r="G3915" s="6">
        <v>1790.0</v>
      </c>
      <c r="H3915" s="6">
        <v>1.1631</v>
      </c>
      <c r="I3915" s="6">
        <v>1.4922</v>
      </c>
      <c r="J3915" s="6">
        <v>-0.3291</v>
      </c>
    </row>
    <row r="3916">
      <c r="A3916" s="5" t="s">
        <v>60</v>
      </c>
      <c r="B3916" s="5" t="s">
        <v>1867</v>
      </c>
      <c r="C3916" s="5" t="s">
        <v>72</v>
      </c>
      <c r="D3916" s="6">
        <v>21.0</v>
      </c>
      <c r="E3916" s="6">
        <v>2187.0</v>
      </c>
      <c r="F3916" s="6">
        <v>2509.0</v>
      </c>
      <c r="G3916" s="6">
        <v>1790.0</v>
      </c>
      <c r="H3916" s="6">
        <v>1.2218</v>
      </c>
      <c r="I3916" s="6">
        <v>1.4017</v>
      </c>
      <c r="J3916" s="6">
        <v>-0.1799</v>
      </c>
    </row>
    <row r="3917">
      <c r="A3917" s="5" t="s">
        <v>60</v>
      </c>
      <c r="B3917" s="5" t="s">
        <v>1867</v>
      </c>
      <c r="C3917" s="5" t="s">
        <v>72</v>
      </c>
      <c r="D3917" s="6">
        <v>22.0</v>
      </c>
      <c r="E3917" s="6">
        <v>2082.0</v>
      </c>
      <c r="F3917" s="6">
        <v>2546.0</v>
      </c>
      <c r="G3917" s="6">
        <v>1790.0</v>
      </c>
      <c r="H3917" s="6">
        <v>1.1631</v>
      </c>
      <c r="I3917" s="6">
        <v>1.4223</v>
      </c>
      <c r="J3917" s="6">
        <v>-0.2592</v>
      </c>
    </row>
    <row r="3918">
      <c r="A3918" s="5" t="s">
        <v>60</v>
      </c>
      <c r="B3918" s="5" t="s">
        <v>1867</v>
      </c>
      <c r="C3918" s="5" t="s">
        <v>72</v>
      </c>
      <c r="D3918" s="6">
        <v>23.0</v>
      </c>
      <c r="E3918" s="6">
        <v>1634.0</v>
      </c>
      <c r="F3918" s="6">
        <v>2275.0</v>
      </c>
      <c r="G3918" s="6">
        <v>1790.0</v>
      </c>
      <c r="H3918" s="6">
        <v>0.9128</v>
      </c>
      <c r="I3918" s="6">
        <v>1.2709</v>
      </c>
      <c r="J3918" s="6">
        <v>-0.3581</v>
      </c>
    </row>
    <row r="3919">
      <c r="A3919" s="5" t="s">
        <v>60</v>
      </c>
      <c r="B3919" s="5" t="s">
        <v>1867</v>
      </c>
      <c r="C3919" s="5" t="s">
        <v>72</v>
      </c>
      <c r="D3919" s="6">
        <v>24.0</v>
      </c>
      <c r="E3919" s="6">
        <v>2138.0</v>
      </c>
      <c r="F3919" s="6">
        <v>2627.0</v>
      </c>
      <c r="G3919" s="6">
        <v>1790.0</v>
      </c>
      <c r="H3919" s="6">
        <v>1.1944</v>
      </c>
      <c r="I3919" s="6">
        <v>1.4676</v>
      </c>
      <c r="J3919" s="6">
        <v>-0.2732</v>
      </c>
    </row>
    <row r="3920">
      <c r="A3920" s="5" t="s">
        <v>60</v>
      </c>
      <c r="B3920" s="5" t="s">
        <v>1867</v>
      </c>
      <c r="C3920" s="5" t="s">
        <v>72</v>
      </c>
      <c r="D3920" s="6">
        <v>25.0</v>
      </c>
      <c r="E3920" s="6">
        <v>1838.0</v>
      </c>
      <c r="F3920" s="6">
        <v>2451.0</v>
      </c>
      <c r="G3920" s="6">
        <v>1790.0</v>
      </c>
      <c r="H3920" s="6">
        <v>1.0268</v>
      </c>
      <c r="I3920" s="6">
        <v>1.3693</v>
      </c>
      <c r="J3920" s="6">
        <v>-0.3425</v>
      </c>
    </row>
    <row r="3921">
      <c r="A3921" s="5" t="s">
        <v>60</v>
      </c>
      <c r="B3921" s="5" t="s">
        <v>1867</v>
      </c>
      <c r="C3921" s="5" t="s">
        <v>72</v>
      </c>
      <c r="D3921" s="6">
        <v>26.0</v>
      </c>
      <c r="E3921" s="6">
        <v>2110.0</v>
      </c>
      <c r="F3921" s="6">
        <v>2862.0</v>
      </c>
      <c r="G3921" s="6">
        <v>1790.0</v>
      </c>
      <c r="H3921" s="6">
        <v>1.1788</v>
      </c>
      <c r="I3921" s="6">
        <v>1.5989</v>
      </c>
      <c r="J3921" s="6">
        <v>-0.4201</v>
      </c>
    </row>
    <row r="3922">
      <c r="A3922" s="5" t="s">
        <v>60</v>
      </c>
      <c r="B3922" s="5" t="s">
        <v>1867</v>
      </c>
      <c r="C3922" s="5" t="s">
        <v>72</v>
      </c>
      <c r="D3922" s="6">
        <v>27.0</v>
      </c>
      <c r="E3922" s="6">
        <v>2017.0</v>
      </c>
      <c r="F3922" s="6">
        <v>2632.0</v>
      </c>
      <c r="G3922" s="6">
        <v>1790.0</v>
      </c>
      <c r="H3922" s="6">
        <v>1.1268</v>
      </c>
      <c r="I3922" s="6">
        <v>1.4704</v>
      </c>
      <c r="J3922" s="6">
        <v>-0.3436</v>
      </c>
    </row>
    <row r="3923">
      <c r="A3923" s="5" t="s">
        <v>60</v>
      </c>
      <c r="B3923" s="5" t="s">
        <v>1867</v>
      </c>
      <c r="C3923" s="5" t="s">
        <v>72</v>
      </c>
      <c r="D3923" s="6">
        <v>28.0</v>
      </c>
      <c r="E3923" s="6">
        <v>1584.0</v>
      </c>
      <c r="F3923" s="6">
        <v>2343.0</v>
      </c>
      <c r="G3923" s="6">
        <v>1790.0</v>
      </c>
      <c r="H3923" s="6">
        <v>0.8849</v>
      </c>
      <c r="I3923" s="6">
        <v>1.3089</v>
      </c>
      <c r="J3923" s="6">
        <v>-0.424</v>
      </c>
    </row>
    <row r="3924">
      <c r="A3924" s="5" t="s">
        <v>60</v>
      </c>
      <c r="B3924" s="5" t="s">
        <v>1867</v>
      </c>
      <c r="C3924" s="5" t="s">
        <v>72</v>
      </c>
      <c r="D3924" s="6">
        <v>29.0</v>
      </c>
      <c r="E3924" s="6">
        <v>1735.0</v>
      </c>
      <c r="F3924" s="6">
        <v>2714.0</v>
      </c>
      <c r="G3924" s="6">
        <v>1790.0</v>
      </c>
      <c r="H3924" s="6">
        <v>0.9693</v>
      </c>
      <c r="I3924" s="6">
        <v>1.5162</v>
      </c>
      <c r="J3924" s="6">
        <v>-0.5469</v>
      </c>
    </row>
    <row r="3925">
      <c r="A3925" s="5" t="s">
        <v>60</v>
      </c>
      <c r="B3925" s="5" t="s">
        <v>1867</v>
      </c>
      <c r="C3925" s="5" t="s">
        <v>72</v>
      </c>
      <c r="D3925" s="6">
        <v>30.0</v>
      </c>
      <c r="E3925" s="6">
        <v>1825.0</v>
      </c>
      <c r="F3925" s="6">
        <v>2690.0</v>
      </c>
      <c r="G3925" s="6">
        <v>1790.0</v>
      </c>
      <c r="H3925" s="6">
        <v>1.0196</v>
      </c>
      <c r="I3925" s="6">
        <v>1.5028</v>
      </c>
      <c r="J3925" s="6">
        <v>-0.4832</v>
      </c>
    </row>
    <row r="3926">
      <c r="A3926" s="5" t="s">
        <v>60</v>
      </c>
      <c r="B3926" s="5" t="s">
        <v>1867</v>
      </c>
      <c r="C3926" s="5" t="s">
        <v>72</v>
      </c>
      <c r="D3926" s="6">
        <v>31.0</v>
      </c>
      <c r="E3926" s="6">
        <v>2587.0</v>
      </c>
      <c r="F3926" s="6">
        <v>3090.0</v>
      </c>
      <c r="G3926" s="6">
        <v>1790.0</v>
      </c>
      <c r="H3926" s="6">
        <v>1.4453</v>
      </c>
      <c r="I3926" s="6">
        <v>1.7263</v>
      </c>
      <c r="J3926" s="6">
        <v>-0.281</v>
      </c>
    </row>
    <row r="3927">
      <c r="A3927" s="5" t="s">
        <v>60</v>
      </c>
      <c r="B3927" s="5" t="s">
        <v>1867</v>
      </c>
      <c r="C3927" s="5" t="s">
        <v>72</v>
      </c>
      <c r="D3927" s="6">
        <v>32.0</v>
      </c>
      <c r="E3927" s="6">
        <v>2402.0</v>
      </c>
      <c r="F3927" s="6">
        <v>3127.0</v>
      </c>
      <c r="G3927" s="6">
        <v>1790.0</v>
      </c>
      <c r="H3927" s="6">
        <v>1.3419</v>
      </c>
      <c r="I3927" s="6">
        <v>1.7469</v>
      </c>
      <c r="J3927" s="6">
        <v>-0.405</v>
      </c>
    </row>
    <row r="3928">
      <c r="A3928" s="5" t="s">
        <v>60</v>
      </c>
      <c r="B3928" s="5" t="s">
        <v>1867</v>
      </c>
      <c r="C3928" s="5" t="s">
        <v>72</v>
      </c>
      <c r="D3928" s="6">
        <v>33.0</v>
      </c>
      <c r="E3928" s="6">
        <v>2499.0</v>
      </c>
      <c r="F3928" s="6">
        <v>3500.0</v>
      </c>
      <c r="G3928" s="6">
        <v>1790.0</v>
      </c>
      <c r="H3928" s="6">
        <v>1.3961</v>
      </c>
      <c r="I3928" s="6">
        <v>1.9553</v>
      </c>
      <c r="J3928" s="6">
        <v>-0.5592</v>
      </c>
    </row>
    <row r="3929">
      <c r="A3929" s="5" t="s">
        <v>60</v>
      </c>
      <c r="B3929" s="5" t="s">
        <v>1867</v>
      </c>
      <c r="C3929" s="5" t="s">
        <v>73</v>
      </c>
      <c r="D3929" s="6">
        <v>1.0</v>
      </c>
      <c r="E3929" s="6">
        <v>1092.0</v>
      </c>
      <c r="F3929" s="6">
        <v>1719.0</v>
      </c>
      <c r="G3929" s="6">
        <v>1790.0</v>
      </c>
      <c r="H3929" s="6">
        <v>0.6101</v>
      </c>
      <c r="I3929" s="6">
        <v>0.9603</v>
      </c>
      <c r="J3929" s="6">
        <v>-0.3503</v>
      </c>
    </row>
    <row r="3930">
      <c r="A3930" s="5" t="s">
        <v>60</v>
      </c>
      <c r="B3930" s="5" t="s">
        <v>1867</v>
      </c>
      <c r="C3930" s="5" t="s">
        <v>73</v>
      </c>
      <c r="D3930" s="6">
        <v>2.0</v>
      </c>
      <c r="E3930" s="6">
        <v>1319.0</v>
      </c>
      <c r="F3930" s="6">
        <v>1942.0</v>
      </c>
      <c r="G3930" s="6">
        <v>1790.0</v>
      </c>
      <c r="H3930" s="6">
        <v>0.7369</v>
      </c>
      <c r="I3930" s="6">
        <v>1.0849</v>
      </c>
      <c r="J3930" s="6">
        <v>-0.348</v>
      </c>
    </row>
    <row r="3931">
      <c r="A3931" s="5" t="s">
        <v>60</v>
      </c>
      <c r="B3931" s="5" t="s">
        <v>1867</v>
      </c>
      <c r="C3931" s="5" t="s">
        <v>73</v>
      </c>
      <c r="D3931" s="6">
        <v>3.0</v>
      </c>
      <c r="E3931" s="6">
        <v>1488.0</v>
      </c>
      <c r="F3931" s="6">
        <v>1995.0</v>
      </c>
      <c r="G3931" s="6">
        <v>1790.0</v>
      </c>
      <c r="H3931" s="6">
        <v>0.8313</v>
      </c>
      <c r="I3931" s="6">
        <v>1.1145</v>
      </c>
      <c r="J3931" s="6">
        <v>-0.2832</v>
      </c>
    </row>
    <row r="3932">
      <c r="A3932" s="5" t="s">
        <v>60</v>
      </c>
      <c r="B3932" s="5" t="s">
        <v>1867</v>
      </c>
      <c r="C3932" s="5" t="s">
        <v>73</v>
      </c>
      <c r="D3932" s="6">
        <v>4.0</v>
      </c>
      <c r="E3932" s="6">
        <v>1537.0</v>
      </c>
      <c r="F3932" s="6">
        <v>1956.0</v>
      </c>
      <c r="G3932" s="6">
        <v>1790.0</v>
      </c>
      <c r="H3932" s="6">
        <v>0.8587</v>
      </c>
      <c r="I3932" s="6">
        <v>1.0927</v>
      </c>
      <c r="J3932" s="6">
        <v>-0.2341</v>
      </c>
    </row>
    <row r="3933">
      <c r="A3933" s="5" t="s">
        <v>60</v>
      </c>
      <c r="B3933" s="5" t="s">
        <v>1867</v>
      </c>
      <c r="C3933" s="5" t="s">
        <v>73</v>
      </c>
      <c r="D3933" s="6">
        <v>5.0</v>
      </c>
      <c r="E3933" s="6">
        <v>1531.0</v>
      </c>
      <c r="F3933" s="6">
        <v>2052.0</v>
      </c>
      <c r="G3933" s="6">
        <v>1790.0</v>
      </c>
      <c r="H3933" s="6">
        <v>0.8553</v>
      </c>
      <c r="I3933" s="6">
        <v>1.1464</v>
      </c>
      <c r="J3933" s="6">
        <v>-0.2911</v>
      </c>
    </row>
    <row r="3934">
      <c r="A3934" s="5" t="s">
        <v>60</v>
      </c>
      <c r="B3934" s="5" t="s">
        <v>1867</v>
      </c>
      <c r="C3934" s="5" t="s">
        <v>73</v>
      </c>
      <c r="D3934" s="6">
        <v>6.0</v>
      </c>
      <c r="E3934" s="6">
        <v>1622.0</v>
      </c>
      <c r="F3934" s="6">
        <v>2145.0</v>
      </c>
      <c r="G3934" s="6">
        <v>1790.0</v>
      </c>
      <c r="H3934" s="6">
        <v>0.9061</v>
      </c>
      <c r="I3934" s="6">
        <v>1.1983</v>
      </c>
      <c r="J3934" s="6">
        <v>-0.2922</v>
      </c>
    </row>
    <row r="3935">
      <c r="A3935" s="5" t="s">
        <v>60</v>
      </c>
      <c r="B3935" s="5" t="s">
        <v>1867</v>
      </c>
      <c r="C3935" s="5" t="s">
        <v>73</v>
      </c>
      <c r="D3935" s="6">
        <v>7.0</v>
      </c>
      <c r="E3935" s="6">
        <v>1489.0</v>
      </c>
      <c r="F3935" s="6">
        <v>1975.0</v>
      </c>
      <c r="G3935" s="6">
        <v>1790.0</v>
      </c>
      <c r="H3935" s="6">
        <v>0.8318</v>
      </c>
      <c r="I3935" s="6">
        <v>1.1034</v>
      </c>
      <c r="J3935" s="6">
        <v>-0.2715</v>
      </c>
    </row>
    <row r="3936">
      <c r="A3936" s="5" t="s">
        <v>60</v>
      </c>
      <c r="B3936" s="5" t="s">
        <v>1867</v>
      </c>
      <c r="C3936" s="5" t="s">
        <v>73</v>
      </c>
      <c r="D3936" s="6">
        <v>8.0</v>
      </c>
      <c r="E3936" s="6">
        <v>1330.0</v>
      </c>
      <c r="F3936" s="6">
        <v>1821.0</v>
      </c>
      <c r="G3936" s="6">
        <v>1790.0</v>
      </c>
      <c r="H3936" s="6">
        <v>0.743</v>
      </c>
      <c r="I3936" s="6">
        <v>1.0173</v>
      </c>
      <c r="J3936" s="6">
        <v>-0.2743</v>
      </c>
    </row>
    <row r="3937">
      <c r="A3937" s="5" t="s">
        <v>60</v>
      </c>
      <c r="B3937" s="5" t="s">
        <v>1867</v>
      </c>
      <c r="C3937" s="5" t="s">
        <v>73</v>
      </c>
      <c r="D3937" s="6">
        <v>9.0</v>
      </c>
      <c r="E3937" s="6">
        <v>1205.0</v>
      </c>
      <c r="F3937" s="6">
        <v>1690.0</v>
      </c>
      <c r="G3937" s="6">
        <v>1790.0</v>
      </c>
      <c r="H3937" s="6">
        <v>0.6732</v>
      </c>
      <c r="I3937" s="6">
        <v>0.9441</v>
      </c>
      <c r="J3937" s="6">
        <v>-0.2709</v>
      </c>
    </row>
    <row r="3938">
      <c r="A3938" s="5" t="s">
        <v>60</v>
      </c>
      <c r="B3938" s="5" t="s">
        <v>1867</v>
      </c>
      <c r="C3938" s="5" t="s">
        <v>73</v>
      </c>
      <c r="D3938" s="6">
        <v>10.0</v>
      </c>
      <c r="E3938" s="6">
        <v>1538.0</v>
      </c>
      <c r="F3938" s="6">
        <v>2008.0</v>
      </c>
      <c r="G3938" s="6">
        <v>1790.0</v>
      </c>
      <c r="H3938" s="6">
        <v>0.8592</v>
      </c>
      <c r="I3938" s="6">
        <v>1.1218</v>
      </c>
      <c r="J3938" s="6">
        <v>-0.2626</v>
      </c>
    </row>
    <row r="3939">
      <c r="A3939" s="5" t="s">
        <v>60</v>
      </c>
      <c r="B3939" s="5" t="s">
        <v>1867</v>
      </c>
      <c r="C3939" s="5" t="s">
        <v>73</v>
      </c>
      <c r="D3939" s="6">
        <v>11.0</v>
      </c>
      <c r="E3939" s="6">
        <v>1630.0</v>
      </c>
      <c r="F3939" s="6">
        <v>2245.0</v>
      </c>
      <c r="G3939" s="6">
        <v>1790.0</v>
      </c>
      <c r="H3939" s="6">
        <v>0.9106</v>
      </c>
      <c r="I3939" s="6">
        <v>1.2542</v>
      </c>
      <c r="J3939" s="6">
        <v>-0.3436</v>
      </c>
    </row>
    <row r="3940">
      <c r="A3940" s="5" t="s">
        <v>60</v>
      </c>
      <c r="B3940" s="5" t="s">
        <v>1867</v>
      </c>
      <c r="C3940" s="5" t="s">
        <v>73</v>
      </c>
      <c r="D3940" s="6">
        <v>12.0</v>
      </c>
      <c r="E3940" s="6">
        <v>1588.0</v>
      </c>
      <c r="F3940" s="6">
        <v>2244.0</v>
      </c>
      <c r="G3940" s="6">
        <v>1790.0</v>
      </c>
      <c r="H3940" s="6">
        <v>0.8872</v>
      </c>
      <c r="I3940" s="6">
        <v>1.2536</v>
      </c>
      <c r="J3940" s="6">
        <v>-0.3665</v>
      </c>
    </row>
    <row r="3941">
      <c r="A3941" s="5" t="s">
        <v>60</v>
      </c>
      <c r="B3941" s="5" t="s">
        <v>1867</v>
      </c>
      <c r="C3941" s="5" t="s">
        <v>73</v>
      </c>
      <c r="D3941" s="6">
        <v>13.0</v>
      </c>
      <c r="E3941" s="6">
        <v>1632.0</v>
      </c>
      <c r="F3941" s="6">
        <v>2122.0</v>
      </c>
      <c r="G3941" s="6">
        <v>1790.0</v>
      </c>
      <c r="H3941" s="6">
        <v>0.9117</v>
      </c>
      <c r="I3941" s="6">
        <v>1.1855</v>
      </c>
      <c r="J3941" s="6">
        <v>-0.2737</v>
      </c>
    </row>
    <row r="3942">
      <c r="A3942" s="5" t="s">
        <v>60</v>
      </c>
      <c r="B3942" s="5" t="s">
        <v>1867</v>
      </c>
      <c r="C3942" s="5" t="s">
        <v>73</v>
      </c>
      <c r="D3942" s="6">
        <v>14.0</v>
      </c>
      <c r="E3942" s="6">
        <v>1635.0</v>
      </c>
      <c r="F3942" s="6">
        <v>2095.0</v>
      </c>
      <c r="G3942" s="6">
        <v>1790.0</v>
      </c>
      <c r="H3942" s="6">
        <v>0.9134</v>
      </c>
      <c r="I3942" s="6">
        <v>1.1704</v>
      </c>
      <c r="J3942" s="6">
        <v>-0.257</v>
      </c>
    </row>
    <row r="3943">
      <c r="A3943" s="5" t="s">
        <v>60</v>
      </c>
      <c r="B3943" s="5" t="s">
        <v>1867</v>
      </c>
      <c r="C3943" s="5" t="s">
        <v>73</v>
      </c>
      <c r="D3943" s="6">
        <v>15.0</v>
      </c>
      <c r="E3943" s="6">
        <v>1470.0</v>
      </c>
      <c r="F3943" s="6">
        <v>2208.0</v>
      </c>
      <c r="G3943" s="6">
        <v>1790.0</v>
      </c>
      <c r="H3943" s="6">
        <v>0.8212</v>
      </c>
      <c r="I3943" s="6">
        <v>1.2335</v>
      </c>
      <c r="J3943" s="6">
        <v>-0.4123</v>
      </c>
    </row>
    <row r="3944">
      <c r="A3944" s="5" t="s">
        <v>60</v>
      </c>
      <c r="B3944" s="5" t="s">
        <v>1867</v>
      </c>
      <c r="C3944" s="5" t="s">
        <v>73</v>
      </c>
      <c r="D3944" s="6">
        <v>16.0</v>
      </c>
      <c r="E3944" s="6">
        <v>1830.0</v>
      </c>
      <c r="F3944" s="6">
        <v>2138.0</v>
      </c>
      <c r="G3944" s="6">
        <v>1790.0</v>
      </c>
      <c r="H3944" s="6">
        <v>1.0223</v>
      </c>
      <c r="I3944" s="6">
        <v>1.1944</v>
      </c>
      <c r="J3944" s="6">
        <v>-0.1721</v>
      </c>
    </row>
    <row r="3945">
      <c r="A3945" s="5" t="s">
        <v>60</v>
      </c>
      <c r="B3945" s="5" t="s">
        <v>1867</v>
      </c>
      <c r="C3945" s="5" t="s">
        <v>73</v>
      </c>
      <c r="D3945" s="6">
        <v>17.0</v>
      </c>
      <c r="E3945" s="6">
        <v>1835.0</v>
      </c>
      <c r="F3945" s="6">
        <v>2236.0</v>
      </c>
      <c r="G3945" s="6">
        <v>1790.0</v>
      </c>
      <c r="H3945" s="6">
        <v>1.0251</v>
      </c>
      <c r="I3945" s="6">
        <v>1.2492</v>
      </c>
      <c r="J3945" s="6">
        <v>-0.224</v>
      </c>
    </row>
    <row r="3946">
      <c r="A3946" s="5" t="s">
        <v>60</v>
      </c>
      <c r="B3946" s="5" t="s">
        <v>1867</v>
      </c>
      <c r="C3946" s="5" t="s">
        <v>73</v>
      </c>
      <c r="D3946" s="6">
        <v>18.0</v>
      </c>
      <c r="E3946" s="6">
        <v>1823.0</v>
      </c>
      <c r="F3946" s="6">
        <v>2245.0</v>
      </c>
      <c r="G3946" s="6">
        <v>1790.0</v>
      </c>
      <c r="H3946" s="6">
        <v>1.0184</v>
      </c>
      <c r="I3946" s="6">
        <v>1.2542</v>
      </c>
      <c r="J3946" s="6">
        <v>-0.2358</v>
      </c>
    </row>
    <row r="3947">
      <c r="A3947" s="5" t="s">
        <v>60</v>
      </c>
      <c r="B3947" s="5" t="s">
        <v>1867</v>
      </c>
      <c r="C3947" s="5" t="s">
        <v>73</v>
      </c>
      <c r="D3947" s="6">
        <v>19.0</v>
      </c>
      <c r="E3947" s="6">
        <v>1873.0</v>
      </c>
      <c r="F3947" s="6">
        <v>2513.0</v>
      </c>
      <c r="G3947" s="6">
        <v>1790.0</v>
      </c>
      <c r="H3947" s="6">
        <v>1.0464</v>
      </c>
      <c r="I3947" s="6">
        <v>1.4039</v>
      </c>
      <c r="J3947" s="6">
        <v>-0.3575</v>
      </c>
    </row>
    <row r="3948">
      <c r="A3948" s="5" t="s">
        <v>60</v>
      </c>
      <c r="B3948" s="5" t="s">
        <v>1867</v>
      </c>
      <c r="C3948" s="5" t="s">
        <v>73</v>
      </c>
      <c r="D3948" s="6">
        <v>20.0</v>
      </c>
      <c r="E3948" s="6">
        <v>2128.0</v>
      </c>
      <c r="F3948" s="6">
        <v>2778.0</v>
      </c>
      <c r="G3948" s="6">
        <v>1790.0</v>
      </c>
      <c r="H3948" s="6">
        <v>1.1888</v>
      </c>
      <c r="I3948" s="6">
        <v>1.552</v>
      </c>
      <c r="J3948" s="6">
        <v>-0.3631</v>
      </c>
    </row>
    <row r="3949">
      <c r="A3949" s="5" t="s">
        <v>60</v>
      </c>
      <c r="B3949" s="5" t="s">
        <v>1867</v>
      </c>
      <c r="C3949" s="5" t="s">
        <v>73</v>
      </c>
      <c r="D3949" s="6">
        <v>21.0</v>
      </c>
      <c r="E3949" s="6">
        <v>2577.0</v>
      </c>
      <c r="F3949" s="6">
        <v>2698.0</v>
      </c>
      <c r="G3949" s="6">
        <v>1790.0</v>
      </c>
      <c r="H3949" s="6">
        <v>1.4397</v>
      </c>
      <c r="I3949" s="6">
        <v>1.5073</v>
      </c>
      <c r="J3949" s="6">
        <v>-0.0676</v>
      </c>
    </row>
    <row r="3950">
      <c r="A3950" s="5" t="s">
        <v>60</v>
      </c>
      <c r="B3950" s="5" t="s">
        <v>1867</v>
      </c>
      <c r="C3950" s="5" t="s">
        <v>73</v>
      </c>
      <c r="D3950" s="6">
        <v>22.0</v>
      </c>
      <c r="E3950" s="6">
        <v>2058.0</v>
      </c>
      <c r="F3950" s="6">
        <v>2586.0</v>
      </c>
      <c r="G3950" s="6">
        <v>1790.0</v>
      </c>
      <c r="H3950" s="6">
        <v>1.1497</v>
      </c>
      <c r="I3950" s="6">
        <v>1.4447</v>
      </c>
      <c r="J3950" s="6">
        <v>-0.295</v>
      </c>
    </row>
    <row r="3951">
      <c r="A3951" s="5" t="s">
        <v>60</v>
      </c>
      <c r="B3951" s="5" t="s">
        <v>1867</v>
      </c>
      <c r="C3951" s="5" t="s">
        <v>73</v>
      </c>
      <c r="D3951" s="6">
        <v>23.0</v>
      </c>
      <c r="E3951" s="6">
        <v>1975.0</v>
      </c>
      <c r="F3951" s="6">
        <v>2395.0</v>
      </c>
      <c r="G3951" s="6">
        <v>1790.0</v>
      </c>
      <c r="H3951" s="6">
        <v>1.1034</v>
      </c>
      <c r="I3951" s="6">
        <v>1.338</v>
      </c>
      <c r="J3951" s="6">
        <v>-0.2346</v>
      </c>
    </row>
    <row r="3952">
      <c r="A3952" s="5" t="s">
        <v>60</v>
      </c>
      <c r="B3952" s="5" t="s">
        <v>1867</v>
      </c>
      <c r="C3952" s="5" t="s">
        <v>73</v>
      </c>
      <c r="D3952" s="6">
        <v>24.0</v>
      </c>
      <c r="E3952" s="6">
        <v>2137.0</v>
      </c>
      <c r="F3952" s="6">
        <v>2660.0</v>
      </c>
      <c r="G3952" s="6">
        <v>1790.0</v>
      </c>
      <c r="H3952" s="6">
        <v>1.1939</v>
      </c>
      <c r="I3952" s="6">
        <v>1.486</v>
      </c>
      <c r="J3952" s="6">
        <v>-0.2922</v>
      </c>
    </row>
    <row r="3953">
      <c r="A3953" s="5" t="s">
        <v>60</v>
      </c>
      <c r="B3953" s="5" t="s">
        <v>1867</v>
      </c>
      <c r="C3953" s="5" t="s">
        <v>73</v>
      </c>
      <c r="D3953" s="6">
        <v>25.0</v>
      </c>
      <c r="E3953" s="6">
        <v>2186.0</v>
      </c>
      <c r="F3953" s="6">
        <v>2744.0</v>
      </c>
      <c r="G3953" s="6">
        <v>1790.0</v>
      </c>
      <c r="H3953" s="6">
        <v>1.2212</v>
      </c>
      <c r="I3953" s="6">
        <v>1.533</v>
      </c>
      <c r="J3953" s="6">
        <v>-0.3117</v>
      </c>
    </row>
    <row r="3954">
      <c r="A3954" s="5" t="s">
        <v>60</v>
      </c>
      <c r="B3954" s="5" t="s">
        <v>1867</v>
      </c>
      <c r="C3954" s="5" t="s">
        <v>73</v>
      </c>
      <c r="D3954" s="6">
        <v>26.0</v>
      </c>
      <c r="E3954" s="6">
        <v>2150.0</v>
      </c>
      <c r="F3954" s="6">
        <v>2981.0</v>
      </c>
      <c r="G3954" s="6">
        <v>1790.0</v>
      </c>
      <c r="H3954" s="6">
        <v>1.2011</v>
      </c>
      <c r="I3954" s="6">
        <v>1.6654</v>
      </c>
      <c r="J3954" s="6">
        <v>-0.4642</v>
      </c>
    </row>
    <row r="3955">
      <c r="A3955" s="5" t="s">
        <v>60</v>
      </c>
      <c r="B3955" s="5" t="s">
        <v>1867</v>
      </c>
      <c r="C3955" s="5" t="s">
        <v>73</v>
      </c>
      <c r="D3955" s="6">
        <v>27.0</v>
      </c>
      <c r="E3955" s="6">
        <v>2317.0</v>
      </c>
      <c r="F3955" s="6">
        <v>2815.0</v>
      </c>
      <c r="G3955" s="6">
        <v>1790.0</v>
      </c>
      <c r="H3955" s="6">
        <v>1.2944</v>
      </c>
      <c r="I3955" s="6">
        <v>1.5726</v>
      </c>
      <c r="J3955" s="6">
        <v>-0.2782</v>
      </c>
    </row>
    <row r="3956">
      <c r="A3956" s="5" t="s">
        <v>60</v>
      </c>
      <c r="B3956" s="5" t="s">
        <v>1867</v>
      </c>
      <c r="C3956" s="5" t="s">
        <v>73</v>
      </c>
      <c r="D3956" s="6">
        <v>28.0</v>
      </c>
      <c r="E3956" s="6">
        <v>2052.0</v>
      </c>
      <c r="F3956" s="6">
        <v>2626.0</v>
      </c>
      <c r="G3956" s="6">
        <v>1790.0</v>
      </c>
      <c r="H3956" s="6">
        <v>1.1464</v>
      </c>
      <c r="I3956" s="6">
        <v>1.467</v>
      </c>
      <c r="J3956" s="6">
        <v>-0.3207</v>
      </c>
    </row>
    <row r="3957">
      <c r="A3957" s="5" t="s">
        <v>60</v>
      </c>
      <c r="B3957" s="5" t="s">
        <v>1867</v>
      </c>
      <c r="C3957" s="5" t="s">
        <v>73</v>
      </c>
      <c r="D3957" s="6">
        <v>29.0</v>
      </c>
      <c r="E3957" s="6">
        <v>1844.0</v>
      </c>
      <c r="F3957" s="6">
        <v>2997.0</v>
      </c>
      <c r="G3957" s="6">
        <v>1790.0</v>
      </c>
      <c r="H3957" s="6">
        <v>1.0302</v>
      </c>
      <c r="I3957" s="6">
        <v>1.6743</v>
      </c>
      <c r="J3957" s="6">
        <v>-0.6441</v>
      </c>
    </row>
    <row r="3958">
      <c r="A3958" s="5" t="s">
        <v>60</v>
      </c>
      <c r="B3958" s="5" t="s">
        <v>1867</v>
      </c>
      <c r="C3958" s="5" t="s">
        <v>73</v>
      </c>
      <c r="D3958" s="6">
        <v>30.0</v>
      </c>
      <c r="E3958" s="6">
        <v>2383.0</v>
      </c>
      <c r="F3958" s="6">
        <v>3132.0</v>
      </c>
      <c r="G3958" s="6">
        <v>1790.0</v>
      </c>
      <c r="H3958" s="6">
        <v>1.3313</v>
      </c>
      <c r="I3958" s="6">
        <v>1.7497</v>
      </c>
      <c r="J3958" s="6">
        <v>-0.4184</v>
      </c>
    </row>
    <row r="3959">
      <c r="A3959" s="5" t="s">
        <v>60</v>
      </c>
      <c r="B3959" s="5" t="s">
        <v>1867</v>
      </c>
      <c r="C3959" s="5" t="s">
        <v>73</v>
      </c>
      <c r="D3959" s="6">
        <v>31.0</v>
      </c>
      <c r="E3959" s="6">
        <v>2495.0</v>
      </c>
      <c r="F3959" s="6">
        <v>3169.0</v>
      </c>
      <c r="G3959" s="6">
        <v>1790.0</v>
      </c>
      <c r="H3959" s="6">
        <v>1.3939</v>
      </c>
      <c r="I3959" s="6">
        <v>1.7704</v>
      </c>
      <c r="J3959" s="6">
        <v>-0.3765</v>
      </c>
    </row>
    <row r="3960">
      <c r="A3960" s="5" t="s">
        <v>60</v>
      </c>
      <c r="B3960" s="5" t="s">
        <v>1867</v>
      </c>
      <c r="C3960" s="5" t="s">
        <v>73</v>
      </c>
      <c r="D3960" s="6">
        <v>32.0</v>
      </c>
      <c r="E3960" s="6">
        <v>2616.0</v>
      </c>
      <c r="F3960" s="6">
        <v>3312.0</v>
      </c>
      <c r="G3960" s="6">
        <v>1790.0</v>
      </c>
      <c r="H3960" s="6">
        <v>1.4615</v>
      </c>
      <c r="I3960" s="6">
        <v>1.8503</v>
      </c>
      <c r="J3960" s="6">
        <v>-0.3888</v>
      </c>
    </row>
    <row r="3961">
      <c r="A3961" s="5" t="s">
        <v>60</v>
      </c>
      <c r="B3961" s="5" t="s">
        <v>1867</v>
      </c>
      <c r="C3961" s="5" t="s">
        <v>73</v>
      </c>
      <c r="D3961" s="6">
        <v>33.0</v>
      </c>
      <c r="E3961" s="6">
        <v>2514.0</v>
      </c>
      <c r="F3961" s="6">
        <v>3495.0</v>
      </c>
      <c r="G3961" s="6">
        <v>1790.0</v>
      </c>
      <c r="H3961" s="6">
        <v>1.4045</v>
      </c>
      <c r="I3961" s="6">
        <v>1.9525</v>
      </c>
      <c r="J3961" s="6">
        <v>-0.548</v>
      </c>
    </row>
    <row r="3962">
      <c r="A3962" s="5" t="s">
        <v>60</v>
      </c>
      <c r="B3962" s="5" t="s">
        <v>1867</v>
      </c>
      <c r="C3962" s="5" t="s">
        <v>74</v>
      </c>
      <c r="D3962" s="6">
        <v>1.0</v>
      </c>
      <c r="E3962" s="6">
        <v>649.0</v>
      </c>
      <c r="F3962" s="6">
        <v>1130.0</v>
      </c>
      <c r="G3962" s="6">
        <v>1790.0</v>
      </c>
      <c r="H3962" s="6">
        <v>0.3626</v>
      </c>
      <c r="I3962" s="6">
        <v>0.6313</v>
      </c>
      <c r="J3962" s="6">
        <v>-0.2687</v>
      </c>
    </row>
    <row r="3963">
      <c r="A3963" s="5" t="s">
        <v>60</v>
      </c>
      <c r="B3963" s="5" t="s">
        <v>1867</v>
      </c>
      <c r="C3963" s="5" t="s">
        <v>74</v>
      </c>
      <c r="D3963" s="6">
        <v>2.0</v>
      </c>
      <c r="E3963" s="6">
        <v>1024.0</v>
      </c>
      <c r="F3963" s="6">
        <v>1410.0</v>
      </c>
      <c r="G3963" s="6">
        <v>1790.0</v>
      </c>
      <c r="H3963" s="6">
        <v>0.5721</v>
      </c>
      <c r="I3963" s="6">
        <v>0.7877</v>
      </c>
      <c r="J3963" s="6">
        <v>-0.2156</v>
      </c>
    </row>
    <row r="3964">
      <c r="A3964" s="5" t="s">
        <v>60</v>
      </c>
      <c r="B3964" s="5" t="s">
        <v>1867</v>
      </c>
      <c r="C3964" s="5" t="s">
        <v>74</v>
      </c>
      <c r="D3964" s="6">
        <v>3.0</v>
      </c>
      <c r="E3964" s="6">
        <v>993.0</v>
      </c>
      <c r="F3964" s="6">
        <v>1364.0</v>
      </c>
      <c r="G3964" s="6">
        <v>1790.0</v>
      </c>
      <c r="H3964" s="6">
        <v>0.5547</v>
      </c>
      <c r="I3964" s="6">
        <v>0.762</v>
      </c>
      <c r="J3964" s="6">
        <v>-0.2073</v>
      </c>
    </row>
    <row r="3965">
      <c r="A3965" s="5" t="s">
        <v>60</v>
      </c>
      <c r="B3965" s="5" t="s">
        <v>1867</v>
      </c>
      <c r="C3965" s="5" t="s">
        <v>74</v>
      </c>
      <c r="D3965" s="6">
        <v>4.0</v>
      </c>
      <c r="E3965" s="6">
        <v>1117.0</v>
      </c>
      <c r="F3965" s="6">
        <v>1447.0</v>
      </c>
      <c r="G3965" s="6">
        <v>1790.0</v>
      </c>
      <c r="H3965" s="6">
        <v>0.624</v>
      </c>
      <c r="I3965" s="6">
        <v>0.8084</v>
      </c>
      <c r="J3965" s="6">
        <v>-0.1844</v>
      </c>
    </row>
    <row r="3966">
      <c r="A3966" s="5" t="s">
        <v>60</v>
      </c>
      <c r="B3966" s="5" t="s">
        <v>1867</v>
      </c>
      <c r="C3966" s="5" t="s">
        <v>74</v>
      </c>
      <c r="D3966" s="6">
        <v>5.0</v>
      </c>
      <c r="E3966" s="6">
        <v>1058.0</v>
      </c>
      <c r="F3966" s="6">
        <v>1551.0</v>
      </c>
      <c r="G3966" s="6">
        <v>1790.0</v>
      </c>
      <c r="H3966" s="6">
        <v>0.5911</v>
      </c>
      <c r="I3966" s="6">
        <v>0.8665</v>
      </c>
      <c r="J3966" s="6">
        <v>-0.2754</v>
      </c>
    </row>
    <row r="3967">
      <c r="A3967" s="5" t="s">
        <v>60</v>
      </c>
      <c r="B3967" s="5" t="s">
        <v>1867</v>
      </c>
      <c r="C3967" s="5" t="s">
        <v>74</v>
      </c>
      <c r="D3967" s="6">
        <v>6.0</v>
      </c>
      <c r="E3967" s="6">
        <v>1353.0</v>
      </c>
      <c r="F3967" s="6">
        <v>1667.0</v>
      </c>
      <c r="G3967" s="6">
        <v>1790.0</v>
      </c>
      <c r="H3967" s="6">
        <v>0.7559</v>
      </c>
      <c r="I3967" s="6">
        <v>0.9313</v>
      </c>
      <c r="J3967" s="6">
        <v>-0.1754</v>
      </c>
    </row>
    <row r="3968">
      <c r="A3968" s="5" t="s">
        <v>60</v>
      </c>
      <c r="B3968" s="5" t="s">
        <v>1867</v>
      </c>
      <c r="C3968" s="5" t="s">
        <v>74</v>
      </c>
      <c r="D3968" s="6">
        <v>7.0</v>
      </c>
      <c r="E3968" s="6">
        <v>1268.0</v>
      </c>
      <c r="F3968" s="6">
        <v>1571.0</v>
      </c>
      <c r="G3968" s="6">
        <v>1790.0</v>
      </c>
      <c r="H3968" s="6">
        <v>0.7084</v>
      </c>
      <c r="I3968" s="6">
        <v>0.8777</v>
      </c>
      <c r="J3968" s="6">
        <v>-0.1693</v>
      </c>
    </row>
    <row r="3969">
      <c r="A3969" s="5" t="s">
        <v>60</v>
      </c>
      <c r="B3969" s="5" t="s">
        <v>1867</v>
      </c>
      <c r="C3969" s="5" t="s">
        <v>74</v>
      </c>
      <c r="D3969" s="6">
        <v>8.0</v>
      </c>
      <c r="E3969" s="6">
        <v>1023.0</v>
      </c>
      <c r="F3969" s="6">
        <v>1486.0</v>
      </c>
      <c r="G3969" s="6">
        <v>1790.0</v>
      </c>
      <c r="H3969" s="6">
        <v>0.5715</v>
      </c>
      <c r="I3969" s="6">
        <v>0.8302</v>
      </c>
      <c r="J3969" s="6">
        <v>-0.2587</v>
      </c>
    </row>
    <row r="3970">
      <c r="A3970" s="5" t="s">
        <v>60</v>
      </c>
      <c r="B3970" s="5" t="s">
        <v>1867</v>
      </c>
      <c r="C3970" s="5" t="s">
        <v>74</v>
      </c>
      <c r="D3970" s="6">
        <v>9.0</v>
      </c>
      <c r="E3970" s="6">
        <v>915.0</v>
      </c>
      <c r="F3970" s="6">
        <v>1397.0</v>
      </c>
      <c r="G3970" s="6">
        <v>1790.0</v>
      </c>
      <c r="H3970" s="6">
        <v>0.5112</v>
      </c>
      <c r="I3970" s="6">
        <v>0.7804</v>
      </c>
      <c r="J3970" s="6">
        <v>-0.2693</v>
      </c>
    </row>
    <row r="3971">
      <c r="A3971" s="5" t="s">
        <v>60</v>
      </c>
      <c r="B3971" s="5" t="s">
        <v>1867</v>
      </c>
      <c r="C3971" s="5" t="s">
        <v>74</v>
      </c>
      <c r="D3971" s="6">
        <v>10.0</v>
      </c>
      <c r="E3971" s="6">
        <v>962.0</v>
      </c>
      <c r="F3971" s="6">
        <v>1514.0</v>
      </c>
      <c r="G3971" s="6">
        <v>1790.0</v>
      </c>
      <c r="H3971" s="6">
        <v>0.5374</v>
      </c>
      <c r="I3971" s="6">
        <v>0.8458</v>
      </c>
      <c r="J3971" s="6">
        <v>-0.3084</v>
      </c>
    </row>
    <row r="3972">
      <c r="A3972" s="5" t="s">
        <v>60</v>
      </c>
      <c r="B3972" s="5" t="s">
        <v>1867</v>
      </c>
      <c r="C3972" s="5" t="s">
        <v>74</v>
      </c>
      <c r="D3972" s="6">
        <v>11.0</v>
      </c>
      <c r="E3972" s="6">
        <v>1183.0</v>
      </c>
      <c r="F3972" s="6">
        <v>1709.0</v>
      </c>
      <c r="G3972" s="6">
        <v>1790.0</v>
      </c>
      <c r="H3972" s="6">
        <v>0.6609</v>
      </c>
      <c r="I3972" s="6">
        <v>0.9547</v>
      </c>
      <c r="J3972" s="6">
        <v>-0.2939</v>
      </c>
    </row>
    <row r="3973">
      <c r="A3973" s="5" t="s">
        <v>60</v>
      </c>
      <c r="B3973" s="5" t="s">
        <v>1867</v>
      </c>
      <c r="C3973" s="5" t="s">
        <v>74</v>
      </c>
      <c r="D3973" s="6">
        <v>12.0</v>
      </c>
      <c r="E3973" s="6">
        <v>985.0</v>
      </c>
      <c r="F3973" s="6">
        <v>1600.0</v>
      </c>
      <c r="G3973" s="6">
        <v>1790.0</v>
      </c>
      <c r="H3973" s="6">
        <v>0.5503</v>
      </c>
      <c r="I3973" s="6">
        <v>0.8939</v>
      </c>
      <c r="J3973" s="6">
        <v>-0.3436</v>
      </c>
    </row>
    <row r="3974">
      <c r="A3974" s="5" t="s">
        <v>60</v>
      </c>
      <c r="B3974" s="5" t="s">
        <v>1867</v>
      </c>
      <c r="C3974" s="5" t="s">
        <v>74</v>
      </c>
      <c r="D3974" s="6">
        <v>13.0</v>
      </c>
      <c r="E3974" s="6">
        <v>1313.0</v>
      </c>
      <c r="F3974" s="6">
        <v>1633.0</v>
      </c>
      <c r="G3974" s="6">
        <v>1790.0</v>
      </c>
      <c r="H3974" s="6">
        <v>0.7335</v>
      </c>
      <c r="I3974" s="6">
        <v>0.9123</v>
      </c>
      <c r="J3974" s="6">
        <v>-0.1788</v>
      </c>
    </row>
    <row r="3975">
      <c r="A3975" s="5" t="s">
        <v>60</v>
      </c>
      <c r="B3975" s="5" t="s">
        <v>1867</v>
      </c>
      <c r="C3975" s="5" t="s">
        <v>74</v>
      </c>
      <c r="D3975" s="6">
        <v>14.0</v>
      </c>
      <c r="E3975" s="6">
        <v>1245.0</v>
      </c>
      <c r="F3975" s="6">
        <v>1704.0</v>
      </c>
      <c r="G3975" s="6">
        <v>1790.0</v>
      </c>
      <c r="H3975" s="6">
        <v>0.6955</v>
      </c>
      <c r="I3975" s="6">
        <v>0.952</v>
      </c>
      <c r="J3975" s="6">
        <v>-0.2564</v>
      </c>
    </row>
    <row r="3976">
      <c r="A3976" s="5" t="s">
        <v>60</v>
      </c>
      <c r="B3976" s="5" t="s">
        <v>1867</v>
      </c>
      <c r="C3976" s="5" t="s">
        <v>74</v>
      </c>
      <c r="D3976" s="6">
        <v>15.0</v>
      </c>
      <c r="E3976" s="6">
        <v>968.0</v>
      </c>
      <c r="F3976" s="6">
        <v>1628.0</v>
      </c>
      <c r="G3976" s="6">
        <v>1790.0</v>
      </c>
      <c r="H3976" s="6">
        <v>0.5408</v>
      </c>
      <c r="I3976" s="6">
        <v>0.9095</v>
      </c>
      <c r="J3976" s="6">
        <v>-0.3687</v>
      </c>
    </row>
    <row r="3977">
      <c r="A3977" s="5" t="s">
        <v>60</v>
      </c>
      <c r="B3977" s="5" t="s">
        <v>1867</v>
      </c>
      <c r="C3977" s="5" t="s">
        <v>74</v>
      </c>
      <c r="D3977" s="6">
        <v>16.0</v>
      </c>
      <c r="E3977" s="6">
        <v>1316.0</v>
      </c>
      <c r="F3977" s="6">
        <v>1651.0</v>
      </c>
      <c r="G3977" s="6">
        <v>1790.0</v>
      </c>
      <c r="H3977" s="6">
        <v>0.7352</v>
      </c>
      <c r="I3977" s="6">
        <v>0.9223</v>
      </c>
      <c r="J3977" s="6">
        <v>-0.1872</v>
      </c>
    </row>
    <row r="3978">
      <c r="A3978" s="5" t="s">
        <v>60</v>
      </c>
      <c r="B3978" s="5" t="s">
        <v>1867</v>
      </c>
      <c r="C3978" s="5" t="s">
        <v>74</v>
      </c>
      <c r="D3978" s="6">
        <v>17.0</v>
      </c>
      <c r="E3978" s="6">
        <v>1256.0</v>
      </c>
      <c r="F3978" s="6">
        <v>1634.0</v>
      </c>
      <c r="G3978" s="6">
        <v>1790.0</v>
      </c>
      <c r="H3978" s="6">
        <v>0.7017</v>
      </c>
      <c r="I3978" s="6">
        <v>0.9128</v>
      </c>
      <c r="J3978" s="6">
        <v>-0.2112</v>
      </c>
    </row>
    <row r="3979">
      <c r="A3979" s="5" t="s">
        <v>60</v>
      </c>
      <c r="B3979" s="5" t="s">
        <v>1867</v>
      </c>
      <c r="C3979" s="5" t="s">
        <v>74</v>
      </c>
      <c r="D3979" s="6">
        <v>18.0</v>
      </c>
      <c r="E3979" s="6">
        <v>1442.0</v>
      </c>
      <c r="F3979" s="6">
        <v>1714.0</v>
      </c>
      <c r="G3979" s="6">
        <v>1790.0</v>
      </c>
      <c r="H3979" s="6">
        <v>0.8056</v>
      </c>
      <c r="I3979" s="6">
        <v>0.9575</v>
      </c>
      <c r="J3979" s="6">
        <v>-0.152</v>
      </c>
    </row>
    <row r="3980">
      <c r="A3980" s="5" t="s">
        <v>60</v>
      </c>
      <c r="B3980" s="5" t="s">
        <v>1867</v>
      </c>
      <c r="C3980" s="5" t="s">
        <v>74</v>
      </c>
      <c r="D3980" s="6">
        <v>19.0</v>
      </c>
      <c r="E3980" s="6">
        <v>1298.0</v>
      </c>
      <c r="F3980" s="6">
        <v>1915.0</v>
      </c>
      <c r="G3980" s="6">
        <v>1790.0</v>
      </c>
      <c r="H3980" s="6">
        <v>0.7251</v>
      </c>
      <c r="I3980" s="6">
        <v>1.0698</v>
      </c>
      <c r="J3980" s="6">
        <v>-0.3447</v>
      </c>
    </row>
    <row r="3981">
      <c r="A3981" s="5" t="s">
        <v>60</v>
      </c>
      <c r="B3981" s="5" t="s">
        <v>1867</v>
      </c>
      <c r="C3981" s="5" t="s">
        <v>74</v>
      </c>
      <c r="D3981" s="6">
        <v>20.0</v>
      </c>
      <c r="E3981" s="6">
        <v>1817.0</v>
      </c>
      <c r="F3981" s="6">
        <v>2230.0</v>
      </c>
      <c r="G3981" s="6">
        <v>1790.0</v>
      </c>
      <c r="H3981" s="6">
        <v>1.0151</v>
      </c>
      <c r="I3981" s="6">
        <v>1.2458</v>
      </c>
      <c r="J3981" s="6">
        <v>-0.2307</v>
      </c>
    </row>
    <row r="3982">
      <c r="A3982" s="5" t="s">
        <v>60</v>
      </c>
      <c r="B3982" s="5" t="s">
        <v>1867</v>
      </c>
      <c r="C3982" s="5" t="s">
        <v>74</v>
      </c>
      <c r="D3982" s="6">
        <v>21.0</v>
      </c>
      <c r="E3982" s="6">
        <v>1961.0</v>
      </c>
      <c r="F3982" s="6">
        <v>2255.0</v>
      </c>
      <c r="G3982" s="6">
        <v>1790.0</v>
      </c>
      <c r="H3982" s="6">
        <v>1.0955</v>
      </c>
      <c r="I3982" s="6">
        <v>1.2598</v>
      </c>
      <c r="J3982" s="6">
        <v>-0.1642</v>
      </c>
    </row>
    <row r="3983">
      <c r="A3983" s="5" t="s">
        <v>60</v>
      </c>
      <c r="B3983" s="5" t="s">
        <v>1867</v>
      </c>
      <c r="C3983" s="5" t="s">
        <v>74</v>
      </c>
      <c r="D3983" s="6">
        <v>22.0</v>
      </c>
      <c r="E3983" s="6">
        <v>1497.0</v>
      </c>
      <c r="F3983" s="6">
        <v>1969.0</v>
      </c>
      <c r="G3983" s="6">
        <v>1790.0</v>
      </c>
      <c r="H3983" s="6">
        <v>0.8363</v>
      </c>
      <c r="I3983" s="6">
        <v>1.1</v>
      </c>
      <c r="J3983" s="6">
        <v>-0.2637</v>
      </c>
    </row>
    <row r="3984">
      <c r="A3984" s="5" t="s">
        <v>60</v>
      </c>
      <c r="B3984" s="5" t="s">
        <v>1867</v>
      </c>
      <c r="C3984" s="5" t="s">
        <v>74</v>
      </c>
      <c r="D3984" s="6">
        <v>23.0</v>
      </c>
      <c r="E3984" s="6">
        <v>1438.0</v>
      </c>
      <c r="F3984" s="6">
        <v>1924.0</v>
      </c>
      <c r="G3984" s="6">
        <v>1790.0</v>
      </c>
      <c r="H3984" s="6">
        <v>0.8034</v>
      </c>
      <c r="I3984" s="6">
        <v>1.0749</v>
      </c>
      <c r="J3984" s="6">
        <v>-0.2715</v>
      </c>
    </row>
    <row r="3985">
      <c r="A3985" s="5" t="s">
        <v>60</v>
      </c>
      <c r="B3985" s="5" t="s">
        <v>1867</v>
      </c>
      <c r="C3985" s="5" t="s">
        <v>74</v>
      </c>
      <c r="D3985" s="6">
        <v>24.0</v>
      </c>
      <c r="E3985" s="6">
        <v>1302.0</v>
      </c>
      <c r="F3985" s="6">
        <v>1852.0</v>
      </c>
      <c r="G3985" s="6">
        <v>1790.0</v>
      </c>
      <c r="H3985" s="6">
        <v>0.7274</v>
      </c>
      <c r="I3985" s="6">
        <v>1.0346</v>
      </c>
      <c r="J3985" s="6">
        <v>-0.3073</v>
      </c>
    </row>
    <row r="3986">
      <c r="A3986" s="5" t="s">
        <v>60</v>
      </c>
      <c r="B3986" s="5" t="s">
        <v>1867</v>
      </c>
      <c r="C3986" s="5" t="s">
        <v>74</v>
      </c>
      <c r="D3986" s="6">
        <v>25.0</v>
      </c>
      <c r="E3986" s="6">
        <v>1502.0</v>
      </c>
      <c r="F3986" s="6">
        <v>2000.0</v>
      </c>
      <c r="G3986" s="6">
        <v>1790.0</v>
      </c>
      <c r="H3986" s="6">
        <v>0.8391</v>
      </c>
      <c r="I3986" s="6">
        <v>1.1173</v>
      </c>
      <c r="J3986" s="6">
        <v>-0.2782</v>
      </c>
    </row>
    <row r="3987">
      <c r="A3987" s="5" t="s">
        <v>60</v>
      </c>
      <c r="B3987" s="5" t="s">
        <v>1867</v>
      </c>
      <c r="C3987" s="5" t="s">
        <v>74</v>
      </c>
      <c r="D3987" s="6">
        <v>26.0</v>
      </c>
      <c r="E3987" s="6">
        <v>1398.0</v>
      </c>
      <c r="F3987" s="6">
        <v>2228.0</v>
      </c>
      <c r="G3987" s="6">
        <v>1790.0</v>
      </c>
      <c r="H3987" s="6">
        <v>0.781</v>
      </c>
      <c r="I3987" s="6">
        <v>1.2447</v>
      </c>
      <c r="J3987" s="6">
        <v>-0.4637</v>
      </c>
    </row>
    <row r="3988">
      <c r="A3988" s="5" t="s">
        <v>60</v>
      </c>
      <c r="B3988" s="5" t="s">
        <v>1867</v>
      </c>
      <c r="C3988" s="5" t="s">
        <v>74</v>
      </c>
      <c r="D3988" s="6">
        <v>27.0</v>
      </c>
      <c r="E3988" s="6">
        <v>1810.0</v>
      </c>
      <c r="F3988" s="6">
        <v>2339.0</v>
      </c>
      <c r="G3988" s="6">
        <v>1790.0</v>
      </c>
      <c r="H3988" s="6">
        <v>1.0112</v>
      </c>
      <c r="I3988" s="6">
        <v>1.3067</v>
      </c>
      <c r="J3988" s="6">
        <v>-0.2955</v>
      </c>
    </row>
    <row r="3989">
      <c r="A3989" s="5" t="s">
        <v>60</v>
      </c>
      <c r="B3989" s="5" t="s">
        <v>1867</v>
      </c>
      <c r="C3989" s="5" t="s">
        <v>74</v>
      </c>
      <c r="D3989" s="6">
        <v>28.0</v>
      </c>
      <c r="E3989" s="6">
        <v>1403.0</v>
      </c>
      <c r="F3989" s="6">
        <v>2013.0</v>
      </c>
      <c r="G3989" s="6">
        <v>1790.0</v>
      </c>
      <c r="H3989" s="6">
        <v>0.7838</v>
      </c>
      <c r="I3989" s="6">
        <v>1.1246</v>
      </c>
      <c r="J3989" s="6">
        <v>-0.3408</v>
      </c>
    </row>
    <row r="3990">
      <c r="A3990" s="5" t="s">
        <v>60</v>
      </c>
      <c r="B3990" s="5" t="s">
        <v>1867</v>
      </c>
      <c r="C3990" s="5" t="s">
        <v>74</v>
      </c>
      <c r="D3990" s="6">
        <v>29.0</v>
      </c>
      <c r="E3990" s="6">
        <v>1154.0</v>
      </c>
      <c r="F3990" s="6">
        <v>2056.0</v>
      </c>
      <c r="G3990" s="6">
        <v>1790.0</v>
      </c>
      <c r="H3990" s="6">
        <v>0.6447</v>
      </c>
      <c r="I3990" s="6">
        <v>1.1486</v>
      </c>
      <c r="J3990" s="6">
        <v>-0.5039</v>
      </c>
    </row>
    <row r="3991">
      <c r="A3991" s="5" t="s">
        <v>60</v>
      </c>
      <c r="B3991" s="5" t="s">
        <v>1867</v>
      </c>
      <c r="C3991" s="5" t="s">
        <v>74</v>
      </c>
      <c r="D3991" s="6">
        <v>30.0</v>
      </c>
      <c r="E3991" s="6">
        <v>1726.0</v>
      </c>
      <c r="F3991" s="6">
        <v>2312.0</v>
      </c>
      <c r="G3991" s="6">
        <v>1790.0</v>
      </c>
      <c r="H3991" s="6">
        <v>0.9642</v>
      </c>
      <c r="I3991" s="6">
        <v>1.2916</v>
      </c>
      <c r="J3991" s="6">
        <v>-0.3274</v>
      </c>
    </row>
    <row r="3992">
      <c r="A3992" s="5" t="s">
        <v>60</v>
      </c>
      <c r="B3992" s="5" t="s">
        <v>1867</v>
      </c>
      <c r="C3992" s="5" t="s">
        <v>74</v>
      </c>
      <c r="D3992" s="6">
        <v>31.0</v>
      </c>
      <c r="E3992" s="6">
        <v>1625.0</v>
      </c>
      <c r="F3992" s="6">
        <v>2242.0</v>
      </c>
      <c r="G3992" s="6">
        <v>1790.0</v>
      </c>
      <c r="H3992" s="6">
        <v>0.9078</v>
      </c>
      <c r="I3992" s="6">
        <v>1.2525</v>
      </c>
      <c r="J3992" s="6">
        <v>-0.3447</v>
      </c>
    </row>
    <row r="3993">
      <c r="A3993" s="5" t="s">
        <v>60</v>
      </c>
      <c r="B3993" s="5" t="s">
        <v>1867</v>
      </c>
      <c r="C3993" s="5" t="s">
        <v>74</v>
      </c>
      <c r="D3993" s="6">
        <v>32.0</v>
      </c>
      <c r="E3993" s="6">
        <v>1911.0</v>
      </c>
      <c r="F3993" s="6">
        <v>2424.0</v>
      </c>
      <c r="G3993" s="6">
        <v>1790.0</v>
      </c>
      <c r="H3993" s="6">
        <v>1.0676</v>
      </c>
      <c r="I3993" s="6">
        <v>1.3542</v>
      </c>
      <c r="J3993" s="6">
        <v>-0.2866</v>
      </c>
    </row>
    <row r="3994">
      <c r="A3994" s="5" t="s">
        <v>60</v>
      </c>
      <c r="B3994" s="5" t="s">
        <v>1867</v>
      </c>
      <c r="C3994" s="5" t="s">
        <v>74</v>
      </c>
      <c r="D3994" s="6">
        <v>33.0</v>
      </c>
      <c r="E3994" s="6">
        <v>1645.0</v>
      </c>
      <c r="F3994" s="6">
        <v>2544.0</v>
      </c>
      <c r="G3994" s="6">
        <v>1790.0</v>
      </c>
      <c r="H3994" s="6">
        <v>0.919</v>
      </c>
      <c r="I3994" s="6">
        <v>1.4212</v>
      </c>
      <c r="J3994" s="6">
        <v>-0.5022</v>
      </c>
    </row>
    <row r="3995">
      <c r="A3995" s="5" t="s">
        <v>60</v>
      </c>
      <c r="B3995" s="5" t="s">
        <v>1867</v>
      </c>
      <c r="C3995" s="5" t="s">
        <v>69</v>
      </c>
      <c r="D3995" s="6">
        <v>1.0</v>
      </c>
      <c r="E3995" s="6">
        <v>1491.0</v>
      </c>
      <c r="F3995" s="6">
        <v>2091.0</v>
      </c>
      <c r="G3995" s="6">
        <v>1788.0</v>
      </c>
      <c r="H3995" s="6">
        <v>0.8339</v>
      </c>
      <c r="I3995" s="6">
        <v>1.1695</v>
      </c>
      <c r="J3995" s="6">
        <v>-0.3356</v>
      </c>
    </row>
    <row r="3996">
      <c r="A3996" s="5" t="s">
        <v>60</v>
      </c>
      <c r="B3996" s="5" t="s">
        <v>1867</v>
      </c>
      <c r="C3996" s="5" t="s">
        <v>69</v>
      </c>
      <c r="D3996" s="6">
        <v>2.0</v>
      </c>
      <c r="E3996" s="6">
        <v>1441.0</v>
      </c>
      <c r="F3996" s="6">
        <v>1949.0</v>
      </c>
      <c r="G3996" s="6">
        <v>1788.0</v>
      </c>
      <c r="H3996" s="6">
        <v>0.8059</v>
      </c>
      <c r="I3996" s="6">
        <v>1.09</v>
      </c>
      <c r="J3996" s="6">
        <v>-0.2841</v>
      </c>
    </row>
    <row r="3997">
      <c r="A3997" s="5" t="s">
        <v>60</v>
      </c>
      <c r="B3997" s="5" t="s">
        <v>1867</v>
      </c>
      <c r="C3997" s="5" t="s">
        <v>69</v>
      </c>
      <c r="D3997" s="6">
        <v>3.0</v>
      </c>
      <c r="E3997" s="6">
        <v>2036.0</v>
      </c>
      <c r="F3997" s="6">
        <v>2325.0</v>
      </c>
      <c r="G3997" s="6">
        <v>1788.0</v>
      </c>
      <c r="H3997" s="6">
        <v>1.1387</v>
      </c>
      <c r="I3997" s="6">
        <v>1.3003</v>
      </c>
      <c r="J3997" s="6">
        <v>-0.1616</v>
      </c>
    </row>
    <row r="3998">
      <c r="A3998" s="5" t="s">
        <v>60</v>
      </c>
      <c r="B3998" s="5" t="s">
        <v>1867</v>
      </c>
      <c r="C3998" s="5" t="s">
        <v>69</v>
      </c>
      <c r="D3998" s="6">
        <v>4.0</v>
      </c>
      <c r="E3998" s="6">
        <v>1770.0</v>
      </c>
      <c r="F3998" s="6">
        <v>2190.0</v>
      </c>
      <c r="G3998" s="6">
        <v>1788.0</v>
      </c>
      <c r="H3998" s="6">
        <v>0.9899</v>
      </c>
      <c r="I3998" s="6">
        <v>1.2248</v>
      </c>
      <c r="J3998" s="6">
        <v>-0.2349</v>
      </c>
    </row>
    <row r="3999">
      <c r="A3999" s="5" t="s">
        <v>60</v>
      </c>
      <c r="B3999" s="5" t="s">
        <v>1867</v>
      </c>
      <c r="C3999" s="5" t="s">
        <v>69</v>
      </c>
      <c r="D3999" s="6">
        <v>5.0</v>
      </c>
      <c r="E3999" s="6">
        <v>2042.0</v>
      </c>
      <c r="F3999" s="6">
        <v>2543.0</v>
      </c>
      <c r="G3999" s="6">
        <v>1788.0</v>
      </c>
      <c r="H3999" s="6">
        <v>1.1421</v>
      </c>
      <c r="I3999" s="6">
        <v>1.4223</v>
      </c>
      <c r="J3999" s="6">
        <v>-0.2802</v>
      </c>
    </row>
    <row r="4000">
      <c r="A4000" s="5" t="s">
        <v>60</v>
      </c>
      <c r="B4000" s="5" t="s">
        <v>1867</v>
      </c>
      <c r="C4000" s="5" t="s">
        <v>69</v>
      </c>
      <c r="D4000" s="6">
        <v>6.0</v>
      </c>
      <c r="E4000" s="6">
        <v>2045.0</v>
      </c>
      <c r="F4000" s="6">
        <v>2620.0</v>
      </c>
      <c r="G4000" s="6">
        <v>1788.0</v>
      </c>
      <c r="H4000" s="6">
        <v>1.1437</v>
      </c>
      <c r="I4000" s="6">
        <v>1.4653</v>
      </c>
      <c r="J4000" s="6">
        <v>-0.3216</v>
      </c>
    </row>
    <row r="4001">
      <c r="A4001" s="5" t="s">
        <v>60</v>
      </c>
      <c r="B4001" s="5" t="s">
        <v>1867</v>
      </c>
      <c r="C4001" s="5" t="s">
        <v>69</v>
      </c>
      <c r="D4001" s="6">
        <v>7.0</v>
      </c>
      <c r="E4001" s="6">
        <v>1859.0</v>
      </c>
      <c r="F4001" s="6">
        <v>2414.0</v>
      </c>
      <c r="G4001" s="6">
        <v>1788.0</v>
      </c>
      <c r="H4001" s="6">
        <v>1.0397</v>
      </c>
      <c r="I4001" s="6">
        <v>1.3501</v>
      </c>
      <c r="J4001" s="6">
        <v>-0.3104</v>
      </c>
    </row>
    <row r="4002">
      <c r="A4002" s="5" t="s">
        <v>60</v>
      </c>
      <c r="B4002" s="5" t="s">
        <v>1867</v>
      </c>
      <c r="C4002" s="5" t="s">
        <v>69</v>
      </c>
      <c r="D4002" s="6">
        <v>8.0</v>
      </c>
      <c r="E4002" s="6">
        <v>1828.0</v>
      </c>
      <c r="F4002" s="6">
        <v>2254.0</v>
      </c>
      <c r="G4002" s="6">
        <v>1788.0</v>
      </c>
      <c r="H4002" s="6">
        <v>1.0224</v>
      </c>
      <c r="I4002" s="6">
        <v>1.2606</v>
      </c>
      <c r="J4002" s="6">
        <v>-0.2383</v>
      </c>
    </row>
    <row r="4003">
      <c r="A4003" s="5" t="s">
        <v>60</v>
      </c>
      <c r="B4003" s="5" t="s">
        <v>1867</v>
      </c>
      <c r="C4003" s="5" t="s">
        <v>69</v>
      </c>
      <c r="D4003" s="6">
        <v>9.0</v>
      </c>
      <c r="E4003" s="6">
        <v>1403.0</v>
      </c>
      <c r="F4003" s="6">
        <v>2014.0</v>
      </c>
      <c r="G4003" s="6">
        <v>1788.0</v>
      </c>
      <c r="H4003" s="6">
        <v>0.7847</v>
      </c>
      <c r="I4003" s="6">
        <v>1.1264</v>
      </c>
      <c r="J4003" s="6">
        <v>-0.3417</v>
      </c>
    </row>
    <row r="4004">
      <c r="A4004" s="5" t="s">
        <v>60</v>
      </c>
      <c r="B4004" s="5" t="s">
        <v>1867</v>
      </c>
      <c r="C4004" s="5" t="s">
        <v>69</v>
      </c>
      <c r="D4004" s="6">
        <v>10.0</v>
      </c>
      <c r="E4004" s="6">
        <v>2233.0</v>
      </c>
      <c r="F4004" s="6">
        <v>2844.0</v>
      </c>
      <c r="G4004" s="6">
        <v>1788.0</v>
      </c>
      <c r="H4004" s="6">
        <v>1.2489</v>
      </c>
      <c r="I4004" s="6">
        <v>1.5906</v>
      </c>
      <c r="J4004" s="6">
        <v>-0.3417</v>
      </c>
    </row>
    <row r="4005">
      <c r="A4005" s="5" t="s">
        <v>60</v>
      </c>
      <c r="B4005" s="5" t="s">
        <v>1867</v>
      </c>
      <c r="C4005" s="5" t="s">
        <v>69</v>
      </c>
      <c r="D4005" s="6">
        <v>11.0</v>
      </c>
      <c r="E4005" s="6">
        <v>1927.0</v>
      </c>
      <c r="F4005" s="6">
        <v>2877.0</v>
      </c>
      <c r="G4005" s="6">
        <v>1788.0</v>
      </c>
      <c r="H4005" s="6">
        <v>1.0777</v>
      </c>
      <c r="I4005" s="6">
        <v>1.6091</v>
      </c>
      <c r="J4005" s="6">
        <v>-0.5313</v>
      </c>
    </row>
    <row r="4006">
      <c r="A4006" s="5" t="s">
        <v>60</v>
      </c>
      <c r="B4006" s="5" t="s">
        <v>1867</v>
      </c>
      <c r="C4006" s="5" t="s">
        <v>69</v>
      </c>
      <c r="D4006" s="6">
        <v>12.0</v>
      </c>
      <c r="E4006" s="6">
        <v>2160.0</v>
      </c>
      <c r="F4006" s="6">
        <v>2953.0</v>
      </c>
      <c r="G4006" s="6">
        <v>1788.0</v>
      </c>
      <c r="H4006" s="6">
        <v>1.2081</v>
      </c>
      <c r="I4006" s="6">
        <v>1.6516</v>
      </c>
      <c r="J4006" s="6">
        <v>-0.4435</v>
      </c>
    </row>
    <row r="4007">
      <c r="A4007" s="5" t="s">
        <v>60</v>
      </c>
      <c r="B4007" s="5" t="s">
        <v>1867</v>
      </c>
      <c r="C4007" s="5" t="s">
        <v>69</v>
      </c>
      <c r="D4007" s="6">
        <v>13.0</v>
      </c>
      <c r="E4007" s="6">
        <v>2206.0</v>
      </c>
      <c r="F4007" s="6">
        <v>2941.0</v>
      </c>
      <c r="G4007" s="6">
        <v>1788.0</v>
      </c>
      <c r="H4007" s="6">
        <v>1.2338</v>
      </c>
      <c r="I4007" s="6">
        <v>1.6449</v>
      </c>
      <c r="J4007" s="6">
        <v>-0.4111</v>
      </c>
    </row>
    <row r="4008">
      <c r="A4008" s="5" t="s">
        <v>60</v>
      </c>
      <c r="B4008" s="5" t="s">
        <v>1867</v>
      </c>
      <c r="C4008" s="5" t="s">
        <v>69</v>
      </c>
      <c r="D4008" s="6">
        <v>14.0</v>
      </c>
      <c r="E4008" s="6">
        <v>1934.0</v>
      </c>
      <c r="F4008" s="6">
        <v>2597.0</v>
      </c>
      <c r="G4008" s="6">
        <v>1788.0</v>
      </c>
      <c r="H4008" s="6">
        <v>1.0817</v>
      </c>
      <c r="I4008" s="6">
        <v>1.4525</v>
      </c>
      <c r="J4008" s="6">
        <v>-0.3708</v>
      </c>
    </row>
    <row r="4009">
      <c r="A4009" s="5" t="s">
        <v>60</v>
      </c>
      <c r="B4009" s="5" t="s">
        <v>1867</v>
      </c>
      <c r="C4009" s="5" t="s">
        <v>69</v>
      </c>
      <c r="D4009" s="6">
        <v>15.0</v>
      </c>
      <c r="E4009" s="6">
        <v>1938.0</v>
      </c>
      <c r="F4009" s="6">
        <v>2782.0</v>
      </c>
      <c r="G4009" s="6">
        <v>1788.0</v>
      </c>
      <c r="H4009" s="6">
        <v>1.0839</v>
      </c>
      <c r="I4009" s="6">
        <v>1.5559</v>
      </c>
      <c r="J4009" s="6">
        <v>-0.472</v>
      </c>
    </row>
    <row r="4010">
      <c r="A4010" s="5" t="s">
        <v>60</v>
      </c>
      <c r="B4010" s="5" t="s">
        <v>1867</v>
      </c>
      <c r="C4010" s="5" t="s">
        <v>69</v>
      </c>
      <c r="D4010" s="6">
        <v>16.0</v>
      </c>
      <c r="E4010" s="6">
        <v>1914.0</v>
      </c>
      <c r="F4010" s="6">
        <v>2395.0</v>
      </c>
      <c r="G4010" s="6">
        <v>1788.0</v>
      </c>
      <c r="H4010" s="6">
        <v>1.0705</v>
      </c>
      <c r="I4010" s="6">
        <v>1.3395</v>
      </c>
      <c r="J4010" s="6">
        <v>-0.269</v>
      </c>
    </row>
    <row r="4011">
      <c r="A4011" s="5" t="s">
        <v>60</v>
      </c>
      <c r="B4011" s="5" t="s">
        <v>1867</v>
      </c>
      <c r="C4011" s="5" t="s">
        <v>69</v>
      </c>
      <c r="D4011" s="6">
        <v>17.0</v>
      </c>
      <c r="E4011" s="6">
        <v>2563.0</v>
      </c>
      <c r="F4011" s="6">
        <v>3033.0</v>
      </c>
      <c r="G4011" s="6">
        <v>1788.0</v>
      </c>
      <c r="H4011" s="6">
        <v>1.4334</v>
      </c>
      <c r="I4011" s="6">
        <v>1.6963</v>
      </c>
      <c r="J4011" s="6">
        <v>-0.2629</v>
      </c>
    </row>
    <row r="4012">
      <c r="A4012" s="5" t="s">
        <v>60</v>
      </c>
      <c r="B4012" s="5" t="s">
        <v>1867</v>
      </c>
      <c r="C4012" s="5" t="s">
        <v>69</v>
      </c>
      <c r="D4012" s="6">
        <v>18.0</v>
      </c>
      <c r="E4012" s="6">
        <v>2215.0</v>
      </c>
      <c r="F4012" s="6">
        <v>2997.0</v>
      </c>
      <c r="G4012" s="6">
        <v>1788.0</v>
      </c>
      <c r="H4012" s="6">
        <v>1.2388</v>
      </c>
      <c r="I4012" s="6">
        <v>1.6762</v>
      </c>
      <c r="J4012" s="6">
        <v>-0.4374</v>
      </c>
    </row>
    <row r="4013">
      <c r="A4013" s="5" t="s">
        <v>60</v>
      </c>
      <c r="B4013" s="5" t="s">
        <v>1867</v>
      </c>
      <c r="C4013" s="5" t="s">
        <v>69</v>
      </c>
      <c r="D4013" s="6">
        <v>19.0</v>
      </c>
      <c r="E4013" s="6">
        <v>2566.0</v>
      </c>
      <c r="F4013" s="6">
        <v>3250.0</v>
      </c>
      <c r="G4013" s="6">
        <v>1788.0</v>
      </c>
      <c r="H4013" s="6">
        <v>1.4351</v>
      </c>
      <c r="I4013" s="6">
        <v>1.8177</v>
      </c>
      <c r="J4013" s="6">
        <v>-0.3826</v>
      </c>
    </row>
    <row r="4014">
      <c r="A4014" s="5" t="s">
        <v>60</v>
      </c>
      <c r="B4014" s="5" t="s">
        <v>1867</v>
      </c>
      <c r="C4014" s="5" t="s">
        <v>69</v>
      </c>
      <c r="D4014" s="6">
        <v>20.0</v>
      </c>
      <c r="E4014" s="6">
        <v>2779.0</v>
      </c>
      <c r="F4014" s="6">
        <v>3426.0</v>
      </c>
      <c r="G4014" s="6">
        <v>1788.0</v>
      </c>
      <c r="H4014" s="6">
        <v>1.5543</v>
      </c>
      <c r="I4014" s="6">
        <v>1.9161</v>
      </c>
      <c r="J4014" s="6">
        <v>-0.3619</v>
      </c>
    </row>
    <row r="4015">
      <c r="A4015" s="5" t="s">
        <v>60</v>
      </c>
      <c r="B4015" s="5" t="s">
        <v>1867</v>
      </c>
      <c r="C4015" s="5" t="s">
        <v>69</v>
      </c>
      <c r="D4015" s="6">
        <v>21.0</v>
      </c>
      <c r="E4015" s="6">
        <v>3449.0</v>
      </c>
      <c r="F4015" s="6">
        <v>3301.0</v>
      </c>
      <c r="G4015" s="6">
        <v>1788.0</v>
      </c>
      <c r="H4015" s="6">
        <v>1.929</v>
      </c>
      <c r="I4015" s="6">
        <v>1.8462</v>
      </c>
      <c r="J4015" s="6">
        <v>0.0828</v>
      </c>
    </row>
    <row r="4016">
      <c r="A4016" s="5" t="s">
        <v>60</v>
      </c>
      <c r="B4016" s="5" t="s">
        <v>1867</v>
      </c>
      <c r="C4016" s="5" t="s">
        <v>69</v>
      </c>
      <c r="D4016" s="6">
        <v>22.0</v>
      </c>
      <c r="E4016" s="6">
        <v>2955.0</v>
      </c>
      <c r="F4016" s="6">
        <v>3427.0</v>
      </c>
      <c r="G4016" s="6">
        <v>1788.0</v>
      </c>
      <c r="H4016" s="6">
        <v>1.6527</v>
      </c>
      <c r="I4016" s="6">
        <v>1.9167</v>
      </c>
      <c r="J4016" s="6">
        <v>-0.264</v>
      </c>
    </row>
    <row r="4017">
      <c r="A4017" s="5" t="s">
        <v>60</v>
      </c>
      <c r="B4017" s="5" t="s">
        <v>1867</v>
      </c>
      <c r="C4017" s="5" t="s">
        <v>69</v>
      </c>
      <c r="D4017" s="6">
        <v>23.0</v>
      </c>
      <c r="E4017" s="6">
        <v>2422.0</v>
      </c>
      <c r="F4017" s="6">
        <v>3121.0</v>
      </c>
      <c r="G4017" s="6">
        <v>1788.0</v>
      </c>
      <c r="H4017" s="6">
        <v>1.3546</v>
      </c>
      <c r="I4017" s="6">
        <v>1.7455</v>
      </c>
      <c r="J4017" s="6">
        <v>-0.3909</v>
      </c>
    </row>
    <row r="4018">
      <c r="A4018" s="5" t="s">
        <v>60</v>
      </c>
      <c r="B4018" s="5" t="s">
        <v>1867</v>
      </c>
      <c r="C4018" s="5" t="s">
        <v>69</v>
      </c>
      <c r="D4018" s="6">
        <v>24.0</v>
      </c>
      <c r="E4018" s="6">
        <v>3055.0</v>
      </c>
      <c r="F4018" s="6">
        <v>3799.0</v>
      </c>
      <c r="G4018" s="6">
        <v>1788.0</v>
      </c>
      <c r="H4018" s="6">
        <v>1.7086</v>
      </c>
      <c r="I4018" s="6">
        <v>2.1247</v>
      </c>
      <c r="J4018" s="6">
        <v>-0.4161</v>
      </c>
    </row>
    <row r="4019">
      <c r="A4019" s="5" t="s">
        <v>60</v>
      </c>
      <c r="B4019" s="5" t="s">
        <v>1867</v>
      </c>
      <c r="C4019" s="5" t="s">
        <v>69</v>
      </c>
      <c r="D4019" s="6">
        <v>25.0</v>
      </c>
      <c r="E4019" s="6">
        <v>2583.0</v>
      </c>
      <c r="F4019" s="6">
        <v>3556.0</v>
      </c>
      <c r="G4019" s="6">
        <v>1788.0</v>
      </c>
      <c r="H4019" s="6">
        <v>1.4446</v>
      </c>
      <c r="I4019" s="6">
        <v>1.9888</v>
      </c>
      <c r="J4019" s="6">
        <v>-0.5442</v>
      </c>
    </row>
    <row r="4020">
      <c r="A4020" s="5" t="s">
        <v>60</v>
      </c>
      <c r="B4020" s="5" t="s">
        <v>1867</v>
      </c>
      <c r="C4020" s="5" t="s">
        <v>69</v>
      </c>
      <c r="D4020" s="6">
        <v>26.0</v>
      </c>
      <c r="E4020" s="6">
        <v>3136.0</v>
      </c>
      <c r="F4020" s="6">
        <v>4231.0</v>
      </c>
      <c r="G4020" s="6">
        <v>1788.0</v>
      </c>
      <c r="H4020" s="6">
        <v>1.7539</v>
      </c>
      <c r="I4020" s="6">
        <v>2.3663</v>
      </c>
      <c r="J4020" s="6">
        <v>-0.6124</v>
      </c>
    </row>
    <row r="4021">
      <c r="A4021" s="5" t="s">
        <v>60</v>
      </c>
      <c r="B4021" s="5" t="s">
        <v>1867</v>
      </c>
      <c r="C4021" s="5" t="s">
        <v>69</v>
      </c>
      <c r="D4021" s="6">
        <v>27.0</v>
      </c>
      <c r="E4021" s="6">
        <v>3011.0</v>
      </c>
      <c r="F4021" s="6">
        <v>3571.0</v>
      </c>
      <c r="G4021" s="6">
        <v>1788.0</v>
      </c>
      <c r="H4021" s="6">
        <v>1.684</v>
      </c>
      <c r="I4021" s="6">
        <v>1.9972</v>
      </c>
      <c r="J4021" s="6">
        <v>-0.3132</v>
      </c>
    </row>
    <row r="4022">
      <c r="A4022" s="5" t="s">
        <v>60</v>
      </c>
      <c r="B4022" s="5" t="s">
        <v>1867</v>
      </c>
      <c r="C4022" s="5" t="s">
        <v>69</v>
      </c>
      <c r="D4022" s="6">
        <v>28.0</v>
      </c>
      <c r="E4022" s="6">
        <v>2444.0</v>
      </c>
      <c r="F4022" s="6">
        <v>3227.0</v>
      </c>
      <c r="G4022" s="6">
        <v>1788.0</v>
      </c>
      <c r="H4022" s="6">
        <v>1.3669</v>
      </c>
      <c r="I4022" s="6">
        <v>1.8048</v>
      </c>
      <c r="J4022" s="6">
        <v>-0.4379</v>
      </c>
    </row>
    <row r="4023">
      <c r="A4023" s="5" t="s">
        <v>60</v>
      </c>
      <c r="B4023" s="5" t="s">
        <v>1867</v>
      </c>
      <c r="C4023" s="5" t="s">
        <v>69</v>
      </c>
      <c r="D4023" s="6">
        <v>29.0</v>
      </c>
      <c r="E4023" s="6">
        <v>2586.0</v>
      </c>
      <c r="F4023" s="6">
        <v>3719.0</v>
      </c>
      <c r="G4023" s="6">
        <v>1788.0</v>
      </c>
      <c r="H4023" s="6">
        <v>1.4463</v>
      </c>
      <c r="I4023" s="6">
        <v>2.08</v>
      </c>
      <c r="J4023" s="6">
        <v>-0.6337</v>
      </c>
    </row>
    <row r="4024">
      <c r="A4024" s="5" t="s">
        <v>60</v>
      </c>
      <c r="B4024" s="5" t="s">
        <v>1867</v>
      </c>
      <c r="C4024" s="5" t="s">
        <v>69</v>
      </c>
      <c r="D4024" s="6">
        <v>30.0</v>
      </c>
      <c r="E4024" s="6">
        <v>2726.0</v>
      </c>
      <c r="F4024" s="6">
        <v>3348.0</v>
      </c>
      <c r="G4024" s="6">
        <v>1788.0</v>
      </c>
      <c r="H4024" s="6">
        <v>1.5246</v>
      </c>
      <c r="I4024" s="6">
        <v>1.8725</v>
      </c>
      <c r="J4024" s="6">
        <v>-0.3479</v>
      </c>
    </row>
    <row r="4025">
      <c r="A4025" s="5" t="s">
        <v>60</v>
      </c>
      <c r="B4025" s="5" t="s">
        <v>1867</v>
      </c>
      <c r="C4025" s="5" t="s">
        <v>69</v>
      </c>
      <c r="D4025" s="6">
        <v>31.0</v>
      </c>
      <c r="E4025" s="6">
        <v>3476.0</v>
      </c>
      <c r="F4025" s="6">
        <v>3682.0</v>
      </c>
      <c r="G4025" s="6">
        <v>1788.0</v>
      </c>
      <c r="H4025" s="6">
        <v>1.9441</v>
      </c>
      <c r="I4025" s="6">
        <v>2.0593</v>
      </c>
      <c r="J4025" s="6">
        <v>-0.1152</v>
      </c>
    </row>
    <row r="4026">
      <c r="A4026" s="5" t="s">
        <v>60</v>
      </c>
      <c r="B4026" s="5" t="s">
        <v>1867</v>
      </c>
      <c r="C4026" s="5" t="s">
        <v>69</v>
      </c>
      <c r="D4026" s="6">
        <v>32.0</v>
      </c>
      <c r="E4026" s="6">
        <v>3069.0</v>
      </c>
      <c r="F4026" s="6">
        <v>3962.0</v>
      </c>
      <c r="G4026" s="6">
        <v>1788.0</v>
      </c>
      <c r="H4026" s="6">
        <v>1.7164</v>
      </c>
      <c r="I4026" s="6">
        <v>2.2159</v>
      </c>
      <c r="J4026" s="6">
        <v>-0.4994</v>
      </c>
    </row>
    <row r="4027">
      <c r="A4027" s="5" t="s">
        <v>60</v>
      </c>
      <c r="B4027" s="5" t="s">
        <v>1867</v>
      </c>
      <c r="C4027" s="5" t="s">
        <v>69</v>
      </c>
      <c r="D4027" s="6">
        <v>33.0</v>
      </c>
      <c r="E4027" s="6">
        <v>3513.0</v>
      </c>
      <c r="F4027" s="6">
        <v>4603.0</v>
      </c>
      <c r="G4027" s="6">
        <v>1788.0</v>
      </c>
      <c r="H4027" s="6">
        <v>1.9648</v>
      </c>
      <c r="I4027" s="6">
        <v>2.5744</v>
      </c>
      <c r="J4027" s="6">
        <v>-0.6096</v>
      </c>
    </row>
    <row r="4028">
      <c r="A4028" s="5" t="s">
        <v>60</v>
      </c>
      <c r="B4028" s="5" t="s">
        <v>1867</v>
      </c>
      <c r="C4028" s="5" t="s">
        <v>70</v>
      </c>
      <c r="D4028" s="6">
        <v>1.0</v>
      </c>
      <c r="E4028" s="6">
        <v>1518.0</v>
      </c>
      <c r="F4028" s="6">
        <v>2086.0</v>
      </c>
      <c r="G4028" s="6">
        <v>1790.0</v>
      </c>
      <c r="H4028" s="6">
        <v>0.848</v>
      </c>
      <c r="I4028" s="6">
        <v>1.1654</v>
      </c>
      <c r="J4028" s="6">
        <v>-0.3173</v>
      </c>
    </row>
    <row r="4029">
      <c r="A4029" s="5" t="s">
        <v>60</v>
      </c>
      <c r="B4029" s="5" t="s">
        <v>1867</v>
      </c>
      <c r="C4029" s="5" t="s">
        <v>70</v>
      </c>
      <c r="D4029" s="6">
        <v>2.0</v>
      </c>
      <c r="E4029" s="6">
        <v>1422.0</v>
      </c>
      <c r="F4029" s="6">
        <v>1946.0</v>
      </c>
      <c r="G4029" s="6">
        <v>1790.0</v>
      </c>
      <c r="H4029" s="6">
        <v>0.7944</v>
      </c>
      <c r="I4029" s="6">
        <v>1.0872</v>
      </c>
      <c r="J4029" s="6">
        <v>-0.2927</v>
      </c>
    </row>
    <row r="4030">
      <c r="A4030" s="5" t="s">
        <v>60</v>
      </c>
      <c r="B4030" s="5" t="s">
        <v>1867</v>
      </c>
      <c r="C4030" s="5" t="s">
        <v>70</v>
      </c>
      <c r="D4030" s="6">
        <v>3.0</v>
      </c>
      <c r="E4030" s="6">
        <v>2086.0</v>
      </c>
      <c r="F4030" s="6">
        <v>2433.0</v>
      </c>
      <c r="G4030" s="6">
        <v>1790.0</v>
      </c>
      <c r="H4030" s="6">
        <v>1.1654</v>
      </c>
      <c r="I4030" s="6">
        <v>1.3592</v>
      </c>
      <c r="J4030" s="6">
        <v>-0.1939</v>
      </c>
    </row>
    <row r="4031">
      <c r="A4031" s="5" t="s">
        <v>60</v>
      </c>
      <c r="B4031" s="5" t="s">
        <v>1867</v>
      </c>
      <c r="C4031" s="5" t="s">
        <v>70</v>
      </c>
      <c r="D4031" s="6">
        <v>4.0</v>
      </c>
      <c r="E4031" s="6">
        <v>1789.0</v>
      </c>
      <c r="F4031" s="6">
        <v>2217.0</v>
      </c>
      <c r="G4031" s="6">
        <v>1790.0</v>
      </c>
      <c r="H4031" s="6">
        <v>0.9994</v>
      </c>
      <c r="I4031" s="6">
        <v>1.2385</v>
      </c>
      <c r="J4031" s="6">
        <v>-0.2391</v>
      </c>
    </row>
    <row r="4032">
      <c r="A4032" s="5" t="s">
        <v>60</v>
      </c>
      <c r="B4032" s="5" t="s">
        <v>1867</v>
      </c>
      <c r="C4032" s="5" t="s">
        <v>70</v>
      </c>
      <c r="D4032" s="6">
        <v>5.0</v>
      </c>
      <c r="E4032" s="6">
        <v>2092.0</v>
      </c>
      <c r="F4032" s="6">
        <v>2602.0</v>
      </c>
      <c r="G4032" s="6">
        <v>1790.0</v>
      </c>
      <c r="H4032" s="6">
        <v>1.1687</v>
      </c>
      <c r="I4032" s="6">
        <v>1.4536</v>
      </c>
      <c r="J4032" s="6">
        <v>-0.2849</v>
      </c>
    </row>
    <row r="4033">
      <c r="A4033" s="5" t="s">
        <v>60</v>
      </c>
      <c r="B4033" s="5" t="s">
        <v>1867</v>
      </c>
      <c r="C4033" s="5" t="s">
        <v>70</v>
      </c>
      <c r="D4033" s="6">
        <v>6.0</v>
      </c>
      <c r="E4033" s="6">
        <v>2102.0</v>
      </c>
      <c r="F4033" s="6">
        <v>2747.0</v>
      </c>
      <c r="G4033" s="6">
        <v>1790.0</v>
      </c>
      <c r="H4033" s="6">
        <v>1.1743</v>
      </c>
      <c r="I4033" s="6">
        <v>1.5346</v>
      </c>
      <c r="J4033" s="6">
        <v>-0.3603</v>
      </c>
    </row>
    <row r="4034">
      <c r="A4034" s="5" t="s">
        <v>60</v>
      </c>
      <c r="B4034" s="5" t="s">
        <v>1867</v>
      </c>
      <c r="C4034" s="5" t="s">
        <v>70</v>
      </c>
      <c r="D4034" s="6">
        <v>7.0</v>
      </c>
      <c r="E4034" s="6">
        <v>1823.0</v>
      </c>
      <c r="F4034" s="6">
        <v>2481.0</v>
      </c>
      <c r="G4034" s="6">
        <v>1790.0</v>
      </c>
      <c r="H4034" s="6">
        <v>1.0184</v>
      </c>
      <c r="I4034" s="6">
        <v>1.386</v>
      </c>
      <c r="J4034" s="6">
        <v>-0.3676</v>
      </c>
    </row>
    <row r="4035">
      <c r="A4035" s="5" t="s">
        <v>60</v>
      </c>
      <c r="B4035" s="5" t="s">
        <v>1867</v>
      </c>
      <c r="C4035" s="5" t="s">
        <v>70</v>
      </c>
      <c r="D4035" s="6">
        <v>8.0</v>
      </c>
      <c r="E4035" s="6">
        <v>1817.0</v>
      </c>
      <c r="F4035" s="6">
        <v>2322.0</v>
      </c>
      <c r="G4035" s="6">
        <v>1790.0</v>
      </c>
      <c r="H4035" s="6">
        <v>1.0151</v>
      </c>
      <c r="I4035" s="6">
        <v>1.2972</v>
      </c>
      <c r="J4035" s="6">
        <v>-0.2821</v>
      </c>
    </row>
    <row r="4036">
      <c r="A4036" s="5" t="s">
        <v>60</v>
      </c>
      <c r="B4036" s="5" t="s">
        <v>1867</v>
      </c>
      <c r="C4036" s="5" t="s">
        <v>70</v>
      </c>
      <c r="D4036" s="6">
        <v>9.0</v>
      </c>
      <c r="E4036" s="6">
        <v>1463.0</v>
      </c>
      <c r="F4036" s="6">
        <v>1990.0</v>
      </c>
      <c r="G4036" s="6">
        <v>1790.0</v>
      </c>
      <c r="H4036" s="6">
        <v>0.8173</v>
      </c>
      <c r="I4036" s="6">
        <v>1.1117</v>
      </c>
      <c r="J4036" s="6">
        <v>-0.2944</v>
      </c>
    </row>
    <row r="4037">
      <c r="A4037" s="5" t="s">
        <v>60</v>
      </c>
      <c r="B4037" s="5" t="s">
        <v>1867</v>
      </c>
      <c r="C4037" s="5" t="s">
        <v>70</v>
      </c>
      <c r="D4037" s="6">
        <v>10.0</v>
      </c>
      <c r="E4037" s="6">
        <v>2276.0</v>
      </c>
      <c r="F4037" s="6">
        <v>2838.0</v>
      </c>
      <c r="G4037" s="6">
        <v>1790.0</v>
      </c>
      <c r="H4037" s="6">
        <v>1.2715</v>
      </c>
      <c r="I4037" s="6">
        <v>1.5855</v>
      </c>
      <c r="J4037" s="6">
        <v>-0.314</v>
      </c>
    </row>
    <row r="4038">
      <c r="A4038" s="5" t="s">
        <v>60</v>
      </c>
      <c r="B4038" s="5" t="s">
        <v>1867</v>
      </c>
      <c r="C4038" s="5" t="s">
        <v>70</v>
      </c>
      <c r="D4038" s="6">
        <v>11.0</v>
      </c>
      <c r="E4038" s="6">
        <v>1999.0</v>
      </c>
      <c r="F4038" s="6">
        <v>3008.0</v>
      </c>
      <c r="G4038" s="6">
        <v>1790.0</v>
      </c>
      <c r="H4038" s="6">
        <v>1.1168</v>
      </c>
      <c r="I4038" s="6">
        <v>1.6804</v>
      </c>
      <c r="J4038" s="6">
        <v>-0.5637</v>
      </c>
    </row>
    <row r="4039">
      <c r="A4039" s="5" t="s">
        <v>60</v>
      </c>
      <c r="B4039" s="5" t="s">
        <v>1867</v>
      </c>
      <c r="C4039" s="5" t="s">
        <v>70</v>
      </c>
      <c r="D4039" s="6">
        <v>12.0</v>
      </c>
      <c r="E4039" s="6">
        <v>2218.0</v>
      </c>
      <c r="F4039" s="6">
        <v>2986.0</v>
      </c>
      <c r="G4039" s="6">
        <v>1790.0</v>
      </c>
      <c r="H4039" s="6">
        <v>1.2391</v>
      </c>
      <c r="I4039" s="6">
        <v>1.6682</v>
      </c>
      <c r="J4039" s="6">
        <v>-0.4291</v>
      </c>
    </row>
    <row r="4040">
      <c r="A4040" s="5" t="s">
        <v>60</v>
      </c>
      <c r="B4040" s="5" t="s">
        <v>1867</v>
      </c>
      <c r="C4040" s="5" t="s">
        <v>70</v>
      </c>
      <c r="D4040" s="6">
        <v>13.0</v>
      </c>
      <c r="E4040" s="6">
        <v>2349.0</v>
      </c>
      <c r="F4040" s="6">
        <v>3047.0</v>
      </c>
      <c r="G4040" s="6">
        <v>1790.0</v>
      </c>
      <c r="H4040" s="6">
        <v>1.3123</v>
      </c>
      <c r="I4040" s="6">
        <v>1.7022</v>
      </c>
      <c r="J4040" s="6">
        <v>-0.3899</v>
      </c>
    </row>
    <row r="4041">
      <c r="A4041" s="5" t="s">
        <v>60</v>
      </c>
      <c r="B4041" s="5" t="s">
        <v>1867</v>
      </c>
      <c r="C4041" s="5" t="s">
        <v>70</v>
      </c>
      <c r="D4041" s="6">
        <v>14.0</v>
      </c>
      <c r="E4041" s="6">
        <v>1952.0</v>
      </c>
      <c r="F4041" s="6">
        <v>2652.0</v>
      </c>
      <c r="G4041" s="6">
        <v>1790.0</v>
      </c>
      <c r="H4041" s="6">
        <v>1.0905</v>
      </c>
      <c r="I4041" s="6">
        <v>1.4816</v>
      </c>
      <c r="J4041" s="6">
        <v>-0.3911</v>
      </c>
    </row>
    <row r="4042">
      <c r="A4042" s="5" t="s">
        <v>60</v>
      </c>
      <c r="B4042" s="5" t="s">
        <v>1867</v>
      </c>
      <c r="C4042" s="5" t="s">
        <v>70</v>
      </c>
      <c r="D4042" s="6">
        <v>15.0</v>
      </c>
      <c r="E4042" s="6">
        <v>2014.0</v>
      </c>
      <c r="F4042" s="6">
        <v>2832.0</v>
      </c>
      <c r="G4042" s="6">
        <v>1790.0</v>
      </c>
      <c r="H4042" s="6">
        <v>1.1251</v>
      </c>
      <c r="I4042" s="6">
        <v>1.5821</v>
      </c>
      <c r="J4042" s="6">
        <v>-0.457</v>
      </c>
    </row>
    <row r="4043">
      <c r="A4043" s="5" t="s">
        <v>60</v>
      </c>
      <c r="B4043" s="5" t="s">
        <v>1867</v>
      </c>
      <c r="C4043" s="5" t="s">
        <v>70</v>
      </c>
      <c r="D4043" s="6">
        <v>16.0</v>
      </c>
      <c r="E4043" s="6">
        <v>1878.0</v>
      </c>
      <c r="F4043" s="6">
        <v>2445.0</v>
      </c>
      <c r="G4043" s="6">
        <v>1790.0</v>
      </c>
      <c r="H4043" s="6">
        <v>1.0492</v>
      </c>
      <c r="I4043" s="6">
        <v>1.3659</v>
      </c>
      <c r="J4043" s="6">
        <v>-0.3168</v>
      </c>
    </row>
    <row r="4044">
      <c r="A4044" s="5" t="s">
        <v>60</v>
      </c>
      <c r="B4044" s="5" t="s">
        <v>1867</v>
      </c>
      <c r="C4044" s="5" t="s">
        <v>70</v>
      </c>
      <c r="D4044" s="6">
        <v>17.0</v>
      </c>
      <c r="E4044" s="6">
        <v>2525.0</v>
      </c>
      <c r="F4044" s="6">
        <v>3058.0</v>
      </c>
      <c r="G4044" s="6">
        <v>1790.0</v>
      </c>
      <c r="H4044" s="6">
        <v>1.4106</v>
      </c>
      <c r="I4044" s="6">
        <v>1.7084</v>
      </c>
      <c r="J4044" s="6">
        <v>-0.2978</v>
      </c>
    </row>
    <row r="4045">
      <c r="A4045" s="5" t="s">
        <v>60</v>
      </c>
      <c r="B4045" s="5" t="s">
        <v>1867</v>
      </c>
      <c r="C4045" s="5" t="s">
        <v>70</v>
      </c>
      <c r="D4045" s="6">
        <v>18.0</v>
      </c>
      <c r="E4045" s="6">
        <v>2239.0</v>
      </c>
      <c r="F4045" s="6">
        <v>3101.0</v>
      </c>
      <c r="G4045" s="6">
        <v>1790.0</v>
      </c>
      <c r="H4045" s="6">
        <v>1.2508</v>
      </c>
      <c r="I4045" s="6">
        <v>1.7324</v>
      </c>
      <c r="J4045" s="6">
        <v>-0.4816</v>
      </c>
    </row>
    <row r="4046">
      <c r="A4046" s="5" t="s">
        <v>60</v>
      </c>
      <c r="B4046" s="5" t="s">
        <v>1867</v>
      </c>
      <c r="C4046" s="5" t="s">
        <v>70</v>
      </c>
      <c r="D4046" s="6">
        <v>19.0</v>
      </c>
      <c r="E4046" s="6">
        <v>2577.0</v>
      </c>
      <c r="F4046" s="6">
        <v>3248.0</v>
      </c>
      <c r="G4046" s="6">
        <v>1790.0</v>
      </c>
      <c r="H4046" s="6">
        <v>1.4397</v>
      </c>
      <c r="I4046" s="6">
        <v>1.8145</v>
      </c>
      <c r="J4046" s="6">
        <v>-0.3749</v>
      </c>
    </row>
    <row r="4047">
      <c r="A4047" s="5" t="s">
        <v>60</v>
      </c>
      <c r="B4047" s="5" t="s">
        <v>1867</v>
      </c>
      <c r="C4047" s="5" t="s">
        <v>70</v>
      </c>
      <c r="D4047" s="6">
        <v>20.0</v>
      </c>
      <c r="E4047" s="6">
        <v>2963.0</v>
      </c>
      <c r="F4047" s="6">
        <v>3651.0</v>
      </c>
      <c r="G4047" s="6">
        <v>1790.0</v>
      </c>
      <c r="H4047" s="6">
        <v>1.6553</v>
      </c>
      <c r="I4047" s="6">
        <v>2.0397</v>
      </c>
      <c r="J4047" s="6">
        <v>-0.3844</v>
      </c>
    </row>
    <row r="4048">
      <c r="A4048" s="5" t="s">
        <v>60</v>
      </c>
      <c r="B4048" s="5" t="s">
        <v>1867</v>
      </c>
      <c r="C4048" s="5" t="s">
        <v>70</v>
      </c>
      <c r="D4048" s="6">
        <v>21.0</v>
      </c>
      <c r="E4048" s="6">
        <v>3458.0</v>
      </c>
      <c r="F4048" s="6">
        <v>3301.0</v>
      </c>
      <c r="G4048" s="6">
        <v>1790.0</v>
      </c>
      <c r="H4048" s="6">
        <v>1.9318</v>
      </c>
      <c r="I4048" s="6">
        <v>1.8441</v>
      </c>
      <c r="J4048" s="6">
        <v>0.0877</v>
      </c>
    </row>
    <row r="4049">
      <c r="A4049" s="5" t="s">
        <v>60</v>
      </c>
      <c r="B4049" s="5" t="s">
        <v>1867</v>
      </c>
      <c r="C4049" s="5" t="s">
        <v>70</v>
      </c>
      <c r="D4049" s="6">
        <v>22.0</v>
      </c>
      <c r="E4049" s="6">
        <v>3036.0</v>
      </c>
      <c r="F4049" s="6">
        <v>3498.0</v>
      </c>
      <c r="G4049" s="6">
        <v>1790.0</v>
      </c>
      <c r="H4049" s="6">
        <v>1.6961</v>
      </c>
      <c r="I4049" s="6">
        <v>1.9542</v>
      </c>
      <c r="J4049" s="6">
        <v>-0.2581</v>
      </c>
    </row>
    <row r="4050">
      <c r="A4050" s="5" t="s">
        <v>60</v>
      </c>
      <c r="B4050" s="5" t="s">
        <v>1867</v>
      </c>
      <c r="C4050" s="5" t="s">
        <v>70</v>
      </c>
      <c r="D4050" s="6">
        <v>23.0</v>
      </c>
      <c r="E4050" s="6">
        <v>2510.0</v>
      </c>
      <c r="F4050" s="6">
        <v>3166.0</v>
      </c>
      <c r="G4050" s="6">
        <v>1790.0</v>
      </c>
      <c r="H4050" s="6">
        <v>1.4022</v>
      </c>
      <c r="I4050" s="6">
        <v>1.7687</v>
      </c>
      <c r="J4050" s="6">
        <v>-0.3665</v>
      </c>
    </row>
    <row r="4051">
      <c r="A4051" s="5" t="s">
        <v>60</v>
      </c>
      <c r="B4051" s="5" t="s">
        <v>1867</v>
      </c>
      <c r="C4051" s="5" t="s">
        <v>70</v>
      </c>
      <c r="D4051" s="6">
        <v>24.0</v>
      </c>
      <c r="E4051" s="6">
        <v>3161.0</v>
      </c>
      <c r="F4051" s="6">
        <v>3858.0</v>
      </c>
      <c r="G4051" s="6">
        <v>1790.0</v>
      </c>
      <c r="H4051" s="6">
        <v>1.7659</v>
      </c>
      <c r="I4051" s="6">
        <v>2.1553</v>
      </c>
      <c r="J4051" s="6">
        <v>-0.3894</v>
      </c>
    </row>
    <row r="4052">
      <c r="A4052" s="5" t="s">
        <v>60</v>
      </c>
      <c r="B4052" s="5" t="s">
        <v>1867</v>
      </c>
      <c r="C4052" s="5" t="s">
        <v>70</v>
      </c>
      <c r="D4052" s="6">
        <v>25.0</v>
      </c>
      <c r="E4052" s="6">
        <v>2641.0</v>
      </c>
      <c r="F4052" s="6">
        <v>3511.0</v>
      </c>
      <c r="G4052" s="6">
        <v>1790.0</v>
      </c>
      <c r="H4052" s="6">
        <v>1.4754</v>
      </c>
      <c r="I4052" s="6">
        <v>1.9615</v>
      </c>
      <c r="J4052" s="6">
        <v>-0.486</v>
      </c>
    </row>
    <row r="4053">
      <c r="A4053" s="5" t="s">
        <v>60</v>
      </c>
      <c r="B4053" s="5" t="s">
        <v>1867</v>
      </c>
      <c r="C4053" s="5" t="s">
        <v>70</v>
      </c>
      <c r="D4053" s="6">
        <v>26.0</v>
      </c>
      <c r="E4053" s="6">
        <v>3207.0</v>
      </c>
      <c r="F4053" s="6">
        <v>4237.0</v>
      </c>
      <c r="G4053" s="6">
        <v>1790.0</v>
      </c>
      <c r="H4053" s="6">
        <v>1.7916</v>
      </c>
      <c r="I4053" s="6">
        <v>2.367</v>
      </c>
      <c r="J4053" s="6">
        <v>-0.5754</v>
      </c>
    </row>
    <row r="4054">
      <c r="A4054" s="5" t="s">
        <v>60</v>
      </c>
      <c r="B4054" s="5" t="s">
        <v>1867</v>
      </c>
      <c r="C4054" s="5" t="s">
        <v>70</v>
      </c>
      <c r="D4054" s="6">
        <v>27.0</v>
      </c>
      <c r="E4054" s="6">
        <v>3255.0</v>
      </c>
      <c r="F4054" s="6">
        <v>3763.0</v>
      </c>
      <c r="G4054" s="6">
        <v>1790.0</v>
      </c>
      <c r="H4054" s="6">
        <v>1.8184</v>
      </c>
      <c r="I4054" s="6">
        <v>2.1022</v>
      </c>
      <c r="J4054" s="6">
        <v>-0.2838</v>
      </c>
    </row>
    <row r="4055">
      <c r="A4055" s="5" t="s">
        <v>60</v>
      </c>
      <c r="B4055" s="5" t="s">
        <v>1867</v>
      </c>
      <c r="C4055" s="5" t="s">
        <v>70</v>
      </c>
      <c r="D4055" s="6">
        <v>28.0</v>
      </c>
      <c r="E4055" s="6">
        <v>2462.0</v>
      </c>
      <c r="F4055" s="6">
        <v>3276.0</v>
      </c>
      <c r="G4055" s="6">
        <v>1790.0</v>
      </c>
      <c r="H4055" s="6">
        <v>1.3754</v>
      </c>
      <c r="I4055" s="6">
        <v>1.8302</v>
      </c>
      <c r="J4055" s="6">
        <v>-0.4547</v>
      </c>
    </row>
    <row r="4056">
      <c r="A4056" s="5" t="s">
        <v>60</v>
      </c>
      <c r="B4056" s="5" t="s">
        <v>1867</v>
      </c>
      <c r="C4056" s="5" t="s">
        <v>70</v>
      </c>
      <c r="D4056" s="6">
        <v>29.0</v>
      </c>
      <c r="E4056" s="6">
        <v>2683.0</v>
      </c>
      <c r="F4056" s="6">
        <v>3780.0</v>
      </c>
      <c r="G4056" s="6">
        <v>1790.0</v>
      </c>
      <c r="H4056" s="6">
        <v>1.4989</v>
      </c>
      <c r="I4056" s="6">
        <v>2.1117</v>
      </c>
      <c r="J4056" s="6">
        <v>-0.6128</v>
      </c>
    </row>
    <row r="4057">
      <c r="A4057" s="5" t="s">
        <v>60</v>
      </c>
      <c r="B4057" s="5" t="s">
        <v>1867</v>
      </c>
      <c r="C4057" s="5" t="s">
        <v>70</v>
      </c>
      <c r="D4057" s="6">
        <v>30.0</v>
      </c>
      <c r="E4057" s="6">
        <v>2674.0</v>
      </c>
      <c r="F4057" s="6">
        <v>3405.0</v>
      </c>
      <c r="G4057" s="6">
        <v>1790.0</v>
      </c>
      <c r="H4057" s="6">
        <v>1.4939</v>
      </c>
      <c r="I4057" s="6">
        <v>1.9022</v>
      </c>
      <c r="J4057" s="6">
        <v>-0.4084</v>
      </c>
    </row>
    <row r="4058">
      <c r="A4058" s="5" t="s">
        <v>60</v>
      </c>
      <c r="B4058" s="5" t="s">
        <v>1867</v>
      </c>
      <c r="C4058" s="5" t="s">
        <v>70</v>
      </c>
      <c r="D4058" s="6">
        <v>31.0</v>
      </c>
      <c r="E4058" s="6">
        <v>3476.0</v>
      </c>
      <c r="F4058" s="6">
        <v>3786.0</v>
      </c>
      <c r="G4058" s="6">
        <v>1790.0</v>
      </c>
      <c r="H4058" s="6">
        <v>1.9419</v>
      </c>
      <c r="I4058" s="6">
        <v>2.1151</v>
      </c>
      <c r="J4058" s="6">
        <v>-0.1732</v>
      </c>
    </row>
    <row r="4059">
      <c r="A4059" s="5" t="s">
        <v>60</v>
      </c>
      <c r="B4059" s="5" t="s">
        <v>1867</v>
      </c>
      <c r="C4059" s="5" t="s">
        <v>70</v>
      </c>
      <c r="D4059" s="6">
        <v>32.0</v>
      </c>
      <c r="E4059" s="6">
        <v>3169.0</v>
      </c>
      <c r="F4059" s="6">
        <v>4033.0</v>
      </c>
      <c r="G4059" s="6">
        <v>1790.0</v>
      </c>
      <c r="H4059" s="6">
        <v>1.7704</v>
      </c>
      <c r="I4059" s="6">
        <v>2.2531</v>
      </c>
      <c r="J4059" s="6">
        <v>-0.4827</v>
      </c>
    </row>
    <row r="4060">
      <c r="A4060" s="5" t="s">
        <v>60</v>
      </c>
      <c r="B4060" s="5" t="s">
        <v>1867</v>
      </c>
      <c r="C4060" s="5" t="s">
        <v>70</v>
      </c>
      <c r="D4060" s="6">
        <v>33.0</v>
      </c>
      <c r="E4060" s="6">
        <v>3547.0</v>
      </c>
      <c r="F4060" s="6">
        <v>4727.0</v>
      </c>
      <c r="G4060" s="6">
        <v>1790.0</v>
      </c>
      <c r="H4060" s="6">
        <v>1.9816</v>
      </c>
      <c r="I4060" s="6">
        <v>2.6408</v>
      </c>
      <c r="J4060" s="6">
        <v>-0.6592</v>
      </c>
    </row>
    <row r="4061">
      <c r="A4061" s="5" t="s">
        <v>60</v>
      </c>
      <c r="B4061" s="5" t="s">
        <v>1867</v>
      </c>
      <c r="C4061" s="5" t="s">
        <v>71</v>
      </c>
      <c r="D4061" s="6">
        <v>1.0</v>
      </c>
      <c r="E4061" s="6">
        <v>962.0</v>
      </c>
      <c r="F4061" s="6">
        <v>1412.0</v>
      </c>
      <c r="G4061" s="6">
        <v>1789.0</v>
      </c>
      <c r="H4061" s="6">
        <v>0.5377</v>
      </c>
      <c r="I4061" s="6">
        <v>0.7893</v>
      </c>
      <c r="J4061" s="6">
        <v>-0.2515</v>
      </c>
    </row>
    <row r="4062">
      <c r="A4062" s="5" t="s">
        <v>60</v>
      </c>
      <c r="B4062" s="5" t="s">
        <v>1867</v>
      </c>
      <c r="C4062" s="5" t="s">
        <v>71</v>
      </c>
      <c r="D4062" s="6">
        <v>2.0</v>
      </c>
      <c r="E4062" s="6">
        <v>921.0</v>
      </c>
      <c r="F4062" s="6">
        <v>1331.0</v>
      </c>
      <c r="G4062" s="6">
        <v>1789.0</v>
      </c>
      <c r="H4062" s="6">
        <v>0.5148</v>
      </c>
      <c r="I4062" s="6">
        <v>0.744</v>
      </c>
      <c r="J4062" s="6">
        <v>-0.2292</v>
      </c>
    </row>
    <row r="4063">
      <c r="A4063" s="5" t="s">
        <v>60</v>
      </c>
      <c r="B4063" s="5" t="s">
        <v>1867</v>
      </c>
      <c r="C4063" s="5" t="s">
        <v>71</v>
      </c>
      <c r="D4063" s="6">
        <v>3.0</v>
      </c>
      <c r="E4063" s="6">
        <v>1363.0</v>
      </c>
      <c r="F4063" s="6">
        <v>1611.0</v>
      </c>
      <c r="G4063" s="6">
        <v>1789.0</v>
      </c>
      <c r="H4063" s="6">
        <v>0.7619</v>
      </c>
      <c r="I4063" s="6">
        <v>0.9005</v>
      </c>
      <c r="J4063" s="6">
        <v>-0.1386</v>
      </c>
    </row>
    <row r="4064">
      <c r="A4064" s="5" t="s">
        <v>60</v>
      </c>
      <c r="B4064" s="5" t="s">
        <v>1867</v>
      </c>
      <c r="C4064" s="5" t="s">
        <v>71</v>
      </c>
      <c r="D4064" s="6">
        <v>4.0</v>
      </c>
      <c r="E4064" s="6">
        <v>1136.0</v>
      </c>
      <c r="F4064" s="6">
        <v>1432.0</v>
      </c>
      <c r="G4064" s="6">
        <v>1789.0</v>
      </c>
      <c r="H4064" s="6">
        <v>0.635</v>
      </c>
      <c r="I4064" s="6">
        <v>0.8004</v>
      </c>
      <c r="J4064" s="6">
        <v>-0.1655</v>
      </c>
    </row>
    <row r="4065">
      <c r="A4065" s="5" t="s">
        <v>60</v>
      </c>
      <c r="B4065" s="5" t="s">
        <v>1867</v>
      </c>
      <c r="C4065" s="5" t="s">
        <v>71</v>
      </c>
      <c r="D4065" s="6">
        <v>5.0</v>
      </c>
      <c r="E4065" s="6">
        <v>1323.0</v>
      </c>
      <c r="F4065" s="6">
        <v>1739.0</v>
      </c>
      <c r="G4065" s="6">
        <v>1789.0</v>
      </c>
      <c r="H4065" s="6">
        <v>0.7395</v>
      </c>
      <c r="I4065" s="6">
        <v>0.9721</v>
      </c>
      <c r="J4065" s="6">
        <v>-0.2325</v>
      </c>
    </row>
    <row r="4066">
      <c r="A4066" s="5" t="s">
        <v>60</v>
      </c>
      <c r="B4066" s="5" t="s">
        <v>1867</v>
      </c>
      <c r="C4066" s="5" t="s">
        <v>71</v>
      </c>
      <c r="D4066" s="6">
        <v>6.0</v>
      </c>
      <c r="E4066" s="6">
        <v>1345.0</v>
      </c>
      <c r="F4066" s="6">
        <v>1845.0</v>
      </c>
      <c r="G4066" s="6">
        <v>1789.0</v>
      </c>
      <c r="H4066" s="6">
        <v>0.7518</v>
      </c>
      <c r="I4066" s="6">
        <v>1.0313</v>
      </c>
      <c r="J4066" s="6">
        <v>-0.2795</v>
      </c>
    </row>
    <row r="4067">
      <c r="A4067" s="5" t="s">
        <v>60</v>
      </c>
      <c r="B4067" s="5" t="s">
        <v>1867</v>
      </c>
      <c r="C4067" s="5" t="s">
        <v>71</v>
      </c>
      <c r="D4067" s="6">
        <v>7.0</v>
      </c>
      <c r="E4067" s="6">
        <v>1169.0</v>
      </c>
      <c r="F4067" s="6">
        <v>1701.0</v>
      </c>
      <c r="G4067" s="6">
        <v>1789.0</v>
      </c>
      <c r="H4067" s="6">
        <v>0.6534</v>
      </c>
      <c r="I4067" s="6">
        <v>0.9508</v>
      </c>
      <c r="J4067" s="6">
        <v>-0.2974</v>
      </c>
    </row>
    <row r="4068">
      <c r="A4068" s="5" t="s">
        <v>60</v>
      </c>
      <c r="B4068" s="5" t="s">
        <v>1867</v>
      </c>
      <c r="C4068" s="5" t="s">
        <v>71</v>
      </c>
      <c r="D4068" s="6">
        <v>8.0</v>
      </c>
      <c r="E4068" s="6">
        <v>1210.0</v>
      </c>
      <c r="F4068" s="6">
        <v>1675.0</v>
      </c>
      <c r="G4068" s="6">
        <v>1789.0</v>
      </c>
      <c r="H4068" s="6">
        <v>0.6764</v>
      </c>
      <c r="I4068" s="6">
        <v>0.9363</v>
      </c>
      <c r="J4068" s="6">
        <v>-0.2599</v>
      </c>
    </row>
    <row r="4069">
      <c r="A4069" s="5" t="s">
        <v>60</v>
      </c>
      <c r="B4069" s="5" t="s">
        <v>1867</v>
      </c>
      <c r="C4069" s="5" t="s">
        <v>71</v>
      </c>
      <c r="D4069" s="6">
        <v>9.0</v>
      </c>
      <c r="E4069" s="6">
        <v>919.0</v>
      </c>
      <c r="F4069" s="6">
        <v>1364.0</v>
      </c>
      <c r="G4069" s="6">
        <v>1789.0</v>
      </c>
      <c r="H4069" s="6">
        <v>0.5137</v>
      </c>
      <c r="I4069" s="6">
        <v>0.7624</v>
      </c>
      <c r="J4069" s="6">
        <v>-0.2487</v>
      </c>
    </row>
    <row r="4070">
      <c r="A4070" s="5" t="s">
        <v>60</v>
      </c>
      <c r="B4070" s="5" t="s">
        <v>1867</v>
      </c>
      <c r="C4070" s="5" t="s">
        <v>71</v>
      </c>
      <c r="D4070" s="6">
        <v>10.0</v>
      </c>
      <c r="E4070" s="6">
        <v>1590.0</v>
      </c>
      <c r="F4070" s="6">
        <v>1991.0</v>
      </c>
      <c r="G4070" s="6">
        <v>1789.0</v>
      </c>
      <c r="H4070" s="6">
        <v>0.8888</v>
      </c>
      <c r="I4070" s="6">
        <v>1.1129</v>
      </c>
      <c r="J4070" s="6">
        <v>-0.2241</v>
      </c>
    </row>
    <row r="4071">
      <c r="A4071" s="5" t="s">
        <v>60</v>
      </c>
      <c r="B4071" s="5" t="s">
        <v>1867</v>
      </c>
      <c r="C4071" s="5" t="s">
        <v>71</v>
      </c>
      <c r="D4071" s="6">
        <v>11.0</v>
      </c>
      <c r="E4071" s="6">
        <v>1267.0</v>
      </c>
      <c r="F4071" s="6">
        <v>1960.0</v>
      </c>
      <c r="G4071" s="6">
        <v>1789.0</v>
      </c>
      <c r="H4071" s="6">
        <v>0.7082</v>
      </c>
      <c r="I4071" s="6">
        <v>1.0956</v>
      </c>
      <c r="J4071" s="6">
        <v>-0.3874</v>
      </c>
    </row>
    <row r="4072">
      <c r="A4072" s="5" t="s">
        <v>60</v>
      </c>
      <c r="B4072" s="5" t="s">
        <v>1867</v>
      </c>
      <c r="C4072" s="5" t="s">
        <v>71</v>
      </c>
      <c r="D4072" s="6">
        <v>12.0</v>
      </c>
      <c r="E4072" s="6">
        <v>1449.0</v>
      </c>
      <c r="F4072" s="6">
        <v>1973.0</v>
      </c>
      <c r="G4072" s="6">
        <v>1789.0</v>
      </c>
      <c r="H4072" s="6">
        <v>0.8099</v>
      </c>
      <c r="I4072" s="6">
        <v>1.1029</v>
      </c>
      <c r="J4072" s="6">
        <v>-0.2929</v>
      </c>
    </row>
    <row r="4073">
      <c r="A4073" s="5" t="s">
        <v>60</v>
      </c>
      <c r="B4073" s="5" t="s">
        <v>1867</v>
      </c>
      <c r="C4073" s="5" t="s">
        <v>71</v>
      </c>
      <c r="D4073" s="6">
        <v>13.0</v>
      </c>
      <c r="E4073" s="6">
        <v>1425.0</v>
      </c>
      <c r="F4073" s="6">
        <v>2035.0</v>
      </c>
      <c r="G4073" s="6">
        <v>1789.0</v>
      </c>
      <c r="H4073" s="6">
        <v>0.7965</v>
      </c>
      <c r="I4073" s="6">
        <v>1.1375</v>
      </c>
      <c r="J4073" s="6">
        <v>-0.341</v>
      </c>
    </row>
    <row r="4074">
      <c r="A4074" s="5" t="s">
        <v>60</v>
      </c>
      <c r="B4074" s="5" t="s">
        <v>1867</v>
      </c>
      <c r="C4074" s="5" t="s">
        <v>71</v>
      </c>
      <c r="D4074" s="6">
        <v>14.0</v>
      </c>
      <c r="E4074" s="6">
        <v>1256.0</v>
      </c>
      <c r="F4074" s="6">
        <v>1796.0</v>
      </c>
      <c r="G4074" s="6">
        <v>1789.0</v>
      </c>
      <c r="H4074" s="6">
        <v>0.7021</v>
      </c>
      <c r="I4074" s="6">
        <v>1.0039</v>
      </c>
      <c r="J4074" s="6">
        <v>-0.3018</v>
      </c>
    </row>
    <row r="4075">
      <c r="A4075" s="5" t="s">
        <v>60</v>
      </c>
      <c r="B4075" s="5" t="s">
        <v>1867</v>
      </c>
      <c r="C4075" s="5" t="s">
        <v>71</v>
      </c>
      <c r="D4075" s="6">
        <v>15.0</v>
      </c>
      <c r="E4075" s="6">
        <v>1347.0</v>
      </c>
      <c r="F4075" s="6">
        <v>2037.0</v>
      </c>
      <c r="G4075" s="6">
        <v>1789.0</v>
      </c>
      <c r="H4075" s="6">
        <v>0.7529</v>
      </c>
      <c r="I4075" s="6">
        <v>1.1386</v>
      </c>
      <c r="J4075" s="6">
        <v>-0.3857</v>
      </c>
    </row>
    <row r="4076">
      <c r="A4076" s="5" t="s">
        <v>60</v>
      </c>
      <c r="B4076" s="5" t="s">
        <v>1867</v>
      </c>
      <c r="C4076" s="5" t="s">
        <v>71</v>
      </c>
      <c r="D4076" s="6">
        <v>16.0</v>
      </c>
      <c r="E4076" s="6">
        <v>1155.0</v>
      </c>
      <c r="F4076" s="6">
        <v>1614.0</v>
      </c>
      <c r="G4076" s="6">
        <v>1789.0</v>
      </c>
      <c r="H4076" s="6">
        <v>0.6456</v>
      </c>
      <c r="I4076" s="6">
        <v>0.9022</v>
      </c>
      <c r="J4076" s="6">
        <v>-0.2566</v>
      </c>
    </row>
    <row r="4077">
      <c r="A4077" s="5" t="s">
        <v>60</v>
      </c>
      <c r="B4077" s="5" t="s">
        <v>1867</v>
      </c>
      <c r="C4077" s="5" t="s">
        <v>71</v>
      </c>
      <c r="D4077" s="6">
        <v>17.0</v>
      </c>
      <c r="E4077" s="6">
        <v>1804.0</v>
      </c>
      <c r="F4077" s="6">
        <v>2037.0</v>
      </c>
      <c r="G4077" s="6">
        <v>1789.0</v>
      </c>
      <c r="H4077" s="6">
        <v>1.0084</v>
      </c>
      <c r="I4077" s="6">
        <v>1.1386</v>
      </c>
      <c r="J4077" s="6">
        <v>-0.1302</v>
      </c>
    </row>
    <row r="4078">
      <c r="A4078" s="5" t="s">
        <v>60</v>
      </c>
      <c r="B4078" s="5" t="s">
        <v>1867</v>
      </c>
      <c r="C4078" s="5" t="s">
        <v>71</v>
      </c>
      <c r="D4078" s="6">
        <v>18.0</v>
      </c>
      <c r="E4078" s="6">
        <v>1458.0</v>
      </c>
      <c r="F4078" s="6">
        <v>1987.0</v>
      </c>
      <c r="G4078" s="6">
        <v>1789.0</v>
      </c>
      <c r="H4078" s="6">
        <v>0.815</v>
      </c>
      <c r="I4078" s="6">
        <v>1.1107</v>
      </c>
      <c r="J4078" s="6">
        <v>-0.2957</v>
      </c>
    </row>
    <row r="4079">
      <c r="A4079" s="5" t="s">
        <v>60</v>
      </c>
      <c r="B4079" s="5" t="s">
        <v>1867</v>
      </c>
      <c r="C4079" s="5" t="s">
        <v>71</v>
      </c>
      <c r="D4079" s="6">
        <v>19.0</v>
      </c>
      <c r="E4079" s="6">
        <v>1672.0</v>
      </c>
      <c r="F4079" s="6">
        <v>2140.0</v>
      </c>
      <c r="G4079" s="6">
        <v>1789.0</v>
      </c>
      <c r="H4079" s="6">
        <v>0.9346</v>
      </c>
      <c r="I4079" s="6">
        <v>1.1962</v>
      </c>
      <c r="J4079" s="6">
        <v>-0.2616</v>
      </c>
    </row>
    <row r="4080">
      <c r="A4080" s="5" t="s">
        <v>60</v>
      </c>
      <c r="B4080" s="5" t="s">
        <v>1867</v>
      </c>
      <c r="C4080" s="5" t="s">
        <v>71</v>
      </c>
      <c r="D4080" s="6">
        <v>20.0</v>
      </c>
      <c r="E4080" s="6">
        <v>1898.0</v>
      </c>
      <c r="F4080" s="6">
        <v>2446.0</v>
      </c>
      <c r="G4080" s="6">
        <v>1789.0</v>
      </c>
      <c r="H4080" s="6">
        <v>1.0609</v>
      </c>
      <c r="I4080" s="6">
        <v>1.3672</v>
      </c>
      <c r="J4080" s="6">
        <v>-0.3063</v>
      </c>
    </row>
    <row r="4081">
      <c r="A4081" s="5" t="s">
        <v>60</v>
      </c>
      <c r="B4081" s="5" t="s">
        <v>1867</v>
      </c>
      <c r="C4081" s="5" t="s">
        <v>71</v>
      </c>
      <c r="D4081" s="6">
        <v>21.0</v>
      </c>
      <c r="E4081" s="6">
        <v>2240.0</v>
      </c>
      <c r="F4081" s="6">
        <v>2210.0</v>
      </c>
      <c r="G4081" s="6">
        <v>1789.0</v>
      </c>
      <c r="H4081" s="6">
        <v>1.2521</v>
      </c>
      <c r="I4081" s="6">
        <v>1.2353</v>
      </c>
      <c r="J4081" s="6">
        <v>0.0168</v>
      </c>
    </row>
    <row r="4082">
      <c r="A4082" s="5" t="s">
        <v>60</v>
      </c>
      <c r="B4082" s="5" t="s">
        <v>1867</v>
      </c>
      <c r="C4082" s="5" t="s">
        <v>71</v>
      </c>
      <c r="D4082" s="6">
        <v>22.0</v>
      </c>
      <c r="E4082" s="6">
        <v>2075.0</v>
      </c>
      <c r="F4082" s="6">
        <v>2464.0</v>
      </c>
      <c r="G4082" s="6">
        <v>1789.0</v>
      </c>
      <c r="H4082" s="6">
        <v>1.1599</v>
      </c>
      <c r="I4082" s="6">
        <v>1.3773</v>
      </c>
      <c r="J4082" s="6">
        <v>-0.2174</v>
      </c>
    </row>
    <row r="4083">
      <c r="A4083" s="5" t="s">
        <v>60</v>
      </c>
      <c r="B4083" s="5" t="s">
        <v>1867</v>
      </c>
      <c r="C4083" s="5" t="s">
        <v>71</v>
      </c>
      <c r="D4083" s="6">
        <v>23.0</v>
      </c>
      <c r="E4083" s="6">
        <v>1561.0</v>
      </c>
      <c r="F4083" s="6">
        <v>2181.0</v>
      </c>
      <c r="G4083" s="6">
        <v>1789.0</v>
      </c>
      <c r="H4083" s="6">
        <v>0.8726</v>
      </c>
      <c r="I4083" s="6">
        <v>1.2191</v>
      </c>
      <c r="J4083" s="6">
        <v>-0.3466</v>
      </c>
    </row>
    <row r="4084">
      <c r="A4084" s="5" t="s">
        <v>60</v>
      </c>
      <c r="B4084" s="5" t="s">
        <v>1867</v>
      </c>
      <c r="C4084" s="5" t="s">
        <v>71</v>
      </c>
      <c r="D4084" s="6">
        <v>24.0</v>
      </c>
      <c r="E4084" s="6">
        <v>2049.0</v>
      </c>
      <c r="F4084" s="6">
        <v>2543.0</v>
      </c>
      <c r="G4084" s="6">
        <v>1789.0</v>
      </c>
      <c r="H4084" s="6">
        <v>1.1453</v>
      </c>
      <c r="I4084" s="6">
        <v>1.4215</v>
      </c>
      <c r="J4084" s="6">
        <v>-0.2761</v>
      </c>
    </row>
    <row r="4085">
      <c r="A4085" s="5" t="s">
        <v>60</v>
      </c>
      <c r="B4085" s="5" t="s">
        <v>1867</v>
      </c>
      <c r="C4085" s="5" t="s">
        <v>71</v>
      </c>
      <c r="D4085" s="6">
        <v>25.0</v>
      </c>
      <c r="E4085" s="6">
        <v>1691.0</v>
      </c>
      <c r="F4085" s="6">
        <v>2415.0</v>
      </c>
      <c r="G4085" s="6">
        <v>1789.0</v>
      </c>
      <c r="H4085" s="6">
        <v>0.9452</v>
      </c>
      <c r="I4085" s="6">
        <v>1.3499</v>
      </c>
      <c r="J4085" s="6">
        <v>-0.4047</v>
      </c>
    </row>
    <row r="4086">
      <c r="A4086" s="5" t="s">
        <v>60</v>
      </c>
      <c r="B4086" s="5" t="s">
        <v>1867</v>
      </c>
      <c r="C4086" s="5" t="s">
        <v>71</v>
      </c>
      <c r="D4086" s="6">
        <v>26.0</v>
      </c>
      <c r="E4086" s="6">
        <v>2042.0</v>
      </c>
      <c r="F4086" s="6">
        <v>2770.0</v>
      </c>
      <c r="G4086" s="6">
        <v>1789.0</v>
      </c>
      <c r="H4086" s="6">
        <v>1.1414</v>
      </c>
      <c r="I4086" s="6">
        <v>1.5484</v>
      </c>
      <c r="J4086" s="6">
        <v>-0.4069</v>
      </c>
    </row>
    <row r="4087">
      <c r="A4087" s="5" t="s">
        <v>60</v>
      </c>
      <c r="B4087" s="5" t="s">
        <v>1867</v>
      </c>
      <c r="C4087" s="5" t="s">
        <v>71</v>
      </c>
      <c r="D4087" s="6">
        <v>27.0</v>
      </c>
      <c r="E4087" s="6">
        <v>2030.0</v>
      </c>
      <c r="F4087" s="6">
        <v>2436.0</v>
      </c>
      <c r="G4087" s="6">
        <v>1789.0</v>
      </c>
      <c r="H4087" s="6">
        <v>1.1347</v>
      </c>
      <c r="I4087" s="6">
        <v>1.3617</v>
      </c>
      <c r="J4087" s="6">
        <v>-0.2269</v>
      </c>
    </row>
    <row r="4088">
      <c r="A4088" s="5" t="s">
        <v>60</v>
      </c>
      <c r="B4088" s="5" t="s">
        <v>1867</v>
      </c>
      <c r="C4088" s="5" t="s">
        <v>71</v>
      </c>
      <c r="D4088" s="6">
        <v>28.0</v>
      </c>
      <c r="E4088" s="6">
        <v>1525.0</v>
      </c>
      <c r="F4088" s="6">
        <v>2262.0</v>
      </c>
      <c r="G4088" s="6">
        <v>1789.0</v>
      </c>
      <c r="H4088" s="6">
        <v>0.8524</v>
      </c>
      <c r="I4088" s="6">
        <v>1.2644</v>
      </c>
      <c r="J4088" s="6">
        <v>-0.412</v>
      </c>
    </row>
    <row r="4089">
      <c r="A4089" s="5" t="s">
        <v>60</v>
      </c>
      <c r="B4089" s="5" t="s">
        <v>1867</v>
      </c>
      <c r="C4089" s="5" t="s">
        <v>71</v>
      </c>
      <c r="D4089" s="6">
        <v>29.0</v>
      </c>
      <c r="E4089" s="6">
        <v>1706.0</v>
      </c>
      <c r="F4089" s="6">
        <v>2766.0</v>
      </c>
      <c r="G4089" s="6">
        <v>1789.0</v>
      </c>
      <c r="H4089" s="6">
        <v>0.9536</v>
      </c>
      <c r="I4089" s="6">
        <v>1.5461</v>
      </c>
      <c r="J4089" s="6">
        <v>-0.5925</v>
      </c>
    </row>
    <row r="4090">
      <c r="A4090" s="5" t="s">
        <v>60</v>
      </c>
      <c r="B4090" s="5" t="s">
        <v>1867</v>
      </c>
      <c r="C4090" s="5" t="s">
        <v>71</v>
      </c>
      <c r="D4090" s="6">
        <v>30.0</v>
      </c>
      <c r="E4090" s="6">
        <v>1618.0</v>
      </c>
      <c r="F4090" s="6">
        <v>2331.0</v>
      </c>
      <c r="G4090" s="6">
        <v>1789.0</v>
      </c>
      <c r="H4090" s="6">
        <v>0.9044</v>
      </c>
      <c r="I4090" s="6">
        <v>1.303</v>
      </c>
      <c r="J4090" s="6">
        <v>-0.3985</v>
      </c>
    </row>
    <row r="4091">
      <c r="A4091" s="5" t="s">
        <v>60</v>
      </c>
      <c r="B4091" s="5" t="s">
        <v>1867</v>
      </c>
      <c r="C4091" s="5" t="s">
        <v>71</v>
      </c>
      <c r="D4091" s="6">
        <v>31.0</v>
      </c>
      <c r="E4091" s="6">
        <v>2421.0</v>
      </c>
      <c r="F4091" s="6">
        <v>2570.0</v>
      </c>
      <c r="G4091" s="6">
        <v>1789.0</v>
      </c>
      <c r="H4091" s="6">
        <v>1.3533</v>
      </c>
      <c r="I4091" s="6">
        <v>1.4366</v>
      </c>
      <c r="J4091" s="6">
        <v>-0.0833</v>
      </c>
    </row>
    <row r="4092">
      <c r="A4092" s="5" t="s">
        <v>60</v>
      </c>
      <c r="B4092" s="5" t="s">
        <v>1867</v>
      </c>
      <c r="C4092" s="5" t="s">
        <v>71</v>
      </c>
      <c r="D4092" s="6">
        <v>32.0</v>
      </c>
      <c r="E4092" s="6">
        <v>2059.0</v>
      </c>
      <c r="F4092" s="6">
        <v>2698.0</v>
      </c>
      <c r="G4092" s="6">
        <v>1789.0</v>
      </c>
      <c r="H4092" s="6">
        <v>1.1509</v>
      </c>
      <c r="I4092" s="6">
        <v>1.5081</v>
      </c>
      <c r="J4092" s="6">
        <v>-0.3572</v>
      </c>
    </row>
    <row r="4093">
      <c r="A4093" s="5" t="s">
        <v>60</v>
      </c>
      <c r="B4093" s="5" t="s">
        <v>1867</v>
      </c>
      <c r="C4093" s="5" t="s">
        <v>71</v>
      </c>
      <c r="D4093" s="6">
        <v>33.0</v>
      </c>
      <c r="E4093" s="6">
        <v>2126.0</v>
      </c>
      <c r="F4093" s="6">
        <v>2993.0</v>
      </c>
      <c r="G4093" s="6">
        <v>1789.0</v>
      </c>
      <c r="H4093" s="6">
        <v>1.1884</v>
      </c>
      <c r="I4093" s="6">
        <v>1.673</v>
      </c>
      <c r="J4093" s="6">
        <v>-0.4846</v>
      </c>
    </row>
    <row r="4094">
      <c r="A4094" s="5" t="s">
        <v>60</v>
      </c>
      <c r="B4094" s="5" t="s">
        <v>1867</v>
      </c>
      <c r="C4094" s="5" t="s">
        <v>1883</v>
      </c>
      <c r="D4094" s="6">
        <v>1.0</v>
      </c>
      <c r="E4094" s="6">
        <v>1285.0</v>
      </c>
      <c r="F4094" s="6">
        <v>2030.0</v>
      </c>
      <c r="G4094" s="6">
        <v>1423.0</v>
      </c>
      <c r="H4094" s="6">
        <v>0.903</v>
      </c>
      <c r="I4094" s="6">
        <v>1.4266</v>
      </c>
      <c r="J4094" s="6">
        <v>-0.5235</v>
      </c>
    </row>
    <row r="4095">
      <c r="A4095" s="5" t="s">
        <v>60</v>
      </c>
      <c r="B4095" s="5" t="s">
        <v>1867</v>
      </c>
      <c r="C4095" s="5" t="s">
        <v>1883</v>
      </c>
      <c r="D4095" s="6">
        <v>2.0</v>
      </c>
      <c r="E4095" s="6">
        <v>2385.0</v>
      </c>
      <c r="F4095" s="6">
        <v>2698.0</v>
      </c>
      <c r="G4095" s="6">
        <v>1423.0</v>
      </c>
      <c r="H4095" s="6">
        <v>1.676</v>
      </c>
      <c r="I4095" s="6">
        <v>1.896</v>
      </c>
      <c r="J4095" s="6">
        <v>-0.22</v>
      </c>
    </row>
    <row r="4096">
      <c r="A4096" s="5" t="s">
        <v>60</v>
      </c>
      <c r="B4096" s="5" t="s">
        <v>1867</v>
      </c>
      <c r="C4096" s="5" t="s">
        <v>1883</v>
      </c>
      <c r="D4096" s="6">
        <v>3.0</v>
      </c>
      <c r="E4096" s="6">
        <v>975.0</v>
      </c>
      <c r="F4096" s="6">
        <v>1445.0</v>
      </c>
      <c r="G4096" s="6">
        <v>1423.0</v>
      </c>
      <c r="H4096" s="6">
        <v>0.6852</v>
      </c>
      <c r="I4096" s="6">
        <v>1.0155</v>
      </c>
      <c r="J4096" s="6">
        <v>-0.3303</v>
      </c>
    </row>
    <row r="4097">
      <c r="A4097" s="5" t="s">
        <v>60</v>
      </c>
      <c r="B4097" s="5" t="s">
        <v>1867</v>
      </c>
      <c r="C4097" s="5" t="s">
        <v>1883</v>
      </c>
      <c r="D4097" s="6">
        <v>4.0</v>
      </c>
      <c r="E4097" s="6">
        <v>1285.0</v>
      </c>
      <c r="F4097" s="6">
        <v>2206.0</v>
      </c>
      <c r="G4097" s="6">
        <v>1423.0</v>
      </c>
      <c r="H4097" s="6">
        <v>0.903</v>
      </c>
      <c r="I4097" s="6">
        <v>1.5502</v>
      </c>
      <c r="J4097" s="6">
        <v>-0.6472</v>
      </c>
    </row>
    <row r="4098">
      <c r="A4098" s="5" t="s">
        <v>60</v>
      </c>
      <c r="B4098" s="5" t="s">
        <v>1867</v>
      </c>
      <c r="C4098" s="5" t="s">
        <v>1883</v>
      </c>
      <c r="D4098" s="6">
        <v>5.0</v>
      </c>
      <c r="E4098" s="6">
        <v>1365.0</v>
      </c>
      <c r="F4098" s="6">
        <v>2136.0</v>
      </c>
      <c r="G4098" s="6">
        <v>1423.0</v>
      </c>
      <c r="H4098" s="6">
        <v>0.9592</v>
      </c>
      <c r="I4098" s="6">
        <v>1.5011</v>
      </c>
      <c r="J4098" s="6">
        <v>-0.5418</v>
      </c>
    </row>
    <row r="4099">
      <c r="A4099" s="5" t="s">
        <v>60</v>
      </c>
      <c r="B4099" s="5" t="s">
        <v>1867</v>
      </c>
      <c r="C4099" s="5" t="s">
        <v>1883</v>
      </c>
      <c r="D4099" s="6">
        <v>6.0</v>
      </c>
      <c r="E4099" s="6">
        <v>3140.0</v>
      </c>
      <c r="F4099" s="6">
        <v>3949.0</v>
      </c>
      <c r="G4099" s="6">
        <v>1423.0</v>
      </c>
      <c r="H4099" s="6">
        <v>2.2066</v>
      </c>
      <c r="I4099" s="6">
        <v>2.7751</v>
      </c>
      <c r="J4099" s="6">
        <v>-0.5685</v>
      </c>
    </row>
    <row r="4100">
      <c r="A4100" s="5" t="s">
        <v>60</v>
      </c>
      <c r="B4100" s="5" t="s">
        <v>1867</v>
      </c>
      <c r="C4100" s="5" t="s">
        <v>1883</v>
      </c>
      <c r="D4100" s="6">
        <v>7.0</v>
      </c>
      <c r="E4100" s="6">
        <v>3735.0</v>
      </c>
      <c r="F4100" s="6">
        <v>3511.0</v>
      </c>
      <c r="G4100" s="6">
        <v>1423.0</v>
      </c>
      <c r="H4100" s="6">
        <v>2.6247</v>
      </c>
      <c r="I4100" s="6">
        <v>2.4673</v>
      </c>
      <c r="J4100" s="6">
        <v>0.1574</v>
      </c>
    </row>
    <row r="4101">
      <c r="A4101" s="5" t="s">
        <v>60</v>
      </c>
      <c r="B4101" s="5" t="s">
        <v>1867</v>
      </c>
      <c r="C4101" s="5" t="s">
        <v>1883</v>
      </c>
      <c r="D4101" s="6">
        <v>8.0</v>
      </c>
      <c r="E4101" s="6">
        <v>2900.0</v>
      </c>
      <c r="F4101" s="6">
        <v>3467.0</v>
      </c>
      <c r="G4101" s="6">
        <v>1423.0</v>
      </c>
      <c r="H4101" s="6">
        <v>2.0379</v>
      </c>
      <c r="I4101" s="6">
        <v>2.4364</v>
      </c>
      <c r="J4101" s="6">
        <v>-0.3985</v>
      </c>
    </row>
    <row r="4102">
      <c r="A4102" s="5" t="s">
        <v>60</v>
      </c>
      <c r="B4102" s="5" t="s">
        <v>1867</v>
      </c>
      <c r="C4102" s="5" t="s">
        <v>1883</v>
      </c>
      <c r="D4102" s="6">
        <v>9.0</v>
      </c>
      <c r="E4102" s="6">
        <v>1425.0</v>
      </c>
      <c r="F4102" s="6">
        <v>2615.0</v>
      </c>
      <c r="G4102" s="6">
        <v>1423.0</v>
      </c>
      <c r="H4102" s="6">
        <v>1.0014</v>
      </c>
      <c r="I4102" s="6">
        <v>1.8377</v>
      </c>
      <c r="J4102" s="6">
        <v>-0.8363</v>
      </c>
    </row>
    <row r="4103">
      <c r="A4103" s="5" t="s">
        <v>60</v>
      </c>
      <c r="B4103" s="5" t="s">
        <v>1867</v>
      </c>
      <c r="C4103" s="5" t="s">
        <v>1883</v>
      </c>
      <c r="D4103" s="6">
        <v>10.0</v>
      </c>
      <c r="E4103" s="6">
        <v>910.0</v>
      </c>
      <c r="F4103" s="6">
        <v>1689.0</v>
      </c>
      <c r="G4103" s="6">
        <v>1423.0</v>
      </c>
      <c r="H4103" s="6">
        <v>0.6395</v>
      </c>
      <c r="I4103" s="6">
        <v>1.1869</v>
      </c>
      <c r="J4103" s="6">
        <v>-0.5474</v>
      </c>
    </row>
    <row r="4104">
      <c r="A4104" s="5" t="s">
        <v>60</v>
      </c>
      <c r="B4104" s="5" t="s">
        <v>1867</v>
      </c>
      <c r="C4104" s="5" t="s">
        <v>1883</v>
      </c>
      <c r="D4104" s="6">
        <v>11.0</v>
      </c>
      <c r="E4104" s="6">
        <v>770.0</v>
      </c>
      <c r="F4104" s="6">
        <v>1556.0</v>
      </c>
      <c r="G4104" s="6">
        <v>1423.0</v>
      </c>
      <c r="H4104" s="6">
        <v>0.5411</v>
      </c>
      <c r="I4104" s="6">
        <v>1.0935</v>
      </c>
      <c r="J4104" s="6">
        <v>-0.5524</v>
      </c>
    </row>
    <row r="4105">
      <c r="A4105" s="5" t="s">
        <v>60</v>
      </c>
      <c r="B4105" s="5" t="s">
        <v>1867</v>
      </c>
      <c r="C4105" s="5" t="s">
        <v>1883</v>
      </c>
      <c r="D4105" s="6">
        <v>12.0</v>
      </c>
      <c r="E4105" s="6">
        <v>1085.0</v>
      </c>
      <c r="F4105" s="6">
        <v>2464.0</v>
      </c>
      <c r="G4105" s="6">
        <v>1423.0</v>
      </c>
      <c r="H4105" s="6">
        <v>0.7625</v>
      </c>
      <c r="I4105" s="6">
        <v>1.7316</v>
      </c>
      <c r="J4105" s="6">
        <v>-0.9691</v>
      </c>
    </row>
    <row r="4106">
      <c r="A4106" s="5" t="s">
        <v>60</v>
      </c>
      <c r="B4106" s="5" t="s">
        <v>1867</v>
      </c>
      <c r="C4106" s="5" t="s">
        <v>1883</v>
      </c>
      <c r="D4106" s="6">
        <v>13.0</v>
      </c>
      <c r="E4106" s="6">
        <v>3320.0</v>
      </c>
      <c r="F4106" s="6">
        <v>3727.0</v>
      </c>
      <c r="G4106" s="6">
        <v>1423.0</v>
      </c>
      <c r="H4106" s="6">
        <v>2.3331</v>
      </c>
      <c r="I4106" s="6">
        <v>2.6191</v>
      </c>
      <c r="J4106" s="6">
        <v>-0.286</v>
      </c>
    </row>
    <row r="4107">
      <c r="A4107" s="5" t="s">
        <v>60</v>
      </c>
      <c r="B4107" s="5" t="s">
        <v>1867</v>
      </c>
      <c r="C4107" s="5" t="s">
        <v>1883</v>
      </c>
      <c r="D4107" s="6">
        <v>14.0</v>
      </c>
      <c r="E4107" s="6">
        <v>3785.0</v>
      </c>
      <c r="F4107" s="6">
        <v>4468.0</v>
      </c>
      <c r="G4107" s="6">
        <v>1423.0</v>
      </c>
      <c r="H4107" s="6">
        <v>2.6599</v>
      </c>
      <c r="I4107" s="6">
        <v>3.1398</v>
      </c>
      <c r="J4107" s="6">
        <v>-0.48</v>
      </c>
    </row>
    <row r="4108">
      <c r="A4108" s="5" t="s">
        <v>60</v>
      </c>
      <c r="B4108" s="5" t="s">
        <v>1867</v>
      </c>
      <c r="C4108" s="5" t="s">
        <v>1883</v>
      </c>
      <c r="D4108" s="6">
        <v>15.0</v>
      </c>
      <c r="E4108" s="6">
        <v>2125.0</v>
      </c>
      <c r="F4108" s="6">
        <v>3025.0</v>
      </c>
      <c r="G4108" s="6">
        <v>1423.0</v>
      </c>
      <c r="H4108" s="6">
        <v>1.4933</v>
      </c>
      <c r="I4108" s="6">
        <v>2.1258</v>
      </c>
      <c r="J4108" s="6">
        <v>-0.6325</v>
      </c>
    </row>
    <row r="4109">
      <c r="A4109" s="5" t="s">
        <v>60</v>
      </c>
      <c r="B4109" s="5" t="s">
        <v>1867</v>
      </c>
      <c r="C4109" s="5" t="s">
        <v>1883</v>
      </c>
      <c r="D4109" s="6">
        <v>16.0</v>
      </c>
      <c r="E4109" s="6">
        <v>3820.0</v>
      </c>
      <c r="F4109" s="6">
        <v>3956.0</v>
      </c>
      <c r="G4109" s="6">
        <v>1423.0</v>
      </c>
      <c r="H4109" s="6">
        <v>2.6845</v>
      </c>
      <c r="I4109" s="6">
        <v>2.78</v>
      </c>
      <c r="J4109" s="6">
        <v>-0.0956</v>
      </c>
    </row>
    <row r="4110">
      <c r="A4110" s="5" t="s">
        <v>60</v>
      </c>
      <c r="B4110" s="5" t="s">
        <v>1867</v>
      </c>
      <c r="C4110" s="5" t="s">
        <v>1883</v>
      </c>
      <c r="D4110" s="6">
        <v>17.0</v>
      </c>
      <c r="E4110" s="6">
        <v>2060.0</v>
      </c>
      <c r="F4110" s="6">
        <v>3069.0</v>
      </c>
      <c r="G4110" s="6">
        <v>1423.0</v>
      </c>
      <c r="H4110" s="6">
        <v>1.4476</v>
      </c>
      <c r="I4110" s="6">
        <v>2.1567</v>
      </c>
      <c r="J4110" s="6">
        <v>-0.7091</v>
      </c>
    </row>
    <row r="4111">
      <c r="A4111" s="5" t="s">
        <v>60</v>
      </c>
      <c r="B4111" s="5" t="s">
        <v>1867</v>
      </c>
      <c r="C4111" s="5" t="s">
        <v>1883</v>
      </c>
      <c r="D4111" s="6">
        <v>18.0</v>
      </c>
      <c r="E4111" s="6">
        <v>1855.0</v>
      </c>
      <c r="F4111" s="6">
        <v>2624.0</v>
      </c>
      <c r="G4111" s="6">
        <v>1423.0</v>
      </c>
      <c r="H4111" s="6">
        <v>1.3036</v>
      </c>
      <c r="I4111" s="6">
        <v>1.844</v>
      </c>
      <c r="J4111" s="6">
        <v>-0.5404</v>
      </c>
    </row>
    <row r="4112">
      <c r="A4112" s="5" t="s">
        <v>60</v>
      </c>
      <c r="B4112" s="5" t="s">
        <v>1867</v>
      </c>
      <c r="C4112" s="5" t="s">
        <v>1883</v>
      </c>
      <c r="D4112" s="6">
        <v>19.0</v>
      </c>
      <c r="E4112" s="6">
        <v>1685.0</v>
      </c>
      <c r="F4112" s="6">
        <v>2181.0</v>
      </c>
      <c r="G4112" s="6">
        <v>1423.0</v>
      </c>
      <c r="H4112" s="6">
        <v>1.1841</v>
      </c>
      <c r="I4112" s="6">
        <v>1.5327</v>
      </c>
      <c r="J4112" s="6">
        <v>-0.3486</v>
      </c>
    </row>
    <row r="4113">
      <c r="A4113" s="5" t="s">
        <v>60</v>
      </c>
      <c r="B4113" s="5" t="s">
        <v>1867</v>
      </c>
      <c r="C4113" s="5" t="s">
        <v>1883</v>
      </c>
      <c r="D4113" s="6">
        <v>20.0</v>
      </c>
      <c r="E4113" s="6">
        <v>4630.0</v>
      </c>
      <c r="F4113" s="6">
        <v>4533.0</v>
      </c>
      <c r="G4113" s="6">
        <v>1423.0</v>
      </c>
      <c r="H4113" s="6">
        <v>3.2537</v>
      </c>
      <c r="I4113" s="6">
        <v>3.1855</v>
      </c>
      <c r="J4113" s="6">
        <v>0.0682</v>
      </c>
    </row>
    <row r="4114">
      <c r="A4114" s="5" t="s">
        <v>60</v>
      </c>
      <c r="B4114" s="5" t="s">
        <v>1867</v>
      </c>
      <c r="C4114" s="5" t="s">
        <v>1883</v>
      </c>
      <c r="D4114" s="6">
        <v>21.0</v>
      </c>
      <c r="E4114" s="6">
        <v>5855.0</v>
      </c>
      <c r="F4114" s="6">
        <v>5208.0</v>
      </c>
      <c r="G4114" s="6">
        <v>1423.0</v>
      </c>
      <c r="H4114" s="6">
        <v>4.1145</v>
      </c>
      <c r="I4114" s="6">
        <v>3.6599</v>
      </c>
      <c r="J4114" s="6">
        <v>0.4547</v>
      </c>
    </row>
    <row r="4115">
      <c r="A4115" s="5" t="s">
        <v>60</v>
      </c>
      <c r="B4115" s="5" t="s">
        <v>1867</v>
      </c>
      <c r="C4115" s="5" t="s">
        <v>1883</v>
      </c>
      <c r="D4115" s="6">
        <v>22.0</v>
      </c>
      <c r="E4115" s="6">
        <v>4215.0</v>
      </c>
      <c r="F4115" s="6">
        <v>4662.0</v>
      </c>
      <c r="G4115" s="6">
        <v>1423.0</v>
      </c>
      <c r="H4115" s="6">
        <v>2.9621</v>
      </c>
      <c r="I4115" s="6">
        <v>3.2762</v>
      </c>
      <c r="J4115" s="6">
        <v>-0.3141</v>
      </c>
    </row>
    <row r="4116">
      <c r="A4116" s="5" t="s">
        <v>60</v>
      </c>
      <c r="B4116" s="5" t="s">
        <v>1867</v>
      </c>
      <c r="C4116" s="5" t="s">
        <v>1883</v>
      </c>
      <c r="D4116" s="6">
        <v>23.0</v>
      </c>
      <c r="E4116" s="6">
        <v>2915.0</v>
      </c>
      <c r="F4116" s="6">
        <v>3631.0</v>
      </c>
      <c r="G4116" s="6">
        <v>1423.0</v>
      </c>
      <c r="H4116" s="6">
        <v>2.0485</v>
      </c>
      <c r="I4116" s="6">
        <v>2.5517</v>
      </c>
      <c r="J4116" s="6">
        <v>-0.5032</v>
      </c>
    </row>
    <row r="4117">
      <c r="A4117" s="5" t="s">
        <v>60</v>
      </c>
      <c r="B4117" s="5" t="s">
        <v>1867</v>
      </c>
      <c r="C4117" s="5" t="s">
        <v>1883</v>
      </c>
      <c r="D4117" s="6">
        <v>24.0</v>
      </c>
      <c r="E4117" s="6">
        <v>1505.0</v>
      </c>
      <c r="F4117" s="6">
        <v>2395.0</v>
      </c>
      <c r="G4117" s="6">
        <v>1423.0</v>
      </c>
      <c r="H4117" s="6">
        <v>1.0576</v>
      </c>
      <c r="I4117" s="6">
        <v>1.6831</v>
      </c>
      <c r="J4117" s="6">
        <v>-0.6254</v>
      </c>
    </row>
    <row r="4118">
      <c r="A4118" s="5" t="s">
        <v>60</v>
      </c>
      <c r="B4118" s="5" t="s">
        <v>1867</v>
      </c>
      <c r="C4118" s="5" t="s">
        <v>1883</v>
      </c>
      <c r="D4118" s="6">
        <v>25.0</v>
      </c>
      <c r="E4118" s="6">
        <v>1325.0</v>
      </c>
      <c r="F4118" s="6">
        <v>2674.0</v>
      </c>
      <c r="G4118" s="6">
        <v>1423.0</v>
      </c>
      <c r="H4118" s="6">
        <v>0.9311</v>
      </c>
      <c r="I4118" s="6">
        <v>1.8791</v>
      </c>
      <c r="J4118" s="6">
        <v>-0.948</v>
      </c>
    </row>
    <row r="4119">
      <c r="A4119" s="5" t="s">
        <v>60</v>
      </c>
      <c r="B4119" s="5" t="s">
        <v>1867</v>
      </c>
      <c r="C4119" s="5" t="s">
        <v>1883</v>
      </c>
      <c r="D4119" s="6">
        <v>26.0</v>
      </c>
      <c r="E4119" s="6">
        <v>2105.0</v>
      </c>
      <c r="F4119" s="6">
        <v>3494.0</v>
      </c>
      <c r="G4119" s="6">
        <v>1423.0</v>
      </c>
      <c r="H4119" s="6">
        <v>1.4793</v>
      </c>
      <c r="I4119" s="6">
        <v>2.4554</v>
      </c>
      <c r="J4119" s="6">
        <v>-0.9761</v>
      </c>
    </row>
    <row r="4120">
      <c r="A4120" s="5" t="s">
        <v>60</v>
      </c>
      <c r="B4120" s="5" t="s">
        <v>1867</v>
      </c>
      <c r="C4120" s="5" t="s">
        <v>1883</v>
      </c>
      <c r="D4120" s="6">
        <v>27.0</v>
      </c>
      <c r="E4120" s="6">
        <v>2710.0</v>
      </c>
      <c r="F4120" s="6">
        <v>3597.0</v>
      </c>
      <c r="G4120" s="6">
        <v>1423.0</v>
      </c>
      <c r="H4120" s="6">
        <v>1.9044</v>
      </c>
      <c r="I4120" s="6">
        <v>2.5278</v>
      </c>
      <c r="J4120" s="6">
        <v>-0.6233</v>
      </c>
    </row>
    <row r="4121">
      <c r="A4121" s="5" t="s">
        <v>60</v>
      </c>
      <c r="B4121" s="5" t="s">
        <v>1867</v>
      </c>
      <c r="C4121" s="5" t="s">
        <v>1883</v>
      </c>
      <c r="D4121" s="6">
        <v>28.0</v>
      </c>
      <c r="E4121" s="6">
        <v>3050.0</v>
      </c>
      <c r="F4121" s="6">
        <v>3966.0</v>
      </c>
      <c r="G4121" s="6">
        <v>1423.0</v>
      </c>
      <c r="H4121" s="6">
        <v>2.1434</v>
      </c>
      <c r="I4121" s="6">
        <v>2.7871</v>
      </c>
      <c r="J4121" s="6">
        <v>-0.6437</v>
      </c>
    </row>
    <row r="4122">
      <c r="A4122" s="5" t="s">
        <v>60</v>
      </c>
      <c r="B4122" s="5" t="s">
        <v>1867</v>
      </c>
      <c r="C4122" s="5" t="s">
        <v>1883</v>
      </c>
      <c r="D4122" s="6">
        <v>29.0</v>
      </c>
      <c r="E4122" s="6">
        <v>2230.0</v>
      </c>
      <c r="F4122" s="6">
        <v>4172.0</v>
      </c>
      <c r="G4122" s="6">
        <v>1423.0</v>
      </c>
      <c r="H4122" s="6">
        <v>1.5671</v>
      </c>
      <c r="I4122" s="6">
        <v>2.9318</v>
      </c>
      <c r="J4122" s="6">
        <v>-1.3647</v>
      </c>
    </row>
    <row r="4123">
      <c r="A4123" s="5" t="s">
        <v>60</v>
      </c>
      <c r="B4123" s="5" t="s">
        <v>1867</v>
      </c>
      <c r="C4123" s="5" t="s">
        <v>1883</v>
      </c>
      <c r="D4123" s="6">
        <v>30.0</v>
      </c>
      <c r="E4123" s="6">
        <v>4940.0</v>
      </c>
      <c r="F4123" s="6">
        <v>5763.0</v>
      </c>
      <c r="G4123" s="6">
        <v>1423.0</v>
      </c>
      <c r="H4123" s="6">
        <v>3.4715</v>
      </c>
      <c r="I4123" s="6">
        <v>4.0499</v>
      </c>
      <c r="J4123" s="6">
        <v>-0.5784</v>
      </c>
    </row>
    <row r="4124">
      <c r="A4124" s="5" t="s">
        <v>60</v>
      </c>
      <c r="B4124" s="5" t="s">
        <v>1867</v>
      </c>
      <c r="C4124" s="5" t="s">
        <v>1883</v>
      </c>
      <c r="D4124" s="6">
        <v>31.0</v>
      </c>
      <c r="E4124" s="6">
        <v>2565.0</v>
      </c>
      <c r="F4124" s="6">
        <v>3319.0</v>
      </c>
      <c r="G4124" s="6">
        <v>1423.0</v>
      </c>
      <c r="H4124" s="6">
        <v>1.8025</v>
      </c>
      <c r="I4124" s="6">
        <v>2.3324</v>
      </c>
      <c r="J4124" s="6">
        <v>-0.5299</v>
      </c>
    </row>
    <row r="4125">
      <c r="A4125" s="5" t="s">
        <v>60</v>
      </c>
      <c r="B4125" s="5" t="s">
        <v>1867</v>
      </c>
      <c r="C4125" s="5" t="s">
        <v>1883</v>
      </c>
      <c r="D4125" s="6">
        <v>32.0</v>
      </c>
      <c r="E4125" s="6">
        <v>2490.0</v>
      </c>
      <c r="F4125" s="6">
        <v>3115.0</v>
      </c>
      <c r="G4125" s="6">
        <v>1423.0</v>
      </c>
      <c r="H4125" s="6">
        <v>1.7498</v>
      </c>
      <c r="I4125" s="6">
        <v>2.189</v>
      </c>
      <c r="J4125" s="6">
        <v>-0.4392</v>
      </c>
    </row>
    <row r="4126">
      <c r="A4126" s="5" t="s">
        <v>60</v>
      </c>
      <c r="B4126" s="5" t="s">
        <v>1867</v>
      </c>
      <c r="C4126" s="5" t="s">
        <v>1883</v>
      </c>
      <c r="D4126" s="6">
        <v>33.0</v>
      </c>
      <c r="E4126" s="6">
        <v>1930.0</v>
      </c>
      <c r="F4126" s="6">
        <v>3057.0</v>
      </c>
      <c r="G4126" s="6">
        <v>1423.0</v>
      </c>
      <c r="H4126" s="6">
        <v>1.3563</v>
      </c>
      <c r="I4126" s="6">
        <v>2.1483</v>
      </c>
      <c r="J4126" s="6">
        <v>-0.792</v>
      </c>
    </row>
    <row r="4127">
      <c r="A4127" s="5" t="s">
        <v>60</v>
      </c>
      <c r="B4127" s="5" t="s">
        <v>1867</v>
      </c>
      <c r="C4127" s="5" t="s">
        <v>1884</v>
      </c>
      <c r="D4127" s="6">
        <v>1.0</v>
      </c>
      <c r="E4127" s="6">
        <v>2300.0</v>
      </c>
      <c r="F4127" s="6">
        <v>2608.0</v>
      </c>
      <c r="G4127" s="6">
        <v>1721.0</v>
      </c>
      <c r="H4127" s="6">
        <v>1.3364</v>
      </c>
      <c r="I4127" s="6">
        <v>1.5154</v>
      </c>
      <c r="J4127" s="6">
        <v>-0.179</v>
      </c>
    </row>
    <row r="4128">
      <c r="A4128" s="5" t="s">
        <v>60</v>
      </c>
      <c r="B4128" s="5" t="s">
        <v>1867</v>
      </c>
      <c r="C4128" s="5" t="s">
        <v>1884</v>
      </c>
      <c r="D4128" s="6">
        <v>2.0</v>
      </c>
      <c r="E4128" s="6">
        <v>3710.0</v>
      </c>
      <c r="F4128" s="6">
        <v>3704.0</v>
      </c>
      <c r="G4128" s="6">
        <v>1721.0</v>
      </c>
      <c r="H4128" s="6">
        <v>2.1557</v>
      </c>
      <c r="I4128" s="6">
        <v>2.1522</v>
      </c>
      <c r="J4128" s="6">
        <v>0.0035</v>
      </c>
    </row>
    <row r="4129">
      <c r="A4129" s="5" t="s">
        <v>60</v>
      </c>
      <c r="B4129" s="5" t="s">
        <v>1867</v>
      </c>
      <c r="C4129" s="5" t="s">
        <v>1884</v>
      </c>
      <c r="D4129" s="6">
        <v>3.0</v>
      </c>
      <c r="E4129" s="6">
        <v>4300.0</v>
      </c>
      <c r="F4129" s="6">
        <v>3785.0</v>
      </c>
      <c r="G4129" s="6">
        <v>1721.0</v>
      </c>
      <c r="H4129" s="6">
        <v>2.4985</v>
      </c>
      <c r="I4129" s="6">
        <v>2.1993</v>
      </c>
      <c r="J4129" s="6">
        <v>0.2992</v>
      </c>
    </row>
    <row r="4130">
      <c r="A4130" s="5" t="s">
        <v>60</v>
      </c>
      <c r="B4130" s="5" t="s">
        <v>1867</v>
      </c>
      <c r="C4130" s="5" t="s">
        <v>1884</v>
      </c>
      <c r="D4130" s="6">
        <v>4.0</v>
      </c>
      <c r="E4130" s="6">
        <v>5610.0</v>
      </c>
      <c r="F4130" s="6">
        <v>5007.0</v>
      </c>
      <c r="G4130" s="6">
        <v>1721.0</v>
      </c>
      <c r="H4130" s="6">
        <v>3.2597</v>
      </c>
      <c r="I4130" s="6">
        <v>2.9094</v>
      </c>
      <c r="J4130" s="6">
        <v>0.3504</v>
      </c>
    </row>
    <row r="4131">
      <c r="A4131" s="5" t="s">
        <v>60</v>
      </c>
      <c r="B4131" s="5" t="s">
        <v>1867</v>
      </c>
      <c r="C4131" s="5" t="s">
        <v>1884</v>
      </c>
      <c r="D4131" s="6">
        <v>5.0</v>
      </c>
      <c r="E4131" s="6">
        <v>5600.0</v>
      </c>
      <c r="F4131" s="6">
        <v>4913.0</v>
      </c>
      <c r="G4131" s="6">
        <v>1721.0</v>
      </c>
      <c r="H4131" s="6">
        <v>3.2539</v>
      </c>
      <c r="I4131" s="6">
        <v>2.8547</v>
      </c>
      <c r="J4131" s="6">
        <v>0.3992</v>
      </c>
    </row>
    <row r="4132">
      <c r="A4132" s="5" t="s">
        <v>60</v>
      </c>
      <c r="B4132" s="5" t="s">
        <v>1867</v>
      </c>
      <c r="C4132" s="5" t="s">
        <v>1884</v>
      </c>
      <c r="D4132" s="6">
        <v>6.0</v>
      </c>
      <c r="E4132" s="6">
        <v>6985.0</v>
      </c>
      <c r="F4132" s="6">
        <v>6451.0</v>
      </c>
      <c r="G4132" s="6">
        <v>1721.0</v>
      </c>
      <c r="H4132" s="6">
        <v>4.0587</v>
      </c>
      <c r="I4132" s="6">
        <v>3.7484</v>
      </c>
      <c r="J4132" s="6">
        <v>0.3103</v>
      </c>
    </row>
    <row r="4133">
      <c r="A4133" s="5" t="s">
        <v>60</v>
      </c>
      <c r="B4133" s="5" t="s">
        <v>1867</v>
      </c>
      <c r="C4133" s="5" t="s">
        <v>1884</v>
      </c>
      <c r="D4133" s="6">
        <v>7.0</v>
      </c>
      <c r="E4133" s="6">
        <v>6735.0</v>
      </c>
      <c r="F4133" s="6">
        <v>5486.0</v>
      </c>
      <c r="G4133" s="6">
        <v>1721.0</v>
      </c>
      <c r="H4133" s="6">
        <v>3.9134</v>
      </c>
      <c r="I4133" s="6">
        <v>3.1877</v>
      </c>
      <c r="J4133" s="6">
        <v>0.7257</v>
      </c>
    </row>
    <row r="4134">
      <c r="A4134" s="5" t="s">
        <v>60</v>
      </c>
      <c r="B4134" s="5" t="s">
        <v>1867</v>
      </c>
      <c r="C4134" s="5" t="s">
        <v>1884</v>
      </c>
      <c r="D4134" s="6">
        <v>8.0</v>
      </c>
      <c r="E4134" s="6">
        <v>5370.0</v>
      </c>
      <c r="F4134" s="6">
        <v>4951.0</v>
      </c>
      <c r="G4134" s="6">
        <v>1721.0</v>
      </c>
      <c r="H4134" s="6">
        <v>3.1203</v>
      </c>
      <c r="I4134" s="6">
        <v>2.8768</v>
      </c>
      <c r="J4134" s="6">
        <v>0.2435</v>
      </c>
    </row>
    <row r="4135">
      <c r="A4135" s="5" t="s">
        <v>60</v>
      </c>
      <c r="B4135" s="5" t="s">
        <v>1867</v>
      </c>
      <c r="C4135" s="5" t="s">
        <v>1884</v>
      </c>
      <c r="D4135" s="6">
        <v>9.0</v>
      </c>
      <c r="E4135" s="6">
        <v>2335.0</v>
      </c>
      <c r="F4135" s="6">
        <v>3217.0</v>
      </c>
      <c r="G4135" s="6">
        <v>1721.0</v>
      </c>
      <c r="H4135" s="6">
        <v>1.3568</v>
      </c>
      <c r="I4135" s="6">
        <v>1.8693</v>
      </c>
      <c r="J4135" s="6">
        <v>-0.5125</v>
      </c>
    </row>
    <row r="4136">
      <c r="A4136" s="5" t="s">
        <v>60</v>
      </c>
      <c r="B4136" s="5" t="s">
        <v>1867</v>
      </c>
      <c r="C4136" s="5" t="s">
        <v>1884</v>
      </c>
      <c r="D4136" s="6">
        <v>10.0</v>
      </c>
      <c r="E4136" s="6">
        <v>3485.0</v>
      </c>
      <c r="F4136" s="6">
        <v>3394.0</v>
      </c>
      <c r="G4136" s="6">
        <v>1721.0</v>
      </c>
      <c r="H4136" s="6">
        <v>2.025</v>
      </c>
      <c r="I4136" s="6">
        <v>1.9721</v>
      </c>
      <c r="J4136" s="6">
        <v>0.0529</v>
      </c>
    </row>
    <row r="4137">
      <c r="A4137" s="5" t="s">
        <v>60</v>
      </c>
      <c r="B4137" s="5" t="s">
        <v>1867</v>
      </c>
      <c r="C4137" s="5" t="s">
        <v>1884</v>
      </c>
      <c r="D4137" s="6">
        <v>11.0</v>
      </c>
      <c r="E4137" s="6">
        <v>3060.0</v>
      </c>
      <c r="F4137" s="6">
        <v>3178.0</v>
      </c>
      <c r="G4137" s="6">
        <v>1721.0</v>
      </c>
      <c r="H4137" s="6">
        <v>1.778</v>
      </c>
      <c r="I4137" s="6">
        <v>1.8466</v>
      </c>
      <c r="J4137" s="6">
        <v>-0.0686</v>
      </c>
    </row>
    <row r="4138">
      <c r="A4138" s="5" t="s">
        <v>60</v>
      </c>
      <c r="B4138" s="5" t="s">
        <v>1867</v>
      </c>
      <c r="C4138" s="5" t="s">
        <v>1884</v>
      </c>
      <c r="D4138" s="6">
        <v>12.0</v>
      </c>
      <c r="E4138" s="6">
        <v>3215.0</v>
      </c>
      <c r="F4138" s="6">
        <v>3751.0</v>
      </c>
      <c r="G4138" s="6">
        <v>1721.0</v>
      </c>
      <c r="H4138" s="6">
        <v>1.8681</v>
      </c>
      <c r="I4138" s="6">
        <v>2.1795</v>
      </c>
      <c r="J4138" s="6">
        <v>-0.3114</v>
      </c>
    </row>
    <row r="4139">
      <c r="A4139" s="5" t="s">
        <v>60</v>
      </c>
      <c r="B4139" s="5" t="s">
        <v>1867</v>
      </c>
      <c r="C4139" s="5" t="s">
        <v>1884</v>
      </c>
      <c r="D4139" s="6">
        <v>13.0</v>
      </c>
      <c r="E4139" s="6">
        <v>5545.0</v>
      </c>
      <c r="F4139" s="6">
        <v>5009.0</v>
      </c>
      <c r="G4139" s="6">
        <v>1721.0</v>
      </c>
      <c r="H4139" s="6">
        <v>3.222</v>
      </c>
      <c r="I4139" s="6">
        <v>2.9105</v>
      </c>
      <c r="J4139" s="6">
        <v>0.3114</v>
      </c>
    </row>
    <row r="4140">
      <c r="A4140" s="5" t="s">
        <v>60</v>
      </c>
      <c r="B4140" s="5" t="s">
        <v>1867</v>
      </c>
      <c r="C4140" s="5" t="s">
        <v>1884</v>
      </c>
      <c r="D4140" s="6">
        <v>14.0</v>
      </c>
      <c r="E4140" s="6">
        <v>4725.0</v>
      </c>
      <c r="F4140" s="6">
        <v>5015.0</v>
      </c>
      <c r="G4140" s="6">
        <v>1721.0</v>
      </c>
      <c r="H4140" s="6">
        <v>2.7455</v>
      </c>
      <c r="I4140" s="6">
        <v>2.914</v>
      </c>
      <c r="J4140" s="6">
        <v>-0.1685</v>
      </c>
    </row>
    <row r="4141">
      <c r="A4141" s="5" t="s">
        <v>60</v>
      </c>
      <c r="B4141" s="5" t="s">
        <v>1867</v>
      </c>
      <c r="C4141" s="5" t="s">
        <v>1884</v>
      </c>
      <c r="D4141" s="6">
        <v>15.0</v>
      </c>
      <c r="E4141" s="6">
        <v>3000.0</v>
      </c>
      <c r="F4141" s="6">
        <v>3637.0</v>
      </c>
      <c r="G4141" s="6">
        <v>1721.0</v>
      </c>
      <c r="H4141" s="6">
        <v>1.7432</v>
      </c>
      <c r="I4141" s="6">
        <v>2.1133</v>
      </c>
      <c r="J4141" s="6">
        <v>-0.3701</v>
      </c>
    </row>
    <row r="4142">
      <c r="A4142" s="5" t="s">
        <v>60</v>
      </c>
      <c r="B4142" s="5" t="s">
        <v>1867</v>
      </c>
      <c r="C4142" s="5" t="s">
        <v>1884</v>
      </c>
      <c r="D4142" s="6">
        <v>16.0</v>
      </c>
      <c r="E4142" s="6">
        <v>5200.0</v>
      </c>
      <c r="F4142" s="6">
        <v>4791.0</v>
      </c>
      <c r="G4142" s="6">
        <v>1721.0</v>
      </c>
      <c r="H4142" s="6">
        <v>3.0215</v>
      </c>
      <c r="I4142" s="6">
        <v>2.7838</v>
      </c>
      <c r="J4142" s="6">
        <v>0.2377</v>
      </c>
    </row>
    <row r="4143">
      <c r="A4143" s="5" t="s">
        <v>60</v>
      </c>
      <c r="B4143" s="5" t="s">
        <v>1867</v>
      </c>
      <c r="C4143" s="5" t="s">
        <v>1884</v>
      </c>
      <c r="D4143" s="6">
        <v>17.0</v>
      </c>
      <c r="E4143" s="6">
        <v>5785.0</v>
      </c>
      <c r="F4143" s="6">
        <v>5504.0</v>
      </c>
      <c r="G4143" s="6">
        <v>1721.0</v>
      </c>
      <c r="H4143" s="6">
        <v>3.3614</v>
      </c>
      <c r="I4143" s="6">
        <v>3.1981</v>
      </c>
      <c r="J4143" s="6">
        <v>0.1633</v>
      </c>
    </row>
    <row r="4144">
      <c r="A4144" s="5" t="s">
        <v>60</v>
      </c>
      <c r="B4144" s="5" t="s">
        <v>1867</v>
      </c>
      <c r="C4144" s="5" t="s">
        <v>1884</v>
      </c>
      <c r="D4144" s="6">
        <v>18.0</v>
      </c>
      <c r="E4144" s="6">
        <v>6095.0</v>
      </c>
      <c r="F4144" s="6">
        <v>5478.0</v>
      </c>
      <c r="G4144" s="6">
        <v>1721.0</v>
      </c>
      <c r="H4144" s="6">
        <v>3.5415</v>
      </c>
      <c r="I4144" s="6">
        <v>3.183</v>
      </c>
      <c r="J4144" s="6">
        <v>0.3585</v>
      </c>
    </row>
    <row r="4145">
      <c r="A4145" s="5" t="s">
        <v>60</v>
      </c>
      <c r="B4145" s="5" t="s">
        <v>1867</v>
      </c>
      <c r="C4145" s="5" t="s">
        <v>1884</v>
      </c>
      <c r="D4145" s="6">
        <v>19.0</v>
      </c>
      <c r="E4145" s="6">
        <v>6780.0</v>
      </c>
      <c r="F4145" s="6">
        <v>5613.0</v>
      </c>
      <c r="G4145" s="6">
        <v>1721.0</v>
      </c>
      <c r="H4145" s="6">
        <v>3.9396</v>
      </c>
      <c r="I4145" s="6">
        <v>3.2615</v>
      </c>
      <c r="J4145" s="6">
        <v>0.6781</v>
      </c>
    </row>
    <row r="4146">
      <c r="A4146" s="5" t="s">
        <v>60</v>
      </c>
      <c r="B4146" s="5" t="s">
        <v>1867</v>
      </c>
      <c r="C4146" s="5" t="s">
        <v>1884</v>
      </c>
      <c r="D4146" s="6">
        <v>20.0</v>
      </c>
      <c r="E4146" s="6">
        <v>9155.0</v>
      </c>
      <c r="F4146" s="6">
        <v>7728.0</v>
      </c>
      <c r="G4146" s="6">
        <v>1721.0</v>
      </c>
      <c r="H4146" s="6">
        <v>5.3196</v>
      </c>
      <c r="I4146" s="6">
        <v>4.4904</v>
      </c>
      <c r="J4146" s="6">
        <v>0.8292</v>
      </c>
    </row>
    <row r="4147">
      <c r="A4147" s="5" t="s">
        <v>60</v>
      </c>
      <c r="B4147" s="5" t="s">
        <v>1867</v>
      </c>
      <c r="C4147" s="5" t="s">
        <v>1884</v>
      </c>
      <c r="D4147" s="6">
        <v>21.0</v>
      </c>
      <c r="E4147" s="6">
        <v>16010.0</v>
      </c>
      <c r="F4147" s="6">
        <v>11365.0</v>
      </c>
      <c r="G4147" s="6">
        <v>1721.0</v>
      </c>
      <c r="H4147" s="6">
        <v>9.3027</v>
      </c>
      <c r="I4147" s="6">
        <v>6.6037</v>
      </c>
      <c r="J4147" s="6">
        <v>2.699</v>
      </c>
    </row>
    <row r="4148">
      <c r="A4148" s="5" t="s">
        <v>60</v>
      </c>
      <c r="B4148" s="5" t="s">
        <v>1867</v>
      </c>
      <c r="C4148" s="5" t="s">
        <v>1884</v>
      </c>
      <c r="D4148" s="6">
        <v>22.0</v>
      </c>
      <c r="E4148" s="6">
        <v>10630.0</v>
      </c>
      <c r="F4148" s="6">
        <v>8607.0</v>
      </c>
      <c r="G4148" s="6">
        <v>1721.0</v>
      </c>
      <c r="H4148" s="6">
        <v>6.1766</v>
      </c>
      <c r="I4148" s="6">
        <v>5.0012</v>
      </c>
      <c r="J4148" s="6">
        <v>1.1755</v>
      </c>
    </row>
    <row r="4149">
      <c r="A4149" s="5" t="s">
        <v>60</v>
      </c>
      <c r="B4149" s="5" t="s">
        <v>1867</v>
      </c>
      <c r="C4149" s="5" t="s">
        <v>1884</v>
      </c>
      <c r="D4149" s="6">
        <v>23.0</v>
      </c>
      <c r="E4149" s="6">
        <v>5495.0</v>
      </c>
      <c r="F4149" s="6">
        <v>5203.0</v>
      </c>
      <c r="G4149" s="6">
        <v>1721.0</v>
      </c>
      <c r="H4149" s="6">
        <v>3.1929</v>
      </c>
      <c r="I4149" s="6">
        <v>3.0232</v>
      </c>
      <c r="J4149" s="6">
        <v>0.1697</v>
      </c>
    </row>
    <row r="4150">
      <c r="A4150" s="5" t="s">
        <v>60</v>
      </c>
      <c r="B4150" s="5" t="s">
        <v>1867</v>
      </c>
      <c r="C4150" s="5" t="s">
        <v>1884</v>
      </c>
      <c r="D4150" s="6">
        <v>24.0</v>
      </c>
      <c r="E4150" s="6">
        <v>5435.0</v>
      </c>
      <c r="F4150" s="6">
        <v>4851.0</v>
      </c>
      <c r="G4150" s="6">
        <v>1721.0</v>
      </c>
      <c r="H4150" s="6">
        <v>3.158</v>
      </c>
      <c r="I4150" s="6">
        <v>2.8187</v>
      </c>
      <c r="J4150" s="6">
        <v>0.3393</v>
      </c>
    </row>
    <row r="4151">
      <c r="A4151" s="5" t="s">
        <v>60</v>
      </c>
      <c r="B4151" s="5" t="s">
        <v>1867</v>
      </c>
      <c r="C4151" s="5" t="s">
        <v>1884</v>
      </c>
      <c r="D4151" s="6">
        <v>25.0</v>
      </c>
      <c r="E4151" s="6">
        <v>5245.0</v>
      </c>
      <c r="F4151" s="6">
        <v>5147.0</v>
      </c>
      <c r="G4151" s="6">
        <v>1721.0</v>
      </c>
      <c r="H4151" s="6">
        <v>3.0476</v>
      </c>
      <c r="I4151" s="6">
        <v>2.9907</v>
      </c>
      <c r="J4151" s="6">
        <v>0.0569</v>
      </c>
    </row>
    <row r="4152">
      <c r="A4152" s="5" t="s">
        <v>60</v>
      </c>
      <c r="B4152" s="5" t="s">
        <v>1867</v>
      </c>
      <c r="C4152" s="5" t="s">
        <v>1884</v>
      </c>
      <c r="D4152" s="6">
        <v>26.0</v>
      </c>
      <c r="E4152" s="6">
        <v>5340.0</v>
      </c>
      <c r="F4152" s="6">
        <v>5984.0</v>
      </c>
      <c r="G4152" s="6">
        <v>1721.0</v>
      </c>
      <c r="H4152" s="6">
        <v>3.1028</v>
      </c>
      <c r="I4152" s="6">
        <v>3.477</v>
      </c>
      <c r="J4152" s="6">
        <v>-0.3742</v>
      </c>
    </row>
    <row r="4153">
      <c r="A4153" s="5" t="s">
        <v>60</v>
      </c>
      <c r="B4153" s="5" t="s">
        <v>1867</v>
      </c>
      <c r="C4153" s="5" t="s">
        <v>1884</v>
      </c>
      <c r="D4153" s="6">
        <v>27.0</v>
      </c>
      <c r="E4153" s="6">
        <v>6000.0</v>
      </c>
      <c r="F4153" s="6">
        <v>5623.0</v>
      </c>
      <c r="G4153" s="6">
        <v>1721.0</v>
      </c>
      <c r="H4153" s="6">
        <v>3.4863</v>
      </c>
      <c r="I4153" s="6">
        <v>3.2673</v>
      </c>
      <c r="J4153" s="6">
        <v>0.2191</v>
      </c>
    </row>
    <row r="4154">
      <c r="A4154" s="5" t="s">
        <v>60</v>
      </c>
      <c r="B4154" s="5" t="s">
        <v>1867</v>
      </c>
      <c r="C4154" s="5" t="s">
        <v>1884</v>
      </c>
      <c r="D4154" s="6">
        <v>28.0</v>
      </c>
      <c r="E4154" s="6">
        <v>4725.0</v>
      </c>
      <c r="F4154" s="6">
        <v>4993.0</v>
      </c>
      <c r="G4154" s="6">
        <v>1721.0</v>
      </c>
      <c r="H4154" s="6">
        <v>2.7455</v>
      </c>
      <c r="I4154" s="6">
        <v>2.9012</v>
      </c>
      <c r="J4154" s="6">
        <v>-0.1557</v>
      </c>
    </row>
    <row r="4155">
      <c r="A4155" s="5" t="s">
        <v>60</v>
      </c>
      <c r="B4155" s="5" t="s">
        <v>1867</v>
      </c>
      <c r="C4155" s="5" t="s">
        <v>1884</v>
      </c>
      <c r="D4155" s="6">
        <v>29.0</v>
      </c>
      <c r="E4155" s="6">
        <v>3410.0</v>
      </c>
      <c r="F4155" s="6">
        <v>4763.0</v>
      </c>
      <c r="G4155" s="6">
        <v>1721.0</v>
      </c>
      <c r="H4155" s="6">
        <v>1.9814</v>
      </c>
      <c r="I4155" s="6">
        <v>2.7676</v>
      </c>
      <c r="J4155" s="6">
        <v>-0.7862</v>
      </c>
    </row>
    <row r="4156">
      <c r="A4156" s="5" t="s">
        <v>60</v>
      </c>
      <c r="B4156" s="5" t="s">
        <v>1867</v>
      </c>
      <c r="C4156" s="5" t="s">
        <v>1884</v>
      </c>
      <c r="D4156" s="6">
        <v>30.0</v>
      </c>
      <c r="E4156" s="6">
        <v>6750.0</v>
      </c>
      <c r="F4156" s="6">
        <v>6977.0</v>
      </c>
      <c r="G4156" s="6">
        <v>1721.0</v>
      </c>
      <c r="H4156" s="6">
        <v>3.9221</v>
      </c>
      <c r="I4156" s="6">
        <v>4.054</v>
      </c>
      <c r="J4156" s="6">
        <v>-0.1319</v>
      </c>
    </row>
    <row r="4157">
      <c r="A4157" s="5" t="s">
        <v>60</v>
      </c>
      <c r="B4157" s="5" t="s">
        <v>1867</v>
      </c>
      <c r="C4157" s="5" t="s">
        <v>1884</v>
      </c>
      <c r="D4157" s="6">
        <v>31.0</v>
      </c>
      <c r="E4157" s="6">
        <v>6945.0</v>
      </c>
      <c r="F4157" s="6">
        <v>6369.0</v>
      </c>
      <c r="G4157" s="6">
        <v>1721.0</v>
      </c>
      <c r="H4157" s="6">
        <v>4.0354</v>
      </c>
      <c r="I4157" s="6">
        <v>3.7008</v>
      </c>
      <c r="J4157" s="6">
        <v>0.3347</v>
      </c>
    </row>
    <row r="4158">
      <c r="A4158" s="5" t="s">
        <v>60</v>
      </c>
      <c r="B4158" s="5" t="s">
        <v>1867</v>
      </c>
      <c r="C4158" s="5" t="s">
        <v>1884</v>
      </c>
      <c r="D4158" s="6">
        <v>32.0</v>
      </c>
      <c r="E4158" s="6">
        <v>8420.0</v>
      </c>
      <c r="F4158" s="6">
        <v>7114.0</v>
      </c>
      <c r="G4158" s="6">
        <v>1721.0</v>
      </c>
      <c r="H4158" s="6">
        <v>4.8925</v>
      </c>
      <c r="I4158" s="6">
        <v>4.1336</v>
      </c>
      <c r="J4158" s="6">
        <v>0.7589</v>
      </c>
    </row>
    <row r="4159">
      <c r="A4159" s="5" t="s">
        <v>60</v>
      </c>
      <c r="B4159" s="5" t="s">
        <v>1867</v>
      </c>
      <c r="C4159" s="5" t="s">
        <v>1884</v>
      </c>
      <c r="D4159" s="6">
        <v>33.0</v>
      </c>
      <c r="E4159" s="6">
        <v>7765.0</v>
      </c>
      <c r="F4159" s="6">
        <v>7097.0</v>
      </c>
      <c r="G4159" s="6">
        <v>1721.0</v>
      </c>
      <c r="H4159" s="6">
        <v>4.5119</v>
      </c>
      <c r="I4159" s="6">
        <v>4.1238</v>
      </c>
      <c r="J4159" s="6">
        <v>0.3881</v>
      </c>
    </row>
    <row r="4160">
      <c r="A4160" s="5" t="s">
        <v>60</v>
      </c>
      <c r="B4160" s="5" t="s">
        <v>1867</v>
      </c>
      <c r="C4160" s="5" t="s">
        <v>1885</v>
      </c>
      <c r="D4160" s="6">
        <v>1.0</v>
      </c>
      <c r="E4160" s="6">
        <v>2565.0</v>
      </c>
      <c r="F4160" s="6">
        <v>2537.0</v>
      </c>
      <c r="G4160" s="6">
        <v>1749.0</v>
      </c>
      <c r="H4160" s="6">
        <v>1.4666</v>
      </c>
      <c r="I4160" s="6">
        <v>1.4505</v>
      </c>
      <c r="J4160" s="6">
        <v>0.016</v>
      </c>
    </row>
    <row r="4161">
      <c r="A4161" s="5" t="s">
        <v>60</v>
      </c>
      <c r="B4161" s="5" t="s">
        <v>1867</v>
      </c>
      <c r="C4161" s="5" t="s">
        <v>1885</v>
      </c>
      <c r="D4161" s="6">
        <v>2.0</v>
      </c>
      <c r="E4161" s="6">
        <v>4605.0</v>
      </c>
      <c r="F4161" s="6">
        <v>3791.0</v>
      </c>
      <c r="G4161" s="6">
        <v>1749.0</v>
      </c>
      <c r="H4161" s="6">
        <v>2.6329</v>
      </c>
      <c r="I4161" s="6">
        <v>2.1675</v>
      </c>
      <c r="J4161" s="6">
        <v>0.4654</v>
      </c>
    </row>
    <row r="4162">
      <c r="A4162" s="5" t="s">
        <v>60</v>
      </c>
      <c r="B4162" s="5" t="s">
        <v>1867</v>
      </c>
      <c r="C4162" s="5" t="s">
        <v>1885</v>
      </c>
      <c r="D4162" s="6">
        <v>3.0</v>
      </c>
      <c r="E4162" s="6">
        <v>6230.0</v>
      </c>
      <c r="F4162" s="6">
        <v>4798.0</v>
      </c>
      <c r="G4162" s="6">
        <v>1749.0</v>
      </c>
      <c r="H4162" s="6">
        <v>3.562</v>
      </c>
      <c r="I4162" s="6">
        <v>2.7433</v>
      </c>
      <c r="J4162" s="6">
        <v>0.8188</v>
      </c>
    </row>
    <row r="4163">
      <c r="A4163" s="5" t="s">
        <v>60</v>
      </c>
      <c r="B4163" s="5" t="s">
        <v>1867</v>
      </c>
      <c r="C4163" s="5" t="s">
        <v>1885</v>
      </c>
      <c r="D4163" s="6">
        <v>4.0</v>
      </c>
      <c r="E4163" s="6">
        <v>6005.0</v>
      </c>
      <c r="F4163" s="6">
        <v>5169.0</v>
      </c>
      <c r="G4163" s="6">
        <v>1749.0</v>
      </c>
      <c r="H4163" s="6">
        <v>3.4334</v>
      </c>
      <c r="I4163" s="6">
        <v>2.9554</v>
      </c>
      <c r="J4163" s="6">
        <v>0.478</v>
      </c>
    </row>
    <row r="4164">
      <c r="A4164" s="5" t="s">
        <v>60</v>
      </c>
      <c r="B4164" s="5" t="s">
        <v>1867</v>
      </c>
      <c r="C4164" s="5" t="s">
        <v>1885</v>
      </c>
      <c r="D4164" s="6">
        <v>5.0</v>
      </c>
      <c r="E4164" s="6">
        <v>7635.0</v>
      </c>
      <c r="F4164" s="6">
        <v>5585.0</v>
      </c>
      <c r="G4164" s="6">
        <v>1749.0</v>
      </c>
      <c r="H4164" s="6">
        <v>4.3654</v>
      </c>
      <c r="I4164" s="6">
        <v>3.1933</v>
      </c>
      <c r="J4164" s="6">
        <v>1.1721</v>
      </c>
    </row>
    <row r="4165">
      <c r="A4165" s="5" t="s">
        <v>60</v>
      </c>
      <c r="B4165" s="5" t="s">
        <v>1867</v>
      </c>
      <c r="C4165" s="5" t="s">
        <v>1885</v>
      </c>
      <c r="D4165" s="6">
        <v>6.0</v>
      </c>
      <c r="E4165" s="6">
        <v>10730.0</v>
      </c>
      <c r="F4165" s="6">
        <v>7946.0</v>
      </c>
      <c r="G4165" s="6">
        <v>1749.0</v>
      </c>
      <c r="H4165" s="6">
        <v>6.1349</v>
      </c>
      <c r="I4165" s="6">
        <v>4.5432</v>
      </c>
      <c r="J4165" s="6">
        <v>1.5918</v>
      </c>
    </row>
    <row r="4166">
      <c r="A4166" s="5" t="s">
        <v>60</v>
      </c>
      <c r="B4166" s="5" t="s">
        <v>1867</v>
      </c>
      <c r="C4166" s="5" t="s">
        <v>1885</v>
      </c>
      <c r="D4166" s="6">
        <v>7.0</v>
      </c>
      <c r="E4166" s="6">
        <v>8260.0</v>
      </c>
      <c r="F4166" s="6">
        <v>5983.0</v>
      </c>
      <c r="G4166" s="6">
        <v>1749.0</v>
      </c>
      <c r="H4166" s="6">
        <v>4.7227</v>
      </c>
      <c r="I4166" s="6">
        <v>3.4208</v>
      </c>
      <c r="J4166" s="6">
        <v>1.3019</v>
      </c>
    </row>
    <row r="4167">
      <c r="A4167" s="5" t="s">
        <v>60</v>
      </c>
      <c r="B4167" s="5" t="s">
        <v>1867</v>
      </c>
      <c r="C4167" s="5" t="s">
        <v>1885</v>
      </c>
      <c r="D4167" s="6">
        <v>8.0</v>
      </c>
      <c r="E4167" s="6">
        <v>7685.0</v>
      </c>
      <c r="F4167" s="6">
        <v>5870.0</v>
      </c>
      <c r="G4167" s="6">
        <v>1749.0</v>
      </c>
      <c r="H4167" s="6">
        <v>4.3939</v>
      </c>
      <c r="I4167" s="6">
        <v>3.3562</v>
      </c>
      <c r="J4167" s="6">
        <v>1.0377</v>
      </c>
    </row>
    <row r="4168">
      <c r="A4168" s="5" t="s">
        <v>60</v>
      </c>
      <c r="B4168" s="5" t="s">
        <v>1867</v>
      </c>
      <c r="C4168" s="5" t="s">
        <v>1885</v>
      </c>
      <c r="D4168" s="6">
        <v>9.0</v>
      </c>
      <c r="E4168" s="6">
        <v>3510.0</v>
      </c>
      <c r="F4168" s="6">
        <v>3769.0</v>
      </c>
      <c r="G4168" s="6">
        <v>1749.0</v>
      </c>
      <c r="H4168" s="6">
        <v>2.0069</v>
      </c>
      <c r="I4168" s="6">
        <v>2.1549</v>
      </c>
      <c r="J4168" s="6">
        <v>-0.1481</v>
      </c>
    </row>
    <row r="4169">
      <c r="A4169" s="5" t="s">
        <v>60</v>
      </c>
      <c r="B4169" s="5" t="s">
        <v>1867</v>
      </c>
      <c r="C4169" s="5" t="s">
        <v>1885</v>
      </c>
      <c r="D4169" s="6">
        <v>10.0</v>
      </c>
      <c r="E4169" s="6">
        <v>4565.0</v>
      </c>
      <c r="F4169" s="6">
        <v>3940.0</v>
      </c>
      <c r="G4169" s="6">
        <v>1749.0</v>
      </c>
      <c r="H4169" s="6">
        <v>2.6101</v>
      </c>
      <c r="I4169" s="6">
        <v>2.2527</v>
      </c>
      <c r="J4169" s="6">
        <v>0.3573</v>
      </c>
    </row>
    <row r="4170">
      <c r="A4170" s="5" t="s">
        <v>60</v>
      </c>
      <c r="B4170" s="5" t="s">
        <v>1867</v>
      </c>
      <c r="C4170" s="5" t="s">
        <v>1885</v>
      </c>
      <c r="D4170" s="6">
        <v>11.0</v>
      </c>
      <c r="E4170" s="6">
        <v>3995.0</v>
      </c>
      <c r="F4170" s="6">
        <v>3762.0</v>
      </c>
      <c r="G4170" s="6">
        <v>1749.0</v>
      </c>
      <c r="H4170" s="6">
        <v>2.2842</v>
      </c>
      <c r="I4170" s="6">
        <v>2.1509</v>
      </c>
      <c r="J4170" s="6">
        <v>0.1332</v>
      </c>
    </row>
    <row r="4171">
      <c r="A4171" s="5" t="s">
        <v>60</v>
      </c>
      <c r="B4171" s="5" t="s">
        <v>1867</v>
      </c>
      <c r="C4171" s="5" t="s">
        <v>1885</v>
      </c>
      <c r="D4171" s="6">
        <v>12.0</v>
      </c>
      <c r="E4171" s="6">
        <v>4065.0</v>
      </c>
      <c r="F4171" s="6">
        <v>4364.0</v>
      </c>
      <c r="G4171" s="6">
        <v>1749.0</v>
      </c>
      <c r="H4171" s="6">
        <v>2.3242</v>
      </c>
      <c r="I4171" s="6">
        <v>2.4951</v>
      </c>
      <c r="J4171" s="6">
        <v>-0.171</v>
      </c>
    </row>
    <row r="4172">
      <c r="A4172" s="5" t="s">
        <v>60</v>
      </c>
      <c r="B4172" s="5" t="s">
        <v>1867</v>
      </c>
      <c r="C4172" s="5" t="s">
        <v>1885</v>
      </c>
      <c r="D4172" s="6">
        <v>13.0</v>
      </c>
      <c r="E4172" s="6">
        <v>7465.0</v>
      </c>
      <c r="F4172" s="6">
        <v>6066.0</v>
      </c>
      <c r="G4172" s="6">
        <v>1749.0</v>
      </c>
      <c r="H4172" s="6">
        <v>4.2682</v>
      </c>
      <c r="I4172" s="6">
        <v>3.4683</v>
      </c>
      <c r="J4172" s="6">
        <v>0.7999</v>
      </c>
    </row>
    <row r="4173">
      <c r="A4173" s="5" t="s">
        <v>60</v>
      </c>
      <c r="B4173" s="5" t="s">
        <v>1867</v>
      </c>
      <c r="C4173" s="5" t="s">
        <v>1885</v>
      </c>
      <c r="D4173" s="6">
        <v>14.0</v>
      </c>
      <c r="E4173" s="6">
        <v>5305.0</v>
      </c>
      <c r="F4173" s="6">
        <v>5308.0</v>
      </c>
      <c r="G4173" s="6">
        <v>1749.0</v>
      </c>
      <c r="H4173" s="6">
        <v>3.0332</v>
      </c>
      <c r="I4173" s="6">
        <v>3.0349</v>
      </c>
      <c r="J4173" s="6">
        <v>-0.0017</v>
      </c>
    </row>
    <row r="4174">
      <c r="A4174" s="5" t="s">
        <v>60</v>
      </c>
      <c r="B4174" s="5" t="s">
        <v>1867</v>
      </c>
      <c r="C4174" s="5" t="s">
        <v>1885</v>
      </c>
      <c r="D4174" s="6">
        <v>15.0</v>
      </c>
      <c r="E4174" s="6">
        <v>4045.0</v>
      </c>
      <c r="F4174" s="6">
        <v>3934.0</v>
      </c>
      <c r="G4174" s="6">
        <v>1749.0</v>
      </c>
      <c r="H4174" s="6">
        <v>2.3128</v>
      </c>
      <c r="I4174" s="6">
        <v>2.2493</v>
      </c>
      <c r="J4174" s="6">
        <v>0.0635</v>
      </c>
    </row>
    <row r="4175">
      <c r="A4175" s="5" t="s">
        <v>60</v>
      </c>
      <c r="B4175" s="5" t="s">
        <v>1867</v>
      </c>
      <c r="C4175" s="5" t="s">
        <v>1885</v>
      </c>
      <c r="D4175" s="6">
        <v>16.0</v>
      </c>
      <c r="E4175" s="6">
        <v>5725.0</v>
      </c>
      <c r="F4175" s="6">
        <v>4924.0</v>
      </c>
      <c r="G4175" s="6">
        <v>1749.0</v>
      </c>
      <c r="H4175" s="6">
        <v>3.2733</v>
      </c>
      <c r="I4175" s="6">
        <v>2.8153</v>
      </c>
      <c r="J4175" s="6">
        <v>0.458</v>
      </c>
    </row>
    <row r="4176">
      <c r="A4176" s="5" t="s">
        <v>60</v>
      </c>
      <c r="B4176" s="5" t="s">
        <v>1867</v>
      </c>
      <c r="C4176" s="5" t="s">
        <v>1885</v>
      </c>
      <c r="D4176" s="6">
        <v>17.0</v>
      </c>
      <c r="E4176" s="6">
        <v>7350.0</v>
      </c>
      <c r="F4176" s="6">
        <v>6266.0</v>
      </c>
      <c r="G4176" s="6">
        <v>1749.0</v>
      </c>
      <c r="H4176" s="6">
        <v>4.2024</v>
      </c>
      <c r="I4176" s="6">
        <v>3.5826</v>
      </c>
      <c r="J4176" s="6">
        <v>0.6198</v>
      </c>
    </row>
    <row r="4177">
      <c r="A4177" s="5" t="s">
        <v>60</v>
      </c>
      <c r="B4177" s="5" t="s">
        <v>1867</v>
      </c>
      <c r="C4177" s="5" t="s">
        <v>1885</v>
      </c>
      <c r="D4177" s="6">
        <v>18.0</v>
      </c>
      <c r="E4177" s="6">
        <v>7085.0</v>
      </c>
      <c r="F4177" s="6">
        <v>5835.0</v>
      </c>
      <c r="G4177" s="6">
        <v>1749.0</v>
      </c>
      <c r="H4177" s="6">
        <v>4.0509</v>
      </c>
      <c r="I4177" s="6">
        <v>3.3362</v>
      </c>
      <c r="J4177" s="6">
        <v>0.7147</v>
      </c>
    </row>
    <row r="4178">
      <c r="A4178" s="5" t="s">
        <v>60</v>
      </c>
      <c r="B4178" s="5" t="s">
        <v>1867</v>
      </c>
      <c r="C4178" s="5" t="s">
        <v>1885</v>
      </c>
      <c r="D4178" s="6">
        <v>19.0</v>
      </c>
      <c r="E4178" s="6">
        <v>8030.0</v>
      </c>
      <c r="F4178" s="6">
        <v>5975.0</v>
      </c>
      <c r="G4178" s="6">
        <v>1749.0</v>
      </c>
      <c r="H4178" s="6">
        <v>4.5912</v>
      </c>
      <c r="I4178" s="6">
        <v>3.4162</v>
      </c>
      <c r="J4178" s="6">
        <v>1.175</v>
      </c>
    </row>
    <row r="4179">
      <c r="A4179" s="5" t="s">
        <v>60</v>
      </c>
      <c r="B4179" s="5" t="s">
        <v>1867</v>
      </c>
      <c r="C4179" s="5" t="s">
        <v>1885</v>
      </c>
      <c r="D4179" s="6">
        <v>20.0</v>
      </c>
      <c r="E4179" s="6">
        <v>13405.0</v>
      </c>
      <c r="F4179" s="6">
        <v>9740.0</v>
      </c>
      <c r="G4179" s="6">
        <v>1749.0</v>
      </c>
      <c r="H4179" s="6">
        <v>7.6644</v>
      </c>
      <c r="I4179" s="6">
        <v>5.5689</v>
      </c>
      <c r="J4179" s="6">
        <v>2.0955</v>
      </c>
    </row>
    <row r="4180">
      <c r="A4180" s="5" t="s">
        <v>60</v>
      </c>
      <c r="B4180" s="5" t="s">
        <v>1867</v>
      </c>
      <c r="C4180" s="5" t="s">
        <v>1885</v>
      </c>
      <c r="D4180" s="6">
        <v>21.0</v>
      </c>
      <c r="E4180" s="6">
        <v>19705.0</v>
      </c>
      <c r="F4180" s="6">
        <v>12644.0</v>
      </c>
      <c r="G4180" s="6">
        <v>1749.0</v>
      </c>
      <c r="H4180" s="6">
        <v>11.2664</v>
      </c>
      <c r="I4180" s="6">
        <v>7.2293</v>
      </c>
      <c r="J4180" s="6">
        <v>4.0372</v>
      </c>
    </row>
    <row r="4181">
      <c r="A4181" s="5" t="s">
        <v>60</v>
      </c>
      <c r="B4181" s="5" t="s">
        <v>1867</v>
      </c>
      <c r="C4181" s="5" t="s">
        <v>1885</v>
      </c>
      <c r="D4181" s="6">
        <v>22.0</v>
      </c>
      <c r="E4181" s="6">
        <v>14300.0</v>
      </c>
      <c r="F4181" s="6">
        <v>10453.0</v>
      </c>
      <c r="G4181" s="6">
        <v>1749.0</v>
      </c>
      <c r="H4181" s="6">
        <v>8.1761</v>
      </c>
      <c r="I4181" s="6">
        <v>5.9766</v>
      </c>
      <c r="J4181" s="6">
        <v>2.1995</v>
      </c>
    </row>
    <row r="4182">
      <c r="A4182" s="5" t="s">
        <v>60</v>
      </c>
      <c r="B4182" s="5" t="s">
        <v>1867</v>
      </c>
      <c r="C4182" s="5" t="s">
        <v>1885</v>
      </c>
      <c r="D4182" s="6">
        <v>23.0</v>
      </c>
      <c r="E4182" s="6">
        <v>6770.0</v>
      </c>
      <c r="F4182" s="6">
        <v>5755.0</v>
      </c>
      <c r="G4182" s="6">
        <v>1749.0</v>
      </c>
      <c r="H4182" s="6">
        <v>3.8708</v>
      </c>
      <c r="I4182" s="6">
        <v>3.2905</v>
      </c>
      <c r="J4182" s="6">
        <v>0.5803</v>
      </c>
    </row>
    <row r="4183">
      <c r="A4183" s="5" t="s">
        <v>60</v>
      </c>
      <c r="B4183" s="5" t="s">
        <v>1867</v>
      </c>
      <c r="C4183" s="5" t="s">
        <v>1885</v>
      </c>
      <c r="D4183" s="6">
        <v>24.0</v>
      </c>
      <c r="E4183" s="6">
        <v>6740.0</v>
      </c>
      <c r="F4183" s="6">
        <v>5851.0</v>
      </c>
      <c r="G4183" s="6">
        <v>1749.0</v>
      </c>
      <c r="H4183" s="6">
        <v>3.8536</v>
      </c>
      <c r="I4183" s="6">
        <v>3.3453</v>
      </c>
      <c r="J4183" s="6">
        <v>0.5083</v>
      </c>
    </row>
    <row r="4184">
      <c r="A4184" s="5" t="s">
        <v>60</v>
      </c>
      <c r="B4184" s="5" t="s">
        <v>1867</v>
      </c>
      <c r="C4184" s="5" t="s">
        <v>1885</v>
      </c>
      <c r="D4184" s="6">
        <v>25.0</v>
      </c>
      <c r="E4184" s="6">
        <v>6165.0</v>
      </c>
      <c r="F4184" s="6">
        <v>5564.0</v>
      </c>
      <c r="G4184" s="6">
        <v>1749.0</v>
      </c>
      <c r="H4184" s="6">
        <v>3.5249</v>
      </c>
      <c r="I4184" s="6">
        <v>3.1812</v>
      </c>
      <c r="J4184" s="6">
        <v>0.3436</v>
      </c>
    </row>
    <row r="4185">
      <c r="A4185" s="5" t="s">
        <v>60</v>
      </c>
      <c r="B4185" s="5" t="s">
        <v>1867</v>
      </c>
      <c r="C4185" s="5" t="s">
        <v>1885</v>
      </c>
      <c r="D4185" s="6">
        <v>26.0</v>
      </c>
      <c r="E4185" s="6">
        <v>6315.0</v>
      </c>
      <c r="F4185" s="6">
        <v>6519.0</v>
      </c>
      <c r="G4185" s="6">
        <v>1749.0</v>
      </c>
      <c r="H4185" s="6">
        <v>3.6106</v>
      </c>
      <c r="I4185" s="6">
        <v>3.7273</v>
      </c>
      <c r="J4185" s="6">
        <v>-0.1166</v>
      </c>
    </row>
    <row r="4186">
      <c r="A4186" s="5" t="s">
        <v>60</v>
      </c>
      <c r="B4186" s="5" t="s">
        <v>1867</v>
      </c>
      <c r="C4186" s="5" t="s">
        <v>1885</v>
      </c>
      <c r="D4186" s="6">
        <v>27.0</v>
      </c>
      <c r="E4186" s="6">
        <v>8105.0</v>
      </c>
      <c r="F4186" s="6">
        <v>6748.0</v>
      </c>
      <c r="G4186" s="6">
        <v>1749.0</v>
      </c>
      <c r="H4186" s="6">
        <v>4.6341</v>
      </c>
      <c r="I4186" s="6">
        <v>3.8582</v>
      </c>
      <c r="J4186" s="6">
        <v>0.7759</v>
      </c>
    </row>
    <row r="4187">
      <c r="A4187" s="5" t="s">
        <v>60</v>
      </c>
      <c r="B4187" s="5" t="s">
        <v>1867</v>
      </c>
      <c r="C4187" s="5" t="s">
        <v>1885</v>
      </c>
      <c r="D4187" s="6">
        <v>28.0</v>
      </c>
      <c r="E4187" s="6">
        <v>5680.0</v>
      </c>
      <c r="F4187" s="6">
        <v>4980.0</v>
      </c>
      <c r="G4187" s="6">
        <v>1749.0</v>
      </c>
      <c r="H4187" s="6">
        <v>3.2476</v>
      </c>
      <c r="I4187" s="6">
        <v>2.8473</v>
      </c>
      <c r="J4187" s="6">
        <v>0.4002</v>
      </c>
    </row>
    <row r="4188">
      <c r="A4188" s="5" t="s">
        <v>60</v>
      </c>
      <c r="B4188" s="5" t="s">
        <v>1867</v>
      </c>
      <c r="C4188" s="5" t="s">
        <v>1885</v>
      </c>
      <c r="D4188" s="6">
        <v>29.0</v>
      </c>
      <c r="E4188" s="6">
        <v>4425.0</v>
      </c>
      <c r="F4188" s="6">
        <v>4732.0</v>
      </c>
      <c r="G4188" s="6">
        <v>1749.0</v>
      </c>
      <c r="H4188" s="6">
        <v>2.53</v>
      </c>
      <c r="I4188" s="6">
        <v>2.7055</v>
      </c>
      <c r="J4188" s="6">
        <v>-0.1755</v>
      </c>
    </row>
    <row r="4189">
      <c r="A4189" s="5" t="s">
        <v>60</v>
      </c>
      <c r="B4189" s="5" t="s">
        <v>1867</v>
      </c>
      <c r="C4189" s="5" t="s">
        <v>1885</v>
      </c>
      <c r="D4189" s="6">
        <v>30.0</v>
      </c>
      <c r="E4189" s="6">
        <v>8075.0</v>
      </c>
      <c r="F4189" s="6">
        <v>6981.0</v>
      </c>
      <c r="G4189" s="6">
        <v>1749.0</v>
      </c>
      <c r="H4189" s="6">
        <v>4.6169</v>
      </c>
      <c r="I4189" s="6">
        <v>3.9914</v>
      </c>
      <c r="J4189" s="6">
        <v>0.6255</v>
      </c>
    </row>
    <row r="4190">
      <c r="A4190" s="5" t="s">
        <v>60</v>
      </c>
      <c r="B4190" s="5" t="s">
        <v>1867</v>
      </c>
      <c r="C4190" s="5" t="s">
        <v>1885</v>
      </c>
      <c r="D4190" s="6">
        <v>31.0</v>
      </c>
      <c r="E4190" s="6">
        <v>9200.0</v>
      </c>
      <c r="F4190" s="6">
        <v>7570.0</v>
      </c>
      <c r="G4190" s="6">
        <v>1749.0</v>
      </c>
      <c r="H4190" s="6">
        <v>5.2601</v>
      </c>
      <c r="I4190" s="6">
        <v>4.3282</v>
      </c>
      <c r="J4190" s="6">
        <v>0.932</v>
      </c>
    </row>
    <row r="4191">
      <c r="A4191" s="5" t="s">
        <v>60</v>
      </c>
      <c r="B4191" s="5" t="s">
        <v>1867</v>
      </c>
      <c r="C4191" s="5" t="s">
        <v>1885</v>
      </c>
      <c r="D4191" s="6">
        <v>32.0</v>
      </c>
      <c r="E4191" s="6">
        <v>10600.0</v>
      </c>
      <c r="F4191" s="6">
        <v>7893.0</v>
      </c>
      <c r="G4191" s="6">
        <v>1749.0</v>
      </c>
      <c r="H4191" s="6">
        <v>6.0606</v>
      </c>
      <c r="I4191" s="6">
        <v>4.5129</v>
      </c>
      <c r="J4191" s="6">
        <v>1.5477</v>
      </c>
    </row>
    <row r="4192">
      <c r="A4192" s="5" t="s">
        <v>60</v>
      </c>
      <c r="B4192" s="5" t="s">
        <v>1867</v>
      </c>
      <c r="C4192" s="5" t="s">
        <v>1885</v>
      </c>
      <c r="D4192" s="6">
        <v>33.0</v>
      </c>
      <c r="E4192" s="6">
        <v>10815.0</v>
      </c>
      <c r="F4192" s="6">
        <v>7997.0</v>
      </c>
      <c r="G4192" s="6">
        <v>1749.0</v>
      </c>
      <c r="H4192" s="6">
        <v>6.1835</v>
      </c>
      <c r="I4192" s="6">
        <v>4.5723</v>
      </c>
      <c r="J4192" s="6">
        <v>1.6112</v>
      </c>
    </row>
    <row r="4193">
      <c r="A4193" s="5" t="s">
        <v>60</v>
      </c>
      <c r="B4193" s="5" t="s">
        <v>1867</v>
      </c>
      <c r="C4193" s="5" t="s">
        <v>75</v>
      </c>
      <c r="D4193" s="6">
        <v>1.0</v>
      </c>
      <c r="E4193" s="6">
        <v>122640.0</v>
      </c>
      <c r="F4193" s="6">
        <v>0.0</v>
      </c>
      <c r="G4193" s="6">
        <v>1791.0</v>
      </c>
      <c r="H4193" s="6">
        <v>68.4757</v>
      </c>
      <c r="I4193" s="6">
        <v>0.0</v>
      </c>
      <c r="J4193" s="6">
        <v>68.4757</v>
      </c>
    </row>
    <row r="4194">
      <c r="A4194" s="5" t="s">
        <v>60</v>
      </c>
      <c r="B4194" s="5" t="s">
        <v>1867</v>
      </c>
      <c r="C4194" s="5" t="s">
        <v>75</v>
      </c>
      <c r="D4194" s="6">
        <v>2.0</v>
      </c>
      <c r="E4194" s="6">
        <v>102390.0</v>
      </c>
      <c r="F4194" s="6">
        <v>0.0</v>
      </c>
      <c r="G4194" s="6">
        <v>1791.0</v>
      </c>
      <c r="H4194" s="6">
        <v>57.1692</v>
      </c>
      <c r="I4194" s="6">
        <v>0.0</v>
      </c>
      <c r="J4194" s="6">
        <v>57.1692</v>
      </c>
    </row>
    <row r="4195">
      <c r="A4195" s="5" t="s">
        <v>60</v>
      </c>
      <c r="B4195" s="5" t="s">
        <v>1867</v>
      </c>
      <c r="C4195" s="5" t="s">
        <v>75</v>
      </c>
      <c r="D4195" s="6">
        <v>3.0</v>
      </c>
      <c r="E4195" s="6">
        <v>130688.0</v>
      </c>
      <c r="F4195" s="6">
        <v>0.0</v>
      </c>
      <c r="G4195" s="6">
        <v>1791.0</v>
      </c>
      <c r="H4195" s="6">
        <v>72.9693</v>
      </c>
      <c r="I4195" s="6">
        <v>0.0</v>
      </c>
      <c r="J4195" s="6">
        <v>72.9693</v>
      </c>
    </row>
    <row r="4196">
      <c r="A4196" s="5" t="s">
        <v>60</v>
      </c>
      <c r="B4196" s="5" t="s">
        <v>1867</v>
      </c>
      <c r="C4196" s="5" t="s">
        <v>75</v>
      </c>
      <c r="D4196" s="6">
        <v>4.0</v>
      </c>
      <c r="E4196" s="6">
        <v>114770.0</v>
      </c>
      <c r="F4196" s="6">
        <v>0.0</v>
      </c>
      <c r="G4196" s="6">
        <v>1791.0</v>
      </c>
      <c r="H4196" s="6">
        <v>64.0815</v>
      </c>
      <c r="I4196" s="6">
        <v>0.0</v>
      </c>
      <c r="J4196" s="6">
        <v>64.0815</v>
      </c>
    </row>
    <row r="4197">
      <c r="A4197" s="5" t="s">
        <v>60</v>
      </c>
      <c r="B4197" s="5" t="s">
        <v>1867</v>
      </c>
      <c r="C4197" s="5" t="s">
        <v>75</v>
      </c>
      <c r="D4197" s="6">
        <v>5.0</v>
      </c>
      <c r="E4197" s="6">
        <v>143640.0</v>
      </c>
      <c r="F4197" s="6">
        <v>0.0</v>
      </c>
      <c r="G4197" s="6">
        <v>1791.0</v>
      </c>
      <c r="H4197" s="6">
        <v>80.201</v>
      </c>
      <c r="I4197" s="6">
        <v>0.0</v>
      </c>
      <c r="J4197" s="6">
        <v>80.201</v>
      </c>
    </row>
    <row r="4198">
      <c r="A4198" s="5" t="s">
        <v>60</v>
      </c>
      <c r="B4198" s="5" t="s">
        <v>1867</v>
      </c>
      <c r="C4198" s="5" t="s">
        <v>75</v>
      </c>
      <c r="D4198" s="6">
        <v>6.0</v>
      </c>
      <c r="E4198" s="6">
        <v>146810.0</v>
      </c>
      <c r="F4198" s="6">
        <v>0.0</v>
      </c>
      <c r="G4198" s="6">
        <v>1791.0</v>
      </c>
      <c r="H4198" s="6">
        <v>81.971</v>
      </c>
      <c r="I4198" s="6">
        <v>0.0</v>
      </c>
      <c r="J4198" s="6">
        <v>81.971</v>
      </c>
    </row>
    <row r="4199">
      <c r="A4199" s="5" t="s">
        <v>60</v>
      </c>
      <c r="B4199" s="5" t="s">
        <v>1867</v>
      </c>
      <c r="C4199" s="5" t="s">
        <v>75</v>
      </c>
      <c r="D4199" s="6">
        <v>7.0</v>
      </c>
      <c r="E4199" s="6">
        <v>126640.0</v>
      </c>
      <c r="F4199" s="6">
        <v>0.0</v>
      </c>
      <c r="G4199" s="6">
        <v>1791.0</v>
      </c>
      <c r="H4199" s="6">
        <v>70.7091</v>
      </c>
      <c r="I4199" s="6">
        <v>0.0</v>
      </c>
      <c r="J4199" s="6">
        <v>70.7091</v>
      </c>
    </row>
    <row r="4200">
      <c r="A4200" s="5" t="s">
        <v>60</v>
      </c>
      <c r="B4200" s="5" t="s">
        <v>1867</v>
      </c>
      <c r="C4200" s="5" t="s">
        <v>75</v>
      </c>
      <c r="D4200" s="6">
        <v>8.0</v>
      </c>
      <c r="E4200" s="6">
        <v>138730.0</v>
      </c>
      <c r="F4200" s="6">
        <v>0.0</v>
      </c>
      <c r="G4200" s="6">
        <v>1791.0</v>
      </c>
      <c r="H4200" s="6">
        <v>77.4595</v>
      </c>
      <c r="I4200" s="6">
        <v>0.0</v>
      </c>
      <c r="J4200" s="6">
        <v>77.4595</v>
      </c>
    </row>
    <row r="4201">
      <c r="A4201" s="5" t="s">
        <v>60</v>
      </c>
      <c r="B4201" s="5" t="s">
        <v>1867</v>
      </c>
      <c r="C4201" s="5" t="s">
        <v>75</v>
      </c>
      <c r="D4201" s="6">
        <v>9.0</v>
      </c>
      <c r="E4201" s="6">
        <v>104400.0</v>
      </c>
      <c r="F4201" s="6">
        <v>0.0</v>
      </c>
      <c r="G4201" s="6">
        <v>1791.0</v>
      </c>
      <c r="H4201" s="6">
        <v>58.2915</v>
      </c>
      <c r="I4201" s="6">
        <v>0.0</v>
      </c>
      <c r="J4201" s="6">
        <v>58.2915</v>
      </c>
    </row>
    <row r="4202">
      <c r="A4202" s="5" t="s">
        <v>60</v>
      </c>
      <c r="B4202" s="5" t="s">
        <v>1867</v>
      </c>
      <c r="C4202" s="5" t="s">
        <v>75</v>
      </c>
      <c r="D4202" s="6">
        <v>10.0</v>
      </c>
      <c r="E4202" s="6">
        <v>151370.0</v>
      </c>
      <c r="F4202" s="6">
        <v>0.0</v>
      </c>
      <c r="G4202" s="6">
        <v>1791.0</v>
      </c>
      <c r="H4202" s="6">
        <v>84.517</v>
      </c>
      <c r="I4202" s="6">
        <v>0.0</v>
      </c>
      <c r="J4202" s="6">
        <v>84.517</v>
      </c>
    </row>
    <row r="4203">
      <c r="A4203" s="5" t="s">
        <v>60</v>
      </c>
      <c r="B4203" s="5" t="s">
        <v>1867</v>
      </c>
      <c r="C4203" s="5" t="s">
        <v>75</v>
      </c>
      <c r="D4203" s="6">
        <v>11.0</v>
      </c>
      <c r="E4203" s="6">
        <v>136380.0</v>
      </c>
      <c r="F4203" s="6">
        <v>0.0</v>
      </c>
      <c r="G4203" s="6">
        <v>1791.0</v>
      </c>
      <c r="H4203" s="6">
        <v>76.1474</v>
      </c>
      <c r="I4203" s="6">
        <v>0.0</v>
      </c>
      <c r="J4203" s="6">
        <v>76.1474</v>
      </c>
    </row>
    <row r="4204">
      <c r="A4204" s="5" t="s">
        <v>60</v>
      </c>
      <c r="B4204" s="5" t="s">
        <v>1867</v>
      </c>
      <c r="C4204" s="5" t="s">
        <v>75</v>
      </c>
      <c r="D4204" s="6">
        <v>12.0</v>
      </c>
      <c r="E4204" s="6">
        <v>161035.0</v>
      </c>
      <c r="F4204" s="6">
        <v>0.0</v>
      </c>
      <c r="G4204" s="6">
        <v>1791.0</v>
      </c>
      <c r="H4204" s="6">
        <v>89.9135</v>
      </c>
      <c r="I4204" s="6">
        <v>0.0</v>
      </c>
      <c r="J4204" s="6">
        <v>89.9135</v>
      </c>
    </row>
    <row r="4205">
      <c r="A4205" s="5" t="s">
        <v>60</v>
      </c>
      <c r="B4205" s="5" t="s">
        <v>1867</v>
      </c>
      <c r="C4205" s="5" t="s">
        <v>75</v>
      </c>
      <c r="D4205" s="6">
        <v>13.0</v>
      </c>
      <c r="E4205" s="6">
        <v>161115.0</v>
      </c>
      <c r="F4205" s="6">
        <v>0.0</v>
      </c>
      <c r="G4205" s="6">
        <v>1791.0</v>
      </c>
      <c r="H4205" s="6">
        <v>89.9581</v>
      </c>
      <c r="I4205" s="6">
        <v>0.0</v>
      </c>
      <c r="J4205" s="6">
        <v>89.9581</v>
      </c>
    </row>
    <row r="4206">
      <c r="A4206" s="5" t="s">
        <v>60</v>
      </c>
      <c r="B4206" s="5" t="s">
        <v>1867</v>
      </c>
      <c r="C4206" s="5" t="s">
        <v>75</v>
      </c>
      <c r="D4206" s="6">
        <v>14.0</v>
      </c>
      <c r="E4206" s="6">
        <v>136839.0</v>
      </c>
      <c r="F4206" s="6">
        <v>0.0</v>
      </c>
      <c r="G4206" s="6">
        <v>1791.0</v>
      </c>
      <c r="H4206" s="6">
        <v>76.4037</v>
      </c>
      <c r="I4206" s="6">
        <v>0.0</v>
      </c>
      <c r="J4206" s="6">
        <v>76.4037</v>
      </c>
    </row>
    <row r="4207">
      <c r="A4207" s="5" t="s">
        <v>60</v>
      </c>
      <c r="B4207" s="5" t="s">
        <v>1867</v>
      </c>
      <c r="C4207" s="5" t="s">
        <v>75</v>
      </c>
      <c r="D4207" s="6">
        <v>15.0</v>
      </c>
      <c r="E4207" s="6">
        <v>160850.0</v>
      </c>
      <c r="F4207" s="6">
        <v>0.0</v>
      </c>
      <c r="G4207" s="6">
        <v>1791.0</v>
      </c>
      <c r="H4207" s="6">
        <v>89.8102</v>
      </c>
      <c r="I4207" s="6">
        <v>0.0</v>
      </c>
      <c r="J4207" s="6">
        <v>89.8102</v>
      </c>
    </row>
    <row r="4208">
      <c r="A4208" s="5" t="s">
        <v>60</v>
      </c>
      <c r="B4208" s="5" t="s">
        <v>1867</v>
      </c>
      <c r="C4208" s="5" t="s">
        <v>75</v>
      </c>
      <c r="D4208" s="6">
        <v>16.0</v>
      </c>
      <c r="E4208" s="6">
        <v>126050.0</v>
      </c>
      <c r="F4208" s="6">
        <v>0.0</v>
      </c>
      <c r="G4208" s="6">
        <v>1791.0</v>
      </c>
      <c r="H4208" s="6">
        <v>70.3797</v>
      </c>
      <c r="I4208" s="6">
        <v>0.0</v>
      </c>
      <c r="J4208" s="6">
        <v>70.3797</v>
      </c>
    </row>
    <row r="4209">
      <c r="A4209" s="5" t="s">
        <v>60</v>
      </c>
      <c r="B4209" s="5" t="s">
        <v>1867</v>
      </c>
      <c r="C4209" s="5" t="s">
        <v>75</v>
      </c>
      <c r="D4209" s="6">
        <v>17.0</v>
      </c>
      <c r="E4209" s="6">
        <v>160830.0</v>
      </c>
      <c r="F4209" s="6">
        <v>0.0</v>
      </c>
      <c r="G4209" s="6">
        <v>1791.0</v>
      </c>
      <c r="H4209" s="6">
        <v>89.799</v>
      </c>
      <c r="I4209" s="6">
        <v>0.0</v>
      </c>
      <c r="J4209" s="6">
        <v>89.799</v>
      </c>
    </row>
    <row r="4210">
      <c r="A4210" s="5" t="s">
        <v>60</v>
      </c>
      <c r="B4210" s="5" t="s">
        <v>1867</v>
      </c>
      <c r="C4210" s="5" t="s">
        <v>75</v>
      </c>
      <c r="D4210" s="6">
        <v>18.0</v>
      </c>
      <c r="E4210" s="6">
        <v>143950.0</v>
      </c>
      <c r="F4210" s="6">
        <v>0.0</v>
      </c>
      <c r="G4210" s="6">
        <v>1791.0</v>
      </c>
      <c r="H4210" s="6">
        <v>80.3741</v>
      </c>
      <c r="I4210" s="6">
        <v>0.0</v>
      </c>
      <c r="J4210" s="6">
        <v>80.3741</v>
      </c>
    </row>
    <row r="4211">
      <c r="A4211" s="5" t="s">
        <v>60</v>
      </c>
      <c r="B4211" s="5" t="s">
        <v>1867</v>
      </c>
      <c r="C4211" s="5" t="s">
        <v>75</v>
      </c>
      <c r="D4211" s="6">
        <v>19.0</v>
      </c>
      <c r="E4211" s="6">
        <v>172395.0</v>
      </c>
      <c r="F4211" s="6">
        <v>0.0</v>
      </c>
      <c r="G4211" s="6">
        <v>1791.0</v>
      </c>
      <c r="H4211" s="6">
        <v>96.2563</v>
      </c>
      <c r="I4211" s="6">
        <v>0.0</v>
      </c>
      <c r="J4211" s="6">
        <v>96.2563</v>
      </c>
    </row>
    <row r="4212">
      <c r="A4212" s="5" t="s">
        <v>60</v>
      </c>
      <c r="B4212" s="5" t="s">
        <v>1867</v>
      </c>
      <c r="C4212" s="5" t="s">
        <v>75</v>
      </c>
      <c r="D4212" s="6">
        <v>20.0</v>
      </c>
      <c r="E4212" s="6">
        <v>199210.0</v>
      </c>
      <c r="F4212" s="6">
        <v>0.0</v>
      </c>
      <c r="G4212" s="6">
        <v>1791.0</v>
      </c>
      <c r="H4212" s="6">
        <v>111.2284</v>
      </c>
      <c r="I4212" s="6">
        <v>0.0</v>
      </c>
      <c r="J4212" s="6">
        <v>111.2284</v>
      </c>
    </row>
    <row r="4213">
      <c r="A4213" s="5" t="s">
        <v>60</v>
      </c>
      <c r="B4213" s="5" t="s">
        <v>1867</v>
      </c>
      <c r="C4213" s="5" t="s">
        <v>75</v>
      </c>
      <c r="D4213" s="6">
        <v>21.0</v>
      </c>
      <c r="E4213" s="6">
        <v>247160.0</v>
      </c>
      <c r="F4213" s="6">
        <v>0.0</v>
      </c>
      <c r="G4213" s="6">
        <v>1791.0</v>
      </c>
      <c r="H4213" s="6">
        <v>138.0011</v>
      </c>
      <c r="I4213" s="6">
        <v>0.0</v>
      </c>
      <c r="J4213" s="6">
        <v>138.0011</v>
      </c>
    </row>
    <row r="4214">
      <c r="A4214" s="5" t="s">
        <v>60</v>
      </c>
      <c r="B4214" s="5" t="s">
        <v>1867</v>
      </c>
      <c r="C4214" s="5" t="s">
        <v>75</v>
      </c>
      <c r="D4214" s="6">
        <v>22.0</v>
      </c>
      <c r="E4214" s="6">
        <v>214365.0</v>
      </c>
      <c r="F4214" s="6">
        <v>0.0</v>
      </c>
      <c r="G4214" s="6">
        <v>1791.0</v>
      </c>
      <c r="H4214" s="6">
        <v>119.6901</v>
      </c>
      <c r="I4214" s="6">
        <v>0.0</v>
      </c>
      <c r="J4214" s="6">
        <v>119.6901</v>
      </c>
    </row>
    <row r="4215">
      <c r="A4215" s="5" t="s">
        <v>60</v>
      </c>
      <c r="B4215" s="5" t="s">
        <v>1867</v>
      </c>
      <c r="C4215" s="5" t="s">
        <v>75</v>
      </c>
      <c r="D4215" s="6">
        <v>23.0</v>
      </c>
      <c r="E4215" s="6">
        <v>177595.0</v>
      </c>
      <c r="F4215" s="6">
        <v>0.0</v>
      </c>
      <c r="G4215" s="6">
        <v>1791.0</v>
      </c>
      <c r="H4215" s="6">
        <v>99.1597</v>
      </c>
      <c r="I4215" s="6">
        <v>0.0</v>
      </c>
      <c r="J4215" s="6">
        <v>99.1597</v>
      </c>
    </row>
    <row r="4216">
      <c r="A4216" s="5" t="s">
        <v>60</v>
      </c>
      <c r="B4216" s="5" t="s">
        <v>1867</v>
      </c>
      <c r="C4216" s="5" t="s">
        <v>75</v>
      </c>
      <c r="D4216" s="6">
        <v>24.0</v>
      </c>
      <c r="E4216" s="6">
        <v>204625.0</v>
      </c>
      <c r="F4216" s="6">
        <v>0.0</v>
      </c>
      <c r="G4216" s="6">
        <v>1791.0</v>
      </c>
      <c r="H4216" s="6">
        <v>114.2518</v>
      </c>
      <c r="I4216" s="6">
        <v>0.0</v>
      </c>
      <c r="J4216" s="6">
        <v>114.2518</v>
      </c>
    </row>
    <row r="4217">
      <c r="A4217" s="5" t="s">
        <v>60</v>
      </c>
      <c r="B4217" s="5" t="s">
        <v>1867</v>
      </c>
      <c r="C4217" s="5" t="s">
        <v>75</v>
      </c>
      <c r="D4217" s="6">
        <v>25.0</v>
      </c>
      <c r="E4217" s="6">
        <v>179105.0</v>
      </c>
      <c r="F4217" s="6">
        <v>0.0</v>
      </c>
      <c r="G4217" s="6">
        <v>1791.0</v>
      </c>
      <c r="H4217" s="6">
        <v>100.0028</v>
      </c>
      <c r="I4217" s="6">
        <v>0.0</v>
      </c>
      <c r="J4217" s="6">
        <v>100.0028</v>
      </c>
    </row>
    <row r="4218">
      <c r="A4218" s="5" t="s">
        <v>60</v>
      </c>
      <c r="B4218" s="5" t="s">
        <v>1867</v>
      </c>
      <c r="C4218" s="5" t="s">
        <v>75</v>
      </c>
      <c r="D4218" s="6">
        <v>26.0</v>
      </c>
      <c r="E4218" s="6">
        <v>226210.0</v>
      </c>
      <c r="F4218" s="6">
        <v>0.0</v>
      </c>
      <c r="G4218" s="6">
        <v>1791.0</v>
      </c>
      <c r="H4218" s="6">
        <v>126.3037</v>
      </c>
      <c r="I4218" s="6">
        <v>0.0</v>
      </c>
      <c r="J4218" s="6">
        <v>126.3037</v>
      </c>
    </row>
    <row r="4219">
      <c r="A4219" s="5" t="s">
        <v>60</v>
      </c>
      <c r="B4219" s="5" t="s">
        <v>1867</v>
      </c>
      <c r="C4219" s="5" t="s">
        <v>75</v>
      </c>
      <c r="D4219" s="6">
        <v>27.0</v>
      </c>
      <c r="E4219" s="6">
        <v>236710.0</v>
      </c>
      <c r="F4219" s="6">
        <v>0.0</v>
      </c>
      <c r="G4219" s="6">
        <v>1791.0</v>
      </c>
      <c r="H4219" s="6">
        <v>132.1664</v>
      </c>
      <c r="I4219" s="6">
        <v>0.0</v>
      </c>
      <c r="J4219" s="6">
        <v>132.1664</v>
      </c>
    </row>
    <row r="4220">
      <c r="A4220" s="5" t="s">
        <v>60</v>
      </c>
      <c r="B4220" s="5" t="s">
        <v>1867</v>
      </c>
      <c r="C4220" s="5" t="s">
        <v>75</v>
      </c>
      <c r="D4220" s="6">
        <v>28.0</v>
      </c>
      <c r="E4220" s="6">
        <v>188960.0</v>
      </c>
      <c r="F4220" s="6">
        <v>0.0</v>
      </c>
      <c r="G4220" s="6">
        <v>1791.0</v>
      </c>
      <c r="H4220" s="6">
        <v>105.5053</v>
      </c>
      <c r="I4220" s="6">
        <v>0.0</v>
      </c>
      <c r="J4220" s="6">
        <v>105.5053</v>
      </c>
    </row>
    <row r="4221">
      <c r="A4221" s="5" t="s">
        <v>60</v>
      </c>
      <c r="B4221" s="5" t="s">
        <v>1867</v>
      </c>
      <c r="C4221" s="5" t="s">
        <v>75</v>
      </c>
      <c r="D4221" s="6">
        <v>29.0</v>
      </c>
      <c r="E4221" s="6">
        <v>219582.0</v>
      </c>
      <c r="F4221" s="6">
        <v>0.0</v>
      </c>
      <c r="G4221" s="6">
        <v>1791.0</v>
      </c>
      <c r="H4221" s="6">
        <v>122.603</v>
      </c>
      <c r="I4221" s="6">
        <v>0.0</v>
      </c>
      <c r="J4221" s="6">
        <v>122.603</v>
      </c>
    </row>
    <row r="4222">
      <c r="A4222" s="5" t="s">
        <v>60</v>
      </c>
      <c r="B4222" s="5" t="s">
        <v>1867</v>
      </c>
      <c r="C4222" s="5" t="s">
        <v>75</v>
      </c>
      <c r="D4222" s="6">
        <v>30.0</v>
      </c>
      <c r="E4222" s="6">
        <v>183240.0</v>
      </c>
      <c r="F4222" s="6">
        <v>0.0</v>
      </c>
      <c r="G4222" s="6">
        <v>1791.0</v>
      </c>
      <c r="H4222" s="6">
        <v>102.3116</v>
      </c>
      <c r="I4222" s="6">
        <v>0.0</v>
      </c>
      <c r="J4222" s="6">
        <v>102.3116</v>
      </c>
    </row>
    <row r="4223">
      <c r="A4223" s="5" t="s">
        <v>60</v>
      </c>
      <c r="B4223" s="5" t="s">
        <v>1867</v>
      </c>
      <c r="C4223" s="5" t="s">
        <v>75</v>
      </c>
      <c r="D4223" s="6">
        <v>31.0</v>
      </c>
      <c r="E4223" s="6">
        <v>223310.0</v>
      </c>
      <c r="F4223" s="6">
        <v>0.0</v>
      </c>
      <c r="G4223" s="6">
        <v>1791.0</v>
      </c>
      <c r="H4223" s="6">
        <v>124.6845</v>
      </c>
      <c r="I4223" s="6">
        <v>0.0</v>
      </c>
      <c r="J4223" s="6">
        <v>124.6845</v>
      </c>
    </row>
    <row r="4224">
      <c r="A4224" s="5" t="s">
        <v>60</v>
      </c>
      <c r="B4224" s="5" t="s">
        <v>1867</v>
      </c>
      <c r="C4224" s="5" t="s">
        <v>75</v>
      </c>
      <c r="D4224" s="6">
        <v>32.0</v>
      </c>
      <c r="E4224" s="6">
        <v>199065.0</v>
      </c>
      <c r="F4224" s="6">
        <v>0.0</v>
      </c>
      <c r="G4224" s="6">
        <v>1791.0</v>
      </c>
      <c r="H4224" s="6">
        <v>111.1474</v>
      </c>
      <c r="I4224" s="6">
        <v>0.0</v>
      </c>
      <c r="J4224" s="6">
        <v>111.1474</v>
      </c>
    </row>
    <row r="4225">
      <c r="A4225" s="5" t="s">
        <v>60</v>
      </c>
      <c r="B4225" s="5" t="s">
        <v>1867</v>
      </c>
      <c r="C4225" s="5" t="s">
        <v>75</v>
      </c>
      <c r="D4225" s="6">
        <v>33.0</v>
      </c>
      <c r="E4225" s="6">
        <v>236460.0</v>
      </c>
      <c r="F4225" s="6">
        <v>0.0</v>
      </c>
      <c r="G4225" s="6">
        <v>1791.0</v>
      </c>
      <c r="H4225" s="6">
        <v>132.0268</v>
      </c>
      <c r="I4225" s="6">
        <v>0.0</v>
      </c>
      <c r="J4225" s="6">
        <v>132.0268</v>
      </c>
    </row>
    <row r="4226">
      <c r="A4226" s="5" t="s">
        <v>60</v>
      </c>
      <c r="B4226" s="5" t="s">
        <v>1867</v>
      </c>
      <c r="C4226" s="5" t="s">
        <v>68</v>
      </c>
      <c r="D4226" s="6">
        <v>1.0</v>
      </c>
      <c r="E4226" s="6">
        <v>12950.0</v>
      </c>
      <c r="F4226" s="6">
        <v>0.0</v>
      </c>
      <c r="G4226" s="6">
        <v>1721.0</v>
      </c>
      <c r="H4226" s="6">
        <v>7.5247</v>
      </c>
      <c r="I4226" s="6">
        <v>0.0</v>
      </c>
      <c r="J4226" s="6">
        <v>7.5247</v>
      </c>
    </row>
    <row r="4227">
      <c r="A4227" s="5" t="s">
        <v>60</v>
      </c>
      <c r="B4227" s="5" t="s">
        <v>1867</v>
      </c>
      <c r="C4227" s="5" t="s">
        <v>68</v>
      </c>
      <c r="D4227" s="6">
        <v>2.0</v>
      </c>
      <c r="E4227" s="6">
        <v>51300.0</v>
      </c>
      <c r="F4227" s="6">
        <v>0.0</v>
      </c>
      <c r="G4227" s="6">
        <v>1721.0</v>
      </c>
      <c r="H4227" s="6">
        <v>29.8083</v>
      </c>
      <c r="I4227" s="6">
        <v>0.0</v>
      </c>
      <c r="J4227" s="6">
        <v>29.8083</v>
      </c>
    </row>
    <row r="4228">
      <c r="A4228" s="5" t="s">
        <v>60</v>
      </c>
      <c r="B4228" s="5" t="s">
        <v>1867</v>
      </c>
      <c r="C4228" s="5" t="s">
        <v>68</v>
      </c>
      <c r="D4228" s="6">
        <v>3.0</v>
      </c>
      <c r="E4228" s="6">
        <v>34057.0</v>
      </c>
      <c r="F4228" s="6">
        <v>0.0</v>
      </c>
      <c r="G4228" s="6">
        <v>1721.0</v>
      </c>
      <c r="H4228" s="6">
        <v>19.7891</v>
      </c>
      <c r="I4228" s="6">
        <v>0.0</v>
      </c>
      <c r="J4228" s="6">
        <v>19.7891</v>
      </c>
    </row>
    <row r="4229">
      <c r="A4229" s="5" t="s">
        <v>60</v>
      </c>
      <c r="B4229" s="5" t="s">
        <v>1867</v>
      </c>
      <c r="C4229" s="5" t="s">
        <v>68</v>
      </c>
      <c r="D4229" s="6">
        <v>4.0</v>
      </c>
      <c r="E4229" s="6">
        <v>27090.0</v>
      </c>
      <c r="F4229" s="6">
        <v>0.0</v>
      </c>
      <c r="G4229" s="6">
        <v>1721.0</v>
      </c>
      <c r="H4229" s="6">
        <v>15.7408</v>
      </c>
      <c r="I4229" s="6">
        <v>0.0</v>
      </c>
      <c r="J4229" s="6">
        <v>15.7408</v>
      </c>
    </row>
    <row r="4230">
      <c r="A4230" s="5" t="s">
        <v>60</v>
      </c>
      <c r="B4230" s="5" t="s">
        <v>1867</v>
      </c>
      <c r="C4230" s="5" t="s">
        <v>68</v>
      </c>
      <c r="D4230" s="6">
        <v>5.0</v>
      </c>
      <c r="E4230" s="6">
        <v>19235.0</v>
      </c>
      <c r="F4230" s="6">
        <v>0.0</v>
      </c>
      <c r="G4230" s="6">
        <v>1721.0</v>
      </c>
      <c r="H4230" s="6">
        <v>11.1766</v>
      </c>
      <c r="I4230" s="6">
        <v>0.0</v>
      </c>
      <c r="J4230" s="6">
        <v>11.1766</v>
      </c>
    </row>
    <row r="4231">
      <c r="A4231" s="5" t="s">
        <v>60</v>
      </c>
      <c r="B4231" s="5" t="s">
        <v>1867</v>
      </c>
      <c r="C4231" s="5" t="s">
        <v>68</v>
      </c>
      <c r="D4231" s="6">
        <v>6.0</v>
      </c>
      <c r="E4231" s="6">
        <v>13420.0</v>
      </c>
      <c r="F4231" s="6">
        <v>0.0</v>
      </c>
      <c r="G4231" s="6">
        <v>1721.0</v>
      </c>
      <c r="H4231" s="6">
        <v>7.7978</v>
      </c>
      <c r="I4231" s="6">
        <v>0.0</v>
      </c>
      <c r="J4231" s="6">
        <v>7.7978</v>
      </c>
    </row>
    <row r="4232">
      <c r="A4232" s="5" t="s">
        <v>60</v>
      </c>
      <c r="B4232" s="5" t="s">
        <v>1867</v>
      </c>
      <c r="C4232" s="5" t="s">
        <v>68</v>
      </c>
      <c r="D4232" s="6">
        <v>7.0</v>
      </c>
      <c r="E4232" s="6">
        <v>25624.0</v>
      </c>
      <c r="F4232" s="6">
        <v>0.0</v>
      </c>
      <c r="G4232" s="6">
        <v>1721.0</v>
      </c>
      <c r="H4232" s="6">
        <v>14.889</v>
      </c>
      <c r="I4232" s="6">
        <v>0.0</v>
      </c>
      <c r="J4232" s="6">
        <v>14.889</v>
      </c>
    </row>
    <row r="4233">
      <c r="A4233" s="5" t="s">
        <v>60</v>
      </c>
      <c r="B4233" s="5" t="s">
        <v>1867</v>
      </c>
      <c r="C4233" s="5" t="s">
        <v>68</v>
      </c>
      <c r="D4233" s="6">
        <v>8.0</v>
      </c>
      <c r="E4233" s="6">
        <v>15765.0</v>
      </c>
      <c r="F4233" s="6">
        <v>0.0</v>
      </c>
      <c r="G4233" s="6">
        <v>1721.0</v>
      </c>
      <c r="H4233" s="6">
        <v>9.1604</v>
      </c>
      <c r="I4233" s="6">
        <v>0.0</v>
      </c>
      <c r="J4233" s="6">
        <v>9.1604</v>
      </c>
    </row>
    <row r="4234">
      <c r="A4234" s="5" t="s">
        <v>60</v>
      </c>
      <c r="B4234" s="5" t="s">
        <v>1867</v>
      </c>
      <c r="C4234" s="5" t="s">
        <v>68</v>
      </c>
      <c r="D4234" s="6">
        <v>9.0</v>
      </c>
      <c r="E4234" s="6">
        <v>21796.0</v>
      </c>
      <c r="F4234" s="6">
        <v>0.0</v>
      </c>
      <c r="G4234" s="6">
        <v>1721.0</v>
      </c>
      <c r="H4234" s="6">
        <v>12.6647</v>
      </c>
      <c r="I4234" s="6">
        <v>0.0</v>
      </c>
      <c r="J4234" s="6">
        <v>12.6647</v>
      </c>
    </row>
    <row r="4235">
      <c r="A4235" s="5" t="s">
        <v>60</v>
      </c>
      <c r="B4235" s="5" t="s">
        <v>1867</v>
      </c>
      <c r="C4235" s="5" t="s">
        <v>68</v>
      </c>
      <c r="D4235" s="6">
        <v>10.0</v>
      </c>
      <c r="E4235" s="6">
        <v>36312.0</v>
      </c>
      <c r="F4235" s="6">
        <v>0.0</v>
      </c>
      <c r="G4235" s="6">
        <v>1721.0</v>
      </c>
      <c r="H4235" s="6">
        <v>21.0994</v>
      </c>
      <c r="I4235" s="6">
        <v>0.0</v>
      </c>
      <c r="J4235" s="6">
        <v>21.0994</v>
      </c>
    </row>
    <row r="4236">
      <c r="A4236" s="5" t="s">
        <v>60</v>
      </c>
      <c r="B4236" s="5" t="s">
        <v>1867</v>
      </c>
      <c r="C4236" s="5" t="s">
        <v>68</v>
      </c>
      <c r="D4236" s="6">
        <v>11.0</v>
      </c>
      <c r="E4236" s="6">
        <v>38595.0</v>
      </c>
      <c r="F4236" s="6">
        <v>0.0</v>
      </c>
      <c r="G4236" s="6">
        <v>1721.0</v>
      </c>
      <c r="H4236" s="6">
        <v>22.4259</v>
      </c>
      <c r="I4236" s="6">
        <v>0.0</v>
      </c>
      <c r="J4236" s="6">
        <v>22.4259</v>
      </c>
    </row>
    <row r="4237">
      <c r="A4237" s="5" t="s">
        <v>60</v>
      </c>
      <c r="B4237" s="5" t="s">
        <v>1867</v>
      </c>
      <c r="C4237" s="5" t="s">
        <v>68</v>
      </c>
      <c r="D4237" s="6">
        <v>12.0</v>
      </c>
      <c r="E4237" s="6">
        <v>22125.0</v>
      </c>
      <c r="F4237" s="6">
        <v>0.0</v>
      </c>
      <c r="G4237" s="6">
        <v>1721.0</v>
      </c>
      <c r="H4237" s="6">
        <v>12.8559</v>
      </c>
      <c r="I4237" s="6">
        <v>0.0</v>
      </c>
      <c r="J4237" s="6">
        <v>12.8559</v>
      </c>
    </row>
    <row r="4238">
      <c r="A4238" s="5" t="s">
        <v>60</v>
      </c>
      <c r="B4238" s="5" t="s">
        <v>1867</v>
      </c>
      <c r="C4238" s="5" t="s">
        <v>68</v>
      </c>
      <c r="D4238" s="6">
        <v>13.0</v>
      </c>
      <c r="E4238" s="6">
        <v>15058.0</v>
      </c>
      <c r="F4238" s="6">
        <v>0.0</v>
      </c>
      <c r="G4238" s="6">
        <v>1721.0</v>
      </c>
      <c r="H4238" s="6">
        <v>8.7496</v>
      </c>
      <c r="I4238" s="6">
        <v>0.0</v>
      </c>
      <c r="J4238" s="6">
        <v>8.7496</v>
      </c>
    </row>
    <row r="4239">
      <c r="A4239" s="5" t="s">
        <v>60</v>
      </c>
      <c r="B4239" s="5" t="s">
        <v>1867</v>
      </c>
      <c r="C4239" s="5" t="s">
        <v>68</v>
      </c>
      <c r="D4239" s="6">
        <v>14.0</v>
      </c>
      <c r="E4239" s="6">
        <v>25427.0</v>
      </c>
      <c r="F4239" s="6">
        <v>0.0</v>
      </c>
      <c r="G4239" s="6">
        <v>1721.0</v>
      </c>
      <c r="H4239" s="6">
        <v>14.7745</v>
      </c>
      <c r="I4239" s="6">
        <v>0.0</v>
      </c>
      <c r="J4239" s="6">
        <v>14.7745</v>
      </c>
    </row>
    <row r="4240">
      <c r="A4240" s="5" t="s">
        <v>60</v>
      </c>
      <c r="B4240" s="5" t="s">
        <v>1867</v>
      </c>
      <c r="C4240" s="5" t="s">
        <v>68</v>
      </c>
      <c r="D4240" s="6">
        <v>15.0</v>
      </c>
      <c r="E4240" s="6">
        <v>22342.0</v>
      </c>
      <c r="F4240" s="6">
        <v>0.0</v>
      </c>
      <c r="G4240" s="6">
        <v>1721.0</v>
      </c>
      <c r="H4240" s="6">
        <v>12.982</v>
      </c>
      <c r="I4240" s="6">
        <v>0.0</v>
      </c>
      <c r="J4240" s="6">
        <v>12.982</v>
      </c>
    </row>
    <row r="4241">
      <c r="A4241" s="5" t="s">
        <v>60</v>
      </c>
      <c r="B4241" s="5" t="s">
        <v>1867</v>
      </c>
      <c r="C4241" s="5" t="s">
        <v>68</v>
      </c>
      <c r="D4241" s="6">
        <v>16.0</v>
      </c>
      <c r="E4241" s="6">
        <v>67156.0</v>
      </c>
      <c r="F4241" s="6">
        <v>0.0</v>
      </c>
      <c r="G4241" s="6">
        <v>1721.0</v>
      </c>
      <c r="H4241" s="6">
        <v>39.0215</v>
      </c>
      <c r="I4241" s="6">
        <v>0.0</v>
      </c>
      <c r="J4241" s="6">
        <v>39.0215</v>
      </c>
    </row>
    <row r="4242">
      <c r="A4242" s="5" t="s">
        <v>60</v>
      </c>
      <c r="B4242" s="5" t="s">
        <v>1867</v>
      </c>
      <c r="C4242" s="5" t="s">
        <v>68</v>
      </c>
      <c r="D4242" s="6">
        <v>17.0</v>
      </c>
      <c r="E4242" s="6">
        <v>40146.0</v>
      </c>
      <c r="F4242" s="6">
        <v>0.0</v>
      </c>
      <c r="G4242" s="6">
        <v>1721.0</v>
      </c>
      <c r="H4242" s="6">
        <v>23.3271</v>
      </c>
      <c r="I4242" s="6">
        <v>0.0</v>
      </c>
      <c r="J4242" s="6">
        <v>23.3271</v>
      </c>
    </row>
    <row r="4243">
      <c r="A4243" s="5" t="s">
        <v>60</v>
      </c>
      <c r="B4243" s="5" t="s">
        <v>1867</v>
      </c>
      <c r="C4243" s="5" t="s">
        <v>68</v>
      </c>
      <c r="D4243" s="6">
        <v>18.0</v>
      </c>
      <c r="E4243" s="6">
        <v>44850.0</v>
      </c>
      <c r="F4243" s="6">
        <v>0.0</v>
      </c>
      <c r="G4243" s="6">
        <v>1721.0</v>
      </c>
      <c r="H4243" s="6">
        <v>26.0604</v>
      </c>
      <c r="I4243" s="6">
        <v>0.0</v>
      </c>
      <c r="J4243" s="6">
        <v>26.0604</v>
      </c>
    </row>
    <row r="4244">
      <c r="A4244" s="5" t="s">
        <v>60</v>
      </c>
      <c r="B4244" s="5" t="s">
        <v>1867</v>
      </c>
      <c r="C4244" s="5" t="s">
        <v>68</v>
      </c>
      <c r="D4244" s="6">
        <v>19.0</v>
      </c>
      <c r="E4244" s="6">
        <v>28735.0</v>
      </c>
      <c r="F4244" s="6">
        <v>0.0</v>
      </c>
      <c r="G4244" s="6">
        <v>1721.0</v>
      </c>
      <c r="H4244" s="6">
        <v>16.6967</v>
      </c>
      <c r="I4244" s="6">
        <v>0.0</v>
      </c>
      <c r="J4244" s="6">
        <v>16.6967</v>
      </c>
    </row>
    <row r="4245">
      <c r="A4245" s="5" t="s">
        <v>60</v>
      </c>
      <c r="B4245" s="5" t="s">
        <v>1867</v>
      </c>
      <c r="C4245" s="5" t="s">
        <v>68</v>
      </c>
      <c r="D4245" s="6">
        <v>20.0</v>
      </c>
      <c r="E4245" s="6">
        <v>21484.0</v>
      </c>
      <c r="F4245" s="6">
        <v>0.0</v>
      </c>
      <c r="G4245" s="6">
        <v>1721.0</v>
      </c>
      <c r="H4245" s="6">
        <v>12.4834</v>
      </c>
      <c r="I4245" s="6">
        <v>0.0</v>
      </c>
      <c r="J4245" s="6">
        <v>12.4834</v>
      </c>
    </row>
    <row r="4246">
      <c r="A4246" s="5" t="s">
        <v>60</v>
      </c>
      <c r="B4246" s="5" t="s">
        <v>1867</v>
      </c>
      <c r="C4246" s="5" t="s">
        <v>68</v>
      </c>
      <c r="D4246" s="6">
        <v>21.0</v>
      </c>
      <c r="E4246" s="6">
        <v>24262.0</v>
      </c>
      <c r="F4246" s="6">
        <v>0.0</v>
      </c>
      <c r="G4246" s="6">
        <v>1721.0</v>
      </c>
      <c r="H4246" s="6">
        <v>14.0976</v>
      </c>
      <c r="I4246" s="6">
        <v>0.0</v>
      </c>
      <c r="J4246" s="6">
        <v>14.0976</v>
      </c>
    </row>
    <row r="4247">
      <c r="A4247" s="5" t="s">
        <v>60</v>
      </c>
      <c r="B4247" s="5" t="s">
        <v>1867</v>
      </c>
      <c r="C4247" s="5" t="s">
        <v>68</v>
      </c>
      <c r="D4247" s="6">
        <v>22.0</v>
      </c>
      <c r="E4247" s="6">
        <v>20930.0</v>
      </c>
      <c r="F4247" s="6">
        <v>0.0</v>
      </c>
      <c r="G4247" s="6">
        <v>1721.0</v>
      </c>
      <c r="H4247" s="6">
        <v>12.1615</v>
      </c>
      <c r="I4247" s="6">
        <v>0.0</v>
      </c>
      <c r="J4247" s="6">
        <v>12.1615</v>
      </c>
    </row>
    <row r="4248">
      <c r="A4248" s="5" t="s">
        <v>60</v>
      </c>
      <c r="B4248" s="5" t="s">
        <v>1867</v>
      </c>
      <c r="C4248" s="5" t="s">
        <v>68</v>
      </c>
      <c r="D4248" s="6">
        <v>23.0</v>
      </c>
      <c r="E4248" s="6">
        <v>30147.0</v>
      </c>
      <c r="F4248" s="6">
        <v>0.0</v>
      </c>
      <c r="G4248" s="6">
        <v>1721.0</v>
      </c>
      <c r="H4248" s="6">
        <v>17.5171</v>
      </c>
      <c r="I4248" s="6">
        <v>0.0</v>
      </c>
      <c r="J4248" s="6">
        <v>17.5171</v>
      </c>
    </row>
    <row r="4249">
      <c r="A4249" s="5" t="s">
        <v>60</v>
      </c>
      <c r="B4249" s="5" t="s">
        <v>1867</v>
      </c>
      <c r="C4249" s="5" t="s">
        <v>68</v>
      </c>
      <c r="D4249" s="6">
        <v>24.0</v>
      </c>
      <c r="E4249" s="6">
        <v>41305.0</v>
      </c>
      <c r="F4249" s="6">
        <v>0.0</v>
      </c>
      <c r="G4249" s="6">
        <v>1721.0</v>
      </c>
      <c r="H4249" s="6">
        <v>24.0006</v>
      </c>
      <c r="I4249" s="6">
        <v>0.0</v>
      </c>
      <c r="J4249" s="6">
        <v>24.0006</v>
      </c>
    </row>
    <row r="4250">
      <c r="A4250" s="5" t="s">
        <v>60</v>
      </c>
      <c r="B4250" s="5" t="s">
        <v>1867</v>
      </c>
      <c r="C4250" s="5" t="s">
        <v>68</v>
      </c>
      <c r="D4250" s="6">
        <v>25.0</v>
      </c>
      <c r="E4250" s="6">
        <v>36700.0</v>
      </c>
      <c r="F4250" s="6">
        <v>0.0</v>
      </c>
      <c r="G4250" s="6">
        <v>1721.0</v>
      </c>
      <c r="H4250" s="6">
        <v>21.3248</v>
      </c>
      <c r="I4250" s="6">
        <v>0.0</v>
      </c>
      <c r="J4250" s="6">
        <v>21.3248</v>
      </c>
    </row>
    <row r="4251">
      <c r="A4251" s="5" t="s">
        <v>60</v>
      </c>
      <c r="B4251" s="5" t="s">
        <v>1867</v>
      </c>
      <c r="C4251" s="5" t="s">
        <v>68</v>
      </c>
      <c r="D4251" s="6">
        <v>26.0</v>
      </c>
      <c r="E4251" s="6">
        <v>28747.0</v>
      </c>
      <c r="F4251" s="6">
        <v>0.0</v>
      </c>
      <c r="G4251" s="6">
        <v>1721.0</v>
      </c>
      <c r="H4251" s="6">
        <v>16.7037</v>
      </c>
      <c r="I4251" s="6">
        <v>0.0</v>
      </c>
      <c r="J4251" s="6">
        <v>16.7037</v>
      </c>
    </row>
    <row r="4252">
      <c r="A4252" s="5" t="s">
        <v>60</v>
      </c>
      <c r="B4252" s="5" t="s">
        <v>1867</v>
      </c>
      <c r="C4252" s="5" t="s">
        <v>68</v>
      </c>
      <c r="D4252" s="6">
        <v>27.0</v>
      </c>
      <c r="E4252" s="6">
        <v>20655.0</v>
      </c>
      <c r="F4252" s="6">
        <v>0.0</v>
      </c>
      <c r="G4252" s="6">
        <v>1721.0</v>
      </c>
      <c r="H4252" s="6">
        <v>12.0017</v>
      </c>
      <c r="I4252" s="6">
        <v>0.0</v>
      </c>
      <c r="J4252" s="6">
        <v>12.0017</v>
      </c>
    </row>
    <row r="4253">
      <c r="A4253" s="5" t="s">
        <v>60</v>
      </c>
      <c r="B4253" s="5" t="s">
        <v>1867</v>
      </c>
      <c r="C4253" s="5" t="s">
        <v>68</v>
      </c>
      <c r="D4253" s="6">
        <v>28.0</v>
      </c>
      <c r="E4253" s="6">
        <v>26950.0</v>
      </c>
      <c r="F4253" s="6">
        <v>0.0</v>
      </c>
      <c r="G4253" s="6">
        <v>1721.0</v>
      </c>
      <c r="H4253" s="6">
        <v>15.6595</v>
      </c>
      <c r="I4253" s="6">
        <v>0.0</v>
      </c>
      <c r="J4253" s="6">
        <v>15.6595</v>
      </c>
    </row>
    <row r="4254">
      <c r="A4254" s="5" t="s">
        <v>60</v>
      </c>
      <c r="B4254" s="5" t="s">
        <v>1867</v>
      </c>
      <c r="C4254" s="5" t="s">
        <v>68</v>
      </c>
      <c r="D4254" s="6">
        <v>29.0</v>
      </c>
      <c r="E4254" s="6">
        <v>21335.0</v>
      </c>
      <c r="F4254" s="6">
        <v>0.0</v>
      </c>
      <c r="G4254" s="6">
        <v>1721.0</v>
      </c>
      <c r="H4254" s="6">
        <v>12.3969</v>
      </c>
      <c r="I4254" s="6">
        <v>0.0</v>
      </c>
      <c r="J4254" s="6">
        <v>12.3969</v>
      </c>
    </row>
    <row r="4255">
      <c r="A4255" s="5" t="s">
        <v>60</v>
      </c>
      <c r="B4255" s="5" t="s">
        <v>1867</v>
      </c>
      <c r="C4255" s="5" t="s">
        <v>68</v>
      </c>
      <c r="D4255" s="6">
        <v>30.0</v>
      </c>
      <c r="E4255" s="6">
        <v>96160.0</v>
      </c>
      <c r="F4255" s="6">
        <v>0.0</v>
      </c>
      <c r="G4255" s="6">
        <v>1721.0</v>
      </c>
      <c r="H4255" s="6">
        <v>55.8745</v>
      </c>
      <c r="I4255" s="6">
        <v>0.0</v>
      </c>
      <c r="J4255" s="6">
        <v>55.8745</v>
      </c>
    </row>
    <row r="4256">
      <c r="A4256" s="5" t="s">
        <v>60</v>
      </c>
      <c r="B4256" s="5" t="s">
        <v>1867</v>
      </c>
      <c r="C4256" s="5" t="s">
        <v>68</v>
      </c>
      <c r="D4256" s="6">
        <v>31.0</v>
      </c>
      <c r="E4256" s="6">
        <v>57169.0</v>
      </c>
      <c r="F4256" s="6">
        <v>0.0</v>
      </c>
      <c r="G4256" s="6">
        <v>1721.0</v>
      </c>
      <c r="H4256" s="6">
        <v>33.2185</v>
      </c>
      <c r="I4256" s="6">
        <v>0.0</v>
      </c>
      <c r="J4256" s="6">
        <v>33.2185</v>
      </c>
    </row>
    <row r="4257">
      <c r="A4257" s="5" t="s">
        <v>60</v>
      </c>
      <c r="B4257" s="5" t="s">
        <v>1867</v>
      </c>
      <c r="C4257" s="5" t="s">
        <v>68</v>
      </c>
      <c r="D4257" s="6">
        <v>32.0</v>
      </c>
      <c r="E4257" s="6">
        <v>51670.0</v>
      </c>
      <c r="F4257" s="6">
        <v>0.0</v>
      </c>
      <c r="G4257" s="6">
        <v>1721.0</v>
      </c>
      <c r="H4257" s="6">
        <v>30.0232</v>
      </c>
      <c r="I4257" s="6">
        <v>0.0</v>
      </c>
      <c r="J4257" s="6">
        <v>30.0232</v>
      </c>
    </row>
    <row r="4258">
      <c r="A4258" s="5" t="s">
        <v>60</v>
      </c>
      <c r="B4258" s="5" t="s">
        <v>1867</v>
      </c>
      <c r="C4258" s="5" t="s">
        <v>68</v>
      </c>
      <c r="D4258" s="6">
        <v>33.0</v>
      </c>
      <c r="E4258" s="6">
        <v>32669.0</v>
      </c>
      <c r="F4258" s="6">
        <v>0.0</v>
      </c>
      <c r="G4258" s="6">
        <v>1721.0</v>
      </c>
      <c r="H4258" s="6">
        <v>18.9826</v>
      </c>
      <c r="I4258" s="6">
        <v>0.0</v>
      </c>
      <c r="J4258" s="6">
        <v>18.9826</v>
      </c>
    </row>
    <row r="4259">
      <c r="A4259" s="5" t="s">
        <v>60</v>
      </c>
      <c r="B4259" s="5" t="s">
        <v>1867</v>
      </c>
      <c r="C4259" s="5" t="s">
        <v>2035</v>
      </c>
      <c r="D4259" s="6">
        <v>1.0</v>
      </c>
      <c r="E4259" s="6">
        <v>0.0</v>
      </c>
      <c r="F4259" s="6">
        <v>0.0</v>
      </c>
      <c r="G4259" s="6">
        <v>391.0</v>
      </c>
      <c r="H4259" s="6">
        <v>0.0</v>
      </c>
      <c r="I4259" s="6">
        <v>0.0</v>
      </c>
      <c r="J4259" s="6">
        <v>0.0</v>
      </c>
    </row>
    <row r="4260">
      <c r="A4260" s="5" t="s">
        <v>60</v>
      </c>
      <c r="B4260" s="5" t="s">
        <v>1867</v>
      </c>
      <c r="C4260" s="5" t="s">
        <v>2035</v>
      </c>
      <c r="D4260" s="6">
        <v>2.0</v>
      </c>
      <c r="E4260" s="6">
        <v>1080.0</v>
      </c>
      <c r="F4260" s="6">
        <v>0.0</v>
      </c>
      <c r="G4260" s="6">
        <v>391.0</v>
      </c>
      <c r="H4260" s="6">
        <v>2.7621</v>
      </c>
      <c r="I4260" s="6">
        <v>0.0</v>
      </c>
      <c r="J4260" s="6">
        <v>2.7621</v>
      </c>
    </row>
    <row r="4261">
      <c r="A4261" s="5" t="s">
        <v>60</v>
      </c>
      <c r="B4261" s="5" t="s">
        <v>1867</v>
      </c>
      <c r="C4261" s="5" t="s">
        <v>2035</v>
      </c>
      <c r="D4261" s="6">
        <v>3.0</v>
      </c>
      <c r="E4261" s="6">
        <v>580.0</v>
      </c>
      <c r="F4261" s="6">
        <v>0.0</v>
      </c>
      <c r="G4261" s="6">
        <v>391.0</v>
      </c>
      <c r="H4261" s="6">
        <v>1.4834</v>
      </c>
      <c r="I4261" s="6">
        <v>0.0</v>
      </c>
      <c r="J4261" s="6">
        <v>1.4834</v>
      </c>
    </row>
    <row r="4262">
      <c r="A4262" s="5" t="s">
        <v>60</v>
      </c>
      <c r="B4262" s="5" t="s">
        <v>1867</v>
      </c>
      <c r="C4262" s="5" t="s">
        <v>2035</v>
      </c>
      <c r="D4262" s="6">
        <v>4.0</v>
      </c>
      <c r="E4262" s="6">
        <v>525.0</v>
      </c>
      <c r="F4262" s="6">
        <v>0.0</v>
      </c>
      <c r="G4262" s="6">
        <v>391.0</v>
      </c>
      <c r="H4262" s="6">
        <v>1.3427</v>
      </c>
      <c r="I4262" s="6">
        <v>0.0</v>
      </c>
      <c r="J4262" s="6">
        <v>1.3427</v>
      </c>
    </row>
    <row r="4263">
      <c r="A4263" s="5" t="s">
        <v>60</v>
      </c>
      <c r="B4263" s="5" t="s">
        <v>1867</v>
      </c>
      <c r="C4263" s="5" t="s">
        <v>2035</v>
      </c>
      <c r="D4263" s="6">
        <v>5.0</v>
      </c>
      <c r="E4263" s="6">
        <v>545.0</v>
      </c>
      <c r="F4263" s="6">
        <v>0.0</v>
      </c>
      <c r="G4263" s="6">
        <v>391.0</v>
      </c>
      <c r="H4263" s="6">
        <v>1.3939</v>
      </c>
      <c r="I4263" s="6">
        <v>0.0</v>
      </c>
      <c r="J4263" s="6">
        <v>1.3939</v>
      </c>
    </row>
    <row r="4264">
      <c r="A4264" s="5" t="s">
        <v>60</v>
      </c>
      <c r="B4264" s="5" t="s">
        <v>1867</v>
      </c>
      <c r="C4264" s="5" t="s">
        <v>2035</v>
      </c>
      <c r="D4264" s="6">
        <v>6.0</v>
      </c>
      <c r="E4264" s="6">
        <v>460.0</v>
      </c>
      <c r="F4264" s="6">
        <v>0.0</v>
      </c>
      <c r="G4264" s="6">
        <v>391.0</v>
      </c>
      <c r="H4264" s="6">
        <v>1.1765</v>
      </c>
      <c r="I4264" s="6">
        <v>0.0</v>
      </c>
      <c r="J4264" s="6">
        <v>1.1765</v>
      </c>
    </row>
    <row r="4265">
      <c r="A4265" s="5" t="s">
        <v>60</v>
      </c>
      <c r="B4265" s="5" t="s">
        <v>1867</v>
      </c>
      <c r="C4265" s="5" t="s">
        <v>2035</v>
      </c>
      <c r="D4265" s="6">
        <v>7.0</v>
      </c>
      <c r="E4265" s="6">
        <v>605.0</v>
      </c>
      <c r="F4265" s="6">
        <v>0.0</v>
      </c>
      <c r="G4265" s="6">
        <v>391.0</v>
      </c>
      <c r="H4265" s="6">
        <v>1.5473</v>
      </c>
      <c r="I4265" s="6">
        <v>0.0</v>
      </c>
      <c r="J4265" s="6">
        <v>1.5473</v>
      </c>
    </row>
    <row r="4266">
      <c r="A4266" s="5" t="s">
        <v>60</v>
      </c>
      <c r="B4266" s="5" t="s">
        <v>1867</v>
      </c>
      <c r="C4266" s="5" t="s">
        <v>2035</v>
      </c>
      <c r="D4266" s="6">
        <v>8.0</v>
      </c>
      <c r="E4266" s="6">
        <v>875.0</v>
      </c>
      <c r="F4266" s="6">
        <v>0.0</v>
      </c>
      <c r="G4266" s="6">
        <v>391.0</v>
      </c>
      <c r="H4266" s="6">
        <v>2.2379</v>
      </c>
      <c r="I4266" s="6">
        <v>0.0</v>
      </c>
      <c r="J4266" s="6">
        <v>2.2379</v>
      </c>
    </row>
    <row r="4267">
      <c r="A4267" s="5" t="s">
        <v>60</v>
      </c>
      <c r="B4267" s="5" t="s">
        <v>1867</v>
      </c>
      <c r="C4267" s="5" t="s">
        <v>2035</v>
      </c>
      <c r="D4267" s="6">
        <v>9.0</v>
      </c>
      <c r="E4267" s="6">
        <v>0.0</v>
      </c>
      <c r="F4267" s="6">
        <v>0.0</v>
      </c>
      <c r="G4267" s="6">
        <v>391.0</v>
      </c>
      <c r="H4267" s="6">
        <v>0.0</v>
      </c>
      <c r="I4267" s="6">
        <v>0.0</v>
      </c>
      <c r="J4267" s="6">
        <v>0.0</v>
      </c>
    </row>
    <row r="4268">
      <c r="A4268" s="5" t="s">
        <v>60</v>
      </c>
      <c r="B4268" s="5" t="s">
        <v>1867</v>
      </c>
      <c r="C4268" s="5" t="s">
        <v>2035</v>
      </c>
      <c r="D4268" s="6">
        <v>10.0</v>
      </c>
      <c r="E4268" s="6">
        <v>105.0</v>
      </c>
      <c r="F4268" s="6">
        <v>0.0</v>
      </c>
      <c r="G4268" s="6">
        <v>391.0</v>
      </c>
      <c r="H4268" s="6">
        <v>0.2685</v>
      </c>
      <c r="I4268" s="6">
        <v>0.0</v>
      </c>
      <c r="J4268" s="6">
        <v>0.2685</v>
      </c>
    </row>
    <row r="4269">
      <c r="A4269" s="5" t="s">
        <v>60</v>
      </c>
      <c r="B4269" s="5" t="s">
        <v>1867</v>
      </c>
      <c r="C4269" s="5" t="s">
        <v>2035</v>
      </c>
      <c r="D4269" s="6">
        <v>11.0</v>
      </c>
      <c r="E4269" s="6">
        <v>15.0</v>
      </c>
      <c r="F4269" s="6">
        <v>0.0</v>
      </c>
      <c r="G4269" s="6">
        <v>391.0</v>
      </c>
      <c r="H4269" s="6">
        <v>0.0384</v>
      </c>
      <c r="I4269" s="6">
        <v>0.0</v>
      </c>
      <c r="J4269" s="6">
        <v>0.0384</v>
      </c>
    </row>
    <row r="4270">
      <c r="A4270" s="5" t="s">
        <v>60</v>
      </c>
      <c r="B4270" s="5" t="s">
        <v>1867</v>
      </c>
      <c r="C4270" s="5" t="s">
        <v>2035</v>
      </c>
      <c r="D4270" s="6">
        <v>12.0</v>
      </c>
      <c r="E4270" s="6">
        <v>0.0</v>
      </c>
      <c r="F4270" s="6">
        <v>0.0</v>
      </c>
      <c r="G4270" s="6">
        <v>391.0</v>
      </c>
      <c r="H4270" s="6">
        <v>0.0</v>
      </c>
      <c r="I4270" s="6">
        <v>0.0</v>
      </c>
      <c r="J4270" s="6">
        <v>0.0</v>
      </c>
    </row>
    <row r="4271">
      <c r="A4271" s="5" t="s">
        <v>60</v>
      </c>
      <c r="B4271" s="5" t="s">
        <v>1867</v>
      </c>
      <c r="C4271" s="5" t="s">
        <v>2035</v>
      </c>
      <c r="D4271" s="6">
        <v>13.0</v>
      </c>
      <c r="E4271" s="6">
        <v>15.0</v>
      </c>
      <c r="F4271" s="6">
        <v>0.0</v>
      </c>
      <c r="G4271" s="6">
        <v>391.0</v>
      </c>
      <c r="H4271" s="6">
        <v>0.0384</v>
      </c>
      <c r="I4271" s="6">
        <v>0.0</v>
      </c>
      <c r="J4271" s="6">
        <v>0.0384</v>
      </c>
    </row>
    <row r="4272">
      <c r="A4272" s="5" t="s">
        <v>60</v>
      </c>
      <c r="B4272" s="5" t="s">
        <v>1867</v>
      </c>
      <c r="C4272" s="5" t="s">
        <v>2035</v>
      </c>
      <c r="D4272" s="6">
        <v>14.0</v>
      </c>
      <c r="E4272" s="6">
        <v>15.0</v>
      </c>
      <c r="F4272" s="6">
        <v>0.0</v>
      </c>
      <c r="G4272" s="6">
        <v>391.0</v>
      </c>
      <c r="H4272" s="6">
        <v>0.0384</v>
      </c>
      <c r="I4272" s="6">
        <v>0.0</v>
      </c>
      <c r="J4272" s="6">
        <v>0.0384</v>
      </c>
    </row>
    <row r="4273">
      <c r="A4273" s="5" t="s">
        <v>60</v>
      </c>
      <c r="B4273" s="5" t="s">
        <v>1867</v>
      </c>
      <c r="C4273" s="5" t="s">
        <v>2035</v>
      </c>
      <c r="D4273" s="6">
        <v>15.0</v>
      </c>
      <c r="E4273" s="6">
        <v>0.0</v>
      </c>
      <c r="F4273" s="6">
        <v>0.0</v>
      </c>
      <c r="G4273" s="6">
        <v>391.0</v>
      </c>
      <c r="H4273" s="6">
        <v>0.0</v>
      </c>
      <c r="I4273" s="6">
        <v>0.0</v>
      </c>
      <c r="J4273" s="6">
        <v>0.0</v>
      </c>
    </row>
    <row r="4274">
      <c r="A4274" s="5" t="s">
        <v>60</v>
      </c>
      <c r="B4274" s="5" t="s">
        <v>1867</v>
      </c>
      <c r="C4274" s="5" t="s">
        <v>2035</v>
      </c>
      <c r="D4274" s="6">
        <v>16.0</v>
      </c>
      <c r="E4274" s="6">
        <v>920.0</v>
      </c>
      <c r="F4274" s="6">
        <v>0.0</v>
      </c>
      <c r="G4274" s="6">
        <v>391.0</v>
      </c>
      <c r="H4274" s="6">
        <v>2.3529</v>
      </c>
      <c r="I4274" s="6">
        <v>0.0</v>
      </c>
      <c r="J4274" s="6">
        <v>2.3529</v>
      </c>
    </row>
    <row r="4275">
      <c r="A4275" s="5" t="s">
        <v>60</v>
      </c>
      <c r="B4275" s="5" t="s">
        <v>1867</v>
      </c>
      <c r="C4275" s="5" t="s">
        <v>2035</v>
      </c>
      <c r="D4275" s="6">
        <v>17.0</v>
      </c>
      <c r="E4275" s="6">
        <v>1030.0</v>
      </c>
      <c r="F4275" s="6">
        <v>0.0</v>
      </c>
      <c r="G4275" s="6">
        <v>391.0</v>
      </c>
      <c r="H4275" s="6">
        <v>2.6343</v>
      </c>
      <c r="I4275" s="6">
        <v>0.0</v>
      </c>
      <c r="J4275" s="6">
        <v>2.6343</v>
      </c>
    </row>
    <row r="4276">
      <c r="A4276" s="5" t="s">
        <v>60</v>
      </c>
      <c r="B4276" s="5" t="s">
        <v>1867</v>
      </c>
      <c r="C4276" s="5" t="s">
        <v>2035</v>
      </c>
      <c r="D4276" s="6">
        <v>18.0</v>
      </c>
      <c r="E4276" s="6">
        <v>940.0</v>
      </c>
      <c r="F4276" s="6">
        <v>0.0</v>
      </c>
      <c r="G4276" s="6">
        <v>391.0</v>
      </c>
      <c r="H4276" s="6">
        <v>2.4041</v>
      </c>
      <c r="I4276" s="6">
        <v>0.0</v>
      </c>
      <c r="J4276" s="6">
        <v>2.4041</v>
      </c>
    </row>
    <row r="4277">
      <c r="A4277" s="5" t="s">
        <v>60</v>
      </c>
      <c r="B4277" s="5" t="s">
        <v>1867</v>
      </c>
      <c r="C4277" s="5" t="s">
        <v>2035</v>
      </c>
      <c r="D4277" s="6">
        <v>19.0</v>
      </c>
      <c r="E4277" s="6">
        <v>785.0</v>
      </c>
      <c r="F4277" s="6">
        <v>0.0</v>
      </c>
      <c r="G4277" s="6">
        <v>391.0</v>
      </c>
      <c r="H4277" s="6">
        <v>2.0077</v>
      </c>
      <c r="I4277" s="6">
        <v>0.0</v>
      </c>
      <c r="J4277" s="6">
        <v>2.0077</v>
      </c>
    </row>
    <row r="4278">
      <c r="A4278" s="5" t="s">
        <v>60</v>
      </c>
      <c r="B4278" s="5" t="s">
        <v>1867</v>
      </c>
      <c r="C4278" s="5" t="s">
        <v>2035</v>
      </c>
      <c r="D4278" s="6">
        <v>20.0</v>
      </c>
      <c r="E4278" s="6">
        <v>770.0</v>
      </c>
      <c r="F4278" s="6">
        <v>0.0</v>
      </c>
      <c r="G4278" s="6">
        <v>391.0</v>
      </c>
      <c r="H4278" s="6">
        <v>1.9693</v>
      </c>
      <c r="I4278" s="6">
        <v>0.0</v>
      </c>
      <c r="J4278" s="6">
        <v>1.9693</v>
      </c>
    </row>
    <row r="4279">
      <c r="A4279" s="5" t="s">
        <v>60</v>
      </c>
      <c r="B4279" s="5" t="s">
        <v>1867</v>
      </c>
      <c r="C4279" s="5" t="s">
        <v>2035</v>
      </c>
      <c r="D4279" s="6">
        <v>21.0</v>
      </c>
      <c r="E4279" s="6">
        <v>940.0</v>
      </c>
      <c r="F4279" s="6">
        <v>0.0</v>
      </c>
      <c r="G4279" s="6">
        <v>391.0</v>
      </c>
      <c r="H4279" s="6">
        <v>2.4041</v>
      </c>
      <c r="I4279" s="6">
        <v>0.0</v>
      </c>
      <c r="J4279" s="6">
        <v>2.4041</v>
      </c>
    </row>
    <row r="4280">
      <c r="A4280" s="5" t="s">
        <v>60</v>
      </c>
      <c r="B4280" s="5" t="s">
        <v>1867</v>
      </c>
      <c r="C4280" s="5" t="s">
        <v>2035</v>
      </c>
      <c r="D4280" s="6">
        <v>22.0</v>
      </c>
      <c r="E4280" s="6">
        <v>940.0</v>
      </c>
      <c r="F4280" s="6">
        <v>0.0</v>
      </c>
      <c r="G4280" s="6">
        <v>391.0</v>
      </c>
      <c r="H4280" s="6">
        <v>2.4041</v>
      </c>
      <c r="I4280" s="6">
        <v>0.0</v>
      </c>
      <c r="J4280" s="6">
        <v>2.4041</v>
      </c>
    </row>
    <row r="4281">
      <c r="A4281" s="5" t="s">
        <v>60</v>
      </c>
      <c r="B4281" s="5" t="s">
        <v>1867</v>
      </c>
      <c r="C4281" s="5" t="s">
        <v>2035</v>
      </c>
      <c r="D4281" s="6">
        <v>23.0</v>
      </c>
      <c r="E4281" s="6">
        <v>40.0</v>
      </c>
      <c r="F4281" s="6">
        <v>0.0</v>
      </c>
      <c r="G4281" s="6">
        <v>391.0</v>
      </c>
      <c r="H4281" s="6">
        <v>0.1023</v>
      </c>
      <c r="I4281" s="6">
        <v>0.0</v>
      </c>
      <c r="J4281" s="6">
        <v>0.1023</v>
      </c>
    </row>
    <row r="4282">
      <c r="A4282" s="5" t="s">
        <v>60</v>
      </c>
      <c r="B4282" s="5" t="s">
        <v>1867</v>
      </c>
      <c r="C4282" s="5" t="s">
        <v>2035</v>
      </c>
      <c r="D4282" s="6">
        <v>24.0</v>
      </c>
      <c r="E4282" s="6">
        <v>0.0</v>
      </c>
      <c r="F4282" s="6">
        <v>0.0</v>
      </c>
      <c r="G4282" s="6">
        <v>391.0</v>
      </c>
      <c r="H4282" s="6">
        <v>0.0</v>
      </c>
      <c r="I4282" s="6">
        <v>0.0</v>
      </c>
      <c r="J4282" s="6">
        <v>0.0</v>
      </c>
    </row>
    <row r="4283">
      <c r="A4283" s="5" t="s">
        <v>60</v>
      </c>
      <c r="B4283" s="5" t="s">
        <v>1867</v>
      </c>
      <c r="C4283" s="5" t="s">
        <v>2035</v>
      </c>
      <c r="D4283" s="6">
        <v>25.0</v>
      </c>
      <c r="E4283" s="6">
        <v>0.0</v>
      </c>
      <c r="F4283" s="6">
        <v>0.0</v>
      </c>
      <c r="G4283" s="6">
        <v>391.0</v>
      </c>
      <c r="H4283" s="6">
        <v>0.0</v>
      </c>
      <c r="I4283" s="6">
        <v>0.0</v>
      </c>
      <c r="J4283" s="6">
        <v>0.0</v>
      </c>
    </row>
    <row r="4284">
      <c r="A4284" s="5" t="s">
        <v>60</v>
      </c>
      <c r="B4284" s="5" t="s">
        <v>1867</v>
      </c>
      <c r="C4284" s="5" t="s">
        <v>2035</v>
      </c>
      <c r="D4284" s="6">
        <v>26.0</v>
      </c>
      <c r="E4284" s="6">
        <v>0.0</v>
      </c>
      <c r="F4284" s="6">
        <v>0.0</v>
      </c>
      <c r="G4284" s="6">
        <v>391.0</v>
      </c>
      <c r="H4284" s="6">
        <v>0.0</v>
      </c>
      <c r="I4284" s="6">
        <v>0.0</v>
      </c>
      <c r="J4284" s="6">
        <v>0.0</v>
      </c>
    </row>
    <row r="4285">
      <c r="A4285" s="5" t="s">
        <v>60</v>
      </c>
      <c r="B4285" s="5" t="s">
        <v>1867</v>
      </c>
      <c r="C4285" s="5" t="s">
        <v>2035</v>
      </c>
      <c r="D4285" s="6">
        <v>27.0</v>
      </c>
      <c r="E4285" s="6">
        <v>0.0</v>
      </c>
      <c r="F4285" s="6">
        <v>0.0</v>
      </c>
      <c r="G4285" s="6">
        <v>391.0</v>
      </c>
      <c r="H4285" s="6">
        <v>0.0</v>
      </c>
      <c r="I4285" s="6">
        <v>0.0</v>
      </c>
      <c r="J4285" s="6">
        <v>0.0</v>
      </c>
    </row>
    <row r="4286">
      <c r="A4286" s="5" t="s">
        <v>60</v>
      </c>
      <c r="B4286" s="5" t="s">
        <v>1867</v>
      </c>
      <c r="C4286" s="5" t="s">
        <v>2035</v>
      </c>
      <c r="D4286" s="6">
        <v>28.0</v>
      </c>
      <c r="E4286" s="6">
        <v>0.0</v>
      </c>
      <c r="F4286" s="6">
        <v>0.0</v>
      </c>
      <c r="G4286" s="6">
        <v>391.0</v>
      </c>
      <c r="H4286" s="6">
        <v>0.0</v>
      </c>
      <c r="I4286" s="6">
        <v>0.0</v>
      </c>
      <c r="J4286" s="6">
        <v>0.0</v>
      </c>
    </row>
    <row r="4287">
      <c r="A4287" s="5" t="s">
        <v>60</v>
      </c>
      <c r="B4287" s="5" t="s">
        <v>1867</v>
      </c>
      <c r="C4287" s="5" t="s">
        <v>2035</v>
      </c>
      <c r="D4287" s="6">
        <v>29.0</v>
      </c>
      <c r="E4287" s="6">
        <v>0.0</v>
      </c>
      <c r="F4287" s="6">
        <v>0.0</v>
      </c>
      <c r="G4287" s="6">
        <v>391.0</v>
      </c>
      <c r="H4287" s="6">
        <v>0.0</v>
      </c>
      <c r="I4287" s="6">
        <v>0.0</v>
      </c>
      <c r="J4287" s="6">
        <v>0.0</v>
      </c>
    </row>
    <row r="4288">
      <c r="A4288" s="5" t="s">
        <v>60</v>
      </c>
      <c r="B4288" s="5" t="s">
        <v>1867</v>
      </c>
      <c r="C4288" s="5" t="s">
        <v>2035</v>
      </c>
      <c r="D4288" s="6">
        <v>30.0</v>
      </c>
      <c r="E4288" s="6">
        <v>1400.0</v>
      </c>
      <c r="F4288" s="6">
        <v>0.0</v>
      </c>
      <c r="G4288" s="6">
        <v>391.0</v>
      </c>
      <c r="H4288" s="6">
        <v>3.5806</v>
      </c>
      <c r="I4288" s="6">
        <v>0.0</v>
      </c>
      <c r="J4288" s="6">
        <v>3.5806</v>
      </c>
    </row>
    <row r="4289">
      <c r="A4289" s="5" t="s">
        <v>60</v>
      </c>
      <c r="B4289" s="5" t="s">
        <v>1867</v>
      </c>
      <c r="C4289" s="5" t="s">
        <v>2035</v>
      </c>
      <c r="D4289" s="6">
        <v>31.0</v>
      </c>
      <c r="E4289" s="6">
        <v>1195.0</v>
      </c>
      <c r="F4289" s="6">
        <v>0.0</v>
      </c>
      <c r="G4289" s="6">
        <v>391.0</v>
      </c>
      <c r="H4289" s="6">
        <v>3.0563</v>
      </c>
      <c r="I4289" s="6">
        <v>0.0</v>
      </c>
      <c r="J4289" s="6">
        <v>3.0563</v>
      </c>
    </row>
    <row r="4290">
      <c r="A4290" s="5" t="s">
        <v>60</v>
      </c>
      <c r="B4290" s="5" t="s">
        <v>1867</v>
      </c>
      <c r="C4290" s="5" t="s">
        <v>2035</v>
      </c>
      <c r="D4290" s="6">
        <v>32.0</v>
      </c>
      <c r="E4290" s="6">
        <v>1445.0</v>
      </c>
      <c r="F4290" s="6">
        <v>0.0</v>
      </c>
      <c r="G4290" s="6">
        <v>391.0</v>
      </c>
      <c r="H4290" s="6">
        <v>3.6957</v>
      </c>
      <c r="I4290" s="6">
        <v>0.0</v>
      </c>
      <c r="J4290" s="6">
        <v>3.6957</v>
      </c>
    </row>
    <row r="4291">
      <c r="A4291" s="5" t="s">
        <v>60</v>
      </c>
      <c r="B4291" s="5" t="s">
        <v>1867</v>
      </c>
      <c r="C4291" s="5" t="s">
        <v>2035</v>
      </c>
      <c r="D4291" s="6">
        <v>33.0</v>
      </c>
      <c r="E4291" s="6">
        <v>1155.0</v>
      </c>
      <c r="F4291" s="6">
        <v>0.0</v>
      </c>
      <c r="G4291" s="6">
        <v>391.0</v>
      </c>
      <c r="H4291" s="6">
        <v>2.954</v>
      </c>
      <c r="I4291" s="6">
        <v>0.0</v>
      </c>
      <c r="J4291" s="6">
        <v>2.954</v>
      </c>
    </row>
  </sheetData>
  <drawing r:id="rId2"/>
  <legacyDrawing r:id="rId3"/>
</worksheet>
</file>